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always" defaultThemeVersion="124226"/>
  <bookViews>
    <workbookView xWindow="240" yWindow="105" windowWidth="14805" windowHeight="8010"/>
  </bookViews>
  <sheets>
    <sheet name="instraction" sheetId="27" r:id="rId1"/>
    <sheet name="Master" sheetId="1" r:id="rId2"/>
    <sheet name="Formet 8" sheetId="4" r:id="rId3"/>
    <sheet name="Formet 9" sheetId="5" r:id="rId4"/>
    <sheet name="Formet 10" sheetId="2" r:id="rId5"/>
    <sheet name="Summary" sheetId="3" r:id="rId6"/>
    <sheet name="Demand" sheetId="29" r:id="rId7"/>
    <sheet name="Prapatra (kh)" sheetId="6" r:id="rId8"/>
    <sheet name="Namankan" sheetId="7" r:id="rId9"/>
    <sheet name="Format 1A" sheetId="9" r:id="rId10"/>
    <sheet name="Format 1B" sheetId="11" r:id="rId11"/>
    <sheet name="Format 1C" sheetId="12" r:id="rId12"/>
    <sheet name="Pending TA-Med List" sheetId="10" r:id="rId13"/>
    <sheet name="Scholership" sheetId="13" r:id="rId14"/>
    <sheet name="praptra-6" sheetId="28" r:id="rId15"/>
    <sheet name="PL Encash" sheetId="16" r:id="rId16"/>
    <sheet name="DA AREAR" sheetId="14" r:id="rId17"/>
    <sheet name="Liveries" sheetId="15" r:id="rId18"/>
    <sheet name="Fix Pay" sheetId="17" r:id="rId19"/>
    <sheet name="Sanvida" sheetId="18" r:id="rId20"/>
    <sheet name="Income" sheetId="19" r:id="rId21"/>
    <sheet name="Vardi" sheetId="21" r:id="rId22"/>
    <sheet name="7th pay fix. arr." sheetId="22" r:id="rId23"/>
    <sheet name="vidhyarthimitra" sheetId="23" r:id="rId24"/>
    <sheet name="GA1" sheetId="26" r:id="rId25"/>
    <sheet name="GA2" sheetId="24" r:id="rId26"/>
    <sheet name="GA3" sheetId="25" r:id="rId27"/>
    <sheet name="forwarding letter" sheetId="20" r:id="rId28"/>
  </sheets>
  <externalReferences>
    <externalReference r:id="rId29"/>
  </externalReferences>
  <definedNames>
    <definedName name="_xlnm._FilterDatabase" localSheetId="16" hidden="1">'DA AREAR'!$B$5:$H$5</definedName>
    <definedName name="_xlnm.Print_Area" localSheetId="22">'7th pay fix. arr.'!$A$1:$I$45</definedName>
    <definedName name="_xlnm.Print_Area" localSheetId="16">'DA AREAR'!$B$1:$H$72</definedName>
    <definedName name="_xlnm.Print_Area" localSheetId="18">'Fix Pay'!$A$1:$K$21</definedName>
    <definedName name="_xlnm.Print_Area" localSheetId="9">'Format 1A'!$A$1:$P$39</definedName>
    <definedName name="_xlnm.Print_Area" localSheetId="11">'Format 1C'!$A$1:$G$36</definedName>
    <definedName name="_xlnm.Print_Area" localSheetId="4">'Formet 10'!$A$1:$O$21</definedName>
    <definedName name="_xlnm.Print_Area" localSheetId="2">'Formet 8'!$A$1:$M$129</definedName>
    <definedName name="_xlnm.Print_Area" localSheetId="3">'Formet 9'!$A$1:$O$39</definedName>
    <definedName name="_xlnm.Print_Area" localSheetId="27">'forwarding letter'!$A$1:$C$37</definedName>
    <definedName name="_xlnm.Print_Area" localSheetId="24">'GA1'!$A$1:$U$39</definedName>
    <definedName name="_xlnm.Print_Area" localSheetId="25">'GA2'!$A$1:$N$29</definedName>
    <definedName name="_xlnm.Print_Area" localSheetId="17">Liveries!$A$1:$S$21</definedName>
    <definedName name="_xlnm.Print_Area" localSheetId="8">Namankan!$A$1:$W$27</definedName>
    <definedName name="_xlnm.Print_Area" localSheetId="12">'Pending TA-Med List'!$A$1:$R$40</definedName>
    <definedName name="_xlnm.Print_Area" localSheetId="15">'PL Encash'!$A$1:$H$19</definedName>
    <definedName name="_xlnm.Print_Area" localSheetId="7">'Prapatra (kh)'!$A$1:$I$21</definedName>
    <definedName name="_xlnm.Print_Area" localSheetId="14">'praptra-6'!$A$1:$H$62</definedName>
    <definedName name="_xlnm.Print_Area" localSheetId="19">Sanvida!$A$1:$K$21</definedName>
    <definedName name="_xlnm.Print_Area" localSheetId="13">Scholership!$A$1:$U$46</definedName>
    <definedName name="_xlnm.Print_Area" localSheetId="5">Summary!$A$1:$C$55</definedName>
    <definedName name="_xlnm.Print_Area" localSheetId="21">Vardi!$A$1:$K$15</definedName>
    <definedName name="_xlnm.Print_Area" localSheetId="23">vidhyarthimitra!$A$1:$H$20</definedName>
  </definedNames>
  <calcPr calcId="124519"/>
</workbook>
</file>

<file path=xl/calcChain.xml><?xml version="1.0" encoding="utf-8"?>
<calcChain xmlns="http://schemas.openxmlformats.org/spreadsheetml/2006/main">
  <c r="I7" i="18"/>
  <c r="J7"/>
  <c r="K7"/>
  <c r="H7"/>
  <c r="A4"/>
  <c r="F21" i="14"/>
  <c r="E51" i="28"/>
  <c r="D51"/>
  <c r="E45"/>
  <c r="D45"/>
  <c r="E39"/>
  <c r="D39"/>
  <c r="D33"/>
  <c r="E33"/>
  <c r="E27"/>
  <c r="D27"/>
  <c r="E21"/>
  <c r="D21"/>
  <c r="E13"/>
  <c r="D13"/>
  <c r="L30" i="13"/>
  <c r="E30"/>
  <c r="L17"/>
  <c r="E17"/>
  <c r="C39" i="3"/>
  <c r="C40"/>
  <c r="C41"/>
  <c r="C42"/>
  <c r="C44"/>
  <c r="C45"/>
  <c r="C32"/>
  <c r="B32"/>
  <c r="E5" i="1"/>
  <c r="C10" i="29"/>
  <c r="B10"/>
  <c r="G16"/>
  <c r="G14"/>
  <c r="H1"/>
  <c r="C1" i="3"/>
  <c r="A4" i="29"/>
  <c r="C9" i="1"/>
  <c r="K122" i="4"/>
  <c r="L13" i="5" s="1"/>
  <c r="K121" i="4"/>
  <c r="L12" i="5"/>
  <c r="C10" i="2"/>
  <c r="D10"/>
  <c r="F10"/>
  <c r="G10"/>
  <c r="H10"/>
  <c r="J10"/>
  <c r="L10"/>
  <c r="C11"/>
  <c r="D11"/>
  <c r="F11"/>
  <c r="G11"/>
  <c r="H11"/>
  <c r="J11"/>
  <c r="L11"/>
  <c r="C12"/>
  <c r="D12"/>
  <c r="F12"/>
  <c r="G12"/>
  <c r="H12"/>
  <c r="J12"/>
  <c r="L12"/>
  <c r="C13"/>
  <c r="D13"/>
  <c r="F13"/>
  <c r="G13"/>
  <c r="H13"/>
  <c r="K13" s="1"/>
  <c r="J13"/>
  <c r="L13"/>
  <c r="F9"/>
  <c r="J44" i="1"/>
  <c r="K44"/>
  <c r="H44"/>
  <c r="I44"/>
  <c r="L9" i="2"/>
  <c r="J9"/>
  <c r="C26" i="5"/>
  <c r="D26"/>
  <c r="F26"/>
  <c r="G26"/>
  <c r="H26"/>
  <c r="J26"/>
  <c r="L26"/>
  <c r="C27"/>
  <c r="D27"/>
  <c r="F27"/>
  <c r="G27"/>
  <c r="H27"/>
  <c r="J27"/>
  <c r="L27"/>
  <c r="C28"/>
  <c r="D28"/>
  <c r="F28"/>
  <c r="G28"/>
  <c r="H28"/>
  <c r="K28" s="1"/>
  <c r="M28" s="1"/>
  <c r="J28"/>
  <c r="L28"/>
  <c r="C29"/>
  <c r="D29"/>
  <c r="F29"/>
  <c r="G29"/>
  <c r="H29"/>
  <c r="J29"/>
  <c r="L29"/>
  <c r="C30"/>
  <c r="D30"/>
  <c r="E30"/>
  <c r="F30"/>
  <c r="G30"/>
  <c r="H30"/>
  <c r="J30"/>
  <c r="L30"/>
  <c r="L25"/>
  <c r="J25"/>
  <c r="J31" s="1"/>
  <c r="D24" i="1"/>
  <c r="E24"/>
  <c r="F24"/>
  <c r="G24"/>
  <c r="I24"/>
  <c r="J24"/>
  <c r="K24"/>
  <c r="C17" i="5"/>
  <c r="D17"/>
  <c r="F17"/>
  <c r="G17"/>
  <c r="H17"/>
  <c r="J17"/>
  <c r="L17"/>
  <c r="C18"/>
  <c r="D18"/>
  <c r="F18"/>
  <c r="G18"/>
  <c r="H18"/>
  <c r="J18"/>
  <c r="L18"/>
  <c r="C19"/>
  <c r="D19"/>
  <c r="F19"/>
  <c r="G19"/>
  <c r="H19"/>
  <c r="J19"/>
  <c r="L19"/>
  <c r="C20"/>
  <c r="D20"/>
  <c r="F20"/>
  <c r="G20"/>
  <c r="H20"/>
  <c r="J20"/>
  <c r="L20"/>
  <c r="C21"/>
  <c r="D21"/>
  <c r="F21"/>
  <c r="G21"/>
  <c r="H21"/>
  <c r="K21" s="1"/>
  <c r="M21" s="1"/>
  <c r="J21"/>
  <c r="L21"/>
  <c r="C22"/>
  <c r="D22"/>
  <c r="F22"/>
  <c r="G22"/>
  <c r="H22"/>
  <c r="J22"/>
  <c r="L22"/>
  <c r="C23"/>
  <c r="D23"/>
  <c r="F23"/>
  <c r="G23"/>
  <c r="I23" s="1"/>
  <c r="H23"/>
  <c r="J23"/>
  <c r="K23" s="1"/>
  <c r="L23"/>
  <c r="L16"/>
  <c r="J16"/>
  <c r="C12"/>
  <c r="D12"/>
  <c r="F12"/>
  <c r="G12"/>
  <c r="H12"/>
  <c r="J12"/>
  <c r="C13"/>
  <c r="D13"/>
  <c r="F13"/>
  <c r="G13"/>
  <c r="H13"/>
  <c r="J13"/>
  <c r="J11"/>
  <c r="F10" i="29" s="1"/>
  <c r="K14" i="1"/>
  <c r="K31"/>
  <c r="K32" s="1"/>
  <c r="J14"/>
  <c r="J31"/>
  <c r="J32" s="1"/>
  <c r="H36"/>
  <c r="E36"/>
  <c r="D36"/>
  <c r="C36"/>
  <c r="I8"/>
  <c r="F8"/>
  <c r="E8"/>
  <c r="D8"/>
  <c r="F9" i="5"/>
  <c r="E9"/>
  <c r="D9"/>
  <c r="C9"/>
  <c r="K33" i="1" l="1"/>
  <c r="K17" i="5"/>
  <c r="M17" s="1"/>
  <c r="K30"/>
  <c r="K29"/>
  <c r="O29" s="1"/>
  <c r="M13" i="2"/>
  <c r="J24" i="5"/>
  <c r="J32" s="1"/>
  <c r="K19"/>
  <c r="I27"/>
  <c r="N23"/>
  <c r="I29"/>
  <c r="N29" s="1"/>
  <c r="K11" i="2"/>
  <c r="I10"/>
  <c r="K26" i="5"/>
  <c r="O26" s="1"/>
  <c r="I21"/>
  <c r="I17"/>
  <c r="I30"/>
  <c r="N30" s="1"/>
  <c r="I13" i="2"/>
  <c r="N13" s="1"/>
  <c r="K10"/>
  <c r="M10" s="1"/>
  <c r="O11"/>
  <c r="I11"/>
  <c r="N11" s="1"/>
  <c r="O13"/>
  <c r="O10"/>
  <c r="I13" i="5"/>
  <c r="O21"/>
  <c r="I12" i="2"/>
  <c r="O23" i="5"/>
  <c r="O17"/>
  <c r="O30"/>
  <c r="M11" i="2"/>
  <c r="L24" i="5"/>
  <c r="O19"/>
  <c r="I19"/>
  <c r="N19" s="1"/>
  <c r="L31"/>
  <c r="O28"/>
  <c r="I28"/>
  <c r="N28" s="1"/>
  <c r="M26"/>
  <c r="I12"/>
  <c r="I20"/>
  <c r="I26"/>
  <c r="N26" s="1"/>
  <c r="K12" i="2"/>
  <c r="O12" s="1"/>
  <c r="N21" i="5"/>
  <c r="M23"/>
  <c r="M19"/>
  <c r="M30"/>
  <c r="I22"/>
  <c r="I18"/>
  <c r="M29"/>
  <c r="K27"/>
  <c r="O27" s="1"/>
  <c r="N10" i="2"/>
  <c r="K22" i="5"/>
  <c r="O22" s="1"/>
  <c r="K20"/>
  <c r="K18"/>
  <c r="J33" i="1"/>
  <c r="L32" i="5" l="1"/>
  <c r="N17"/>
  <c r="N22"/>
  <c r="M22"/>
  <c r="N20"/>
  <c r="M20"/>
  <c r="N18"/>
  <c r="M18"/>
  <c r="N27"/>
  <c r="M27"/>
  <c r="N12" i="2"/>
  <c r="M12"/>
  <c r="O20" i="5"/>
  <c r="O18"/>
  <c r="B54" i="28"/>
  <c r="B53"/>
  <c r="B48"/>
  <c r="B47"/>
  <c r="B42"/>
  <c r="B41"/>
  <c r="B36"/>
  <c r="B35"/>
  <c r="E35" s="1"/>
  <c r="B30"/>
  <c r="E30" s="1"/>
  <c r="B29"/>
  <c r="B24"/>
  <c r="B23"/>
  <c r="D43"/>
  <c r="E43"/>
  <c r="E61"/>
  <c r="R45" i="13"/>
  <c r="E59" i="28"/>
  <c r="R43" i="13"/>
  <c r="E54" i="28"/>
  <c r="D54"/>
  <c r="E53"/>
  <c r="E55" s="1"/>
  <c r="D53"/>
  <c r="D55" s="1"/>
  <c r="B49"/>
  <c r="E48"/>
  <c r="D48"/>
  <c r="E47"/>
  <c r="E49" s="1"/>
  <c r="D47"/>
  <c r="B37"/>
  <c r="E36"/>
  <c r="D36"/>
  <c r="D35"/>
  <c r="B31"/>
  <c r="D30"/>
  <c r="E29"/>
  <c r="D29"/>
  <c r="E24"/>
  <c r="D24"/>
  <c r="E23"/>
  <c r="E25" s="1"/>
  <c r="D23"/>
  <c r="D25" l="1"/>
  <c r="D31"/>
  <c r="D37"/>
  <c r="D49"/>
  <c r="B25"/>
  <c r="B55"/>
  <c r="B43"/>
  <c r="E37"/>
  <c r="E31"/>
  <c r="G39" i="26" l="1"/>
  <c r="F39"/>
  <c r="E39"/>
  <c r="K23" i="25" l="1"/>
  <c r="K21"/>
  <c r="I10"/>
  <c r="L10"/>
  <c r="M10"/>
  <c r="N10"/>
  <c r="I11"/>
  <c r="M11" s="1"/>
  <c r="J11"/>
  <c r="L11"/>
  <c r="N11"/>
  <c r="I12"/>
  <c r="J12"/>
  <c r="L12" s="1"/>
  <c r="M12"/>
  <c r="I13"/>
  <c r="M13" s="1"/>
  <c r="J13"/>
  <c r="L13"/>
  <c r="N13"/>
  <c r="I14"/>
  <c r="J14"/>
  <c r="L14" s="1"/>
  <c r="M14"/>
  <c r="I15"/>
  <c r="M15" s="1"/>
  <c r="J15"/>
  <c r="L15"/>
  <c r="N15"/>
  <c r="I16"/>
  <c r="J16"/>
  <c r="L16" s="1"/>
  <c r="M16"/>
  <c r="K26" i="24"/>
  <c r="T34" i="26"/>
  <c r="T36"/>
  <c r="O24"/>
  <c r="P24"/>
  <c r="P23"/>
  <c r="O23"/>
  <c r="J14"/>
  <c r="O14"/>
  <c r="P14"/>
  <c r="P13"/>
  <c r="P21"/>
  <c r="P22"/>
  <c r="G29"/>
  <c r="G30"/>
  <c r="G31"/>
  <c r="G32"/>
  <c r="G33"/>
  <c r="G34"/>
  <c r="G35"/>
  <c r="G36"/>
  <c r="G37"/>
  <c r="G38"/>
  <c r="A5"/>
  <c r="F16" i="23"/>
  <c r="H40" i="22"/>
  <c r="I11" i="21"/>
  <c r="C34" i="20"/>
  <c r="E18" i="19"/>
  <c r="I14" i="18"/>
  <c r="I16"/>
  <c r="I14" i="17"/>
  <c r="P15" i="15"/>
  <c r="F69" i="14"/>
  <c r="F12" i="16"/>
  <c r="O34" i="10"/>
  <c r="F34"/>
  <c r="F33" i="12"/>
  <c r="Q34" i="11"/>
  <c r="M35" i="9"/>
  <c r="R22" i="7"/>
  <c r="B52" i="3"/>
  <c r="B54"/>
  <c r="L17" i="2"/>
  <c r="N35" i="5"/>
  <c r="H15" i="6"/>
  <c r="Q36" i="26"/>
  <c r="Q35"/>
  <c r="Q33"/>
  <c r="Q32"/>
  <c r="Q31"/>
  <c r="G28"/>
  <c r="P20"/>
  <c r="P19"/>
  <c r="P18"/>
  <c r="P17"/>
  <c r="P16"/>
  <c r="P15"/>
  <c r="P25"/>
  <c r="P12"/>
  <c r="P11"/>
  <c r="P10"/>
  <c r="P9"/>
  <c r="N16" i="25" l="1"/>
  <c r="N14"/>
  <c r="N12"/>
  <c r="Q28" i="26"/>
  <c r="O25"/>
  <c r="I21" i="14" l="1"/>
  <c r="B21" s="1"/>
  <c r="D31" i="1"/>
  <c r="E31"/>
  <c r="F31"/>
  <c r="G31"/>
  <c r="I31"/>
  <c r="C31"/>
  <c r="F156"/>
  <c r="M7" i="10" s="1"/>
  <c r="G156" i="1"/>
  <c r="N7" i="10" s="1"/>
  <c r="H156" i="1"/>
  <c r="O7" i="10" s="1"/>
  <c r="I156" i="1"/>
  <c r="P7" i="10" s="1"/>
  <c r="J156" i="1"/>
  <c r="Q7" i="10" s="1"/>
  <c r="E156" i="1"/>
  <c r="L7" i="10" s="1"/>
  <c r="D7"/>
  <c r="E7"/>
  <c r="F7"/>
  <c r="G7"/>
  <c r="H7"/>
  <c r="C7"/>
  <c r="G12" i="9"/>
  <c r="D10"/>
  <c r="D11"/>
  <c r="D12"/>
  <c r="D13"/>
  <c r="D14"/>
  <c r="D15"/>
  <c r="D16"/>
  <c r="D17"/>
  <c r="D18"/>
  <c r="D19"/>
  <c r="D20"/>
  <c r="D21"/>
  <c r="D22"/>
  <c r="D23"/>
  <c r="D24"/>
  <c r="D25"/>
  <c r="D26"/>
  <c r="D27"/>
  <c r="D28"/>
  <c r="D29"/>
  <c r="D30"/>
  <c r="D31"/>
  <c r="D9"/>
  <c r="R8" i="7"/>
  <c r="S8"/>
  <c r="R9"/>
  <c r="S9"/>
  <c r="R10"/>
  <c r="S10"/>
  <c r="R11"/>
  <c r="S11"/>
  <c r="R12"/>
  <c r="S12"/>
  <c r="R13"/>
  <c r="S13"/>
  <c r="R14"/>
  <c r="S14"/>
  <c r="R15"/>
  <c r="S15"/>
  <c r="R16"/>
  <c r="S16"/>
  <c r="R17"/>
  <c r="S17"/>
  <c r="R18"/>
  <c r="S18"/>
  <c r="S7"/>
  <c r="R7"/>
  <c r="R19" s="1"/>
  <c r="D19"/>
  <c r="E19"/>
  <c r="F19"/>
  <c r="G19"/>
  <c r="H19"/>
  <c r="I19"/>
  <c r="J19"/>
  <c r="K19"/>
  <c r="L19"/>
  <c r="M19"/>
  <c r="N19"/>
  <c r="O19"/>
  <c r="P19"/>
  <c r="Q19"/>
  <c r="S19"/>
  <c r="U19"/>
  <c r="V19"/>
  <c r="W19"/>
  <c r="C19"/>
  <c r="W8"/>
  <c r="W9"/>
  <c r="W10"/>
  <c r="W11"/>
  <c r="W12"/>
  <c r="W13"/>
  <c r="W14"/>
  <c r="W15"/>
  <c r="W16"/>
  <c r="W17"/>
  <c r="W18"/>
  <c r="W7"/>
  <c r="T8"/>
  <c r="T9"/>
  <c r="T10"/>
  <c r="T11"/>
  <c r="T12"/>
  <c r="T13"/>
  <c r="T14"/>
  <c r="T15"/>
  <c r="T16"/>
  <c r="T17"/>
  <c r="T18"/>
  <c r="T7"/>
  <c r="T19" s="1"/>
  <c r="Q8"/>
  <c r="Q9"/>
  <c r="Q10"/>
  <c r="Q11"/>
  <c r="Q12"/>
  <c r="Q13"/>
  <c r="Q14"/>
  <c r="Q15"/>
  <c r="Q16"/>
  <c r="Q17"/>
  <c r="Q18"/>
  <c r="Q7"/>
  <c r="N8"/>
  <c r="N9"/>
  <c r="N10"/>
  <c r="N11"/>
  <c r="N12"/>
  <c r="N13"/>
  <c r="N14"/>
  <c r="N15"/>
  <c r="N16"/>
  <c r="N17"/>
  <c r="N18"/>
  <c r="N7"/>
  <c r="K8"/>
  <c r="K9"/>
  <c r="K10"/>
  <c r="K11"/>
  <c r="K12"/>
  <c r="K13"/>
  <c r="K14"/>
  <c r="K15"/>
  <c r="K16"/>
  <c r="K17"/>
  <c r="K18"/>
  <c r="K7"/>
  <c r="H8"/>
  <c r="H9"/>
  <c r="H10"/>
  <c r="H11"/>
  <c r="H12"/>
  <c r="H13"/>
  <c r="H14"/>
  <c r="H15"/>
  <c r="H16"/>
  <c r="H17"/>
  <c r="H18"/>
  <c r="H7"/>
  <c r="E8"/>
  <c r="E9"/>
  <c r="E10"/>
  <c r="E11"/>
  <c r="E12"/>
  <c r="E13"/>
  <c r="E14"/>
  <c r="E15"/>
  <c r="E16"/>
  <c r="E17"/>
  <c r="E18"/>
  <c r="E7"/>
  <c r="B45" i="3" l="1"/>
  <c r="A5"/>
  <c r="J5" i="26"/>
  <c r="AC60" i="1"/>
  <c r="AD60"/>
  <c r="AC61"/>
  <c r="AD61"/>
  <c r="AC62"/>
  <c r="AD62"/>
  <c r="AC63"/>
  <c r="AD63"/>
  <c r="AC64"/>
  <c r="AD64"/>
  <c r="AC65"/>
  <c r="AD65"/>
  <c r="AC66"/>
  <c r="AD66"/>
  <c r="AC67"/>
  <c r="AD67"/>
  <c r="AC68"/>
  <c r="AD68"/>
  <c r="AC69"/>
  <c r="AD69"/>
  <c r="AC70"/>
  <c r="AD70"/>
  <c r="AC71"/>
  <c r="AD71"/>
  <c r="AC72"/>
  <c r="AD72"/>
  <c r="AC73"/>
  <c r="AD73"/>
  <c r="AC74"/>
  <c r="AD74"/>
  <c r="AC75"/>
  <c r="AD75"/>
  <c r="AC76"/>
  <c r="AD76"/>
  <c r="AC77"/>
  <c r="AD77"/>
  <c r="AC78"/>
  <c r="AD78"/>
  <c r="AC79"/>
  <c r="AD79"/>
  <c r="AC80"/>
  <c r="AD80"/>
  <c r="AC81"/>
  <c r="AD81"/>
  <c r="AC82"/>
  <c r="AD82"/>
  <c r="AC83"/>
  <c r="AD83"/>
  <c r="AC84"/>
  <c r="AD84"/>
  <c r="AC85"/>
  <c r="AD85"/>
  <c r="AC86"/>
  <c r="AD86"/>
  <c r="AC87"/>
  <c r="AD87"/>
  <c r="AC88"/>
  <c r="AD88"/>
  <c r="AC89"/>
  <c r="AD89"/>
  <c r="AC90"/>
  <c r="AD90"/>
  <c r="AC91"/>
  <c r="AD91"/>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C110"/>
  <c r="AG60"/>
  <c r="AH60"/>
  <c r="AI60"/>
  <c r="AG61"/>
  <c r="AH61"/>
  <c r="AI61"/>
  <c r="AG62"/>
  <c r="AH62"/>
  <c r="AI62"/>
  <c r="AG63"/>
  <c r="AH63"/>
  <c r="AI63"/>
  <c r="AG64"/>
  <c r="AH64"/>
  <c r="AI64"/>
  <c r="AG65"/>
  <c r="AH65"/>
  <c r="AI65"/>
  <c r="AG66"/>
  <c r="AH66"/>
  <c r="AI66"/>
  <c r="AG67"/>
  <c r="AH67"/>
  <c r="AI67"/>
  <c r="AG68"/>
  <c r="AH68"/>
  <c r="AI68"/>
  <c r="AG69"/>
  <c r="AH69"/>
  <c r="AI69"/>
  <c r="AG70"/>
  <c r="AH70"/>
  <c r="AI70"/>
  <c r="AG71"/>
  <c r="AH71"/>
  <c r="AI71"/>
  <c r="AG72"/>
  <c r="AH72"/>
  <c r="AI72"/>
  <c r="AG73"/>
  <c r="AH73"/>
  <c r="AI73"/>
  <c r="AG74"/>
  <c r="AH74"/>
  <c r="AI74"/>
  <c r="AG75"/>
  <c r="AH75"/>
  <c r="AI75"/>
  <c r="AG76"/>
  <c r="AH76"/>
  <c r="AI76"/>
  <c r="AG77"/>
  <c r="AH77"/>
  <c r="AI77"/>
  <c r="AG78"/>
  <c r="AH78"/>
  <c r="AI78"/>
  <c r="AG79"/>
  <c r="AH79"/>
  <c r="AI79"/>
  <c r="AG80"/>
  <c r="AH80"/>
  <c r="AI80"/>
  <c r="AG81"/>
  <c r="AH81"/>
  <c r="AI81"/>
  <c r="AG82"/>
  <c r="AH82"/>
  <c r="AI82"/>
  <c r="AG83"/>
  <c r="AH83"/>
  <c r="AI83"/>
  <c r="AG84"/>
  <c r="AH84"/>
  <c r="AI84"/>
  <c r="AG85"/>
  <c r="AH85"/>
  <c r="AI85"/>
  <c r="AG86"/>
  <c r="AH86"/>
  <c r="AI86"/>
  <c r="AG87"/>
  <c r="AH87"/>
  <c r="AI87"/>
  <c r="AG88"/>
  <c r="AH88"/>
  <c r="AI88"/>
  <c r="AG89"/>
  <c r="AH89"/>
  <c r="AI89"/>
  <c r="AG90"/>
  <c r="AH90"/>
  <c r="AI90"/>
  <c r="AG91"/>
  <c r="AH91"/>
  <c r="AI91"/>
  <c r="AG92"/>
  <c r="AH92"/>
  <c r="AI92"/>
  <c r="AG93"/>
  <c r="AH93"/>
  <c r="AI93"/>
  <c r="AG94"/>
  <c r="AH94"/>
  <c r="AI94"/>
  <c r="AG95"/>
  <c r="AH95"/>
  <c r="AI95"/>
  <c r="AG96"/>
  <c r="AH96"/>
  <c r="AI96"/>
  <c r="AG97"/>
  <c r="AH97"/>
  <c r="AI97"/>
  <c r="AG98"/>
  <c r="AH98"/>
  <c r="AI98"/>
  <c r="AG99"/>
  <c r="AH99"/>
  <c r="AI99"/>
  <c r="AG100"/>
  <c r="AH100"/>
  <c r="AI100"/>
  <c r="AG101"/>
  <c r="AH101"/>
  <c r="AI101"/>
  <c r="AG102"/>
  <c r="AH102"/>
  <c r="AI102"/>
  <c r="AG103"/>
  <c r="AH103"/>
  <c r="AI103"/>
  <c r="AG104"/>
  <c r="AH104"/>
  <c r="AI104"/>
  <c r="AG105"/>
  <c r="AH105"/>
  <c r="AI105"/>
  <c r="AG106"/>
  <c r="AH106"/>
  <c r="AI106"/>
  <c r="AG107"/>
  <c r="AH107"/>
  <c r="AI107"/>
  <c r="AG108"/>
  <c r="AH108"/>
  <c r="AI108"/>
  <c r="AG109"/>
  <c r="AH109"/>
  <c r="AI109"/>
  <c r="H5" i="16"/>
  <c r="H7" s="1"/>
  <c r="K28" i="24"/>
  <c r="K17" i="25"/>
  <c r="H17"/>
  <c r="G17"/>
  <c r="F17"/>
  <c r="E17"/>
  <c r="D17"/>
  <c r="C17"/>
  <c r="I17"/>
  <c r="I12" i="24"/>
  <c r="H22"/>
  <c r="G22"/>
  <c r="F22"/>
  <c r="E22"/>
  <c r="D22"/>
  <c r="C22"/>
  <c r="N21"/>
  <c r="L21"/>
  <c r="I21"/>
  <c r="M21" s="1"/>
  <c r="N20"/>
  <c r="L20"/>
  <c r="I20"/>
  <c r="M20" s="1"/>
  <c r="N19"/>
  <c r="L19"/>
  <c r="I19"/>
  <c r="M19" s="1"/>
  <c r="N18"/>
  <c r="L18"/>
  <c r="I18"/>
  <c r="M18" s="1"/>
  <c r="N17"/>
  <c r="L17"/>
  <c r="I17"/>
  <c r="M17" s="1"/>
  <c r="N15"/>
  <c r="L15"/>
  <c r="I15"/>
  <c r="M15" s="1"/>
  <c r="N14"/>
  <c r="L14"/>
  <c r="I14"/>
  <c r="M14" s="1"/>
  <c r="N13"/>
  <c r="L13"/>
  <c r="I13"/>
  <c r="M13" s="1"/>
  <c r="I22"/>
  <c r="F18" i="23"/>
  <c r="H12"/>
  <c r="A7" i="4" l="1"/>
  <c r="A5" i="9" s="1"/>
  <c r="A6" i="29"/>
  <c r="N17" i="25"/>
  <c r="J17"/>
  <c r="M17"/>
  <c r="L17" l="1"/>
  <c r="B8" i="22" l="1"/>
  <c r="H8" s="1"/>
  <c r="C8"/>
  <c r="B9"/>
  <c r="H9" s="1"/>
  <c r="C9"/>
  <c r="B10"/>
  <c r="H10" s="1"/>
  <c r="C10"/>
  <c r="B11"/>
  <c r="H11" s="1"/>
  <c r="C11"/>
  <c r="B12"/>
  <c r="H12" s="1"/>
  <c r="C12"/>
  <c r="B13"/>
  <c r="H13" s="1"/>
  <c r="C13"/>
  <c r="B14"/>
  <c r="H14" s="1"/>
  <c r="C14"/>
  <c r="B15"/>
  <c r="H15" s="1"/>
  <c r="C15"/>
  <c r="B16"/>
  <c r="H16" s="1"/>
  <c r="C16"/>
  <c r="B17"/>
  <c r="H17" s="1"/>
  <c r="C17"/>
  <c r="B18"/>
  <c r="H18" s="1"/>
  <c r="C18"/>
  <c r="B19"/>
  <c r="H19" s="1"/>
  <c r="C19"/>
  <c r="B20"/>
  <c r="H20" s="1"/>
  <c r="C20"/>
  <c r="B21"/>
  <c r="H21" s="1"/>
  <c r="C21"/>
  <c r="B22"/>
  <c r="H22" s="1"/>
  <c r="C22"/>
  <c r="B23"/>
  <c r="H23" s="1"/>
  <c r="C23"/>
  <c r="B24"/>
  <c r="H24" s="1"/>
  <c r="C24"/>
  <c r="B25"/>
  <c r="H25" s="1"/>
  <c r="C25"/>
  <c r="B26"/>
  <c r="H26" s="1"/>
  <c r="C26"/>
  <c r="B27"/>
  <c r="H27" s="1"/>
  <c r="C27"/>
  <c r="B28"/>
  <c r="H28" s="1"/>
  <c r="C28"/>
  <c r="B29"/>
  <c r="H29" s="1"/>
  <c r="C29"/>
  <c r="B30"/>
  <c r="H30" s="1"/>
  <c r="C30"/>
  <c r="B31"/>
  <c r="H31" s="1"/>
  <c r="C31"/>
  <c r="B32"/>
  <c r="H32" s="1"/>
  <c r="C32"/>
  <c r="B33"/>
  <c r="H33" s="1"/>
  <c r="C33"/>
  <c r="B34"/>
  <c r="H34" s="1"/>
  <c r="C34"/>
  <c r="B35"/>
  <c r="H35" s="1"/>
  <c r="C35"/>
  <c r="B36"/>
  <c r="H36" s="1"/>
  <c r="C36"/>
  <c r="B37"/>
  <c r="H37" s="1"/>
  <c r="C37"/>
  <c r="C7"/>
  <c r="B7"/>
  <c r="H7" s="1"/>
  <c r="H42"/>
  <c r="I13" i="21" l="1"/>
  <c r="H7"/>
  <c r="E7"/>
  <c r="C36" i="20"/>
  <c r="E20" i="19"/>
  <c r="F10"/>
  <c r="F14" s="1"/>
  <c r="E10"/>
  <c r="E14" s="1"/>
  <c r="I16" i="17"/>
  <c r="H10"/>
  <c r="I9"/>
  <c r="J9" s="1"/>
  <c r="F9"/>
  <c r="H10" i="18"/>
  <c r="I9"/>
  <c r="J9" s="1"/>
  <c r="F9"/>
  <c r="A6"/>
  <c r="P17" i="15"/>
  <c r="B10" s="1"/>
  <c r="A5"/>
  <c r="F14" i="16"/>
  <c r="G7"/>
  <c r="F71" i="14"/>
  <c r="G21"/>
  <c r="H66"/>
  <c r="C38" i="13"/>
  <c r="C37"/>
  <c r="C36"/>
  <c r="C35"/>
  <c r="E35" s="1"/>
  <c r="C34"/>
  <c r="C33"/>
  <c r="C12"/>
  <c r="C11"/>
  <c r="C10"/>
  <c r="B10" i="28" s="1"/>
  <c r="C9" i="13"/>
  <c r="B9" i="28" s="1"/>
  <c r="C8" i="13"/>
  <c r="B8" i="28" s="1"/>
  <c r="C7" i="13"/>
  <c r="B7" i="28" s="1"/>
  <c r="C25" i="13"/>
  <c r="C24"/>
  <c r="C23"/>
  <c r="C22"/>
  <c r="B17" i="28" s="1"/>
  <c r="D17" s="1"/>
  <c r="E17" s="1"/>
  <c r="C21" i="13"/>
  <c r="B16" i="28" s="1"/>
  <c r="D16" s="1"/>
  <c r="E16" s="1"/>
  <c r="C20" i="13"/>
  <c r="B15" i="28" s="1"/>
  <c r="D15" s="1"/>
  <c r="E15" s="1"/>
  <c r="N38" i="13"/>
  <c r="G38"/>
  <c r="N37"/>
  <c r="G37"/>
  <c r="E37"/>
  <c r="N36"/>
  <c r="G36"/>
  <c r="N35"/>
  <c r="G35"/>
  <c r="N34"/>
  <c r="G34"/>
  <c r="N33"/>
  <c r="G33"/>
  <c r="E33"/>
  <c r="K33" s="1"/>
  <c r="G25"/>
  <c r="E25"/>
  <c r="K25" s="1"/>
  <c r="N24"/>
  <c r="L24"/>
  <c r="R24" s="1"/>
  <c r="G24"/>
  <c r="E24"/>
  <c r="K24" s="1"/>
  <c r="G23"/>
  <c r="N22"/>
  <c r="L22"/>
  <c r="G22"/>
  <c r="E22"/>
  <c r="N21"/>
  <c r="L21"/>
  <c r="G21"/>
  <c r="N20"/>
  <c r="G20"/>
  <c r="E20"/>
  <c r="K20" s="1"/>
  <c r="G12"/>
  <c r="E12"/>
  <c r="K12" s="1"/>
  <c r="N11"/>
  <c r="G11"/>
  <c r="E11"/>
  <c r="K11" s="1"/>
  <c r="G10"/>
  <c r="E10"/>
  <c r="K10" s="1"/>
  <c r="N9"/>
  <c r="G9"/>
  <c r="N8"/>
  <c r="G8"/>
  <c r="E8"/>
  <c r="N7"/>
  <c r="G7"/>
  <c r="E8" i="12"/>
  <c r="E9"/>
  <c r="E10"/>
  <c r="E11"/>
  <c r="E12"/>
  <c r="E13"/>
  <c r="E14"/>
  <c r="E15"/>
  <c r="E16"/>
  <c r="E17"/>
  <c r="E18"/>
  <c r="E19"/>
  <c r="E20"/>
  <c r="E21"/>
  <c r="E22"/>
  <c r="E23"/>
  <c r="E24"/>
  <c r="E25"/>
  <c r="E26"/>
  <c r="E27"/>
  <c r="E28"/>
  <c r="E29"/>
  <c r="E7"/>
  <c r="C8"/>
  <c r="C9"/>
  <c r="C10"/>
  <c r="C11"/>
  <c r="C12"/>
  <c r="C13"/>
  <c r="C14"/>
  <c r="C15"/>
  <c r="C16"/>
  <c r="C17"/>
  <c r="C18"/>
  <c r="C19"/>
  <c r="C20"/>
  <c r="C21"/>
  <c r="C22"/>
  <c r="C23"/>
  <c r="C24"/>
  <c r="C25"/>
  <c r="C26"/>
  <c r="C27"/>
  <c r="C28"/>
  <c r="C29"/>
  <c r="C7"/>
  <c r="F35"/>
  <c r="G30"/>
  <c r="F30"/>
  <c r="L23" i="13" l="1"/>
  <c r="R23" s="1"/>
  <c r="B18" i="28"/>
  <c r="D18" s="1"/>
  <c r="E18" s="1"/>
  <c r="D8"/>
  <c r="E8"/>
  <c r="E21" i="13"/>
  <c r="K21" s="1"/>
  <c r="E7" i="28"/>
  <c r="D7"/>
  <c r="B11"/>
  <c r="D10"/>
  <c r="E10"/>
  <c r="E9"/>
  <c r="D9"/>
  <c r="I7" i="21"/>
  <c r="K8" i="13"/>
  <c r="K35"/>
  <c r="R21"/>
  <c r="K22"/>
  <c r="R22"/>
  <c r="K37"/>
  <c r="J10" i="17"/>
  <c r="K9"/>
  <c r="K10" s="1"/>
  <c r="I10"/>
  <c r="J10" i="18"/>
  <c r="K9"/>
  <c r="K10" s="1"/>
  <c r="I10"/>
  <c r="E38" i="13"/>
  <c r="K38" s="1"/>
  <c r="L37"/>
  <c r="R37" s="1"/>
  <c r="E36"/>
  <c r="K36" s="1"/>
  <c r="L35"/>
  <c r="R35" s="1"/>
  <c r="E34"/>
  <c r="K34" s="1"/>
  <c r="K39" s="1"/>
  <c r="L33"/>
  <c r="R33" s="1"/>
  <c r="L11"/>
  <c r="R11" s="1"/>
  <c r="L10"/>
  <c r="R10" s="1"/>
  <c r="E9"/>
  <c r="K9" s="1"/>
  <c r="L8"/>
  <c r="R8" s="1"/>
  <c r="E7"/>
  <c r="K7" s="1"/>
  <c r="K13" s="1"/>
  <c r="L25"/>
  <c r="R25" s="1"/>
  <c r="E23"/>
  <c r="K23" s="1"/>
  <c r="L20"/>
  <c r="R20" s="1"/>
  <c r="R26" s="1"/>
  <c r="L12"/>
  <c r="R12" s="1"/>
  <c r="K26" l="1"/>
  <c r="L36"/>
  <c r="R36" s="1"/>
  <c r="L7"/>
  <c r="R7" s="1"/>
  <c r="L9"/>
  <c r="R9" s="1"/>
  <c r="R13" s="1"/>
  <c r="L38"/>
  <c r="R38" s="1"/>
  <c r="L34"/>
  <c r="R34" s="1"/>
  <c r="R39" l="1"/>
  <c r="L9" i="10"/>
  <c r="M9"/>
  <c r="N9"/>
  <c r="O9"/>
  <c r="P9"/>
  <c r="Q9"/>
  <c r="L10"/>
  <c r="M10"/>
  <c r="N10"/>
  <c r="O10"/>
  <c r="P10"/>
  <c r="Q10"/>
  <c r="L11"/>
  <c r="M11"/>
  <c r="N11"/>
  <c r="O11"/>
  <c r="P11"/>
  <c r="Q11"/>
  <c r="L12"/>
  <c r="M12"/>
  <c r="N12"/>
  <c r="O12"/>
  <c r="P12"/>
  <c r="Q12"/>
  <c r="L13"/>
  <c r="M13"/>
  <c r="N13"/>
  <c r="O13"/>
  <c r="P13"/>
  <c r="Q13"/>
  <c r="L14"/>
  <c r="M14"/>
  <c r="N14"/>
  <c r="O14"/>
  <c r="P14"/>
  <c r="Q14"/>
  <c r="L15"/>
  <c r="M15"/>
  <c r="N15"/>
  <c r="O15"/>
  <c r="P15"/>
  <c r="Q15"/>
  <c r="L16"/>
  <c r="M16"/>
  <c r="N16"/>
  <c r="O16"/>
  <c r="P16"/>
  <c r="Q16"/>
  <c r="L17"/>
  <c r="M17"/>
  <c r="N17"/>
  <c r="O17"/>
  <c r="P17"/>
  <c r="Q17"/>
  <c r="L18"/>
  <c r="M18"/>
  <c r="N18"/>
  <c r="O18"/>
  <c r="P18"/>
  <c r="Q18"/>
  <c r="L19"/>
  <c r="M19"/>
  <c r="N19"/>
  <c r="O19"/>
  <c r="P19"/>
  <c r="Q19"/>
  <c r="L20"/>
  <c r="M20"/>
  <c r="N20"/>
  <c r="O20"/>
  <c r="P20"/>
  <c r="Q20"/>
  <c r="L21"/>
  <c r="M21"/>
  <c r="N21"/>
  <c r="O21"/>
  <c r="P21"/>
  <c r="Q21"/>
  <c r="L22"/>
  <c r="M22"/>
  <c r="N22"/>
  <c r="O22"/>
  <c r="P22"/>
  <c r="Q22"/>
  <c r="L23"/>
  <c r="M23"/>
  <c r="N23"/>
  <c r="O23"/>
  <c r="P23"/>
  <c r="Q23"/>
  <c r="K24"/>
  <c r="R24" s="1"/>
  <c r="L24"/>
  <c r="M24"/>
  <c r="N24"/>
  <c r="O24"/>
  <c r="P24"/>
  <c r="Q24"/>
  <c r="K25"/>
  <c r="R25" s="1"/>
  <c r="L25"/>
  <c r="M25"/>
  <c r="N25"/>
  <c r="O25"/>
  <c r="P25"/>
  <c r="Q25"/>
  <c r="K26"/>
  <c r="R26" s="1"/>
  <c r="L26"/>
  <c r="M26"/>
  <c r="N26"/>
  <c r="O26"/>
  <c r="P26"/>
  <c r="Q26"/>
  <c r="K27"/>
  <c r="R27" s="1"/>
  <c r="L27"/>
  <c r="M27"/>
  <c r="N27"/>
  <c r="O27"/>
  <c r="P27"/>
  <c r="Q27"/>
  <c r="K28"/>
  <c r="R28" s="1"/>
  <c r="L28"/>
  <c r="M28"/>
  <c r="N28"/>
  <c r="O28"/>
  <c r="P28"/>
  <c r="Q28"/>
  <c r="M8"/>
  <c r="N8"/>
  <c r="O8"/>
  <c r="P8"/>
  <c r="Q8"/>
  <c r="L8"/>
  <c r="C9"/>
  <c r="D9"/>
  <c r="E9"/>
  <c r="F9"/>
  <c r="G9"/>
  <c r="H9"/>
  <c r="C10"/>
  <c r="D10"/>
  <c r="E10"/>
  <c r="F10"/>
  <c r="G10"/>
  <c r="H10"/>
  <c r="C11"/>
  <c r="D11"/>
  <c r="E11"/>
  <c r="F11"/>
  <c r="G11"/>
  <c r="H11"/>
  <c r="C12"/>
  <c r="D12"/>
  <c r="E12"/>
  <c r="F12"/>
  <c r="G12"/>
  <c r="H12"/>
  <c r="C13"/>
  <c r="D13"/>
  <c r="E13"/>
  <c r="F13"/>
  <c r="G13"/>
  <c r="H13"/>
  <c r="C14"/>
  <c r="D14"/>
  <c r="E14"/>
  <c r="F14"/>
  <c r="G14"/>
  <c r="H14"/>
  <c r="C15"/>
  <c r="D15"/>
  <c r="E15"/>
  <c r="F15"/>
  <c r="G15"/>
  <c r="H15"/>
  <c r="C16"/>
  <c r="D16"/>
  <c r="E16"/>
  <c r="F16"/>
  <c r="G16"/>
  <c r="H16"/>
  <c r="C17"/>
  <c r="D17"/>
  <c r="E17"/>
  <c r="F17"/>
  <c r="G17"/>
  <c r="H17"/>
  <c r="C18"/>
  <c r="D18"/>
  <c r="E18"/>
  <c r="F18"/>
  <c r="G18"/>
  <c r="H18"/>
  <c r="C19"/>
  <c r="D19"/>
  <c r="E19"/>
  <c r="F19"/>
  <c r="G19"/>
  <c r="H19"/>
  <c r="C20"/>
  <c r="D20"/>
  <c r="E20"/>
  <c r="F20"/>
  <c r="G20"/>
  <c r="H20"/>
  <c r="C21"/>
  <c r="D21"/>
  <c r="E21"/>
  <c r="F21"/>
  <c r="G21"/>
  <c r="H21"/>
  <c r="C22"/>
  <c r="D22"/>
  <c r="E22"/>
  <c r="F22"/>
  <c r="G22"/>
  <c r="H22"/>
  <c r="C23"/>
  <c r="D23"/>
  <c r="E23"/>
  <c r="F23"/>
  <c r="G23"/>
  <c r="H23"/>
  <c r="C24"/>
  <c r="D24"/>
  <c r="E24"/>
  <c r="F24"/>
  <c r="G24"/>
  <c r="H24"/>
  <c r="C25"/>
  <c r="D25"/>
  <c r="E25"/>
  <c r="F25"/>
  <c r="G25"/>
  <c r="H25"/>
  <c r="C26"/>
  <c r="D26"/>
  <c r="E26"/>
  <c r="F26"/>
  <c r="G26"/>
  <c r="H26"/>
  <c r="C27"/>
  <c r="D27"/>
  <c r="E27"/>
  <c r="F27"/>
  <c r="G27"/>
  <c r="H27"/>
  <c r="C28"/>
  <c r="D28"/>
  <c r="E28"/>
  <c r="F28"/>
  <c r="G28"/>
  <c r="H28"/>
  <c r="G8"/>
  <c r="H8"/>
  <c r="D8"/>
  <c r="E8"/>
  <c r="F8"/>
  <c r="C8"/>
  <c r="B24"/>
  <c r="I24" s="1"/>
  <c r="B25"/>
  <c r="I25" s="1"/>
  <c r="B26"/>
  <c r="I26" s="1"/>
  <c r="B27"/>
  <c r="I27" s="1"/>
  <c r="B28"/>
  <c r="I28" s="1"/>
  <c r="AO62" i="1"/>
  <c r="G9" i="9"/>
  <c r="G10"/>
  <c r="G11"/>
  <c r="G13"/>
  <c r="G14"/>
  <c r="G15"/>
  <c r="J15" s="1"/>
  <c r="G16"/>
  <c r="G17"/>
  <c r="G18"/>
  <c r="G19"/>
  <c r="G20"/>
  <c r="G21"/>
  <c r="G22"/>
  <c r="G23"/>
  <c r="G24"/>
  <c r="G25"/>
  <c r="G26"/>
  <c r="D10" i="15" s="1"/>
  <c r="D11" s="1"/>
  <c r="G27" i="9"/>
  <c r="G28"/>
  <c r="G29"/>
  <c r="G30"/>
  <c r="B30" s="1"/>
  <c r="A28" i="12" s="1"/>
  <c r="G31" i="9"/>
  <c r="E10" i="15" s="1"/>
  <c r="E11" s="1"/>
  <c r="Q36" i="11"/>
  <c r="D29"/>
  <c r="D28"/>
  <c r="D27"/>
  <c r="D26"/>
  <c r="D25"/>
  <c r="D24"/>
  <c r="D23"/>
  <c r="D22"/>
  <c r="D21"/>
  <c r="D20"/>
  <c r="D19"/>
  <c r="D18"/>
  <c r="D17"/>
  <c r="D16"/>
  <c r="D15"/>
  <c r="D14"/>
  <c r="D13"/>
  <c r="D12"/>
  <c r="D11"/>
  <c r="D10"/>
  <c r="D9"/>
  <c r="D8"/>
  <c r="BT117" i="4"/>
  <c r="BT108"/>
  <c r="BT109"/>
  <c r="BT110"/>
  <c r="BT111"/>
  <c r="BT114"/>
  <c r="BT115"/>
  <c r="BT116"/>
  <c r="O36" i="10"/>
  <c r="F36"/>
  <c r="M37" i="9"/>
  <c r="R24" i="7"/>
  <c r="P29" i="10"/>
  <c r="P30" s="1"/>
  <c r="G29"/>
  <c r="G30" s="1"/>
  <c r="E29"/>
  <c r="E30" s="1"/>
  <c r="C29"/>
  <c r="C30" s="1"/>
  <c r="N29"/>
  <c r="N30" s="1"/>
  <c r="F29"/>
  <c r="F30" s="1"/>
  <c r="A9" i="9" l="1"/>
  <c r="B9" s="1"/>
  <c r="A7" i="12" s="1"/>
  <c r="B10" i="9"/>
  <c r="A8" i="12" s="1"/>
  <c r="B19" i="9"/>
  <c r="A17" i="12" s="1"/>
  <c r="B17" i="9"/>
  <c r="A15" i="12" s="1"/>
  <c r="B15" i="9"/>
  <c r="A13" i="12" s="1"/>
  <c r="B13" i="9"/>
  <c r="A11" i="12" s="1"/>
  <c r="B22" i="9"/>
  <c r="A20" i="12" s="1"/>
  <c r="B20" i="9"/>
  <c r="A18" i="12" s="1"/>
  <c r="B16" i="9"/>
  <c r="A14" i="12" s="1"/>
  <c r="B14" i="9"/>
  <c r="A12" i="12" s="1"/>
  <c r="B11" i="9"/>
  <c r="A9" i="12" s="1"/>
  <c r="H29" i="10"/>
  <c r="H30" s="1"/>
  <c r="C10" i="15"/>
  <c r="J9" i="9"/>
  <c r="S9" s="1"/>
  <c r="J30"/>
  <c r="S30" s="1"/>
  <c r="J28"/>
  <c r="S28" s="1"/>
  <c r="J26"/>
  <c r="S26" s="1"/>
  <c r="J24"/>
  <c r="S24" s="1"/>
  <c r="J22"/>
  <c r="S22" s="1"/>
  <c r="J20"/>
  <c r="S20" s="1"/>
  <c r="J18"/>
  <c r="S18" s="1"/>
  <c r="J16"/>
  <c r="S16" s="1"/>
  <c r="J14"/>
  <c r="S14" s="1"/>
  <c r="J12"/>
  <c r="S12" s="1"/>
  <c r="J10"/>
  <c r="S10" s="1"/>
  <c r="J31"/>
  <c r="S31" s="1"/>
  <c r="J29"/>
  <c r="S29" s="1"/>
  <c r="J27"/>
  <c r="S27" s="1"/>
  <c r="J25"/>
  <c r="S25" s="1"/>
  <c r="J23"/>
  <c r="S23" s="1"/>
  <c r="J21"/>
  <c r="S21" s="1"/>
  <c r="J19"/>
  <c r="S19" s="1"/>
  <c r="J17"/>
  <c r="S17" s="1"/>
  <c r="S15"/>
  <c r="J13"/>
  <c r="S13" s="1"/>
  <c r="J11"/>
  <c r="S11" s="1"/>
  <c r="D29" i="10"/>
  <c r="D30" s="1"/>
  <c r="L29"/>
  <c r="L30" s="1"/>
  <c r="Q29"/>
  <c r="Q30" s="1"/>
  <c r="O29"/>
  <c r="O30" s="1"/>
  <c r="M29"/>
  <c r="M30" s="1"/>
  <c r="A10" i="9" l="1"/>
  <c r="C11" i="15"/>
  <c r="F10"/>
  <c r="F11" s="1"/>
  <c r="I32" i="9" l="1"/>
  <c r="H32"/>
  <c r="A11"/>
  <c r="M37" i="5"/>
  <c r="H25"/>
  <c r="G25"/>
  <c r="G31" s="1"/>
  <c r="F25"/>
  <c r="F31" s="1"/>
  <c r="D25"/>
  <c r="D31" s="1"/>
  <c r="C25"/>
  <c r="C31" s="1"/>
  <c r="H16"/>
  <c r="G16"/>
  <c r="F16"/>
  <c r="F24" s="1"/>
  <c r="F32" s="1"/>
  <c r="D16"/>
  <c r="D24" s="1"/>
  <c r="C16"/>
  <c r="C24" s="1"/>
  <c r="H11"/>
  <c r="E10" i="29" s="1"/>
  <c r="G11" i="5"/>
  <c r="F11"/>
  <c r="D10" i="29" s="1"/>
  <c r="H11" i="1"/>
  <c r="E11" i="5" s="1"/>
  <c r="D11"/>
  <c r="C11"/>
  <c r="K144" i="1"/>
  <c r="K145"/>
  <c r="K146"/>
  <c r="K147"/>
  <c r="K148"/>
  <c r="K149"/>
  <c r="K150"/>
  <c r="K151"/>
  <c r="K152"/>
  <c r="K173"/>
  <c r="K174"/>
  <c r="K175"/>
  <c r="K176"/>
  <c r="K177"/>
  <c r="K178"/>
  <c r="K179"/>
  <c r="K180"/>
  <c r="K181"/>
  <c r="K182"/>
  <c r="K183"/>
  <c r="K184"/>
  <c r="K185"/>
  <c r="K186"/>
  <c r="K187"/>
  <c r="K188"/>
  <c r="K189"/>
  <c r="K190"/>
  <c r="K191"/>
  <c r="K192"/>
  <c r="K193"/>
  <c r="K194"/>
  <c r="K195"/>
  <c r="K196"/>
  <c r="K140"/>
  <c r="K141"/>
  <c r="K142"/>
  <c r="K143"/>
  <c r="K129"/>
  <c r="K130"/>
  <c r="K131"/>
  <c r="K132"/>
  <c r="K133"/>
  <c r="K134"/>
  <c r="K135"/>
  <c r="K136"/>
  <c r="K137"/>
  <c r="K138"/>
  <c r="K139"/>
  <c r="C32" i="5" l="1"/>
  <c r="H31"/>
  <c r="K25"/>
  <c r="D32"/>
  <c r="H24"/>
  <c r="H32" s="1"/>
  <c r="K16"/>
  <c r="I16"/>
  <c r="I24" s="1"/>
  <c r="G24"/>
  <c r="G32" s="1"/>
  <c r="D5" i="25"/>
  <c r="D7" i="24"/>
  <c r="C4" i="23"/>
  <c r="A4" i="22"/>
  <c r="A4" i="21"/>
  <c r="A6" i="17"/>
  <c r="A5" i="10"/>
  <c r="A4" i="12"/>
  <c r="B7" s="1"/>
  <c r="J5" i="10"/>
  <c r="A5" i="11"/>
  <c r="A12" i="9"/>
  <c r="G32"/>
  <c r="M16" i="5" l="1"/>
  <c r="M24" s="1"/>
  <c r="N16"/>
  <c r="N24" s="1"/>
  <c r="K24"/>
  <c r="O16"/>
  <c r="O24" s="1"/>
  <c r="M25"/>
  <c r="M31" s="1"/>
  <c r="K31"/>
  <c r="O25"/>
  <c r="O31" s="1"/>
  <c r="A13" i="9"/>
  <c r="A14" s="1"/>
  <c r="A15" s="1"/>
  <c r="A16" s="1"/>
  <c r="A17" s="1"/>
  <c r="A18" s="1"/>
  <c r="B18" s="1"/>
  <c r="A16" i="12" s="1"/>
  <c r="B12" i="9"/>
  <c r="A10" i="12" s="1"/>
  <c r="J32" i="9"/>
  <c r="O32" i="5" l="1"/>
  <c r="M32"/>
  <c r="K32"/>
  <c r="A19" i="9"/>
  <c r="A20" s="1"/>
  <c r="A21" s="1"/>
  <c r="O12" i="4"/>
  <c r="DC61" i="1"/>
  <c r="DC62"/>
  <c r="DC63"/>
  <c r="DC64"/>
  <c r="DC65"/>
  <c r="DC66"/>
  <c r="DC67"/>
  <c r="DC68"/>
  <c r="DC69"/>
  <c r="DC70"/>
  <c r="DC71"/>
  <c r="DC72"/>
  <c r="DC73"/>
  <c r="DC74"/>
  <c r="DC75"/>
  <c r="DC76"/>
  <c r="DC77"/>
  <c r="DC78"/>
  <c r="DC79"/>
  <c r="DC80"/>
  <c r="DC81"/>
  <c r="DC82"/>
  <c r="DC83"/>
  <c r="DC84"/>
  <c r="DC85"/>
  <c r="DC86"/>
  <c r="DC87"/>
  <c r="DC88"/>
  <c r="DC89"/>
  <c r="DC90"/>
  <c r="DC91"/>
  <c r="DC92"/>
  <c r="DC93"/>
  <c r="DC94"/>
  <c r="DC95"/>
  <c r="DC96"/>
  <c r="DC97"/>
  <c r="DC98"/>
  <c r="DC99"/>
  <c r="DC100"/>
  <c r="DC101"/>
  <c r="DC102"/>
  <c r="DC103"/>
  <c r="DC104"/>
  <c r="DC105"/>
  <c r="DC106"/>
  <c r="DC107"/>
  <c r="DC108"/>
  <c r="DC109"/>
  <c r="DC110"/>
  <c r="DC60"/>
  <c r="CP61"/>
  <c r="CP62"/>
  <c r="CP63"/>
  <c r="CP64"/>
  <c r="CP65"/>
  <c r="CP66"/>
  <c r="CP67"/>
  <c r="CP68"/>
  <c r="CP69"/>
  <c r="CP70"/>
  <c r="CP71"/>
  <c r="CP72"/>
  <c r="CP73"/>
  <c r="CP74"/>
  <c r="CP75"/>
  <c r="CP76"/>
  <c r="CP77"/>
  <c r="CP78"/>
  <c r="CP79"/>
  <c r="CP80"/>
  <c r="CP81"/>
  <c r="CP82"/>
  <c r="CP83"/>
  <c r="CP84"/>
  <c r="CP85"/>
  <c r="CP86"/>
  <c r="CP87"/>
  <c r="CP88"/>
  <c r="CP89"/>
  <c r="CP90"/>
  <c r="CP91"/>
  <c r="CP92"/>
  <c r="CP93"/>
  <c r="CP94"/>
  <c r="CP95"/>
  <c r="CP96"/>
  <c r="CP97"/>
  <c r="CP98"/>
  <c r="CP99"/>
  <c r="CP100"/>
  <c r="CP101"/>
  <c r="CP102"/>
  <c r="CP103"/>
  <c r="CP104"/>
  <c r="CP105"/>
  <c r="CP106"/>
  <c r="CP107"/>
  <c r="CP108"/>
  <c r="CP109"/>
  <c r="CP60"/>
  <c r="CC61"/>
  <c r="CC62"/>
  <c r="CC63"/>
  <c r="CC64"/>
  <c r="CC65"/>
  <c r="CC66"/>
  <c r="CC67"/>
  <c r="CC68"/>
  <c r="CC69"/>
  <c r="CC70"/>
  <c r="CC71"/>
  <c r="CC72"/>
  <c r="CC73"/>
  <c r="CC74"/>
  <c r="CC75"/>
  <c r="CC76"/>
  <c r="CC77"/>
  <c r="CC78"/>
  <c r="CC79"/>
  <c r="CC80"/>
  <c r="CC81"/>
  <c r="CC82"/>
  <c r="CC83"/>
  <c r="CC84"/>
  <c r="CC85"/>
  <c r="CC86"/>
  <c r="CC87"/>
  <c r="CC88"/>
  <c r="CC89"/>
  <c r="CC90"/>
  <c r="CC91"/>
  <c r="CC92"/>
  <c r="CC93"/>
  <c r="CC94"/>
  <c r="CC95"/>
  <c r="CC96"/>
  <c r="CC97"/>
  <c r="CC98"/>
  <c r="CC99"/>
  <c r="CC100"/>
  <c r="CC101"/>
  <c r="CC102"/>
  <c r="CC103"/>
  <c r="CC104"/>
  <c r="CC105"/>
  <c r="CC106"/>
  <c r="CC107"/>
  <c r="CC108"/>
  <c r="CC109"/>
  <c r="CC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60"/>
  <c r="BC61"/>
  <c r="BC62"/>
  <c r="BC63"/>
  <c r="BC64"/>
  <c r="BC65"/>
  <c r="BC66"/>
  <c r="BC67"/>
  <c r="BC68"/>
  <c r="BC69"/>
  <c r="BC70"/>
  <c r="BC71"/>
  <c r="BC72"/>
  <c r="BC73"/>
  <c r="BC74"/>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60"/>
  <c r="CD72"/>
  <c r="CD73"/>
  <c r="CD74"/>
  <c r="CD75"/>
  <c r="CD76"/>
  <c r="CD77"/>
  <c r="CD78"/>
  <c r="CD79"/>
  <c r="CD80"/>
  <c r="CD81"/>
  <c r="CD82"/>
  <c r="CD83"/>
  <c r="CD84"/>
  <c r="CD85"/>
  <c r="CD86"/>
  <c r="CD62"/>
  <c r="CD63"/>
  <c r="CD64"/>
  <c r="CD65"/>
  <c r="CD66"/>
  <c r="CD67"/>
  <c r="CD68"/>
  <c r="CD69"/>
  <c r="CD70"/>
  <c r="CD71"/>
  <c r="CD61"/>
  <c r="CD60"/>
  <c r="CT61"/>
  <c r="CU61"/>
  <c r="CV61"/>
  <c r="CW61"/>
  <c r="CX61"/>
  <c r="CY61"/>
  <c r="CZ61"/>
  <c r="DA61"/>
  <c r="DB61"/>
  <c r="DD61"/>
  <c r="CT62"/>
  <c r="CU62"/>
  <c r="CV62"/>
  <c r="CW62"/>
  <c r="CX62"/>
  <c r="CY62"/>
  <c r="CZ62"/>
  <c r="DA62"/>
  <c r="DB62"/>
  <c r="DD62"/>
  <c r="CR62" s="1"/>
  <c r="CT63"/>
  <c r="CU63"/>
  <c r="CV63"/>
  <c r="CW63"/>
  <c r="CX63"/>
  <c r="CY63"/>
  <c r="CZ63"/>
  <c r="DA63"/>
  <c r="DB63"/>
  <c r="DD63"/>
  <c r="CT64"/>
  <c r="CU64"/>
  <c r="CV64"/>
  <c r="CW64"/>
  <c r="CX64"/>
  <c r="CY64"/>
  <c r="CZ64"/>
  <c r="DA64"/>
  <c r="DB64"/>
  <c r="DD64"/>
  <c r="CT65"/>
  <c r="CU65"/>
  <c r="CV65"/>
  <c r="CW65"/>
  <c r="CX65"/>
  <c r="CY65"/>
  <c r="CZ65"/>
  <c r="DA65"/>
  <c r="DB65"/>
  <c r="DD65"/>
  <c r="CT66"/>
  <c r="CU66"/>
  <c r="CV66"/>
  <c r="CW66"/>
  <c r="CX66"/>
  <c r="CY66"/>
  <c r="CZ66"/>
  <c r="DA66"/>
  <c r="DB66"/>
  <c r="DD66"/>
  <c r="CT67"/>
  <c r="CU67"/>
  <c r="CV67"/>
  <c r="CW67"/>
  <c r="CX67"/>
  <c r="CY67"/>
  <c r="CZ67"/>
  <c r="DA67"/>
  <c r="DB67"/>
  <c r="DD67"/>
  <c r="CT68"/>
  <c r="CU68"/>
  <c r="CV68"/>
  <c r="CW68"/>
  <c r="CX68"/>
  <c r="CY68"/>
  <c r="CZ68"/>
  <c r="DA68"/>
  <c r="DB68"/>
  <c r="DD68"/>
  <c r="CT69"/>
  <c r="CU69"/>
  <c r="CV69"/>
  <c r="CW69"/>
  <c r="CX69"/>
  <c r="CY69"/>
  <c r="CZ69"/>
  <c r="DA69"/>
  <c r="DB69"/>
  <c r="DD69"/>
  <c r="CT70"/>
  <c r="CU70"/>
  <c r="CV70"/>
  <c r="CW70"/>
  <c r="CX70"/>
  <c r="CY70"/>
  <c r="CZ70"/>
  <c r="DA70"/>
  <c r="DB70"/>
  <c r="DD70"/>
  <c r="CT71"/>
  <c r="CU71"/>
  <c r="CV71"/>
  <c r="CW71"/>
  <c r="CX71"/>
  <c r="CY71"/>
  <c r="CZ71"/>
  <c r="DA71"/>
  <c r="DB71"/>
  <c r="DD71"/>
  <c r="CT72"/>
  <c r="CU72"/>
  <c r="CV72"/>
  <c r="CW72"/>
  <c r="CX72"/>
  <c r="CY72"/>
  <c r="CZ72"/>
  <c r="DA72"/>
  <c r="DB72"/>
  <c r="DD72"/>
  <c r="CT73"/>
  <c r="CU73"/>
  <c r="CV73"/>
  <c r="CW73"/>
  <c r="CX73"/>
  <c r="CY73"/>
  <c r="CZ73"/>
  <c r="DA73"/>
  <c r="DB73"/>
  <c r="DD73"/>
  <c r="CT74"/>
  <c r="CU74"/>
  <c r="CV74"/>
  <c r="CW74"/>
  <c r="CX74"/>
  <c r="CY74"/>
  <c r="CZ74"/>
  <c r="DA74"/>
  <c r="DB74"/>
  <c r="DD74"/>
  <c r="CT75"/>
  <c r="CU75"/>
  <c r="CV75"/>
  <c r="CW75"/>
  <c r="CX75"/>
  <c r="CY75"/>
  <c r="CZ75"/>
  <c r="DA75"/>
  <c r="DB75"/>
  <c r="DD75"/>
  <c r="CT76"/>
  <c r="CU76"/>
  <c r="CV76"/>
  <c r="CW76"/>
  <c r="CX76"/>
  <c r="CY76"/>
  <c r="CZ76"/>
  <c r="DA76"/>
  <c r="DB76"/>
  <c r="DD76"/>
  <c r="CT77"/>
  <c r="CU77"/>
  <c r="CV77"/>
  <c r="CW77"/>
  <c r="CX77"/>
  <c r="CY77"/>
  <c r="CZ77"/>
  <c r="DA77"/>
  <c r="DB77"/>
  <c r="DD77"/>
  <c r="CT78"/>
  <c r="CU78"/>
  <c r="CV78"/>
  <c r="CW78"/>
  <c r="CX78"/>
  <c r="CY78"/>
  <c r="CZ78"/>
  <c r="DA78"/>
  <c r="DB78"/>
  <c r="DD78"/>
  <c r="CT79"/>
  <c r="CU79"/>
  <c r="CV79"/>
  <c r="CW79"/>
  <c r="CX79"/>
  <c r="CY79"/>
  <c r="CZ79"/>
  <c r="DA79"/>
  <c r="DB79"/>
  <c r="DD79"/>
  <c r="CT80"/>
  <c r="CU80"/>
  <c r="CV80"/>
  <c r="CW80"/>
  <c r="CX80"/>
  <c r="CY80"/>
  <c r="CZ80"/>
  <c r="DA80"/>
  <c r="DB80"/>
  <c r="DD80"/>
  <c r="CT81"/>
  <c r="CU81"/>
  <c r="CV81"/>
  <c r="CW81"/>
  <c r="CX81"/>
  <c r="CY81"/>
  <c r="CZ81"/>
  <c r="DA81"/>
  <c r="DB81"/>
  <c r="DD81"/>
  <c r="CT82"/>
  <c r="CU82"/>
  <c r="CV82"/>
  <c r="CW82"/>
  <c r="CX82"/>
  <c r="CY82"/>
  <c r="CZ82"/>
  <c r="DA82"/>
  <c r="DB82"/>
  <c r="DD82"/>
  <c r="CT83"/>
  <c r="CU83"/>
  <c r="CV83"/>
  <c r="CW83"/>
  <c r="CX83"/>
  <c r="CY83"/>
  <c r="CZ83"/>
  <c r="DA83"/>
  <c r="DB83"/>
  <c r="DD83"/>
  <c r="CT84"/>
  <c r="CU84"/>
  <c r="CV84"/>
  <c r="CW84"/>
  <c r="CX84"/>
  <c r="CY84"/>
  <c r="CZ84"/>
  <c r="DA84"/>
  <c r="DB84"/>
  <c r="DD84"/>
  <c r="CR84" s="1"/>
  <c r="CT85"/>
  <c r="CU85"/>
  <c r="CV85"/>
  <c r="CW85"/>
  <c r="CX85"/>
  <c r="CY85"/>
  <c r="CZ85"/>
  <c r="DA85"/>
  <c r="DB85"/>
  <c r="DD85"/>
  <c r="CT86"/>
  <c r="CU86"/>
  <c r="CV86"/>
  <c r="CW86"/>
  <c r="CX86"/>
  <c r="CY86"/>
  <c r="CZ86"/>
  <c r="DA86"/>
  <c r="DB86"/>
  <c r="DD86"/>
  <c r="CR86" s="1"/>
  <c r="CT87"/>
  <c r="CU87"/>
  <c r="CV87"/>
  <c r="CW87"/>
  <c r="CX87"/>
  <c r="CY87"/>
  <c r="CZ87"/>
  <c r="DA87"/>
  <c r="DB87"/>
  <c r="DD87"/>
  <c r="CT88"/>
  <c r="CU88"/>
  <c r="CV88"/>
  <c r="CW88"/>
  <c r="CX88"/>
  <c r="CY88"/>
  <c r="CZ88"/>
  <c r="DA88"/>
  <c r="DB88"/>
  <c r="DD88"/>
  <c r="CR88" s="1"/>
  <c r="CT89"/>
  <c r="CU89"/>
  <c r="CV89"/>
  <c r="CW89"/>
  <c r="CX89"/>
  <c r="CY89"/>
  <c r="CZ89"/>
  <c r="DA89"/>
  <c r="DB89"/>
  <c r="DD89"/>
  <c r="CT90"/>
  <c r="CU90"/>
  <c r="CV90"/>
  <c r="CW90"/>
  <c r="CX90"/>
  <c r="CY90"/>
  <c r="CZ90"/>
  <c r="DA90"/>
  <c r="DB90"/>
  <c r="DD90"/>
  <c r="CR90" s="1"/>
  <c r="CT91"/>
  <c r="CU91"/>
  <c r="CV91"/>
  <c r="CW91"/>
  <c r="CX91"/>
  <c r="CY91"/>
  <c r="CZ91"/>
  <c r="DA91"/>
  <c r="DB91"/>
  <c r="DD91"/>
  <c r="CT92"/>
  <c r="CU92"/>
  <c r="CV92"/>
  <c r="CW92"/>
  <c r="CX92"/>
  <c r="CY92"/>
  <c r="CZ92"/>
  <c r="DA92"/>
  <c r="DB92"/>
  <c r="DD92"/>
  <c r="CR92" s="1"/>
  <c r="CT93"/>
  <c r="CU93"/>
  <c r="CV93"/>
  <c r="CW93"/>
  <c r="CX93"/>
  <c r="CY93"/>
  <c r="CZ93"/>
  <c r="DA93"/>
  <c r="DB93"/>
  <c r="DD93"/>
  <c r="CT94"/>
  <c r="CU94"/>
  <c r="CV94"/>
  <c r="CW94"/>
  <c r="CX94"/>
  <c r="CY94"/>
  <c r="CZ94"/>
  <c r="DA94"/>
  <c r="DB94"/>
  <c r="DD94"/>
  <c r="CR94" s="1"/>
  <c r="CT95"/>
  <c r="CU95"/>
  <c r="CV95"/>
  <c r="CW95"/>
  <c r="CX95"/>
  <c r="CY95"/>
  <c r="CZ95"/>
  <c r="DA95"/>
  <c r="DB95"/>
  <c r="DD95"/>
  <c r="CT96"/>
  <c r="CU96"/>
  <c r="CV96"/>
  <c r="CW96"/>
  <c r="CX96"/>
  <c r="CY96"/>
  <c r="CZ96"/>
  <c r="DA96"/>
  <c r="DB96"/>
  <c r="DD96"/>
  <c r="CR96" s="1"/>
  <c r="CT97"/>
  <c r="CU97"/>
  <c r="CV97"/>
  <c r="CW97"/>
  <c r="CX97"/>
  <c r="CY97"/>
  <c r="CZ97"/>
  <c r="DA97"/>
  <c r="DB97"/>
  <c r="DD97"/>
  <c r="CT98"/>
  <c r="CU98"/>
  <c r="CV98"/>
  <c r="CW98"/>
  <c r="CX98"/>
  <c r="CY98"/>
  <c r="CZ98"/>
  <c r="DA98"/>
  <c r="DB98"/>
  <c r="DD98"/>
  <c r="CR98" s="1"/>
  <c r="CT99"/>
  <c r="CU99"/>
  <c r="CV99"/>
  <c r="CW99"/>
  <c r="CX99"/>
  <c r="CY99"/>
  <c r="CZ99"/>
  <c r="DA99"/>
  <c r="DB99"/>
  <c r="DD99"/>
  <c r="CT100"/>
  <c r="CU100"/>
  <c r="CV100"/>
  <c r="CW100"/>
  <c r="CX100"/>
  <c r="CY100"/>
  <c r="CZ100"/>
  <c r="DA100"/>
  <c r="DB100"/>
  <c r="DD100"/>
  <c r="CR100" s="1"/>
  <c r="CT101"/>
  <c r="CU101"/>
  <c r="CV101"/>
  <c r="CW101"/>
  <c r="CX101"/>
  <c r="CY101"/>
  <c r="CZ101"/>
  <c r="DA101"/>
  <c r="DB101"/>
  <c r="DD101"/>
  <c r="CT102"/>
  <c r="CU102"/>
  <c r="CV102"/>
  <c r="CW102"/>
  <c r="CX102"/>
  <c r="CY102"/>
  <c r="CZ102"/>
  <c r="DA102"/>
  <c r="DB102"/>
  <c r="DD102"/>
  <c r="CR102" s="1"/>
  <c r="CT103"/>
  <c r="CU103"/>
  <c r="CV103"/>
  <c r="CW103"/>
  <c r="CX103"/>
  <c r="CY103"/>
  <c r="CZ103"/>
  <c r="DA103"/>
  <c r="DB103"/>
  <c r="DD103"/>
  <c r="CR103" s="1"/>
  <c r="CT104"/>
  <c r="CU104"/>
  <c r="CV104"/>
  <c r="CW104"/>
  <c r="CX104"/>
  <c r="CY104"/>
  <c r="CZ104"/>
  <c r="DA104"/>
  <c r="DB104"/>
  <c r="DD104"/>
  <c r="CR104" s="1"/>
  <c r="CT105"/>
  <c r="CU105"/>
  <c r="CV105"/>
  <c r="CW105"/>
  <c r="CX105"/>
  <c r="CY105"/>
  <c r="CZ105"/>
  <c r="DA105"/>
  <c r="DB105"/>
  <c r="DD105"/>
  <c r="CR105" s="1"/>
  <c r="CT106"/>
  <c r="CU106"/>
  <c r="CV106"/>
  <c r="CW106"/>
  <c r="CX106"/>
  <c r="CY106"/>
  <c r="CZ106"/>
  <c r="DA106"/>
  <c r="DB106"/>
  <c r="DD106"/>
  <c r="CR106" s="1"/>
  <c r="CT107"/>
  <c r="CU107"/>
  <c r="CV107"/>
  <c r="CW107"/>
  <c r="CX107"/>
  <c r="CY107"/>
  <c r="CZ107"/>
  <c r="DA107"/>
  <c r="DB107"/>
  <c r="DD107"/>
  <c r="CR107" s="1"/>
  <c r="CT108"/>
  <c r="CU108"/>
  <c r="CV108"/>
  <c r="CW108"/>
  <c r="CX108"/>
  <c r="CY108"/>
  <c r="CZ108"/>
  <c r="DA108"/>
  <c r="DB108"/>
  <c r="DD108"/>
  <c r="CR108" s="1"/>
  <c r="CT109"/>
  <c r="CU109"/>
  <c r="CV109"/>
  <c r="CW109"/>
  <c r="CX109"/>
  <c r="CY109"/>
  <c r="CZ109"/>
  <c r="DA109"/>
  <c r="DB109"/>
  <c r="DD109"/>
  <c r="CR109" s="1"/>
  <c r="CT110"/>
  <c r="CU110"/>
  <c r="CV110"/>
  <c r="CW110"/>
  <c r="CX110"/>
  <c r="CY110"/>
  <c r="CZ110"/>
  <c r="DA110"/>
  <c r="DB110"/>
  <c r="DD110"/>
  <c r="CR63"/>
  <c r="CR64"/>
  <c r="CR65"/>
  <c r="CR67"/>
  <c r="CR69"/>
  <c r="CR70"/>
  <c r="CR71"/>
  <c r="CR72"/>
  <c r="CR73"/>
  <c r="CR74"/>
  <c r="CR75"/>
  <c r="CR76"/>
  <c r="CR77"/>
  <c r="CR78"/>
  <c r="CR79"/>
  <c r="CR80"/>
  <c r="CR81"/>
  <c r="CR82"/>
  <c r="CR83"/>
  <c r="CR85"/>
  <c r="CR87"/>
  <c r="CR89"/>
  <c r="CR91"/>
  <c r="CR93"/>
  <c r="CR95"/>
  <c r="CR97"/>
  <c r="CR99"/>
  <c r="CR101"/>
  <c r="CR61"/>
  <c r="DD60"/>
  <c r="CR60" s="1"/>
  <c r="CR66" s="1"/>
  <c r="CQ61"/>
  <c r="CQ62"/>
  <c r="CQ63"/>
  <c r="CE63" s="1"/>
  <c r="CQ64"/>
  <c r="CQ65"/>
  <c r="CQ66"/>
  <c r="CQ67"/>
  <c r="CQ68"/>
  <c r="CQ69"/>
  <c r="CQ70"/>
  <c r="CQ71"/>
  <c r="CQ72"/>
  <c r="CQ73"/>
  <c r="CQ74"/>
  <c r="CE74" s="1"/>
  <c r="CQ75"/>
  <c r="CQ76"/>
  <c r="CE76" s="1"/>
  <c r="CQ77"/>
  <c r="CQ78"/>
  <c r="CQ79"/>
  <c r="CQ80"/>
  <c r="CQ81"/>
  <c r="CQ82"/>
  <c r="CQ83"/>
  <c r="CQ84"/>
  <c r="CQ85"/>
  <c r="CQ86"/>
  <c r="CQ87"/>
  <c r="CQ88"/>
  <c r="CQ89"/>
  <c r="CQ90"/>
  <c r="CQ91"/>
  <c r="CQ92"/>
  <c r="CQ93"/>
  <c r="CQ94"/>
  <c r="CQ95"/>
  <c r="CQ96"/>
  <c r="CQ97"/>
  <c r="CQ98"/>
  <c r="CQ99"/>
  <c r="CQ100"/>
  <c r="CQ101"/>
  <c r="CQ102"/>
  <c r="CQ103"/>
  <c r="CQ104"/>
  <c r="CQ105"/>
  <c r="CQ106"/>
  <c r="CQ107"/>
  <c r="CQ108"/>
  <c r="CQ109"/>
  <c r="CG61"/>
  <c r="CH61"/>
  <c r="CI61"/>
  <c r="CJ61"/>
  <c r="CK61"/>
  <c r="CL61"/>
  <c r="CM61"/>
  <c r="CN61"/>
  <c r="CO61"/>
  <c r="CG62"/>
  <c r="CH62"/>
  <c r="CI62"/>
  <c r="CJ62"/>
  <c r="CK62"/>
  <c r="CL62"/>
  <c r="CM62"/>
  <c r="CN62"/>
  <c r="CO62"/>
  <c r="CG63"/>
  <c r="CH63"/>
  <c r="CI63"/>
  <c r="CJ63"/>
  <c r="CK63"/>
  <c r="CL63"/>
  <c r="CM63"/>
  <c r="CN63"/>
  <c r="CO63"/>
  <c r="CG64"/>
  <c r="CH64"/>
  <c r="CI64"/>
  <c r="CJ64"/>
  <c r="CK64"/>
  <c r="CL64"/>
  <c r="CM64"/>
  <c r="CN64"/>
  <c r="CO64"/>
  <c r="CG65"/>
  <c r="CH65"/>
  <c r="CI65"/>
  <c r="CJ65"/>
  <c r="CK65"/>
  <c r="CL65"/>
  <c r="CM65"/>
  <c r="CN65"/>
  <c r="CO65"/>
  <c r="CG66"/>
  <c r="CH66"/>
  <c r="CI66"/>
  <c r="CJ66"/>
  <c r="CK66"/>
  <c r="CL66"/>
  <c r="CM66"/>
  <c r="CN66"/>
  <c r="CO66"/>
  <c r="CG67"/>
  <c r="CH67"/>
  <c r="CI67"/>
  <c r="CJ67"/>
  <c r="CK67"/>
  <c r="CL67"/>
  <c r="CM67"/>
  <c r="CN67"/>
  <c r="CO67"/>
  <c r="CG68"/>
  <c r="CH68"/>
  <c r="CI68"/>
  <c r="CJ68"/>
  <c r="CK68"/>
  <c r="CL68"/>
  <c r="CM68"/>
  <c r="CN68"/>
  <c r="CO68"/>
  <c r="CG69"/>
  <c r="CH69"/>
  <c r="CI69"/>
  <c r="CJ69"/>
  <c r="CK69"/>
  <c r="CL69"/>
  <c r="CM69"/>
  <c r="CN69"/>
  <c r="CO69"/>
  <c r="CG70"/>
  <c r="CH70"/>
  <c r="CI70"/>
  <c r="CJ70"/>
  <c r="CK70"/>
  <c r="CL70"/>
  <c r="CM70"/>
  <c r="CN70"/>
  <c r="CO70"/>
  <c r="CG71"/>
  <c r="CH71"/>
  <c r="CI71"/>
  <c r="CJ71"/>
  <c r="CK71"/>
  <c r="CL71"/>
  <c r="CM71"/>
  <c r="CN71"/>
  <c r="CO71"/>
  <c r="CG72"/>
  <c r="CH72"/>
  <c r="CI72"/>
  <c r="CJ72"/>
  <c r="CK72"/>
  <c r="CL72"/>
  <c r="CM72"/>
  <c r="CN72"/>
  <c r="CO72"/>
  <c r="CG73"/>
  <c r="CH73"/>
  <c r="CI73"/>
  <c r="CJ73"/>
  <c r="CK73"/>
  <c r="CL73"/>
  <c r="CM73"/>
  <c r="CN73"/>
  <c r="CO73"/>
  <c r="CG74"/>
  <c r="CH74"/>
  <c r="CI74"/>
  <c r="CJ74"/>
  <c r="CK74"/>
  <c r="CL74"/>
  <c r="CM74"/>
  <c r="CN74"/>
  <c r="CO74"/>
  <c r="CG75"/>
  <c r="CH75"/>
  <c r="CI75"/>
  <c r="CJ75"/>
  <c r="CK75"/>
  <c r="CL75"/>
  <c r="CM75"/>
  <c r="CN75"/>
  <c r="CO75"/>
  <c r="CG76"/>
  <c r="CH76"/>
  <c r="CI76"/>
  <c r="CJ76"/>
  <c r="CK76"/>
  <c r="CL76"/>
  <c r="CM76"/>
  <c r="CN76"/>
  <c r="CO76"/>
  <c r="CG77"/>
  <c r="CH77"/>
  <c r="CI77"/>
  <c r="CJ77"/>
  <c r="CK77"/>
  <c r="CL77"/>
  <c r="CM77"/>
  <c r="CN77"/>
  <c r="CO77"/>
  <c r="CG78"/>
  <c r="CH78"/>
  <c r="CI78"/>
  <c r="CJ78"/>
  <c r="CK78"/>
  <c r="CL78"/>
  <c r="CM78"/>
  <c r="CN78"/>
  <c r="CO78"/>
  <c r="CG79"/>
  <c r="CH79"/>
  <c r="CI79"/>
  <c r="CJ79"/>
  <c r="CK79"/>
  <c r="CL79"/>
  <c r="CM79"/>
  <c r="CN79"/>
  <c r="CO79"/>
  <c r="CG80"/>
  <c r="CH80"/>
  <c r="CI80"/>
  <c r="CJ80"/>
  <c r="CK80"/>
  <c r="CL80"/>
  <c r="CM80"/>
  <c r="CN80"/>
  <c r="CO80"/>
  <c r="CG81"/>
  <c r="CH81"/>
  <c r="CI81"/>
  <c r="CJ81"/>
  <c r="CK81"/>
  <c r="CL81"/>
  <c r="CM81"/>
  <c r="CN81"/>
  <c r="CO81"/>
  <c r="CG82"/>
  <c r="CH82"/>
  <c r="CI82"/>
  <c r="CJ82"/>
  <c r="CK82"/>
  <c r="CL82"/>
  <c r="CM82"/>
  <c r="CN82"/>
  <c r="CO82"/>
  <c r="CG83"/>
  <c r="CH83"/>
  <c r="CI83"/>
  <c r="CJ83"/>
  <c r="CK83"/>
  <c r="CL83"/>
  <c r="CM83"/>
  <c r="CN83"/>
  <c r="CO83"/>
  <c r="CG84"/>
  <c r="CH84"/>
  <c r="CI84"/>
  <c r="CJ84"/>
  <c r="CK84"/>
  <c r="CL84"/>
  <c r="CM84"/>
  <c r="CN84"/>
  <c r="CO84"/>
  <c r="CG85"/>
  <c r="CH85"/>
  <c r="CI85"/>
  <c r="CJ85"/>
  <c r="CK85"/>
  <c r="CL85"/>
  <c r="CM85"/>
  <c r="CN85"/>
  <c r="CO85"/>
  <c r="CG86"/>
  <c r="CH86"/>
  <c r="CI86"/>
  <c r="CJ86"/>
  <c r="CK86"/>
  <c r="CL86"/>
  <c r="CM86"/>
  <c r="CN86"/>
  <c r="CO86"/>
  <c r="CG87"/>
  <c r="CH87"/>
  <c r="CI87"/>
  <c r="CJ87"/>
  <c r="CK87"/>
  <c r="CL87"/>
  <c r="CM87"/>
  <c r="CN87"/>
  <c r="CO87"/>
  <c r="CG88"/>
  <c r="CH88"/>
  <c r="CI88"/>
  <c r="CJ88"/>
  <c r="CK88"/>
  <c r="CL88"/>
  <c r="CM88"/>
  <c r="CN88"/>
  <c r="CO88"/>
  <c r="CG89"/>
  <c r="CH89"/>
  <c r="CI89"/>
  <c r="CJ89"/>
  <c r="CK89"/>
  <c r="CL89"/>
  <c r="CM89"/>
  <c r="CN89"/>
  <c r="CO89"/>
  <c r="CG90"/>
  <c r="CH90"/>
  <c r="CI90"/>
  <c r="CJ90"/>
  <c r="CK90"/>
  <c r="CL90"/>
  <c r="CM90"/>
  <c r="CN90"/>
  <c r="CO90"/>
  <c r="CG91"/>
  <c r="CH91"/>
  <c r="CI91"/>
  <c r="CJ91"/>
  <c r="CK91"/>
  <c r="CL91"/>
  <c r="CM91"/>
  <c r="CN91"/>
  <c r="CO91"/>
  <c r="CG92"/>
  <c r="CH92"/>
  <c r="CI92"/>
  <c r="CJ92"/>
  <c r="CK92"/>
  <c r="CL92"/>
  <c r="CM92"/>
  <c r="CN92"/>
  <c r="CO92"/>
  <c r="CG93"/>
  <c r="CH93"/>
  <c r="CI93"/>
  <c r="CJ93"/>
  <c r="CK93"/>
  <c r="CL93"/>
  <c r="CM93"/>
  <c r="CN93"/>
  <c r="CO93"/>
  <c r="CG94"/>
  <c r="CH94"/>
  <c r="CI94"/>
  <c r="CJ94"/>
  <c r="CK94"/>
  <c r="CL94"/>
  <c r="CM94"/>
  <c r="CN94"/>
  <c r="CO94"/>
  <c r="CG95"/>
  <c r="CH95"/>
  <c r="CI95"/>
  <c r="CJ95"/>
  <c r="CK95"/>
  <c r="CL95"/>
  <c r="CM95"/>
  <c r="CN95"/>
  <c r="CO95"/>
  <c r="CG96"/>
  <c r="CH96"/>
  <c r="CI96"/>
  <c r="CJ96"/>
  <c r="CK96"/>
  <c r="CL96"/>
  <c r="CM96"/>
  <c r="CN96"/>
  <c r="CO96"/>
  <c r="CG97"/>
  <c r="CH97"/>
  <c r="CI97"/>
  <c r="CJ97"/>
  <c r="CK97"/>
  <c r="CL97"/>
  <c r="CM97"/>
  <c r="CN97"/>
  <c r="CO97"/>
  <c r="CG98"/>
  <c r="CH98"/>
  <c r="CI98"/>
  <c r="CJ98"/>
  <c r="CK98"/>
  <c r="CL98"/>
  <c r="CM98"/>
  <c r="CN98"/>
  <c r="CO98"/>
  <c r="CG99"/>
  <c r="CH99"/>
  <c r="CI99"/>
  <c r="CJ99"/>
  <c r="CK99"/>
  <c r="CL99"/>
  <c r="CM99"/>
  <c r="CN99"/>
  <c r="CO99"/>
  <c r="CG100"/>
  <c r="CH100"/>
  <c r="CI100"/>
  <c r="CJ100"/>
  <c r="CK100"/>
  <c r="CL100"/>
  <c r="CM100"/>
  <c r="CN100"/>
  <c r="CO100"/>
  <c r="CG101"/>
  <c r="CH101"/>
  <c r="CI101"/>
  <c r="CJ101"/>
  <c r="CK101"/>
  <c r="CL101"/>
  <c r="CM101"/>
  <c r="CN101"/>
  <c r="CO101"/>
  <c r="CG102"/>
  <c r="CH102"/>
  <c r="CI102"/>
  <c r="CJ102"/>
  <c r="CK102"/>
  <c r="CL102"/>
  <c r="CM102"/>
  <c r="CN102"/>
  <c r="CO102"/>
  <c r="CG103"/>
  <c r="CH103"/>
  <c r="CI103"/>
  <c r="CJ103"/>
  <c r="CK103"/>
  <c r="CL103"/>
  <c r="CM103"/>
  <c r="CN103"/>
  <c r="CO103"/>
  <c r="CG104"/>
  <c r="CH104"/>
  <c r="CI104"/>
  <c r="CJ104"/>
  <c r="CK104"/>
  <c r="CL104"/>
  <c r="CM104"/>
  <c r="CN104"/>
  <c r="CO104"/>
  <c r="CG105"/>
  <c r="CH105"/>
  <c r="CI105"/>
  <c r="CJ105"/>
  <c r="CK105"/>
  <c r="CL105"/>
  <c r="CM105"/>
  <c r="CN105"/>
  <c r="CO105"/>
  <c r="CG106"/>
  <c r="CH106"/>
  <c r="CI106"/>
  <c r="CJ106"/>
  <c r="CK106"/>
  <c r="CL106"/>
  <c r="CM106"/>
  <c r="CN106"/>
  <c r="CO106"/>
  <c r="CG107"/>
  <c r="CH107"/>
  <c r="CI107"/>
  <c r="CJ107"/>
  <c r="CK107"/>
  <c r="CL107"/>
  <c r="CM107"/>
  <c r="CN107"/>
  <c r="CO107"/>
  <c r="CG108"/>
  <c r="CH108"/>
  <c r="CI108"/>
  <c r="CJ108"/>
  <c r="CK108"/>
  <c r="CL108"/>
  <c r="CM108"/>
  <c r="CN108"/>
  <c r="CO108"/>
  <c r="CG109"/>
  <c r="CH109"/>
  <c r="CI109"/>
  <c r="CJ109"/>
  <c r="CK109"/>
  <c r="CL109"/>
  <c r="CM109"/>
  <c r="CN109"/>
  <c r="CO109"/>
  <c r="CQ60"/>
  <c r="CE62"/>
  <c r="CE64"/>
  <c r="CE65"/>
  <c r="CE66"/>
  <c r="CE67"/>
  <c r="CE68"/>
  <c r="CE69"/>
  <c r="CE70"/>
  <c r="CE71"/>
  <c r="CE72"/>
  <c r="CE75"/>
  <c r="CE77"/>
  <c r="CE78"/>
  <c r="CE79"/>
  <c r="CE80"/>
  <c r="CE81"/>
  <c r="CE82"/>
  <c r="CE83"/>
  <c r="CE84"/>
  <c r="CE85"/>
  <c r="CE86"/>
  <c r="CE87"/>
  <c r="CE88"/>
  <c r="CE89"/>
  <c r="CE90"/>
  <c r="CE91"/>
  <c r="CE92"/>
  <c r="CE93"/>
  <c r="CE94"/>
  <c r="CE95"/>
  <c r="CE96"/>
  <c r="CE97"/>
  <c r="CE98"/>
  <c r="CE99"/>
  <c r="CE100"/>
  <c r="CE101"/>
  <c r="CE102"/>
  <c r="CE103"/>
  <c r="CE104"/>
  <c r="CE105"/>
  <c r="CE106"/>
  <c r="CE107"/>
  <c r="CE108"/>
  <c r="CE109"/>
  <c r="CB109"/>
  <c r="CA109"/>
  <c r="BZ109"/>
  <c r="BY109"/>
  <c r="BX109"/>
  <c r="BW109"/>
  <c r="BV109"/>
  <c r="BU109"/>
  <c r="BT109"/>
  <c r="BO109"/>
  <c r="BN109"/>
  <c r="BM109"/>
  <c r="BL109"/>
  <c r="BK109"/>
  <c r="BJ109"/>
  <c r="BI109"/>
  <c r="BH109"/>
  <c r="BG109"/>
  <c r="CB108"/>
  <c r="CA108"/>
  <c r="BZ108"/>
  <c r="BY108"/>
  <c r="BX108"/>
  <c r="BW108"/>
  <c r="BV108"/>
  <c r="BU108"/>
  <c r="BT108"/>
  <c r="BO108"/>
  <c r="BN108"/>
  <c r="BM108"/>
  <c r="BL108"/>
  <c r="BK108"/>
  <c r="BJ108"/>
  <c r="BI108"/>
  <c r="BH108"/>
  <c r="BG108"/>
  <c r="CB107"/>
  <c r="CA107"/>
  <c r="BZ107"/>
  <c r="BY107"/>
  <c r="BX107"/>
  <c r="BW107"/>
  <c r="BV107"/>
  <c r="BU107"/>
  <c r="BT107"/>
  <c r="BO107"/>
  <c r="BN107"/>
  <c r="BM107"/>
  <c r="BL107"/>
  <c r="BK107"/>
  <c r="BJ107"/>
  <c r="BI107"/>
  <c r="BH107"/>
  <c r="BG107"/>
  <c r="CB106"/>
  <c r="CA106"/>
  <c r="BZ106"/>
  <c r="BY106"/>
  <c r="BX106"/>
  <c r="BW106"/>
  <c r="BV106"/>
  <c r="BU106"/>
  <c r="BT106"/>
  <c r="BO106"/>
  <c r="BN106"/>
  <c r="BM106"/>
  <c r="BL106"/>
  <c r="BK106"/>
  <c r="BJ106"/>
  <c r="BI106"/>
  <c r="BH106"/>
  <c r="BG106"/>
  <c r="CB105"/>
  <c r="CA105"/>
  <c r="BZ105"/>
  <c r="BY105"/>
  <c r="BX105"/>
  <c r="BW105"/>
  <c r="BV105"/>
  <c r="BU105"/>
  <c r="BT105"/>
  <c r="BO105"/>
  <c r="BN105"/>
  <c r="BM105"/>
  <c r="BL105"/>
  <c r="BK105"/>
  <c r="BJ105"/>
  <c r="BI105"/>
  <c r="BH105"/>
  <c r="BG105"/>
  <c r="CB104"/>
  <c r="CA104"/>
  <c r="BZ104"/>
  <c r="BY104"/>
  <c r="BX104"/>
  <c r="BW104"/>
  <c r="BV104"/>
  <c r="BU104"/>
  <c r="BT104"/>
  <c r="BO104"/>
  <c r="BN104"/>
  <c r="BM104"/>
  <c r="BL104"/>
  <c r="BK104"/>
  <c r="BJ104"/>
  <c r="BI104"/>
  <c r="BH104"/>
  <c r="BG104"/>
  <c r="CB103"/>
  <c r="CA103"/>
  <c r="BZ103"/>
  <c r="BY103"/>
  <c r="BX103"/>
  <c r="BW103"/>
  <c r="BV103"/>
  <c r="BU103"/>
  <c r="BT103"/>
  <c r="BO103"/>
  <c r="BN103"/>
  <c r="BM103"/>
  <c r="BL103"/>
  <c r="BK103"/>
  <c r="BJ103"/>
  <c r="BI103"/>
  <c r="BH103"/>
  <c r="BG103"/>
  <c r="CB102"/>
  <c r="CA102"/>
  <c r="BZ102"/>
  <c r="BY102"/>
  <c r="BX102"/>
  <c r="BW102"/>
  <c r="BV102"/>
  <c r="BU102"/>
  <c r="BT102"/>
  <c r="BO102"/>
  <c r="BN102"/>
  <c r="BM102"/>
  <c r="BL102"/>
  <c r="BK102"/>
  <c r="BJ102"/>
  <c r="BI102"/>
  <c r="BH102"/>
  <c r="BG102"/>
  <c r="CB101"/>
  <c r="CA101"/>
  <c r="BZ101"/>
  <c r="BY101"/>
  <c r="BX101"/>
  <c r="BW101"/>
  <c r="BV101"/>
  <c r="BU101"/>
  <c r="BT101"/>
  <c r="BO101"/>
  <c r="BN101"/>
  <c r="BM101"/>
  <c r="BL101"/>
  <c r="BK101"/>
  <c r="BJ101"/>
  <c r="BI101"/>
  <c r="BH101"/>
  <c r="BG101"/>
  <c r="CB100"/>
  <c r="CA100"/>
  <c r="BZ100"/>
  <c r="BY100"/>
  <c r="BX100"/>
  <c r="BW100"/>
  <c r="BV100"/>
  <c r="BU100"/>
  <c r="BT100"/>
  <c r="BO100"/>
  <c r="BN100"/>
  <c r="BM100"/>
  <c r="BL100"/>
  <c r="BK100"/>
  <c r="BJ100"/>
  <c r="BI100"/>
  <c r="BH100"/>
  <c r="BG100"/>
  <c r="CB99"/>
  <c r="CA99"/>
  <c r="BZ99"/>
  <c r="BY99"/>
  <c r="BX99"/>
  <c r="BW99"/>
  <c r="BV99"/>
  <c r="BU99"/>
  <c r="BT99"/>
  <c r="BO99"/>
  <c r="BN99"/>
  <c r="BM99"/>
  <c r="BL99"/>
  <c r="BK99"/>
  <c r="BJ99"/>
  <c r="BI99"/>
  <c r="BH99"/>
  <c r="BG99"/>
  <c r="CB98"/>
  <c r="CA98"/>
  <c r="BZ98"/>
  <c r="BY98"/>
  <c r="BX98"/>
  <c r="BW98"/>
  <c r="BV98"/>
  <c r="BU98"/>
  <c r="BT98"/>
  <c r="BO98"/>
  <c r="BN98"/>
  <c r="BM98"/>
  <c r="BL98"/>
  <c r="BK98"/>
  <c r="BJ98"/>
  <c r="BI98"/>
  <c r="BH98"/>
  <c r="BG98"/>
  <c r="CB97"/>
  <c r="CA97"/>
  <c r="BZ97"/>
  <c r="BY97"/>
  <c r="BX97"/>
  <c r="BW97"/>
  <c r="BV97"/>
  <c r="BU97"/>
  <c r="BT97"/>
  <c r="BO97"/>
  <c r="BN97"/>
  <c r="BM97"/>
  <c r="BL97"/>
  <c r="BK97"/>
  <c r="BJ97"/>
  <c r="BI97"/>
  <c r="BH97"/>
  <c r="BG97"/>
  <c r="CB96"/>
  <c r="CA96"/>
  <c r="BZ96"/>
  <c r="BY96"/>
  <c r="BX96"/>
  <c r="BW96"/>
  <c r="BV96"/>
  <c r="BU96"/>
  <c r="BT96"/>
  <c r="BO96"/>
  <c r="BN96"/>
  <c r="BM96"/>
  <c r="BL96"/>
  <c r="BK96"/>
  <c r="BJ96"/>
  <c r="BI96"/>
  <c r="BH96"/>
  <c r="BG96"/>
  <c r="CB95"/>
  <c r="CA95"/>
  <c r="BZ95"/>
  <c r="BY95"/>
  <c r="BX95"/>
  <c r="BW95"/>
  <c r="BV95"/>
  <c r="BU95"/>
  <c r="BT95"/>
  <c r="BO95"/>
  <c r="BN95"/>
  <c r="BM95"/>
  <c r="BL95"/>
  <c r="BK95"/>
  <c r="BJ95"/>
  <c r="BI95"/>
  <c r="BH95"/>
  <c r="BG95"/>
  <c r="CB94"/>
  <c r="CA94"/>
  <c r="BZ94"/>
  <c r="BY94"/>
  <c r="BX94"/>
  <c r="BW94"/>
  <c r="BV94"/>
  <c r="BU94"/>
  <c r="BT94"/>
  <c r="BO94"/>
  <c r="BN94"/>
  <c r="BM94"/>
  <c r="BL94"/>
  <c r="BK94"/>
  <c r="BJ94"/>
  <c r="BI94"/>
  <c r="BH94"/>
  <c r="BG94"/>
  <c r="CB93"/>
  <c r="CA93"/>
  <c r="BZ93"/>
  <c r="BY93"/>
  <c r="BX93"/>
  <c r="BW93"/>
  <c r="BV93"/>
  <c r="BU93"/>
  <c r="BT93"/>
  <c r="BO93"/>
  <c r="BN93"/>
  <c r="BM93"/>
  <c r="BL93"/>
  <c r="BK93"/>
  <c r="BJ93"/>
  <c r="BI93"/>
  <c r="BH93"/>
  <c r="BG93"/>
  <c r="CB92"/>
  <c r="CA92"/>
  <c r="BZ92"/>
  <c r="BY92"/>
  <c r="BX92"/>
  <c r="BW92"/>
  <c r="BV92"/>
  <c r="BU92"/>
  <c r="BT92"/>
  <c r="BO92"/>
  <c r="BN92"/>
  <c r="BM92"/>
  <c r="BL92"/>
  <c r="BK92"/>
  <c r="BJ92"/>
  <c r="BI92"/>
  <c r="BH92"/>
  <c r="BG92"/>
  <c r="CB91"/>
  <c r="CA91"/>
  <c r="BZ91"/>
  <c r="BY91"/>
  <c r="BX91"/>
  <c r="BW91"/>
  <c r="BV91"/>
  <c r="BU91"/>
  <c r="BT91"/>
  <c r="BO91"/>
  <c r="BN91"/>
  <c r="BM91"/>
  <c r="BL91"/>
  <c r="BK91"/>
  <c r="BJ91"/>
  <c r="BI91"/>
  <c r="BH91"/>
  <c r="BG91"/>
  <c r="CB90"/>
  <c r="CA90"/>
  <c r="BZ90"/>
  <c r="BY90"/>
  <c r="BX90"/>
  <c r="BW90"/>
  <c r="BV90"/>
  <c r="BU90"/>
  <c r="BT90"/>
  <c r="BO90"/>
  <c r="BN90"/>
  <c r="BM90"/>
  <c r="BL90"/>
  <c r="BK90"/>
  <c r="BJ90"/>
  <c r="BI90"/>
  <c r="BH90"/>
  <c r="BG90"/>
  <c r="CB89"/>
  <c r="CA89"/>
  <c r="BZ89"/>
  <c r="BY89"/>
  <c r="BX89"/>
  <c r="BW89"/>
  <c r="BV89"/>
  <c r="BU89"/>
  <c r="BT89"/>
  <c r="BO89"/>
  <c r="BN89"/>
  <c r="BM89"/>
  <c r="BL89"/>
  <c r="BK89"/>
  <c r="BJ89"/>
  <c r="BI89"/>
  <c r="BH89"/>
  <c r="BG89"/>
  <c r="CB88"/>
  <c r="CA88"/>
  <c r="BZ88"/>
  <c r="BY88"/>
  <c r="BX88"/>
  <c r="BW88"/>
  <c r="BV88"/>
  <c r="BU88"/>
  <c r="BT88"/>
  <c r="BO88"/>
  <c r="BN88"/>
  <c r="BM88"/>
  <c r="BL88"/>
  <c r="BK88"/>
  <c r="BJ88"/>
  <c r="BI88"/>
  <c r="BH88"/>
  <c r="BG88"/>
  <c r="CB87"/>
  <c r="CA87"/>
  <c r="BZ87"/>
  <c r="BY87"/>
  <c r="BX87"/>
  <c r="BW87"/>
  <c r="BV87"/>
  <c r="BU87"/>
  <c r="BT87"/>
  <c r="BO87"/>
  <c r="BN87"/>
  <c r="BM87"/>
  <c r="BL87"/>
  <c r="BK87"/>
  <c r="BJ87"/>
  <c r="BI87"/>
  <c r="BH87"/>
  <c r="BG87"/>
  <c r="CB86"/>
  <c r="CA86"/>
  <c r="BZ86"/>
  <c r="BY86"/>
  <c r="BX86"/>
  <c r="BW86"/>
  <c r="BV86"/>
  <c r="BU86"/>
  <c r="BT86"/>
  <c r="BO86"/>
  <c r="BN86"/>
  <c r="BM86"/>
  <c r="BL86"/>
  <c r="BK86"/>
  <c r="BJ86"/>
  <c r="BI86"/>
  <c r="BH86"/>
  <c r="BG86"/>
  <c r="CB85"/>
  <c r="CA85"/>
  <c r="BZ85"/>
  <c r="BY85"/>
  <c r="BX85"/>
  <c r="BW85"/>
  <c r="BV85"/>
  <c r="BU85"/>
  <c r="BT85"/>
  <c r="BO85"/>
  <c r="BN85"/>
  <c r="BM85"/>
  <c r="BL85"/>
  <c r="BK85"/>
  <c r="BJ85"/>
  <c r="BI85"/>
  <c r="BH85"/>
  <c r="BG85"/>
  <c r="CB84"/>
  <c r="CA84"/>
  <c r="BZ84"/>
  <c r="BY84"/>
  <c r="BX84"/>
  <c r="BW84"/>
  <c r="BV84"/>
  <c r="BU84"/>
  <c r="BT84"/>
  <c r="BO84"/>
  <c r="BN84"/>
  <c r="BM84"/>
  <c r="BL84"/>
  <c r="BK84"/>
  <c r="BJ84"/>
  <c r="BI84"/>
  <c r="BH84"/>
  <c r="BG84"/>
  <c r="CB83"/>
  <c r="CA83"/>
  <c r="BZ83"/>
  <c r="BY83"/>
  <c r="BX83"/>
  <c r="BW83"/>
  <c r="BV83"/>
  <c r="BU83"/>
  <c r="BT83"/>
  <c r="BO83"/>
  <c r="BN83"/>
  <c r="BM83"/>
  <c r="BL83"/>
  <c r="BK83"/>
  <c r="BJ83"/>
  <c r="BI83"/>
  <c r="BH83"/>
  <c r="BG83"/>
  <c r="CB82"/>
  <c r="CA82"/>
  <c r="BZ82"/>
  <c r="BY82"/>
  <c r="BX82"/>
  <c r="BW82"/>
  <c r="BV82"/>
  <c r="BU82"/>
  <c r="BT82"/>
  <c r="BO82"/>
  <c r="BN82"/>
  <c r="BM82"/>
  <c r="BL82"/>
  <c r="BK82"/>
  <c r="BJ82"/>
  <c r="BI82"/>
  <c r="BH82"/>
  <c r="BG82"/>
  <c r="CB81"/>
  <c r="CA81"/>
  <c r="BZ81"/>
  <c r="BY81"/>
  <c r="BX81"/>
  <c r="BW81"/>
  <c r="BV81"/>
  <c r="BU81"/>
  <c r="BT81"/>
  <c r="BO81"/>
  <c r="BN81"/>
  <c r="BM81"/>
  <c r="BL81"/>
  <c r="BK81"/>
  <c r="BJ81"/>
  <c r="BI81"/>
  <c r="BH81"/>
  <c r="BG81"/>
  <c r="CB80"/>
  <c r="CA80"/>
  <c r="BZ80"/>
  <c r="BY80"/>
  <c r="BX80"/>
  <c r="BW80"/>
  <c r="BV80"/>
  <c r="BU80"/>
  <c r="BT80"/>
  <c r="BO80"/>
  <c r="BN80"/>
  <c r="BM80"/>
  <c r="BL80"/>
  <c r="BK80"/>
  <c r="BJ80"/>
  <c r="BI80"/>
  <c r="BH80"/>
  <c r="BG80"/>
  <c r="CB79"/>
  <c r="CA79"/>
  <c r="BZ79"/>
  <c r="BY79"/>
  <c r="BX79"/>
  <c r="BW79"/>
  <c r="BV79"/>
  <c r="BU79"/>
  <c r="BT79"/>
  <c r="BO79"/>
  <c r="BN79"/>
  <c r="BM79"/>
  <c r="BL79"/>
  <c r="BK79"/>
  <c r="BJ79"/>
  <c r="BI79"/>
  <c r="BH79"/>
  <c r="BG79"/>
  <c r="CB78"/>
  <c r="CA78"/>
  <c r="BZ78"/>
  <c r="BY78"/>
  <c r="BX78"/>
  <c r="BW78"/>
  <c r="BV78"/>
  <c r="BU78"/>
  <c r="BT78"/>
  <c r="BO78"/>
  <c r="BN78"/>
  <c r="BM78"/>
  <c r="BL78"/>
  <c r="BK78"/>
  <c r="BJ78"/>
  <c r="BI78"/>
  <c r="BH78"/>
  <c r="BG78"/>
  <c r="CB77"/>
  <c r="CA77"/>
  <c r="BZ77"/>
  <c r="BY77"/>
  <c r="BX77"/>
  <c r="BW77"/>
  <c r="BV77"/>
  <c r="BU77"/>
  <c r="BT77"/>
  <c r="BO77"/>
  <c r="BN77"/>
  <c r="BM77"/>
  <c r="BL77"/>
  <c r="BK77"/>
  <c r="BJ77"/>
  <c r="BI77"/>
  <c r="BH77"/>
  <c r="BG77"/>
  <c r="CB76"/>
  <c r="CA76"/>
  <c r="BZ76"/>
  <c r="BY76"/>
  <c r="BX76"/>
  <c r="BW76"/>
  <c r="BV76"/>
  <c r="BU76"/>
  <c r="BT76"/>
  <c r="BO76"/>
  <c r="BN76"/>
  <c r="BM76"/>
  <c r="BL76"/>
  <c r="BK76"/>
  <c r="BJ76"/>
  <c r="BI76"/>
  <c r="BH76"/>
  <c r="BG76"/>
  <c r="CB75"/>
  <c r="CA75"/>
  <c r="BZ75"/>
  <c r="BY75"/>
  <c r="BX75"/>
  <c r="BW75"/>
  <c r="BV75"/>
  <c r="BU75"/>
  <c r="BT75"/>
  <c r="BO75"/>
  <c r="BN75"/>
  <c r="BM75"/>
  <c r="BL75"/>
  <c r="BK75"/>
  <c r="BJ75"/>
  <c r="BI75"/>
  <c r="BH75"/>
  <c r="BG75"/>
  <c r="CB74"/>
  <c r="CA74"/>
  <c r="BZ74"/>
  <c r="BY74"/>
  <c r="BX74"/>
  <c r="BW74"/>
  <c r="BV74"/>
  <c r="BU74"/>
  <c r="BT74"/>
  <c r="BO74"/>
  <c r="BN74"/>
  <c r="BM74"/>
  <c r="BL74"/>
  <c r="BK74"/>
  <c r="BJ74"/>
  <c r="BI74"/>
  <c r="BH74"/>
  <c r="BG74"/>
  <c r="CB73"/>
  <c r="CA73"/>
  <c r="BZ73"/>
  <c r="BY73"/>
  <c r="BX73"/>
  <c r="BW73"/>
  <c r="BV73"/>
  <c r="BU73"/>
  <c r="BT73"/>
  <c r="BO73"/>
  <c r="BN73"/>
  <c r="BM73"/>
  <c r="BL73"/>
  <c r="BK73"/>
  <c r="BJ73"/>
  <c r="BI73"/>
  <c r="BH73"/>
  <c r="BG73"/>
  <c r="CB72"/>
  <c r="CA72"/>
  <c r="BZ72"/>
  <c r="BY72"/>
  <c r="BX72"/>
  <c r="BW72"/>
  <c r="BV72"/>
  <c r="BU72"/>
  <c r="BT72"/>
  <c r="BO72"/>
  <c r="BN72"/>
  <c r="BM72"/>
  <c r="BL72"/>
  <c r="BK72"/>
  <c r="BJ72"/>
  <c r="BI72"/>
  <c r="BH72"/>
  <c r="BG72"/>
  <c r="CB71"/>
  <c r="CA71"/>
  <c r="BZ71"/>
  <c r="BY71"/>
  <c r="BX71"/>
  <c r="BW71"/>
  <c r="BV71"/>
  <c r="BU71"/>
  <c r="BT71"/>
  <c r="BO71"/>
  <c r="BN71"/>
  <c r="BM71"/>
  <c r="BL71"/>
  <c r="BK71"/>
  <c r="BJ71"/>
  <c r="BI71"/>
  <c r="BH71"/>
  <c r="BG71"/>
  <c r="CB70"/>
  <c r="CA70"/>
  <c r="BZ70"/>
  <c r="BY70"/>
  <c r="BX70"/>
  <c r="BW70"/>
  <c r="BV70"/>
  <c r="BU70"/>
  <c r="BT70"/>
  <c r="BO70"/>
  <c r="BN70"/>
  <c r="BM70"/>
  <c r="BL70"/>
  <c r="BK70"/>
  <c r="BJ70"/>
  <c r="BI70"/>
  <c r="BH70"/>
  <c r="BG70"/>
  <c r="CB69"/>
  <c r="CA69"/>
  <c r="BZ69"/>
  <c r="BY69"/>
  <c r="BX69"/>
  <c r="BW69"/>
  <c r="BV69"/>
  <c r="BU69"/>
  <c r="BT69"/>
  <c r="BO69"/>
  <c r="BN69"/>
  <c r="BM69"/>
  <c r="BL69"/>
  <c r="BK69"/>
  <c r="BJ69"/>
  <c r="BI69"/>
  <c r="BH69"/>
  <c r="BG69"/>
  <c r="CB68"/>
  <c r="CA68"/>
  <c r="BZ68"/>
  <c r="BY68"/>
  <c r="BX68"/>
  <c r="BW68"/>
  <c r="BV68"/>
  <c r="BU68"/>
  <c r="BT68"/>
  <c r="BO68"/>
  <c r="BN68"/>
  <c r="BM68"/>
  <c r="BL68"/>
  <c r="BK68"/>
  <c r="BJ68"/>
  <c r="BI68"/>
  <c r="BH68"/>
  <c r="BG68"/>
  <c r="CB67"/>
  <c r="CA67"/>
  <c r="BZ67"/>
  <c r="BY67"/>
  <c r="BX67"/>
  <c r="BW67"/>
  <c r="BV67"/>
  <c r="BU67"/>
  <c r="BT67"/>
  <c r="BO67"/>
  <c r="BN67"/>
  <c r="BM67"/>
  <c r="BL67"/>
  <c r="BK67"/>
  <c r="BJ67"/>
  <c r="BI67"/>
  <c r="BH67"/>
  <c r="BG67"/>
  <c r="CB66"/>
  <c r="CA66"/>
  <c r="BZ66"/>
  <c r="BY66"/>
  <c r="BX66"/>
  <c r="BW66"/>
  <c r="BV66"/>
  <c r="BU66"/>
  <c r="BT66"/>
  <c r="BO66"/>
  <c r="BN66"/>
  <c r="BM66"/>
  <c r="BL66"/>
  <c r="BK66"/>
  <c r="BJ66"/>
  <c r="BI66"/>
  <c r="BH66"/>
  <c r="BG66"/>
  <c r="CB65"/>
  <c r="CA65"/>
  <c r="BZ65"/>
  <c r="BY65"/>
  <c r="BX65"/>
  <c r="BW65"/>
  <c r="BV65"/>
  <c r="BU65"/>
  <c r="BT65"/>
  <c r="BO65"/>
  <c r="BN65"/>
  <c r="BM65"/>
  <c r="BL65"/>
  <c r="BK65"/>
  <c r="BJ65"/>
  <c r="BI65"/>
  <c r="BH65"/>
  <c r="BG65"/>
  <c r="CB64"/>
  <c r="CA64"/>
  <c r="BZ64"/>
  <c r="BY64"/>
  <c r="BX64"/>
  <c r="BW64"/>
  <c r="BV64"/>
  <c r="BU64"/>
  <c r="BT64"/>
  <c r="BO64"/>
  <c r="BN64"/>
  <c r="BM64"/>
  <c r="BL64"/>
  <c r="BK64"/>
  <c r="BJ64"/>
  <c r="BI64"/>
  <c r="BH64"/>
  <c r="BG64"/>
  <c r="CB63"/>
  <c r="CA63"/>
  <c r="BZ63"/>
  <c r="BY63"/>
  <c r="BX63"/>
  <c r="BW63"/>
  <c r="BV63"/>
  <c r="BU63"/>
  <c r="BT63"/>
  <c r="BO63"/>
  <c r="BN63"/>
  <c r="BM63"/>
  <c r="BL63"/>
  <c r="BK63"/>
  <c r="BJ63"/>
  <c r="BI63"/>
  <c r="BH63"/>
  <c r="BG63"/>
  <c r="CB62"/>
  <c r="CA62"/>
  <c r="BZ62"/>
  <c r="BY62"/>
  <c r="BX62"/>
  <c r="BW62"/>
  <c r="BV62"/>
  <c r="BU62"/>
  <c r="BT62"/>
  <c r="BO62"/>
  <c r="BN62"/>
  <c r="BM62"/>
  <c r="BL62"/>
  <c r="BK62"/>
  <c r="BJ62"/>
  <c r="BI62"/>
  <c r="BH62"/>
  <c r="BG62"/>
  <c r="CB61"/>
  <c r="CA61"/>
  <c r="BZ61"/>
  <c r="BY61"/>
  <c r="BX61"/>
  <c r="BW61"/>
  <c r="BV61"/>
  <c r="BU61"/>
  <c r="BT61"/>
  <c r="BO61"/>
  <c r="BN61"/>
  <c r="BM61"/>
  <c r="BL61"/>
  <c r="BK61"/>
  <c r="BJ61"/>
  <c r="BI61"/>
  <c r="BH61"/>
  <c r="BG61"/>
  <c r="DB60"/>
  <c r="DA60"/>
  <c r="CZ60"/>
  <c r="CY60"/>
  <c r="CX60"/>
  <c r="CW60"/>
  <c r="CV60"/>
  <c r="CU60"/>
  <c r="CT60"/>
  <c r="CO60"/>
  <c r="CN60"/>
  <c r="CM60"/>
  <c r="CL60"/>
  <c r="CK60"/>
  <c r="CJ60"/>
  <c r="CI60"/>
  <c r="CH60"/>
  <c r="CG60"/>
  <c r="CB60"/>
  <c r="CA60"/>
  <c r="BZ60"/>
  <c r="BY60"/>
  <c r="BX60"/>
  <c r="BW60"/>
  <c r="BV60"/>
  <c r="BU60"/>
  <c r="BT60"/>
  <c r="BO60"/>
  <c r="BN60"/>
  <c r="BM60"/>
  <c r="BL60"/>
  <c r="BK60"/>
  <c r="BJ60"/>
  <c r="BI60"/>
  <c r="BH60"/>
  <c r="BG60"/>
  <c r="CE61"/>
  <c r="CE60"/>
  <c r="CE73" s="1"/>
  <c r="BR62"/>
  <c r="BR63"/>
  <c r="BR64"/>
  <c r="BR65"/>
  <c r="BR68"/>
  <c r="BR70"/>
  <c r="BR71"/>
  <c r="BR73"/>
  <c r="BR74"/>
  <c r="BR76"/>
  <c r="BR77"/>
  <c r="BR78"/>
  <c r="BR79"/>
  <c r="BR80"/>
  <c r="BR81"/>
  <c r="BR82"/>
  <c r="BR83"/>
  <c r="BR84"/>
  <c r="BR85"/>
  <c r="BR86"/>
  <c r="BR66"/>
  <c r="CD87"/>
  <c r="BR87" s="1"/>
  <c r="CD88"/>
  <c r="BR88" s="1"/>
  <c r="CD89"/>
  <c r="BR89" s="1"/>
  <c r="CD90"/>
  <c r="BR90" s="1"/>
  <c r="CD91"/>
  <c r="BR91" s="1"/>
  <c r="CD92"/>
  <c r="BR92" s="1"/>
  <c r="CD93"/>
  <c r="BR93" s="1"/>
  <c r="CD94"/>
  <c r="BR94" s="1"/>
  <c r="CD95"/>
  <c r="BR95" s="1"/>
  <c r="CD96"/>
  <c r="BR96" s="1"/>
  <c r="CD97"/>
  <c r="BR97" s="1"/>
  <c r="CD98"/>
  <c r="BR98" s="1"/>
  <c r="CD99"/>
  <c r="BR99" s="1"/>
  <c r="CD100"/>
  <c r="BR100" s="1"/>
  <c r="CD101"/>
  <c r="BR101" s="1"/>
  <c r="CD102"/>
  <c r="BR102" s="1"/>
  <c r="CD103"/>
  <c r="BR103" s="1"/>
  <c r="CD104"/>
  <c r="BR104" s="1"/>
  <c r="CD105"/>
  <c r="BR105" s="1"/>
  <c r="CD106"/>
  <c r="BR106" s="1"/>
  <c r="CD107"/>
  <c r="BR107" s="1"/>
  <c r="CD108"/>
  <c r="BR108" s="1"/>
  <c r="CD109"/>
  <c r="BR109" s="1"/>
  <c r="BR61"/>
  <c r="BR60"/>
  <c r="BR69" s="1"/>
  <c r="BQ61"/>
  <c r="BE61" s="1"/>
  <c r="BQ62"/>
  <c r="BE62" s="1"/>
  <c r="BQ63"/>
  <c r="BE63" s="1"/>
  <c r="BQ64"/>
  <c r="BQ65"/>
  <c r="BE65" s="1"/>
  <c r="BQ66"/>
  <c r="BE66" s="1"/>
  <c r="BQ67"/>
  <c r="BE67" s="1"/>
  <c r="BQ68"/>
  <c r="BE68" s="1"/>
  <c r="BQ69"/>
  <c r="BE69" s="1"/>
  <c r="BQ70"/>
  <c r="BE70" s="1"/>
  <c r="BQ71"/>
  <c r="BE71" s="1"/>
  <c r="BQ72"/>
  <c r="BE72" s="1"/>
  <c r="BQ73"/>
  <c r="BE73" s="1"/>
  <c r="BQ74"/>
  <c r="BE74" s="1"/>
  <c r="BQ75"/>
  <c r="BE75" s="1"/>
  <c r="BQ76"/>
  <c r="BE76" s="1"/>
  <c r="BQ77"/>
  <c r="BE77" s="1"/>
  <c r="BQ78"/>
  <c r="BE78" s="1"/>
  <c r="BQ79"/>
  <c r="BE79" s="1"/>
  <c r="BQ80"/>
  <c r="BE80" s="1"/>
  <c r="BQ81"/>
  <c r="BE81" s="1"/>
  <c r="BQ82"/>
  <c r="BE82" s="1"/>
  <c r="BQ83"/>
  <c r="BE83" s="1"/>
  <c r="BQ84"/>
  <c r="BE84" s="1"/>
  <c r="BQ85"/>
  <c r="BE85" s="1"/>
  <c r="BQ86"/>
  <c r="BE86" s="1"/>
  <c r="BQ87"/>
  <c r="BE87" s="1"/>
  <c r="BQ88"/>
  <c r="BE88" s="1"/>
  <c r="BQ89"/>
  <c r="BE89" s="1"/>
  <c r="BQ90"/>
  <c r="BE90" s="1"/>
  <c r="BQ91"/>
  <c r="BE91" s="1"/>
  <c r="BQ92"/>
  <c r="BE92" s="1"/>
  <c r="BQ93"/>
  <c r="BE93" s="1"/>
  <c r="BQ94"/>
  <c r="BE94" s="1"/>
  <c r="BQ95"/>
  <c r="BE95" s="1"/>
  <c r="BQ96"/>
  <c r="BE96" s="1"/>
  <c r="BQ97"/>
  <c r="BE97" s="1"/>
  <c r="BQ98"/>
  <c r="BE98" s="1"/>
  <c r="BQ99"/>
  <c r="BE99" s="1"/>
  <c r="BQ100"/>
  <c r="BE100" s="1"/>
  <c r="BQ101"/>
  <c r="BE101" s="1"/>
  <c r="BQ102"/>
  <c r="BE102" s="1"/>
  <c r="BQ103"/>
  <c r="BE103" s="1"/>
  <c r="BQ104"/>
  <c r="BE104" s="1"/>
  <c r="BQ105"/>
  <c r="BE105" s="1"/>
  <c r="BQ106"/>
  <c r="BE106" s="1"/>
  <c r="BQ107"/>
  <c r="BE107" s="1"/>
  <c r="BQ108"/>
  <c r="BE108" s="1"/>
  <c r="BQ109"/>
  <c r="BE109" s="1"/>
  <c r="BQ60"/>
  <c r="BE60" s="1"/>
  <c r="BD61"/>
  <c r="BD62"/>
  <c r="BD63"/>
  <c r="BD64"/>
  <c r="BD65"/>
  <c r="BD66"/>
  <c r="BD67"/>
  <c r="BD68"/>
  <c r="BD69"/>
  <c r="BD70"/>
  <c r="BD71"/>
  <c r="BD72"/>
  <c r="BD73"/>
  <c r="BD74"/>
  <c r="BD75"/>
  <c r="BD76"/>
  <c r="BD77"/>
  <c r="BD78"/>
  <c r="BD79"/>
  <c r="BD80"/>
  <c r="BD81"/>
  <c r="BD82"/>
  <c r="BD83"/>
  <c r="BD84"/>
  <c r="AR84" s="1"/>
  <c r="BD85"/>
  <c r="BD86"/>
  <c r="AR86" s="1"/>
  <c r="BD87"/>
  <c r="BD88"/>
  <c r="AR88" s="1"/>
  <c r="BD89"/>
  <c r="BD90"/>
  <c r="AR90" s="1"/>
  <c r="BD91"/>
  <c r="BD92"/>
  <c r="AR92" s="1"/>
  <c r="BD93"/>
  <c r="BD94"/>
  <c r="AR94" s="1"/>
  <c r="BD95"/>
  <c r="BD96"/>
  <c r="AR96" s="1"/>
  <c r="BD97"/>
  <c r="BD98"/>
  <c r="AR98" s="1"/>
  <c r="BD99"/>
  <c r="BD100"/>
  <c r="AR100" s="1"/>
  <c r="BD101"/>
  <c r="BD102"/>
  <c r="AR102" s="1"/>
  <c r="BD103"/>
  <c r="BD104"/>
  <c r="AR104" s="1"/>
  <c r="BD105"/>
  <c r="BD106"/>
  <c r="AR106" s="1"/>
  <c r="BD107"/>
  <c r="BD108"/>
  <c r="AR108" s="1"/>
  <c r="BD109"/>
  <c r="BD60"/>
  <c r="AR60" s="1"/>
  <c r="AT62"/>
  <c r="AU62"/>
  <c r="AV62"/>
  <c r="AW62"/>
  <c r="AX62"/>
  <c r="AY62"/>
  <c r="AZ62"/>
  <c r="BA62"/>
  <c r="BB62"/>
  <c r="AT63"/>
  <c r="AU63"/>
  <c r="AV63"/>
  <c r="AW63"/>
  <c r="AX63"/>
  <c r="AY63"/>
  <c r="AZ63"/>
  <c r="BA63"/>
  <c r="BB63"/>
  <c r="AT64"/>
  <c r="AU64"/>
  <c r="AV64"/>
  <c r="AW64"/>
  <c r="AX64"/>
  <c r="AY64"/>
  <c r="AZ64"/>
  <c r="BA64"/>
  <c r="BB64"/>
  <c r="AT65"/>
  <c r="AU65"/>
  <c r="AV65"/>
  <c r="AW65"/>
  <c r="AX65"/>
  <c r="AY65"/>
  <c r="AZ65"/>
  <c r="BA65"/>
  <c r="BB65"/>
  <c r="AT66"/>
  <c r="AU66"/>
  <c r="AV66"/>
  <c r="AW66"/>
  <c r="AX66"/>
  <c r="AY66"/>
  <c r="AZ66"/>
  <c r="BA66"/>
  <c r="BB66"/>
  <c r="AT67"/>
  <c r="AU67"/>
  <c r="AV67"/>
  <c r="AW67"/>
  <c r="AX67"/>
  <c r="AY67"/>
  <c r="AZ67"/>
  <c r="BA67"/>
  <c r="BB67"/>
  <c r="AT68"/>
  <c r="AU68"/>
  <c r="AV68"/>
  <c r="AW68"/>
  <c r="AX68"/>
  <c r="AY68"/>
  <c r="AZ68"/>
  <c r="BA68"/>
  <c r="BB68"/>
  <c r="AT69"/>
  <c r="AU69"/>
  <c r="AV69"/>
  <c r="AW69"/>
  <c r="AX69"/>
  <c r="AY69"/>
  <c r="AZ69"/>
  <c r="BA69"/>
  <c r="BB69"/>
  <c r="AT70"/>
  <c r="AU70"/>
  <c r="AV70"/>
  <c r="AW70"/>
  <c r="AX70"/>
  <c r="AY70"/>
  <c r="AZ70"/>
  <c r="BA70"/>
  <c r="BB70"/>
  <c r="AT71"/>
  <c r="AU71"/>
  <c r="AV71"/>
  <c r="AW71"/>
  <c r="AX71"/>
  <c r="AY71"/>
  <c r="AZ71"/>
  <c r="BA71"/>
  <c r="BB71"/>
  <c r="AT72"/>
  <c r="AU72"/>
  <c r="AV72"/>
  <c r="AW72"/>
  <c r="AX72"/>
  <c r="AY72"/>
  <c r="AZ72"/>
  <c r="BA72"/>
  <c r="BB72"/>
  <c r="AT73"/>
  <c r="AU73"/>
  <c r="AV73"/>
  <c r="AW73"/>
  <c r="AX73"/>
  <c r="AY73"/>
  <c r="AZ73"/>
  <c r="BA73"/>
  <c r="BB73"/>
  <c r="AT74"/>
  <c r="AU74"/>
  <c r="AV74"/>
  <c r="AW74"/>
  <c r="AX74"/>
  <c r="AY74"/>
  <c r="AZ74"/>
  <c r="BA74"/>
  <c r="BB74"/>
  <c r="AT75"/>
  <c r="AU75"/>
  <c r="AV75"/>
  <c r="AW75"/>
  <c r="AX75"/>
  <c r="AY75"/>
  <c r="AZ75"/>
  <c r="BA75"/>
  <c r="BB75"/>
  <c r="AT76"/>
  <c r="AU76"/>
  <c r="AV76"/>
  <c r="AW76"/>
  <c r="AX76"/>
  <c r="AY76"/>
  <c r="AZ76"/>
  <c r="BA76"/>
  <c r="BB76"/>
  <c r="AT77"/>
  <c r="AU77"/>
  <c r="AV77"/>
  <c r="AW77"/>
  <c r="AX77"/>
  <c r="AY77"/>
  <c r="AZ77"/>
  <c r="BA77"/>
  <c r="BB77"/>
  <c r="AT78"/>
  <c r="AU78"/>
  <c r="AV78"/>
  <c r="AW78"/>
  <c r="AX78"/>
  <c r="AY78"/>
  <c r="AZ78"/>
  <c r="BA78"/>
  <c r="BB78"/>
  <c r="AT79"/>
  <c r="AU79"/>
  <c r="AV79"/>
  <c r="AW79"/>
  <c r="AX79"/>
  <c r="AY79"/>
  <c r="AZ79"/>
  <c r="BA79"/>
  <c r="BB79"/>
  <c r="AT80"/>
  <c r="AU80"/>
  <c r="AV80"/>
  <c r="AW80"/>
  <c r="AX80"/>
  <c r="AY80"/>
  <c r="AZ80"/>
  <c r="BA80"/>
  <c r="BB80"/>
  <c r="AT81"/>
  <c r="AU81"/>
  <c r="AV81"/>
  <c r="AW81"/>
  <c r="AX81"/>
  <c r="AY81"/>
  <c r="AZ81"/>
  <c r="BA81"/>
  <c r="BB81"/>
  <c r="AT82"/>
  <c r="AU82"/>
  <c r="AV82"/>
  <c r="AW82"/>
  <c r="AX82"/>
  <c r="AY82"/>
  <c r="AZ82"/>
  <c r="BA82"/>
  <c r="BB82"/>
  <c r="AR83"/>
  <c r="AT83"/>
  <c r="AU83"/>
  <c r="AV83"/>
  <c r="AW83"/>
  <c r="AX83"/>
  <c r="AY83"/>
  <c r="AZ83"/>
  <c r="BA83"/>
  <c r="BB83"/>
  <c r="AT84"/>
  <c r="AU84"/>
  <c r="AV84"/>
  <c r="AW84"/>
  <c r="AX84"/>
  <c r="AY84"/>
  <c r="AZ84"/>
  <c r="BA84"/>
  <c r="BB84"/>
  <c r="AR85"/>
  <c r="AT85"/>
  <c r="AU85"/>
  <c r="AV85"/>
  <c r="AW85"/>
  <c r="AX85"/>
  <c r="AY85"/>
  <c r="AZ85"/>
  <c r="BA85"/>
  <c r="BB85"/>
  <c r="AT86"/>
  <c r="AU86"/>
  <c r="AV86"/>
  <c r="AW86"/>
  <c r="AX86"/>
  <c r="AY86"/>
  <c r="AZ86"/>
  <c r="BA86"/>
  <c r="BB86"/>
  <c r="AR87"/>
  <c r="AT87"/>
  <c r="AU87"/>
  <c r="AV87"/>
  <c r="AW87"/>
  <c r="AX87"/>
  <c r="AY87"/>
  <c r="AZ87"/>
  <c r="BA87"/>
  <c r="BB87"/>
  <c r="AT88"/>
  <c r="AU88"/>
  <c r="AV88"/>
  <c r="AW88"/>
  <c r="AX88"/>
  <c r="AY88"/>
  <c r="AZ88"/>
  <c r="BA88"/>
  <c r="BB88"/>
  <c r="AR89"/>
  <c r="AT89"/>
  <c r="AU89"/>
  <c r="AV89"/>
  <c r="AW89"/>
  <c r="AX89"/>
  <c r="AY89"/>
  <c r="AZ89"/>
  <c r="BA89"/>
  <c r="BB89"/>
  <c r="AT90"/>
  <c r="AU90"/>
  <c r="AV90"/>
  <c r="AW90"/>
  <c r="AX90"/>
  <c r="AY90"/>
  <c r="AZ90"/>
  <c r="BA90"/>
  <c r="BB90"/>
  <c r="AR91"/>
  <c r="AT91"/>
  <c r="AU91"/>
  <c r="AV91"/>
  <c r="AW91"/>
  <c r="AX91"/>
  <c r="AY91"/>
  <c r="AZ91"/>
  <c r="BA91"/>
  <c r="BB91"/>
  <c r="AT92"/>
  <c r="AU92"/>
  <c r="AV92"/>
  <c r="AW92"/>
  <c r="AX92"/>
  <c r="AY92"/>
  <c r="AZ92"/>
  <c r="BA92"/>
  <c r="BB92"/>
  <c r="AR93"/>
  <c r="AT93"/>
  <c r="AU93"/>
  <c r="AV93"/>
  <c r="AW93"/>
  <c r="AX93"/>
  <c r="AY93"/>
  <c r="AZ93"/>
  <c r="BA93"/>
  <c r="BB93"/>
  <c r="AT94"/>
  <c r="AU94"/>
  <c r="AV94"/>
  <c r="AW94"/>
  <c r="AX94"/>
  <c r="AY94"/>
  <c r="AZ94"/>
  <c r="BA94"/>
  <c r="BB94"/>
  <c r="AR95"/>
  <c r="AT95"/>
  <c r="AU95"/>
  <c r="AV95"/>
  <c r="AW95"/>
  <c r="AX95"/>
  <c r="AY95"/>
  <c r="AZ95"/>
  <c r="BA95"/>
  <c r="BB95"/>
  <c r="AT96"/>
  <c r="AU96"/>
  <c r="AV96"/>
  <c r="AW96"/>
  <c r="AX96"/>
  <c r="AY96"/>
  <c r="AZ96"/>
  <c r="BA96"/>
  <c r="BB96"/>
  <c r="AR97"/>
  <c r="AT97"/>
  <c r="AU97"/>
  <c r="AV97"/>
  <c r="AW97"/>
  <c r="AX97"/>
  <c r="AY97"/>
  <c r="AZ97"/>
  <c r="BA97"/>
  <c r="BB97"/>
  <c r="AT98"/>
  <c r="AU98"/>
  <c r="AV98"/>
  <c r="AW98"/>
  <c r="AX98"/>
  <c r="AY98"/>
  <c r="AZ98"/>
  <c r="BA98"/>
  <c r="BB98"/>
  <c r="AR99"/>
  <c r="AT99"/>
  <c r="AU99"/>
  <c r="AV99"/>
  <c r="AW99"/>
  <c r="AX99"/>
  <c r="AY99"/>
  <c r="AZ99"/>
  <c r="BA99"/>
  <c r="BB99"/>
  <c r="AT100"/>
  <c r="AU100"/>
  <c r="AV100"/>
  <c r="AW100"/>
  <c r="AX100"/>
  <c r="AY100"/>
  <c r="AZ100"/>
  <c r="BA100"/>
  <c r="BB100"/>
  <c r="AR101"/>
  <c r="AT101"/>
  <c r="AU101"/>
  <c r="AV101"/>
  <c r="AW101"/>
  <c r="AX101"/>
  <c r="AY101"/>
  <c r="AZ101"/>
  <c r="BA101"/>
  <c r="BB101"/>
  <c r="AT102"/>
  <c r="AU102"/>
  <c r="AV102"/>
  <c r="AW102"/>
  <c r="AX102"/>
  <c r="AY102"/>
  <c r="AZ102"/>
  <c r="BA102"/>
  <c r="BB102"/>
  <c r="AR103"/>
  <c r="AT103"/>
  <c r="AU103"/>
  <c r="AV103"/>
  <c r="AW103"/>
  <c r="AX103"/>
  <c r="AY103"/>
  <c r="AZ103"/>
  <c r="BA103"/>
  <c r="BB103"/>
  <c r="AT104"/>
  <c r="AU104"/>
  <c r="AV104"/>
  <c r="AW104"/>
  <c r="AX104"/>
  <c r="AY104"/>
  <c r="AZ104"/>
  <c r="BA104"/>
  <c r="BB104"/>
  <c r="AR105"/>
  <c r="AT105"/>
  <c r="AU105"/>
  <c r="AV105"/>
  <c r="AW105"/>
  <c r="AX105"/>
  <c r="AY105"/>
  <c r="AZ105"/>
  <c r="BA105"/>
  <c r="BB105"/>
  <c r="AT106"/>
  <c r="AU106"/>
  <c r="AV106"/>
  <c r="AW106"/>
  <c r="AX106"/>
  <c r="AY106"/>
  <c r="AZ106"/>
  <c r="BA106"/>
  <c r="BB106"/>
  <c r="AR107"/>
  <c r="AT107"/>
  <c r="AU107"/>
  <c r="AV107"/>
  <c r="AW107"/>
  <c r="AX107"/>
  <c r="AY107"/>
  <c r="AZ107"/>
  <c r="BA107"/>
  <c r="BB107"/>
  <c r="AT108"/>
  <c r="AU108"/>
  <c r="AV108"/>
  <c r="AW108"/>
  <c r="AX108"/>
  <c r="AY108"/>
  <c r="AZ108"/>
  <c r="BA108"/>
  <c r="BB108"/>
  <c r="AR109"/>
  <c r="AT109"/>
  <c r="AU109"/>
  <c r="AV109"/>
  <c r="AW109"/>
  <c r="AX109"/>
  <c r="AY109"/>
  <c r="AZ109"/>
  <c r="BA109"/>
  <c r="BB109"/>
  <c r="AT61"/>
  <c r="AU61"/>
  <c r="AV61"/>
  <c r="AW61"/>
  <c r="AX61"/>
  <c r="AY61"/>
  <c r="AZ61"/>
  <c r="BA61"/>
  <c r="BB61"/>
  <c r="BB60"/>
  <c r="BA60"/>
  <c r="AZ60"/>
  <c r="AY60"/>
  <c r="AX60"/>
  <c r="AW60"/>
  <c r="AV60"/>
  <c r="AU60"/>
  <c r="AT60"/>
  <c r="AR61"/>
  <c r="AJ61"/>
  <c r="AK61"/>
  <c r="AL61"/>
  <c r="AM61"/>
  <c r="AN61"/>
  <c r="AO61"/>
  <c r="AJ62"/>
  <c r="AK62"/>
  <c r="AL62"/>
  <c r="AM62"/>
  <c r="AN62"/>
  <c r="AJ63"/>
  <c r="AK63"/>
  <c r="AL63"/>
  <c r="AM63"/>
  <c r="AN63"/>
  <c r="AO63"/>
  <c r="AJ64"/>
  <c r="AK64"/>
  <c r="AL64"/>
  <c r="AM64"/>
  <c r="AN64"/>
  <c r="AO64"/>
  <c r="AJ65"/>
  <c r="AK65"/>
  <c r="AL65"/>
  <c r="AM65"/>
  <c r="AN65"/>
  <c r="AO65"/>
  <c r="AJ66"/>
  <c r="AK66"/>
  <c r="AL66"/>
  <c r="AM66"/>
  <c r="AN66"/>
  <c r="AO66"/>
  <c r="AJ67"/>
  <c r="AK67"/>
  <c r="AL67"/>
  <c r="AM67"/>
  <c r="AN67"/>
  <c r="AO67"/>
  <c r="AJ68"/>
  <c r="AK68"/>
  <c r="AL68"/>
  <c r="AM68"/>
  <c r="AN68"/>
  <c r="AO68"/>
  <c r="AJ69"/>
  <c r="AK69"/>
  <c r="AL69"/>
  <c r="AM69"/>
  <c r="AN69"/>
  <c r="AO69"/>
  <c r="AJ70"/>
  <c r="AK70"/>
  <c r="AL70"/>
  <c r="AM70"/>
  <c r="AN70"/>
  <c r="AO70"/>
  <c r="AJ71"/>
  <c r="AK71"/>
  <c r="AL71"/>
  <c r="AM71"/>
  <c r="AN71"/>
  <c r="AO71"/>
  <c r="AJ72"/>
  <c r="AK72"/>
  <c r="AL72"/>
  <c r="AM72"/>
  <c r="AN72"/>
  <c r="AO72"/>
  <c r="AJ73"/>
  <c r="AK73"/>
  <c r="AL73"/>
  <c r="AM73"/>
  <c r="AN73"/>
  <c r="AO73"/>
  <c r="AJ74"/>
  <c r="AK74"/>
  <c r="AL74"/>
  <c r="AM74"/>
  <c r="AN74"/>
  <c r="AO74"/>
  <c r="AJ75"/>
  <c r="AK75"/>
  <c r="AL75"/>
  <c r="AM75"/>
  <c r="AN75"/>
  <c r="AO75"/>
  <c r="AJ76"/>
  <c r="AK76"/>
  <c r="AL76"/>
  <c r="AM76"/>
  <c r="AN76"/>
  <c r="AO76"/>
  <c r="AJ77"/>
  <c r="AK77"/>
  <c r="AL77"/>
  <c r="AM77"/>
  <c r="AN77"/>
  <c r="AO77"/>
  <c r="AJ78"/>
  <c r="AK78"/>
  <c r="AL78"/>
  <c r="AM78"/>
  <c r="AN78"/>
  <c r="AO78"/>
  <c r="AJ79"/>
  <c r="AK79"/>
  <c r="AL79"/>
  <c r="AM79"/>
  <c r="AN79"/>
  <c r="AO79"/>
  <c r="AJ80"/>
  <c r="AK80"/>
  <c r="AL80"/>
  <c r="AM80"/>
  <c r="AN80"/>
  <c r="AO80"/>
  <c r="AJ81"/>
  <c r="AK81"/>
  <c r="AL81"/>
  <c r="AM81"/>
  <c r="AN81"/>
  <c r="AO81"/>
  <c r="AJ82"/>
  <c r="AK82"/>
  <c r="AL82"/>
  <c r="AM82"/>
  <c r="AN82"/>
  <c r="AO82"/>
  <c r="AJ83"/>
  <c r="AK83"/>
  <c r="AL83"/>
  <c r="AM83"/>
  <c r="AN83"/>
  <c r="AO83"/>
  <c r="AJ84"/>
  <c r="AK84"/>
  <c r="AL84"/>
  <c r="AM84"/>
  <c r="AN84"/>
  <c r="AO84"/>
  <c r="AJ85"/>
  <c r="AK85"/>
  <c r="AL85"/>
  <c r="AM85"/>
  <c r="AN85"/>
  <c r="AO85"/>
  <c r="AJ86"/>
  <c r="AK86"/>
  <c r="AL86"/>
  <c r="AM86"/>
  <c r="AN86"/>
  <c r="AO86"/>
  <c r="AJ87"/>
  <c r="AK87"/>
  <c r="AL87"/>
  <c r="AM87"/>
  <c r="AN87"/>
  <c r="AO87"/>
  <c r="AJ88"/>
  <c r="AK88"/>
  <c r="AL88"/>
  <c r="AM88"/>
  <c r="AN88"/>
  <c r="AO88"/>
  <c r="AJ89"/>
  <c r="AK89"/>
  <c r="AL89"/>
  <c r="AM89"/>
  <c r="AN89"/>
  <c r="AO89"/>
  <c r="AJ90"/>
  <c r="AK90"/>
  <c r="AL90"/>
  <c r="AM90"/>
  <c r="AN90"/>
  <c r="AO90"/>
  <c r="AJ91"/>
  <c r="AK91"/>
  <c r="AL91"/>
  <c r="AM91"/>
  <c r="AN91"/>
  <c r="AO91"/>
  <c r="AJ92"/>
  <c r="AK92"/>
  <c r="AL92"/>
  <c r="AM92"/>
  <c r="AN92"/>
  <c r="AO92"/>
  <c r="AJ93"/>
  <c r="AK93"/>
  <c r="AL93"/>
  <c r="AM93"/>
  <c r="AN93"/>
  <c r="AO93"/>
  <c r="AJ94"/>
  <c r="AK94"/>
  <c r="AL94"/>
  <c r="AM94"/>
  <c r="AN94"/>
  <c r="AO94"/>
  <c r="AJ95"/>
  <c r="AK95"/>
  <c r="AL95"/>
  <c r="AM95"/>
  <c r="AN95"/>
  <c r="AO95"/>
  <c r="AJ96"/>
  <c r="AK96"/>
  <c r="AL96"/>
  <c r="AM96"/>
  <c r="AN96"/>
  <c r="AO96"/>
  <c r="AJ97"/>
  <c r="AK97"/>
  <c r="AL97"/>
  <c r="AM97"/>
  <c r="AN97"/>
  <c r="AO97"/>
  <c r="AJ98"/>
  <c r="AK98"/>
  <c r="AL98"/>
  <c r="AM98"/>
  <c r="AN98"/>
  <c r="AO98"/>
  <c r="AJ99"/>
  <c r="AK99"/>
  <c r="AL99"/>
  <c r="AM99"/>
  <c r="AN99"/>
  <c r="AO99"/>
  <c r="AJ100"/>
  <c r="AK100"/>
  <c r="AL100"/>
  <c r="AM100"/>
  <c r="AN100"/>
  <c r="AO100"/>
  <c r="AJ101"/>
  <c r="AK101"/>
  <c r="AL101"/>
  <c r="AM101"/>
  <c r="AN101"/>
  <c r="AO101"/>
  <c r="AJ102"/>
  <c r="AK102"/>
  <c r="AL102"/>
  <c r="AM102"/>
  <c r="AN102"/>
  <c r="AO102"/>
  <c r="AJ103"/>
  <c r="AK103"/>
  <c r="AL103"/>
  <c r="AM103"/>
  <c r="AN103"/>
  <c r="AO103"/>
  <c r="AJ104"/>
  <c r="AK104"/>
  <c r="AL104"/>
  <c r="AM104"/>
  <c r="AN104"/>
  <c r="AO104"/>
  <c r="AJ105"/>
  <c r="AK105"/>
  <c r="AL105"/>
  <c r="AM105"/>
  <c r="AN105"/>
  <c r="AO105"/>
  <c r="AJ106"/>
  <c r="AK106"/>
  <c r="AL106"/>
  <c r="AM106"/>
  <c r="AN106"/>
  <c r="AO106"/>
  <c r="AJ107"/>
  <c r="AK107"/>
  <c r="AL107"/>
  <c r="AM107"/>
  <c r="AN107"/>
  <c r="AO107"/>
  <c r="AJ108"/>
  <c r="AK108"/>
  <c r="AL108"/>
  <c r="AM108"/>
  <c r="AN108"/>
  <c r="AO108"/>
  <c r="AJ109"/>
  <c r="AK109"/>
  <c r="AL109"/>
  <c r="AM109"/>
  <c r="AN109"/>
  <c r="AO109"/>
  <c r="AO60"/>
  <c r="AN60"/>
  <c r="AM60"/>
  <c r="AL60"/>
  <c r="AK60"/>
  <c r="AJ60"/>
  <c r="AQ108"/>
  <c r="AE108" s="1"/>
  <c r="AQ109"/>
  <c r="AE109" s="1"/>
  <c r="AQ61"/>
  <c r="AQ62"/>
  <c r="AQ63"/>
  <c r="AQ64"/>
  <c r="AE64" s="1"/>
  <c r="AQ65"/>
  <c r="AE65" s="1"/>
  <c r="AQ66"/>
  <c r="AE66" s="1"/>
  <c r="AQ67"/>
  <c r="AE67" s="1"/>
  <c r="AQ68"/>
  <c r="AE68" s="1"/>
  <c r="AQ69"/>
  <c r="AE69" s="1"/>
  <c r="AQ70"/>
  <c r="AE70" s="1"/>
  <c r="AQ71"/>
  <c r="AE71" s="1"/>
  <c r="AQ72"/>
  <c r="AE72" s="1"/>
  <c r="AQ73"/>
  <c r="AE73" s="1"/>
  <c r="AQ74"/>
  <c r="AE74" s="1"/>
  <c r="AQ75"/>
  <c r="AE75" s="1"/>
  <c r="AQ76"/>
  <c r="AE76" s="1"/>
  <c r="AQ77"/>
  <c r="AE77" s="1"/>
  <c r="AQ78"/>
  <c r="AE78" s="1"/>
  <c r="AQ79"/>
  <c r="AE79" s="1"/>
  <c r="AQ80"/>
  <c r="AE80" s="1"/>
  <c r="AQ81"/>
  <c r="AE81" s="1"/>
  <c r="AQ82"/>
  <c r="AE82" s="1"/>
  <c r="AQ83"/>
  <c r="AE83" s="1"/>
  <c r="AQ84"/>
  <c r="AE84" s="1"/>
  <c r="AQ85"/>
  <c r="AE85" s="1"/>
  <c r="AQ86"/>
  <c r="AE86" s="1"/>
  <c r="AQ87"/>
  <c r="AE87" s="1"/>
  <c r="AQ88"/>
  <c r="AE88" s="1"/>
  <c r="AQ89"/>
  <c r="AE89" s="1"/>
  <c r="AQ90"/>
  <c r="AE90" s="1"/>
  <c r="AQ91"/>
  <c r="AE91" s="1"/>
  <c r="AQ92"/>
  <c r="AE92" s="1"/>
  <c r="AQ93"/>
  <c r="AE93" s="1"/>
  <c r="AQ94"/>
  <c r="AE94" s="1"/>
  <c r="AQ95"/>
  <c r="AE95" s="1"/>
  <c r="AQ96"/>
  <c r="AE96" s="1"/>
  <c r="AQ97"/>
  <c r="AE97" s="1"/>
  <c r="AQ98"/>
  <c r="AE98" s="1"/>
  <c r="AQ99"/>
  <c r="AE99" s="1"/>
  <c r="AQ100"/>
  <c r="AE100" s="1"/>
  <c r="AQ101"/>
  <c r="AE101" s="1"/>
  <c r="AQ102"/>
  <c r="AE102" s="1"/>
  <c r="AQ103"/>
  <c r="AE103" s="1"/>
  <c r="AQ104"/>
  <c r="AE104" s="1"/>
  <c r="AQ105"/>
  <c r="AE105" s="1"/>
  <c r="AQ106"/>
  <c r="AE106" s="1"/>
  <c r="AQ107"/>
  <c r="AE107" s="1"/>
  <c r="AQ60"/>
  <c r="AE60" s="1"/>
  <c r="AR62" l="1"/>
  <c r="AR63" s="1"/>
  <c r="A22" i="9"/>
  <c r="A23" s="1"/>
  <c r="A24" s="1"/>
  <c r="B24" s="1"/>
  <c r="A22" i="12" s="1"/>
  <c r="B21" i="9"/>
  <c r="A19" i="12" s="1"/>
  <c r="AE61" i="1"/>
  <c r="AE62" s="1"/>
  <c r="AE63" s="1"/>
  <c r="BR67"/>
  <c r="G12" i="4"/>
  <c r="BV12" s="1"/>
  <c r="W12"/>
  <c r="V13"/>
  <c r="S12"/>
  <c r="S13"/>
  <c r="V12"/>
  <c r="BR72" i="1"/>
  <c r="CR68"/>
  <c r="B115" i="4" s="1"/>
  <c r="F111"/>
  <c r="C109"/>
  <c r="E109"/>
  <c r="G109"/>
  <c r="C110"/>
  <c r="E110"/>
  <c r="G110"/>
  <c r="C111"/>
  <c r="E111"/>
  <c r="C108"/>
  <c r="F108"/>
  <c r="D108"/>
  <c r="B109"/>
  <c r="D109"/>
  <c r="F109"/>
  <c r="B110"/>
  <c r="D110"/>
  <c r="F110"/>
  <c r="B111"/>
  <c r="D111"/>
  <c r="G111"/>
  <c r="B108"/>
  <c r="G108"/>
  <c r="E108"/>
  <c r="D115"/>
  <c r="B116"/>
  <c r="F116"/>
  <c r="D117"/>
  <c r="F114"/>
  <c r="B114"/>
  <c r="E115"/>
  <c r="C116"/>
  <c r="G116"/>
  <c r="E117"/>
  <c r="G114"/>
  <c r="C114"/>
  <c r="BE64" i="1"/>
  <c r="E86" i="4" s="1"/>
  <c r="M13"/>
  <c r="E12"/>
  <c r="E9" i="26" s="1"/>
  <c r="G13" i="4"/>
  <c r="E13"/>
  <c r="C13"/>
  <c r="B12"/>
  <c r="M12"/>
  <c r="F12"/>
  <c r="F13"/>
  <c r="F10" i="26" s="1"/>
  <c r="N10" s="1"/>
  <c r="D13" i="4"/>
  <c r="B13"/>
  <c r="BR75" i="1"/>
  <c r="G97" i="4" s="1"/>
  <c r="W13" l="1"/>
  <c r="AR64" i="1"/>
  <c r="AR65" s="1"/>
  <c r="AD12" i="4"/>
  <c r="D96"/>
  <c r="B96"/>
  <c r="C96"/>
  <c r="BY96" s="1"/>
  <c r="G96"/>
  <c r="E96"/>
  <c r="F96"/>
  <c r="A25" i="9"/>
  <c r="B23"/>
  <c r="A21" i="12" s="1"/>
  <c r="H12" i="4"/>
  <c r="E7" i="14" s="1"/>
  <c r="C8"/>
  <c r="B10" i="26"/>
  <c r="C7" i="14"/>
  <c r="B9" i="26"/>
  <c r="D8" i="14"/>
  <c r="E10" i="26"/>
  <c r="J12" i="4"/>
  <c r="F9" i="26"/>
  <c r="N9" s="1"/>
  <c r="BY13" i="4"/>
  <c r="D10" i="26"/>
  <c r="BV13" i="4"/>
  <c r="G10" i="26"/>
  <c r="H10" s="1"/>
  <c r="I12" i="4"/>
  <c r="G9" i="26"/>
  <c r="H9" s="1"/>
  <c r="D7" i="14"/>
  <c r="W16" i="4"/>
  <c r="F14"/>
  <c r="F11" i="26" s="1"/>
  <c r="N11" s="1"/>
  <c r="M14" i="4"/>
  <c r="BS14" s="1"/>
  <c r="H13"/>
  <c r="E8" i="14" s="1"/>
  <c r="B14" i="4"/>
  <c r="E114"/>
  <c r="G117"/>
  <c r="AI117" s="1"/>
  <c r="C117"/>
  <c r="BY117" s="1"/>
  <c r="E116"/>
  <c r="BH116" s="1"/>
  <c r="G115"/>
  <c r="AE115" s="1"/>
  <c r="C115"/>
  <c r="BU115" s="1"/>
  <c r="D114"/>
  <c r="F117"/>
  <c r="H117" s="1"/>
  <c r="B117"/>
  <c r="D116"/>
  <c r="F115"/>
  <c r="J115" s="1"/>
  <c r="E14"/>
  <c r="F28"/>
  <c r="F15" i="26" s="1"/>
  <c r="N15" s="1"/>
  <c r="E28" i="4"/>
  <c r="W25"/>
  <c r="V24"/>
  <c r="S23"/>
  <c r="W21"/>
  <c r="V20"/>
  <c r="S19"/>
  <c r="W17"/>
  <c r="V16"/>
  <c r="W24"/>
  <c r="V23"/>
  <c r="S22"/>
  <c r="W20"/>
  <c r="V19"/>
  <c r="S18"/>
  <c r="F93"/>
  <c r="M93" s="1"/>
  <c r="B93"/>
  <c r="C92"/>
  <c r="BY92" s="1"/>
  <c r="D91"/>
  <c r="E90"/>
  <c r="BH90" s="1"/>
  <c r="F89"/>
  <c r="M89" s="1"/>
  <c r="B89"/>
  <c r="C88"/>
  <c r="BY88" s="1"/>
  <c r="D87"/>
  <c r="E93"/>
  <c r="BH93" s="1"/>
  <c r="F92"/>
  <c r="G92" s="1"/>
  <c r="B92"/>
  <c r="C91"/>
  <c r="BY91" s="1"/>
  <c r="D90"/>
  <c r="E89"/>
  <c r="BH89" s="1"/>
  <c r="F88"/>
  <c r="G88" s="1"/>
  <c r="B88"/>
  <c r="C87"/>
  <c r="BY87" s="1"/>
  <c r="D86"/>
  <c r="B86"/>
  <c r="G28"/>
  <c r="B28"/>
  <c r="W28"/>
  <c r="V14"/>
  <c r="S15"/>
  <c r="W15"/>
  <c r="S14"/>
  <c r="W14"/>
  <c r="V15"/>
  <c r="D14"/>
  <c r="C14"/>
  <c r="G14"/>
  <c r="H14" s="1"/>
  <c r="E9" i="14" s="1"/>
  <c r="M28" i="4"/>
  <c r="BS28" s="1"/>
  <c r="S25"/>
  <c r="W23"/>
  <c r="V22"/>
  <c r="S21"/>
  <c r="W19"/>
  <c r="V18"/>
  <c r="S17"/>
  <c r="V25"/>
  <c r="S24"/>
  <c r="W22"/>
  <c r="V21"/>
  <c r="S20"/>
  <c r="W18"/>
  <c r="V17"/>
  <c r="S16"/>
  <c r="D93"/>
  <c r="E92"/>
  <c r="BH92" s="1"/>
  <c r="F91"/>
  <c r="M91" s="1"/>
  <c r="B91"/>
  <c r="C90"/>
  <c r="BY90" s="1"/>
  <c r="D89"/>
  <c r="E88"/>
  <c r="BH88" s="1"/>
  <c r="F87"/>
  <c r="I87" s="1"/>
  <c r="B87"/>
  <c r="C93"/>
  <c r="BY93" s="1"/>
  <c r="D92"/>
  <c r="E91"/>
  <c r="BH91" s="1"/>
  <c r="F90"/>
  <c r="K90" s="1"/>
  <c r="B90"/>
  <c r="C89"/>
  <c r="BY89" s="1"/>
  <c r="D88"/>
  <c r="E87"/>
  <c r="BH87" s="1"/>
  <c r="F86"/>
  <c r="C86"/>
  <c r="BY86" s="1"/>
  <c r="V28"/>
  <c r="BW12"/>
  <c r="BS12"/>
  <c r="Q13"/>
  <c r="BW13"/>
  <c r="BX13" s="1"/>
  <c r="BS13"/>
  <c r="BU110"/>
  <c r="BY110"/>
  <c r="BU114"/>
  <c r="BY114"/>
  <c r="BU116"/>
  <c r="BY116"/>
  <c r="BU108"/>
  <c r="BY108"/>
  <c r="BU111"/>
  <c r="BY111"/>
  <c r="BU109"/>
  <c r="BY109"/>
  <c r="BV114"/>
  <c r="BH117"/>
  <c r="AF116"/>
  <c r="AL116"/>
  <c r="AV116"/>
  <c r="AZ116"/>
  <c r="BJ116"/>
  <c r="BV116"/>
  <c r="AE116"/>
  <c r="AI116"/>
  <c r="AS116"/>
  <c r="AY116"/>
  <c r="BF116"/>
  <c r="BK116"/>
  <c r="AD116"/>
  <c r="AH116"/>
  <c r="AR116"/>
  <c r="AX116"/>
  <c r="BD116"/>
  <c r="BN116"/>
  <c r="AG116"/>
  <c r="AN116"/>
  <c r="AW116"/>
  <c r="BA116"/>
  <c r="BI116"/>
  <c r="BH115"/>
  <c r="I114"/>
  <c r="H114"/>
  <c r="M114"/>
  <c r="AD114" s="1"/>
  <c r="J114"/>
  <c r="H116"/>
  <c r="J116"/>
  <c r="L116"/>
  <c r="I116"/>
  <c r="K116"/>
  <c r="M116"/>
  <c r="I110"/>
  <c r="L110"/>
  <c r="H110"/>
  <c r="J110"/>
  <c r="M110"/>
  <c r="BO110" s="1"/>
  <c r="BP110" s="1"/>
  <c r="K110"/>
  <c r="BV108"/>
  <c r="AE111"/>
  <c r="AI111"/>
  <c r="AS111"/>
  <c r="AY111"/>
  <c r="BF111"/>
  <c r="BK111"/>
  <c r="AF111"/>
  <c r="AL111"/>
  <c r="AV111"/>
  <c r="AZ111"/>
  <c r="BJ111"/>
  <c r="BV111"/>
  <c r="AG111"/>
  <c r="AN111"/>
  <c r="AW111"/>
  <c r="BA111"/>
  <c r="BI111"/>
  <c r="AD111"/>
  <c r="AH111"/>
  <c r="AR111"/>
  <c r="AX111"/>
  <c r="BD111"/>
  <c r="BN111"/>
  <c r="I109"/>
  <c r="J109"/>
  <c r="M109"/>
  <c r="BQ109" s="1"/>
  <c r="BR109" s="1"/>
  <c r="H109"/>
  <c r="L109"/>
  <c r="K109"/>
  <c r="I108"/>
  <c r="M108"/>
  <c r="AD108" s="1"/>
  <c r="J108"/>
  <c r="H108"/>
  <c r="BH111"/>
  <c r="AD110"/>
  <c r="AH110"/>
  <c r="AR110"/>
  <c r="AX110"/>
  <c r="BD110"/>
  <c r="BN110"/>
  <c r="AG110"/>
  <c r="AN110"/>
  <c r="AW110"/>
  <c r="BA110"/>
  <c r="BI110"/>
  <c r="AF110"/>
  <c r="AL110"/>
  <c r="AV110"/>
  <c r="AZ110"/>
  <c r="BJ110"/>
  <c r="BV110"/>
  <c r="AE110"/>
  <c r="AI110"/>
  <c r="AS110"/>
  <c r="AY110"/>
  <c r="BF110"/>
  <c r="BK110"/>
  <c r="BH109"/>
  <c r="I111"/>
  <c r="H111"/>
  <c r="L111"/>
  <c r="J111"/>
  <c r="M111"/>
  <c r="K111"/>
  <c r="M96"/>
  <c r="BO96" s="1"/>
  <c r="I96"/>
  <c r="J96"/>
  <c r="H96"/>
  <c r="F104"/>
  <c r="L104" s="1"/>
  <c r="B104"/>
  <c r="E103"/>
  <c r="BH103" s="1"/>
  <c r="F102"/>
  <c r="J102" s="1"/>
  <c r="B102"/>
  <c r="D101"/>
  <c r="F100"/>
  <c r="I100" s="1"/>
  <c r="B100"/>
  <c r="E99"/>
  <c r="F98"/>
  <c r="J98" s="1"/>
  <c r="B98"/>
  <c r="E104"/>
  <c r="BH104" s="1"/>
  <c r="F103"/>
  <c r="B103"/>
  <c r="E102"/>
  <c r="BH102" s="1"/>
  <c r="G101"/>
  <c r="AZ101" s="1"/>
  <c r="C101"/>
  <c r="BY101" s="1"/>
  <c r="E100"/>
  <c r="BH100" s="1"/>
  <c r="F99"/>
  <c r="B99"/>
  <c r="E98"/>
  <c r="F97"/>
  <c r="D104"/>
  <c r="G103"/>
  <c r="AE103" s="1"/>
  <c r="C103"/>
  <c r="BY103" s="1"/>
  <c r="D102"/>
  <c r="F101"/>
  <c r="L101" s="1"/>
  <c r="B101"/>
  <c r="D100"/>
  <c r="G99"/>
  <c r="C99"/>
  <c r="BY99" s="1"/>
  <c r="D98"/>
  <c r="G104"/>
  <c r="BF104" s="1"/>
  <c r="C104"/>
  <c r="BY104" s="1"/>
  <c r="D103"/>
  <c r="G102"/>
  <c r="AY102" s="1"/>
  <c r="C102"/>
  <c r="BY102" s="1"/>
  <c r="E101"/>
  <c r="BH101" s="1"/>
  <c r="G100"/>
  <c r="BF100" s="1"/>
  <c r="C100"/>
  <c r="BY100" s="1"/>
  <c r="D99"/>
  <c r="G98"/>
  <c r="C98"/>
  <c r="BY98" s="1"/>
  <c r="E97"/>
  <c r="D97"/>
  <c r="C97"/>
  <c r="BY97" s="1"/>
  <c r="BH110"/>
  <c r="AG109"/>
  <c r="AN109"/>
  <c r="AW109"/>
  <c r="BA109"/>
  <c r="BI109"/>
  <c r="AD109"/>
  <c r="AH109"/>
  <c r="AR109"/>
  <c r="AX109"/>
  <c r="BD109"/>
  <c r="BN109"/>
  <c r="AE109"/>
  <c r="AI109"/>
  <c r="AS109"/>
  <c r="AY109"/>
  <c r="BF109"/>
  <c r="BK109"/>
  <c r="AF109"/>
  <c r="AL109"/>
  <c r="AV109"/>
  <c r="AZ109"/>
  <c r="BJ109"/>
  <c r="BV109"/>
  <c r="B97"/>
  <c r="L87"/>
  <c r="K12"/>
  <c r="L12"/>
  <c r="I13"/>
  <c r="AP13"/>
  <c r="BH12"/>
  <c r="AP12"/>
  <c r="Q12"/>
  <c r="J13"/>
  <c r="AD13"/>
  <c r="D28"/>
  <c r="C28"/>
  <c r="M15"/>
  <c r="M19"/>
  <c r="M23"/>
  <c r="B15"/>
  <c r="F15"/>
  <c r="F12" i="26" s="1"/>
  <c r="N12" s="1"/>
  <c r="D16" i="4"/>
  <c r="B17"/>
  <c r="C12" i="14" s="1"/>
  <c r="F17" i="4"/>
  <c r="D18"/>
  <c r="B19"/>
  <c r="C14" i="14" s="1"/>
  <c r="F19" i="4"/>
  <c r="D20"/>
  <c r="B21"/>
  <c r="C16" i="14" s="1"/>
  <c r="F21" i="4"/>
  <c r="D22"/>
  <c r="B23"/>
  <c r="C18" i="14" s="1"/>
  <c r="F23" i="4"/>
  <c r="D24"/>
  <c r="B25"/>
  <c r="C20" i="14" s="1"/>
  <c r="F25" i="4"/>
  <c r="M18"/>
  <c r="M22"/>
  <c r="E15"/>
  <c r="C16"/>
  <c r="G16"/>
  <c r="G13" i="26" s="1"/>
  <c r="H13" s="1"/>
  <c r="E17" i="4"/>
  <c r="D12" i="14" s="1"/>
  <c r="C18" i="4"/>
  <c r="BY18" s="1"/>
  <c r="G18"/>
  <c r="E19"/>
  <c r="D14" i="14" s="1"/>
  <c r="C20" i="4"/>
  <c r="BY20" s="1"/>
  <c r="G20"/>
  <c r="E21"/>
  <c r="D16" i="14" s="1"/>
  <c r="C22" i="4"/>
  <c r="BY22" s="1"/>
  <c r="G22"/>
  <c r="E23"/>
  <c r="D18" i="14" s="1"/>
  <c r="C24" i="4"/>
  <c r="BY24" s="1"/>
  <c r="G24"/>
  <c r="E25"/>
  <c r="D20" i="14" s="1"/>
  <c r="M17" i="4"/>
  <c r="M21"/>
  <c r="M25"/>
  <c r="D15"/>
  <c r="B16"/>
  <c r="F16"/>
  <c r="F13" i="26" s="1"/>
  <c r="N13" s="1"/>
  <c r="D17" i="4"/>
  <c r="B18"/>
  <c r="C13" i="14" s="1"/>
  <c r="F18" i="4"/>
  <c r="D19"/>
  <c r="B20"/>
  <c r="C15" i="14" s="1"/>
  <c r="F20" i="4"/>
  <c r="D21"/>
  <c r="B22"/>
  <c r="C17" i="14" s="1"/>
  <c r="F22" i="4"/>
  <c r="D23"/>
  <c r="B24"/>
  <c r="C19" i="14" s="1"/>
  <c r="F24" i="4"/>
  <c r="D25"/>
  <c r="M16"/>
  <c r="M20"/>
  <c r="M24"/>
  <c r="C15"/>
  <c r="G15"/>
  <c r="G12" i="26" s="1"/>
  <c r="H12" s="1"/>
  <c r="E16" i="4"/>
  <c r="C17"/>
  <c r="BY17" s="1"/>
  <c r="G17"/>
  <c r="E18"/>
  <c r="D13" i="14" s="1"/>
  <c r="C19" i="4"/>
  <c r="BY19" s="1"/>
  <c r="G19"/>
  <c r="E20"/>
  <c r="D15" i="14" s="1"/>
  <c r="C21" i="4"/>
  <c r="BY21" s="1"/>
  <c r="G21"/>
  <c r="E22"/>
  <c r="D17" i="14" s="1"/>
  <c r="C23" i="4"/>
  <c r="BY23" s="1"/>
  <c r="G23"/>
  <c r="E24"/>
  <c r="D19" i="14" s="1"/>
  <c r="C25" i="4"/>
  <c r="BY25" s="1"/>
  <c r="G25"/>
  <c r="I8" i="14" l="1"/>
  <c r="F8"/>
  <c r="I9"/>
  <c r="F9"/>
  <c r="I7"/>
  <c r="A7" s="1"/>
  <c r="B7" s="1"/>
  <c r="F7"/>
  <c r="G7" s="1"/>
  <c r="S28" i="4"/>
  <c r="AR66" i="1"/>
  <c r="AR67" s="1"/>
  <c r="AR68" s="1"/>
  <c r="S29" i="4" s="1"/>
  <c r="H115"/>
  <c r="BO93"/>
  <c r="BV115"/>
  <c r="AR115"/>
  <c r="G93"/>
  <c r="AY115"/>
  <c r="A26" i="9"/>
  <c r="B26" s="1"/>
  <c r="A24" i="12" s="1"/>
  <c r="B25" i="9"/>
  <c r="A23" i="12" s="1"/>
  <c r="AP28" i="4"/>
  <c r="G90"/>
  <c r="BJ90" s="1"/>
  <c r="L93"/>
  <c r="BD115"/>
  <c r="AN115"/>
  <c r="BK115"/>
  <c r="J93"/>
  <c r="BA115"/>
  <c r="AL115"/>
  <c r="AD115"/>
  <c r="AZ115"/>
  <c r="AI115"/>
  <c r="A27" i="9"/>
  <c r="H92" i="4"/>
  <c r="M92"/>
  <c r="L115"/>
  <c r="L92"/>
  <c r="K115"/>
  <c r="BI117"/>
  <c r="AE117"/>
  <c r="J14"/>
  <c r="K88"/>
  <c r="BO92"/>
  <c r="K89"/>
  <c r="AV117"/>
  <c r="M87"/>
  <c r="BO87" s="1"/>
  <c r="L88"/>
  <c r="L89"/>
  <c r="I117"/>
  <c r="AX117"/>
  <c r="AG117"/>
  <c r="BF117"/>
  <c r="BV14"/>
  <c r="G11" i="26"/>
  <c r="H11" s="1"/>
  <c r="H14" s="1"/>
  <c r="D22" i="14"/>
  <c r="E15" i="26"/>
  <c r="D9" i="14"/>
  <c r="E11" i="26"/>
  <c r="Q12"/>
  <c r="R12" s="1"/>
  <c r="I12"/>
  <c r="K12"/>
  <c r="L12" s="1"/>
  <c r="BY16" i="4"/>
  <c r="D13" i="26"/>
  <c r="C10" i="14"/>
  <c r="B12" i="26"/>
  <c r="BY28" i="4"/>
  <c r="D15" i="26"/>
  <c r="C22" i="14"/>
  <c r="B15" i="26"/>
  <c r="C9" i="14"/>
  <c r="B11" i="26"/>
  <c r="D11" i="14"/>
  <c r="E13" i="26"/>
  <c r="BY15" i="4"/>
  <c r="D12" i="26"/>
  <c r="C11" i="14"/>
  <c r="B13" i="26"/>
  <c r="K13"/>
  <c r="L13" s="1"/>
  <c r="Q13"/>
  <c r="R13" s="1"/>
  <c r="I13"/>
  <c r="D10" i="14"/>
  <c r="E12" i="26"/>
  <c r="BY14" i="4"/>
  <c r="D11" i="26"/>
  <c r="AD28" i="4"/>
  <c r="G15" i="26"/>
  <c r="H15" s="1"/>
  <c r="I9"/>
  <c r="Q9"/>
  <c r="K9"/>
  <c r="Q10"/>
  <c r="R10" s="1"/>
  <c r="K10"/>
  <c r="L10" s="1"/>
  <c r="I10"/>
  <c r="AD14" i="4"/>
  <c r="BH14" s="1"/>
  <c r="G87"/>
  <c r="BA87" s="1"/>
  <c r="I88"/>
  <c r="I89"/>
  <c r="G89"/>
  <c r="AW89" s="1"/>
  <c r="M117"/>
  <c r="BS117" s="1"/>
  <c r="J117"/>
  <c r="J118" s="1"/>
  <c r="BN117"/>
  <c r="AH117"/>
  <c r="AW117"/>
  <c r="BJ117"/>
  <c r="AF117"/>
  <c r="AS117"/>
  <c r="A8" i="14"/>
  <c r="A9" s="1"/>
  <c r="Q14" i="4"/>
  <c r="H91"/>
  <c r="AY103"/>
  <c r="BI102"/>
  <c r="AD103"/>
  <c r="AE101"/>
  <c r="M102"/>
  <c r="BW102" s="1"/>
  <c r="BX102" s="1"/>
  <c r="AG102"/>
  <c r="BF102"/>
  <c r="AW103"/>
  <c r="BF101"/>
  <c r="I98"/>
  <c r="K102"/>
  <c r="H102"/>
  <c r="I14"/>
  <c r="AP14"/>
  <c r="H87"/>
  <c r="K87"/>
  <c r="J87"/>
  <c r="J88"/>
  <c r="M88"/>
  <c r="BO88" s="1"/>
  <c r="H88"/>
  <c r="J89"/>
  <c r="H89"/>
  <c r="K117"/>
  <c r="L117"/>
  <c r="BD117"/>
  <c r="AR117"/>
  <c r="AD117"/>
  <c r="BA117"/>
  <c r="AN117"/>
  <c r="BV117"/>
  <c r="AZ117"/>
  <c r="AL117"/>
  <c r="BK117"/>
  <c r="AY117"/>
  <c r="BQ116"/>
  <c r="BR116" s="1"/>
  <c r="BY115"/>
  <c r="BW28"/>
  <c r="BX28" s="1"/>
  <c r="BO91"/>
  <c r="BH28"/>
  <c r="AZ102"/>
  <c r="AE102"/>
  <c r="BF103"/>
  <c r="AH103"/>
  <c r="AD101"/>
  <c r="AN101"/>
  <c r="AW101"/>
  <c r="H98"/>
  <c r="K98" s="1"/>
  <c r="K13"/>
  <c r="H90"/>
  <c r="J91"/>
  <c r="J92"/>
  <c r="I92"/>
  <c r="K92"/>
  <c r="K93"/>
  <c r="I93"/>
  <c r="H93"/>
  <c r="M115"/>
  <c r="BW115" s="1"/>
  <c r="BX115" s="1"/>
  <c r="I115"/>
  <c r="BN115"/>
  <c r="AX115"/>
  <c r="AH115"/>
  <c r="BI115"/>
  <c r="AW115"/>
  <c r="AG115"/>
  <c r="BJ115"/>
  <c r="AV115"/>
  <c r="AF115"/>
  <c r="BF115"/>
  <c r="AS115"/>
  <c r="BH114"/>
  <c r="BU117"/>
  <c r="BW14"/>
  <c r="BX14" s="1"/>
  <c r="I90"/>
  <c r="J90"/>
  <c r="K91"/>
  <c r="L90"/>
  <c r="M90"/>
  <c r="BW90" s="1"/>
  <c r="BX90" s="1"/>
  <c r="G91"/>
  <c r="AY91" s="1"/>
  <c r="L91"/>
  <c r="I91"/>
  <c r="BI100"/>
  <c r="AD104"/>
  <c r="K101"/>
  <c r="H103"/>
  <c r="L100"/>
  <c r="K108"/>
  <c r="K112" s="1"/>
  <c r="K114"/>
  <c r="AN102"/>
  <c r="AD102"/>
  <c r="AW102"/>
  <c r="AH102"/>
  <c r="AG103"/>
  <c r="AZ103"/>
  <c r="BI103"/>
  <c r="AN103"/>
  <c r="AG101"/>
  <c r="AY101"/>
  <c r="BI101"/>
  <c r="AH101"/>
  <c r="M98"/>
  <c r="I102"/>
  <c r="L102"/>
  <c r="AD96"/>
  <c r="BH96" s="1"/>
  <c r="BH108"/>
  <c r="BF108"/>
  <c r="I86"/>
  <c r="J86"/>
  <c r="G86"/>
  <c r="M86"/>
  <c r="AN100"/>
  <c r="AW100"/>
  <c r="AE104"/>
  <c r="H101"/>
  <c r="M103"/>
  <c r="BO103" s="1"/>
  <c r="K100"/>
  <c r="M104"/>
  <c r="BW104" s="1"/>
  <c r="BX104" s="1"/>
  <c r="K96"/>
  <c r="L96" s="1"/>
  <c r="AN108"/>
  <c r="L108"/>
  <c r="L112" s="1"/>
  <c r="AD100"/>
  <c r="AE100"/>
  <c r="AN104"/>
  <c r="BI104"/>
  <c r="AW104"/>
  <c r="M101"/>
  <c r="BO101" s="1"/>
  <c r="H99"/>
  <c r="J103"/>
  <c r="H100"/>
  <c r="K104"/>
  <c r="H104"/>
  <c r="BO116"/>
  <c r="BP116" s="1"/>
  <c r="BS20"/>
  <c r="BW20"/>
  <c r="BX20" s="1"/>
  <c r="BW25"/>
  <c r="BX25" s="1"/>
  <c r="BS25"/>
  <c r="BW17"/>
  <c r="BX17" s="1"/>
  <c r="BS17"/>
  <c r="AP24"/>
  <c r="BV24"/>
  <c r="AP20"/>
  <c r="BV20"/>
  <c r="AP16"/>
  <c r="BV16"/>
  <c r="BS18"/>
  <c r="BW18"/>
  <c r="BX18" s="1"/>
  <c r="BW23"/>
  <c r="BX23" s="1"/>
  <c r="BS23"/>
  <c r="Q15"/>
  <c r="BW15"/>
  <c r="BX15" s="1"/>
  <c r="BS15"/>
  <c r="BO89"/>
  <c r="BW89"/>
  <c r="BX89" s="1"/>
  <c r="BS89"/>
  <c r="BW110"/>
  <c r="BX110" s="1"/>
  <c r="BS110"/>
  <c r="BW116"/>
  <c r="BX116" s="1"/>
  <c r="BS116"/>
  <c r="BX12"/>
  <c r="BQ114"/>
  <c r="BR114" s="1"/>
  <c r="AH114" s="1"/>
  <c r="L114"/>
  <c r="AP25"/>
  <c r="BV25"/>
  <c r="AP21"/>
  <c r="BV21"/>
  <c r="AP17"/>
  <c r="BV17"/>
  <c r="AP23"/>
  <c r="BV23"/>
  <c r="AP19"/>
  <c r="BV19"/>
  <c r="AP15"/>
  <c r="BV15"/>
  <c r="BS24"/>
  <c r="BW24"/>
  <c r="BX24" s="1"/>
  <c r="BS16"/>
  <c r="BW16"/>
  <c r="BX16" s="1"/>
  <c r="BW21"/>
  <c r="BX21" s="1"/>
  <c r="BS21"/>
  <c r="AP22"/>
  <c r="BV22"/>
  <c r="AP18"/>
  <c r="BV18"/>
  <c r="BS22"/>
  <c r="BW22"/>
  <c r="BX22" s="1"/>
  <c r="BW19"/>
  <c r="BX19" s="1"/>
  <c r="BS19"/>
  <c r="BW91"/>
  <c r="BX91" s="1"/>
  <c r="BS91"/>
  <c r="BW92"/>
  <c r="BX92" s="1"/>
  <c r="BS92"/>
  <c r="BW93"/>
  <c r="BX93" s="1"/>
  <c r="BS93"/>
  <c r="BW96"/>
  <c r="BX96" s="1"/>
  <c r="BS96"/>
  <c r="BQ111"/>
  <c r="BR111" s="1"/>
  <c r="BS111"/>
  <c r="BW111"/>
  <c r="BX111" s="1"/>
  <c r="BO108"/>
  <c r="BP108" s="1"/>
  <c r="BW108"/>
  <c r="BX108" s="1"/>
  <c r="BS108"/>
  <c r="BI108" s="1"/>
  <c r="BS109"/>
  <c r="BW109"/>
  <c r="BX109" s="1"/>
  <c r="BW114"/>
  <c r="BX114" s="1"/>
  <c r="BS114"/>
  <c r="BI114" s="1"/>
  <c r="BQ110"/>
  <c r="BR110" s="1"/>
  <c r="M97"/>
  <c r="J97"/>
  <c r="I97"/>
  <c r="H97"/>
  <c r="BO111"/>
  <c r="BP111" s="1"/>
  <c r="BQ108"/>
  <c r="BR108" s="1"/>
  <c r="AH108" s="1"/>
  <c r="BO109"/>
  <c r="BP109" s="1"/>
  <c r="H112"/>
  <c r="J112"/>
  <c r="AG100"/>
  <c r="AY100"/>
  <c r="AH100"/>
  <c r="AZ100"/>
  <c r="AG104"/>
  <c r="AY104"/>
  <c r="AH104"/>
  <c r="AZ104"/>
  <c r="I101"/>
  <c r="J101"/>
  <c r="I99"/>
  <c r="J99"/>
  <c r="M99"/>
  <c r="AN99" s="1"/>
  <c r="I103"/>
  <c r="K103"/>
  <c r="L103"/>
  <c r="J100"/>
  <c r="M100"/>
  <c r="I104"/>
  <c r="J104"/>
  <c r="BO114"/>
  <c r="BP114" s="1"/>
  <c r="AF114" s="1"/>
  <c r="H118"/>
  <c r="L98"/>
  <c r="AN90"/>
  <c r="AY90"/>
  <c r="AR90"/>
  <c r="BK90"/>
  <c r="AX90"/>
  <c r="AH90"/>
  <c r="BF90"/>
  <c r="AE90"/>
  <c r="AI90"/>
  <c r="AZ90"/>
  <c r="AL90"/>
  <c r="AN88"/>
  <c r="BN88"/>
  <c r="BJ88"/>
  <c r="AY88"/>
  <c r="AR88"/>
  <c r="AG88"/>
  <c r="BI88"/>
  <c r="BK88"/>
  <c r="AX88"/>
  <c r="AS88"/>
  <c r="AD88"/>
  <c r="AH88"/>
  <c r="BF88"/>
  <c r="AW88"/>
  <c r="BA88"/>
  <c r="AE88"/>
  <c r="AI88"/>
  <c r="BD88"/>
  <c r="AV88"/>
  <c r="AZ88"/>
  <c r="AL88"/>
  <c r="AF88"/>
  <c r="AN92"/>
  <c r="BN92"/>
  <c r="BJ92"/>
  <c r="AY92"/>
  <c r="AR92"/>
  <c r="AG92"/>
  <c r="BI92"/>
  <c r="BK92"/>
  <c r="AX92"/>
  <c r="AS92"/>
  <c r="AD92"/>
  <c r="AH92"/>
  <c r="BF92"/>
  <c r="AW92"/>
  <c r="BA92"/>
  <c r="AE92"/>
  <c r="AI92"/>
  <c r="BD92"/>
  <c r="AV92"/>
  <c r="AZ92"/>
  <c r="AL92"/>
  <c r="AF92"/>
  <c r="BK93"/>
  <c r="AY93"/>
  <c r="AR93"/>
  <c r="AE93"/>
  <c r="AI93"/>
  <c r="BN93"/>
  <c r="BF93"/>
  <c r="AV93"/>
  <c r="AZ93"/>
  <c r="AD93"/>
  <c r="AH93"/>
  <c r="AW93"/>
  <c r="BA93"/>
  <c r="AG93"/>
  <c r="BI93"/>
  <c r="AX93"/>
  <c r="AS93"/>
  <c r="AN93"/>
  <c r="BD93"/>
  <c r="AL93"/>
  <c r="BJ93"/>
  <c r="AF93"/>
  <c r="BH13"/>
  <c r="K14"/>
  <c r="Q24"/>
  <c r="Q16"/>
  <c r="Q20"/>
  <c r="AN25"/>
  <c r="AN21"/>
  <c r="AN17"/>
  <c r="AN24"/>
  <c r="AN20"/>
  <c r="AN16"/>
  <c r="Q25"/>
  <c r="Q17"/>
  <c r="Q18"/>
  <c r="Q23"/>
  <c r="AN23"/>
  <c r="AN19"/>
  <c r="AN22"/>
  <c r="AN18"/>
  <c r="Q28"/>
  <c r="Q21"/>
  <c r="Q22"/>
  <c r="Q19"/>
  <c r="H28"/>
  <c r="E22" i="14" s="1"/>
  <c r="I28" i="4"/>
  <c r="J28"/>
  <c r="F29"/>
  <c r="F16" i="26" s="1"/>
  <c r="N16" s="1"/>
  <c r="G29" i="4"/>
  <c r="G16" i="26" s="1"/>
  <c r="H16" s="1"/>
  <c r="H23" i="4"/>
  <c r="E18" i="14" s="1"/>
  <c r="I23" i="4"/>
  <c r="J23"/>
  <c r="K23" s="1"/>
  <c r="AD23"/>
  <c r="BH23" s="1"/>
  <c r="H19"/>
  <c r="E14" i="14" s="1"/>
  <c r="I19" i="4"/>
  <c r="J19"/>
  <c r="K19" s="1"/>
  <c r="AD19"/>
  <c r="BH19" s="1"/>
  <c r="H15"/>
  <c r="E10" i="14" s="1"/>
  <c r="J15" i="4"/>
  <c r="I15"/>
  <c r="AD15"/>
  <c r="AD24"/>
  <c r="BH24" s="1"/>
  <c r="I24"/>
  <c r="L24"/>
  <c r="J24"/>
  <c r="H24"/>
  <c r="E19" i="14" s="1"/>
  <c r="AD20" i="4"/>
  <c r="BH20" s="1"/>
  <c r="I20"/>
  <c r="L20"/>
  <c r="J20"/>
  <c r="H20"/>
  <c r="E15" i="14" s="1"/>
  <c r="AD16" i="4"/>
  <c r="BH16" s="1"/>
  <c r="I16"/>
  <c r="L16"/>
  <c r="J16"/>
  <c r="H16"/>
  <c r="E11" i="14" s="1"/>
  <c r="F11" s="1"/>
  <c r="I25" i="4"/>
  <c r="J25"/>
  <c r="H25"/>
  <c r="E20" i="14" s="1"/>
  <c r="AD25" i="4"/>
  <c r="BB25" s="1"/>
  <c r="I21"/>
  <c r="J21"/>
  <c r="K21" s="1"/>
  <c r="H21"/>
  <c r="E16" i="14" s="1"/>
  <c r="L21" i="4"/>
  <c r="AD21"/>
  <c r="BB21" s="1"/>
  <c r="I17"/>
  <c r="J17"/>
  <c r="H17"/>
  <c r="E12" i="14" s="1"/>
  <c r="AD17" i="4"/>
  <c r="BB17" s="1"/>
  <c r="AD22"/>
  <c r="BH22" s="1"/>
  <c r="H22"/>
  <c r="E17" i="14" s="1"/>
  <c r="J22" i="4"/>
  <c r="I22"/>
  <c r="AD18"/>
  <c r="BH18" s="1"/>
  <c r="H18"/>
  <c r="E13" i="14" s="1"/>
  <c r="J18" i="4"/>
  <c r="I18"/>
  <c r="I19" i="14" l="1"/>
  <c r="B19" s="1"/>
  <c r="F19"/>
  <c r="I13"/>
  <c r="B13" s="1"/>
  <c r="F13"/>
  <c r="I17"/>
  <c r="B17" s="1"/>
  <c r="F17"/>
  <c r="I16"/>
  <c r="B16" s="1"/>
  <c r="F16"/>
  <c r="I20"/>
  <c r="B20" s="1"/>
  <c r="F20"/>
  <c r="I15"/>
  <c r="B15" s="1"/>
  <c r="F15"/>
  <c r="K7"/>
  <c r="I22"/>
  <c r="F22"/>
  <c r="I10"/>
  <c r="F10"/>
  <c r="I14"/>
  <c r="B14" s="1"/>
  <c r="F14"/>
  <c r="I18"/>
  <c r="B18" s="1"/>
  <c r="F18"/>
  <c r="I12"/>
  <c r="B12" s="1"/>
  <c r="F12"/>
  <c r="AF90" i="4"/>
  <c r="BD90"/>
  <c r="AW90"/>
  <c r="AS90"/>
  <c r="AG90"/>
  <c r="BN90"/>
  <c r="AV90"/>
  <c r="BA90"/>
  <c r="AD90"/>
  <c r="BI90"/>
  <c r="A28" i="9"/>
  <c r="B27"/>
  <c r="A25" i="12" s="1"/>
  <c r="AL87" i="4"/>
  <c r="AG87"/>
  <c r="BW87"/>
  <c r="BX87" s="1"/>
  <c r="AZ87"/>
  <c r="AD87"/>
  <c r="BK87"/>
  <c r="M10" i="26"/>
  <c r="AY87" i="4"/>
  <c r="AI87"/>
  <c r="AX87"/>
  <c r="BF91"/>
  <c r="BQ117"/>
  <c r="BR117" s="1"/>
  <c r="BN87"/>
  <c r="AS87"/>
  <c r="BD87"/>
  <c r="BO117"/>
  <c r="BP117" s="1"/>
  <c r="BE117" s="1"/>
  <c r="AH87"/>
  <c r="BF87"/>
  <c r="AR87"/>
  <c r="AF87"/>
  <c r="BI87"/>
  <c r="AW87"/>
  <c r="BW117"/>
  <c r="BX117" s="1"/>
  <c r="AV87"/>
  <c r="AE87"/>
  <c r="AN87"/>
  <c r="BJ87"/>
  <c r="K97"/>
  <c r="L97" s="1"/>
  <c r="AG89"/>
  <c r="AL91"/>
  <c r="K99"/>
  <c r="D29"/>
  <c r="AS91"/>
  <c r="AH91"/>
  <c r="AR91"/>
  <c r="AD99"/>
  <c r="BF99" s="1"/>
  <c r="L99"/>
  <c r="BH99"/>
  <c r="W29"/>
  <c r="B29"/>
  <c r="B16" i="26" s="1"/>
  <c r="C29" i="4"/>
  <c r="D16" i="26" s="1"/>
  <c r="M29" i="4"/>
  <c r="BW29" s="1"/>
  <c r="BX29" s="1"/>
  <c r="E29"/>
  <c r="E16" i="26" s="1"/>
  <c r="V29" i="4"/>
  <c r="AV89"/>
  <c r="BS87"/>
  <c r="AR69" i="1"/>
  <c r="B30" i="4" s="1"/>
  <c r="E30"/>
  <c r="E17" i="26" s="1"/>
  <c r="D30" i="4"/>
  <c r="G30"/>
  <c r="G17" i="26" s="1"/>
  <c r="H17" s="1"/>
  <c r="I17" s="1"/>
  <c r="M30" i="4"/>
  <c r="BS30" s="1"/>
  <c r="F30"/>
  <c r="F17" i="26" s="1"/>
  <c r="N17" s="1"/>
  <c r="AY89" i="4"/>
  <c r="S30"/>
  <c r="V30"/>
  <c r="AZ89"/>
  <c r="AS89"/>
  <c r="BD89"/>
  <c r="BO115"/>
  <c r="BP115" s="1"/>
  <c r="BQ115"/>
  <c r="BR115" s="1"/>
  <c r="BO102"/>
  <c r="BS115"/>
  <c r="M12" i="26"/>
  <c r="AR89" i="4"/>
  <c r="AI89"/>
  <c r="AN89"/>
  <c r="BJ89"/>
  <c r="BA89"/>
  <c r="BS102"/>
  <c r="L9" i="26"/>
  <c r="M9" s="1"/>
  <c r="K15"/>
  <c r="Q15"/>
  <c r="I15"/>
  <c r="R9"/>
  <c r="M13"/>
  <c r="AD89" i="4"/>
  <c r="BN89"/>
  <c r="AH89"/>
  <c r="BF89"/>
  <c r="AE89"/>
  <c r="BK89"/>
  <c r="AF89"/>
  <c r="AX89"/>
  <c r="BI89"/>
  <c r="AL89"/>
  <c r="Q16" i="26"/>
  <c r="R16" s="1"/>
  <c r="K16"/>
  <c r="L16" s="1"/>
  <c r="I16"/>
  <c r="BY29" i="4"/>
  <c r="Q11" i="26"/>
  <c r="R11" s="1"/>
  <c r="K11"/>
  <c r="L11" s="1"/>
  <c r="I11"/>
  <c r="I14" s="1"/>
  <c r="A10" i="14"/>
  <c r="B10" s="1"/>
  <c r="B9"/>
  <c r="B8"/>
  <c r="G11"/>
  <c r="I11"/>
  <c r="B11" s="1"/>
  <c r="BO90" i="4"/>
  <c r="AN91"/>
  <c r="BI91"/>
  <c r="AW91"/>
  <c r="AZ91"/>
  <c r="AI91"/>
  <c r="BK91"/>
  <c r="BW88"/>
  <c r="BX88" s="1"/>
  <c r="J94"/>
  <c r="K118"/>
  <c r="K119" s="1"/>
  <c r="L17"/>
  <c r="K17"/>
  <c r="L25"/>
  <c r="K25"/>
  <c r="AM116"/>
  <c r="BS104"/>
  <c r="L19"/>
  <c r="L23"/>
  <c r="L18"/>
  <c r="K18"/>
  <c r="L22"/>
  <c r="K22"/>
  <c r="K16"/>
  <c r="K20"/>
  <c r="K24"/>
  <c r="BF18"/>
  <c r="BF22"/>
  <c r="BF19"/>
  <c r="BF23"/>
  <c r="BF16"/>
  <c r="BF20"/>
  <c r="BF24"/>
  <c r="BF17"/>
  <c r="BF21"/>
  <c r="BF25"/>
  <c r="BB19"/>
  <c r="BB23"/>
  <c r="BH17"/>
  <c r="BH21"/>
  <c r="BH25"/>
  <c r="BB18"/>
  <c r="BB22"/>
  <c r="BW103"/>
  <c r="BX103" s="1"/>
  <c r="BB16"/>
  <c r="BB20"/>
  <c r="BB24"/>
  <c r="BO104"/>
  <c r="BS90"/>
  <c r="G10" i="14"/>
  <c r="AX91" i="4"/>
  <c r="AF91"/>
  <c r="BJ91"/>
  <c r="AG91"/>
  <c r="BA91"/>
  <c r="BD91"/>
  <c r="AD91"/>
  <c r="AV91"/>
  <c r="BN91"/>
  <c r="AE91"/>
  <c r="BS88"/>
  <c r="L118"/>
  <c r="L119" s="1"/>
  <c r="BS103"/>
  <c r="BO98"/>
  <c r="AE98" s="1"/>
  <c r="AD98"/>
  <c r="BW101"/>
  <c r="BX101" s="1"/>
  <c r="BS98"/>
  <c r="AF108"/>
  <c r="BS101"/>
  <c r="BW98"/>
  <c r="BX98" s="1"/>
  <c r="H119"/>
  <c r="AM108"/>
  <c r="G9" i="14"/>
  <c r="G8"/>
  <c r="AW108" i="4"/>
  <c r="AZ108"/>
  <c r="AY108"/>
  <c r="AX108"/>
  <c r="BO86"/>
  <c r="BP86" s="1"/>
  <c r="BS86"/>
  <c r="BW86"/>
  <c r="BX86" s="1"/>
  <c r="AE108"/>
  <c r="CA86"/>
  <c r="H86"/>
  <c r="H94" s="1"/>
  <c r="AD86"/>
  <c r="BH86" s="1"/>
  <c r="AG108"/>
  <c r="BO99"/>
  <c r="AE99" s="1"/>
  <c r="BW99"/>
  <c r="BX99" s="1"/>
  <c r="BS99"/>
  <c r="BI99" s="1"/>
  <c r="BW97"/>
  <c r="BX97" s="1"/>
  <c r="BS97"/>
  <c r="AY114"/>
  <c r="AZ114"/>
  <c r="AX114"/>
  <c r="AW114"/>
  <c r="BO100"/>
  <c r="BW100"/>
  <c r="BX100" s="1"/>
  <c r="BS100"/>
  <c r="AE114"/>
  <c r="AL114" s="1"/>
  <c r="AG114"/>
  <c r="L105"/>
  <c r="AM114"/>
  <c r="BE114"/>
  <c r="AM117"/>
  <c r="BE109"/>
  <c r="AO109"/>
  <c r="AQ109"/>
  <c r="BG109"/>
  <c r="BE111"/>
  <c r="AO111"/>
  <c r="AQ111"/>
  <c r="BG111"/>
  <c r="AO110"/>
  <c r="AQ110"/>
  <c r="BG110"/>
  <c r="AO116"/>
  <c r="AQ116"/>
  <c r="BG116"/>
  <c r="AQ108"/>
  <c r="BG108"/>
  <c r="AO108"/>
  <c r="AD97"/>
  <c r="BH97" s="1"/>
  <c r="BO97"/>
  <c r="AE97" s="1"/>
  <c r="AO114"/>
  <c r="AQ114"/>
  <c r="BG114"/>
  <c r="AO117"/>
  <c r="BG117"/>
  <c r="AQ117"/>
  <c r="BE110"/>
  <c r="H105"/>
  <c r="J105"/>
  <c r="J119"/>
  <c r="BE116"/>
  <c r="AM109"/>
  <c r="AM111"/>
  <c r="BE108"/>
  <c r="AM110"/>
  <c r="AW98"/>
  <c r="H26"/>
  <c r="J26"/>
  <c r="K28"/>
  <c r="BH15"/>
  <c r="AD29"/>
  <c r="H29"/>
  <c r="E23" i="14" s="1"/>
  <c r="J29" i="4"/>
  <c r="I29"/>
  <c r="K15"/>
  <c r="AR70" i="1"/>
  <c r="AR71" s="1"/>
  <c r="I23" i="14" l="1"/>
  <c r="F23"/>
  <c r="G22"/>
  <c r="Q29" i="4"/>
  <c r="BS29"/>
  <c r="BH29"/>
  <c r="BW30"/>
  <c r="BX30" s="1"/>
  <c r="AP29"/>
  <c r="D23" i="14"/>
  <c r="B28" i="9"/>
  <c r="A26" i="12" s="1"/>
  <c r="A29" i="9"/>
  <c r="K105" i="4"/>
  <c r="AM115"/>
  <c r="J30"/>
  <c r="Q30"/>
  <c r="AP30"/>
  <c r="AQ115"/>
  <c r="K17" i="26"/>
  <c r="L17" s="1"/>
  <c r="M17" s="1"/>
  <c r="I30" i="4"/>
  <c r="AO115"/>
  <c r="BE115"/>
  <c r="H30"/>
  <c r="E24" i="14" s="1"/>
  <c r="AD30" i="4"/>
  <c r="BH30" s="1"/>
  <c r="BG115"/>
  <c r="J106"/>
  <c r="C23" i="14"/>
  <c r="K26" i="4"/>
  <c r="Q17" i="26"/>
  <c r="R17" s="1"/>
  <c r="D24" i="14"/>
  <c r="AW97" i="4"/>
  <c r="C30"/>
  <c r="W30"/>
  <c r="C24" i="14"/>
  <c r="B17" i="26"/>
  <c r="AW99" i="4"/>
  <c r="M16" i="26"/>
  <c r="R15"/>
  <c r="L15"/>
  <c r="K14"/>
  <c r="Q14"/>
  <c r="M11"/>
  <c r="M14" s="1"/>
  <c r="R14"/>
  <c r="L14"/>
  <c r="A11" i="14"/>
  <c r="A12" s="1"/>
  <c r="A13" s="1"/>
  <c r="A14" s="1"/>
  <c r="A15" s="1"/>
  <c r="A16" s="1"/>
  <c r="A17" s="1"/>
  <c r="A18" s="1"/>
  <c r="A19" s="1"/>
  <c r="A20" s="1"/>
  <c r="A21" s="1"/>
  <c r="A22" s="1"/>
  <c r="G14"/>
  <c r="G19"/>
  <c r="G15"/>
  <c r="G16"/>
  <c r="G13"/>
  <c r="G18"/>
  <c r="G20"/>
  <c r="G12"/>
  <c r="G17"/>
  <c r="BH98" i="4"/>
  <c r="G23" i="14"/>
  <c r="BD108" i="4"/>
  <c r="BA108"/>
  <c r="K86"/>
  <c r="H106"/>
  <c r="AL108"/>
  <c r="AI108"/>
  <c r="M31"/>
  <c r="D31"/>
  <c r="S31"/>
  <c r="W31"/>
  <c r="V31"/>
  <c r="BD114"/>
  <c r="W32"/>
  <c r="S32"/>
  <c r="V32"/>
  <c r="K29"/>
  <c r="B32"/>
  <c r="F32"/>
  <c r="F19" i="26" s="1"/>
  <c r="N19" s="1"/>
  <c r="E31" i="4"/>
  <c r="E18" i="26" s="1"/>
  <c r="C31" i="4"/>
  <c r="F31"/>
  <c r="F18" i="26" s="1"/>
  <c r="N18" s="1"/>
  <c r="G31" i="4"/>
  <c r="G18" i="26" s="1"/>
  <c r="H18" s="1"/>
  <c r="E32" i="4"/>
  <c r="C32"/>
  <c r="D32"/>
  <c r="M32"/>
  <c r="G32"/>
  <c r="G19" i="26" s="1"/>
  <c r="H19" s="1"/>
  <c r="B31" i="4"/>
  <c r="AR72" i="1"/>
  <c r="I24" i="14" l="1"/>
  <c r="F24"/>
  <c r="G24" s="1"/>
  <c r="K30" i="4"/>
  <c r="B29" i="9"/>
  <c r="A27" i="12" s="1"/>
  <c r="A30" i="9"/>
  <c r="A31" s="1"/>
  <c r="B31" s="1"/>
  <c r="A29" i="12" s="1"/>
  <c r="BY30" i="4"/>
  <c r="D17" i="26"/>
  <c r="I19"/>
  <c r="Q19"/>
  <c r="R19" s="1"/>
  <c r="K19"/>
  <c r="L19" s="1"/>
  <c r="M19" s="1"/>
  <c r="D26" i="14"/>
  <c r="E19" i="26"/>
  <c r="C26" i="14"/>
  <c r="B19" i="26"/>
  <c r="C25" i="14"/>
  <c r="B18" i="26"/>
  <c r="BY32" i="4"/>
  <c r="D19" i="26"/>
  <c r="Q18"/>
  <c r="K18"/>
  <c r="I18"/>
  <c r="BY31" i="4"/>
  <c r="D18" i="26"/>
  <c r="M15"/>
  <c r="A23" i="14"/>
  <c r="B22"/>
  <c r="D25"/>
  <c r="K94" i="4"/>
  <c r="K106" s="1"/>
  <c r="L86"/>
  <c r="AE86"/>
  <c r="AF86"/>
  <c r="AR108"/>
  <c r="AS108" s="1"/>
  <c r="AV108" s="1"/>
  <c r="BJ108"/>
  <c r="BK108" s="1"/>
  <c r="BN108" s="1"/>
  <c r="BW32"/>
  <c r="BX32" s="1"/>
  <c r="BS32"/>
  <c r="BW31"/>
  <c r="BS31"/>
  <c r="AD32"/>
  <c r="BH32" s="1"/>
  <c r="AP32"/>
  <c r="AD31"/>
  <c r="BH31" s="1"/>
  <c r="AP31"/>
  <c r="Q32"/>
  <c r="Q31"/>
  <c r="AR73" i="1"/>
  <c r="AR74" s="1"/>
  <c r="AR75" s="1"/>
  <c r="AR76" s="1"/>
  <c r="H32" i="4"/>
  <c r="E26" i="14" s="1"/>
  <c r="F26" s="1"/>
  <c r="I32" i="4"/>
  <c r="J32"/>
  <c r="H31"/>
  <c r="E25" i="14" s="1"/>
  <c r="F25" s="1"/>
  <c r="J31" i="4"/>
  <c r="I31"/>
  <c r="K127"/>
  <c r="A3" i="3"/>
  <c r="A3" i="29" s="1"/>
  <c r="L19" i="2"/>
  <c r="C14" i="3"/>
  <c r="B14"/>
  <c r="H9" i="6"/>
  <c r="I9" s="1"/>
  <c r="H10"/>
  <c r="I10" s="1"/>
  <c r="H11"/>
  <c r="I11" s="1"/>
  <c r="F9"/>
  <c r="G9" s="1"/>
  <c r="F10"/>
  <c r="G10" s="1"/>
  <c r="F11"/>
  <c r="H8"/>
  <c r="F8"/>
  <c r="G8" s="1"/>
  <c r="D9"/>
  <c r="E9" s="1"/>
  <c r="D10"/>
  <c r="E10" s="1"/>
  <c r="D11"/>
  <c r="E11" s="1"/>
  <c r="D8"/>
  <c r="E8" s="1"/>
  <c r="B9"/>
  <c r="C9" s="1"/>
  <c r="B10"/>
  <c r="C10" s="1"/>
  <c r="B11"/>
  <c r="C11" s="1"/>
  <c r="B8"/>
  <c r="C8" s="1"/>
  <c r="H17"/>
  <c r="G11"/>
  <c r="H9" i="2"/>
  <c r="K9" s="1"/>
  <c r="D9"/>
  <c r="C9"/>
  <c r="B42" i="3"/>
  <c r="B44"/>
  <c r="B40"/>
  <c r="B39"/>
  <c r="I5" i="5"/>
  <c r="BM123" i="4"/>
  <c r="BL123"/>
  <c r="BC123"/>
  <c r="AU123"/>
  <c r="AT123"/>
  <c r="AK123"/>
  <c r="AJ123"/>
  <c r="C30" i="3"/>
  <c r="C29"/>
  <c r="BT104" i="4"/>
  <c r="W104"/>
  <c r="BP104"/>
  <c r="BU104"/>
  <c r="BT103"/>
  <c r="BG103"/>
  <c r="W103"/>
  <c r="BU103"/>
  <c r="BT102"/>
  <c r="W102"/>
  <c r="BQ102"/>
  <c r="BR102" s="1"/>
  <c r="BU102"/>
  <c r="BT101"/>
  <c r="BG101"/>
  <c r="W101"/>
  <c r="BU101"/>
  <c r="BT100"/>
  <c r="W100"/>
  <c r="BQ100"/>
  <c r="BR100" s="1"/>
  <c r="BU100"/>
  <c r="BT99"/>
  <c r="BG99"/>
  <c r="W99"/>
  <c r="BU99"/>
  <c r="BT98"/>
  <c r="W98"/>
  <c r="BQ98"/>
  <c r="BU98"/>
  <c r="BT97"/>
  <c r="W97"/>
  <c r="BU97"/>
  <c r="BT96"/>
  <c r="W96"/>
  <c r="BQ96"/>
  <c r="BU96"/>
  <c r="BT93"/>
  <c r="BG93" s="1"/>
  <c r="W93"/>
  <c r="BQ93"/>
  <c r="BR93" s="1"/>
  <c r="BU93"/>
  <c r="BT92"/>
  <c r="BG92" s="1"/>
  <c r="W92"/>
  <c r="BU92"/>
  <c r="BT91"/>
  <c r="BG91" s="1"/>
  <c r="W91"/>
  <c r="BP91"/>
  <c r="BE91" s="1"/>
  <c r="BU91"/>
  <c r="BT90"/>
  <c r="W90"/>
  <c r="BU90"/>
  <c r="BT89"/>
  <c r="BG89" s="1"/>
  <c r="W89"/>
  <c r="BQ89"/>
  <c r="BR89" s="1"/>
  <c r="BU89"/>
  <c r="BT88"/>
  <c r="W88"/>
  <c r="BU88"/>
  <c r="BT87"/>
  <c r="BG87" s="1"/>
  <c r="W87"/>
  <c r="BP87"/>
  <c r="BE87" s="1"/>
  <c r="BU87"/>
  <c r="BT86"/>
  <c r="W86"/>
  <c r="BU86"/>
  <c r="BV85"/>
  <c r="BV84"/>
  <c r="BV83"/>
  <c r="BV82"/>
  <c r="BV81"/>
  <c r="BV80"/>
  <c r="BV79"/>
  <c r="BV78"/>
  <c r="BV77"/>
  <c r="BV76"/>
  <c r="BV75"/>
  <c r="BV74"/>
  <c r="BV73"/>
  <c r="BV72"/>
  <c r="BT32"/>
  <c r="BU32"/>
  <c r="BT31"/>
  <c r="BV31"/>
  <c r="BU31"/>
  <c r="BT30"/>
  <c r="BU30"/>
  <c r="BT29"/>
  <c r="BU29"/>
  <c r="BT28"/>
  <c r="BU28"/>
  <c r="BV26"/>
  <c r="BT25"/>
  <c r="BU25"/>
  <c r="BT24"/>
  <c r="BU24"/>
  <c r="BT23"/>
  <c r="BU23"/>
  <c r="BT22"/>
  <c r="BU22"/>
  <c r="BT21"/>
  <c r="BU21"/>
  <c r="BT20"/>
  <c r="BU20"/>
  <c r="BT19"/>
  <c r="BU19"/>
  <c r="BT18"/>
  <c r="BU18"/>
  <c r="BT17"/>
  <c r="BU17"/>
  <c r="BT16"/>
  <c r="BU16"/>
  <c r="BT15"/>
  <c r="L15"/>
  <c r="BU15"/>
  <c r="BT14"/>
  <c r="L14"/>
  <c r="BU14"/>
  <c r="BT13"/>
  <c r="L13"/>
  <c r="BU13"/>
  <c r="BT12"/>
  <c r="BB10"/>
  <c r="AI10"/>
  <c r="D14" i="2"/>
  <c r="C14"/>
  <c r="H37" i="1"/>
  <c r="H7" i="2" s="1"/>
  <c r="I9" i="1"/>
  <c r="G37"/>
  <c r="D37"/>
  <c r="E9"/>
  <c r="C37"/>
  <c r="D9"/>
  <c r="J197"/>
  <c r="I197"/>
  <c r="H197"/>
  <c r="G197"/>
  <c r="F197"/>
  <c r="E197"/>
  <c r="K172"/>
  <c r="K171"/>
  <c r="K170"/>
  <c r="K169"/>
  <c r="K168"/>
  <c r="K167"/>
  <c r="K166"/>
  <c r="K165"/>
  <c r="K164"/>
  <c r="K163"/>
  <c r="K162"/>
  <c r="K161"/>
  <c r="K160"/>
  <c r="K159"/>
  <c r="K158"/>
  <c r="K157"/>
  <c r="C157"/>
  <c r="J153"/>
  <c r="I153"/>
  <c r="H153"/>
  <c r="G153"/>
  <c r="F153"/>
  <c r="E153"/>
  <c r="K128"/>
  <c r="K127"/>
  <c r="K126"/>
  <c r="K125"/>
  <c r="K124"/>
  <c r="K123"/>
  <c r="K122"/>
  <c r="K121"/>
  <c r="K120"/>
  <c r="K119"/>
  <c r="K118"/>
  <c r="K117"/>
  <c r="K116"/>
  <c r="K115"/>
  <c r="K114"/>
  <c r="B114"/>
  <c r="K113"/>
  <c r="C113"/>
  <c r="B113"/>
  <c r="I54"/>
  <c r="G54"/>
  <c r="D54"/>
  <c r="B54"/>
  <c r="J53"/>
  <c r="H53"/>
  <c r="E53"/>
  <c r="C53"/>
  <c r="J52"/>
  <c r="H52"/>
  <c r="E52"/>
  <c r="C52"/>
  <c r="J51"/>
  <c r="H51"/>
  <c r="E51"/>
  <c r="C51"/>
  <c r="J50"/>
  <c r="J54" s="1"/>
  <c r="H50"/>
  <c r="H54" s="1"/>
  <c r="E50"/>
  <c r="E54" s="1"/>
  <c r="C50"/>
  <c r="E44"/>
  <c r="D44"/>
  <c r="C44"/>
  <c r="G43"/>
  <c r="E13" i="2" s="1"/>
  <c r="G42" i="1"/>
  <c r="E12" i="2" s="1"/>
  <c r="G41" i="1"/>
  <c r="E11" i="2" s="1"/>
  <c r="G40" i="1"/>
  <c r="E10" i="2" s="1"/>
  <c r="F39" i="1"/>
  <c r="F44" s="1"/>
  <c r="H29"/>
  <c r="E29" i="5" s="1"/>
  <c r="H28" i="1"/>
  <c r="E28" i="5" s="1"/>
  <c r="H27" i="1"/>
  <c r="E27" i="5" s="1"/>
  <c r="H26" i="1"/>
  <c r="E26" i="5" s="1"/>
  <c r="H25" i="1"/>
  <c r="C24"/>
  <c r="C32" s="1"/>
  <c r="H23"/>
  <c r="E23" i="5" s="1"/>
  <c r="H22" i="1"/>
  <c r="E22" i="5" s="1"/>
  <c r="H21" i="1"/>
  <c r="E21" i="5" s="1"/>
  <c r="H20" i="1"/>
  <c r="E20" i="5" s="1"/>
  <c r="H19" i="1"/>
  <c r="E19" i="5" s="1"/>
  <c r="H18" i="1"/>
  <c r="E18" i="5" s="1"/>
  <c r="H17" i="1"/>
  <c r="E17" i="5" s="1"/>
  <c r="H16" i="1"/>
  <c r="I14"/>
  <c r="G14"/>
  <c r="G14" i="5" s="1"/>
  <c r="G33" s="1"/>
  <c r="F14" i="1"/>
  <c r="E14"/>
  <c r="D14" i="5" s="1"/>
  <c r="D33" s="1"/>
  <c r="D14" i="1"/>
  <c r="C14" i="5" s="1"/>
  <c r="C33" s="1"/>
  <c r="C14" i="1"/>
  <c r="H13"/>
  <c r="E13" i="5" s="1"/>
  <c r="H12" i="1"/>
  <c r="E12" i="5" s="1"/>
  <c r="C2" i="1"/>
  <c r="G15" i="29" s="1"/>
  <c r="E16" i="5" l="1"/>
  <c r="E24" s="1"/>
  <c r="H24" i="1"/>
  <c r="F14" i="5"/>
  <c r="F33" s="1"/>
  <c r="C33" i="1"/>
  <c r="M9" i="2"/>
  <c r="O9"/>
  <c r="H14"/>
  <c r="AR77" i="1"/>
  <c r="K32" i="4"/>
  <c r="D33"/>
  <c r="B34"/>
  <c r="B21" i="26" s="1"/>
  <c r="F34" i="4"/>
  <c r="F21" i="26" s="1"/>
  <c r="N21" s="1"/>
  <c r="V33" i="4"/>
  <c r="BT33" s="1"/>
  <c r="S33"/>
  <c r="W33"/>
  <c r="C37"/>
  <c r="C43"/>
  <c r="M36" i="5"/>
  <c r="R44" i="13"/>
  <c r="E60" i="28"/>
  <c r="K22" i="25"/>
  <c r="T35" i="26"/>
  <c r="I15" i="18"/>
  <c r="E25" i="5"/>
  <c r="E31" s="1"/>
  <c r="E32" s="1"/>
  <c r="H31" i="1"/>
  <c r="L18" i="26"/>
  <c r="F1" i="28"/>
  <c r="K3" i="25"/>
  <c r="J5" i="24"/>
  <c r="S5" i="26"/>
  <c r="G2" i="23"/>
  <c r="R18" i="26"/>
  <c r="A24" i="14"/>
  <c r="B23"/>
  <c r="E1" i="19"/>
  <c r="S2" i="13"/>
  <c r="I1" i="18"/>
  <c r="C37" i="20"/>
  <c r="G2" i="14"/>
  <c r="F1" i="16"/>
  <c r="I1" i="17"/>
  <c r="G25" i="14"/>
  <c r="I25"/>
  <c r="G26"/>
  <c r="I26"/>
  <c r="H14" i="1"/>
  <c r="E14" i="5" s="1"/>
  <c r="H16" i="6"/>
  <c r="K27" i="24"/>
  <c r="F17" i="23"/>
  <c r="H41" i="22"/>
  <c r="I12" i="21"/>
  <c r="E19" i="19"/>
  <c r="I15" i="17"/>
  <c r="F70" i="14"/>
  <c r="F34" i="12"/>
  <c r="C35" i="20"/>
  <c r="P16" i="15"/>
  <c r="F13" i="16"/>
  <c r="Q35" i="11"/>
  <c r="M36" i="9"/>
  <c r="R23" i="7"/>
  <c r="F35" i="10"/>
  <c r="O35" s="1"/>
  <c r="S1" i="7"/>
  <c r="A4" i="23"/>
  <c r="H1" i="22"/>
  <c r="I1" i="21"/>
  <c r="Q1" i="15"/>
  <c r="F1" i="12"/>
  <c r="G1" i="10"/>
  <c r="P1" i="11"/>
  <c r="P1" i="10"/>
  <c r="N1" i="9"/>
  <c r="A2" i="18"/>
  <c r="A2" i="17"/>
  <c r="A3" i="10"/>
  <c r="J3"/>
  <c r="H14" i="5"/>
  <c r="H33" s="1"/>
  <c r="I32" i="1"/>
  <c r="G9"/>
  <c r="H9"/>
  <c r="AN98" i="4"/>
  <c r="BF98"/>
  <c r="L26"/>
  <c r="G42"/>
  <c r="H42" s="1"/>
  <c r="E36" i="14" s="1"/>
  <c r="F36" s="1"/>
  <c r="F36" i="4"/>
  <c r="G43"/>
  <c r="G37"/>
  <c r="AD37" s="1"/>
  <c r="K23" i="10"/>
  <c r="R23" s="1"/>
  <c r="B23"/>
  <c r="I23" s="1"/>
  <c r="K22"/>
  <c r="R22" s="1"/>
  <c r="B22"/>
  <c r="I22" s="1"/>
  <c r="K21"/>
  <c r="R21" s="1"/>
  <c r="B21"/>
  <c r="I21" s="1"/>
  <c r="K20"/>
  <c r="R20" s="1"/>
  <c r="B20"/>
  <c r="I20" s="1"/>
  <c r="K19"/>
  <c r="R19" s="1"/>
  <c r="B19"/>
  <c r="I19" s="1"/>
  <c r="K18"/>
  <c r="R18" s="1"/>
  <c r="B18"/>
  <c r="I18" s="1"/>
  <c r="K17"/>
  <c r="R17" s="1"/>
  <c r="B17"/>
  <c r="I17" s="1"/>
  <c r="K16"/>
  <c r="R16" s="1"/>
  <c r="B16"/>
  <c r="I16" s="1"/>
  <c r="K14"/>
  <c r="R14" s="1"/>
  <c r="B14"/>
  <c r="I14" s="1"/>
  <c r="K15"/>
  <c r="R15" s="1"/>
  <c r="B15"/>
  <c r="I15" s="1"/>
  <c r="K13"/>
  <c r="R13" s="1"/>
  <c r="B13"/>
  <c r="I13" s="1"/>
  <c r="K12"/>
  <c r="R12" s="1"/>
  <c r="B12"/>
  <c r="I12" s="1"/>
  <c r="K11"/>
  <c r="R11" s="1"/>
  <c r="B11"/>
  <c r="I11" s="1"/>
  <c r="K10"/>
  <c r="R10" s="1"/>
  <c r="B10"/>
  <c r="I10" s="1"/>
  <c r="B158" i="1"/>
  <c r="K9" i="10" s="1"/>
  <c r="R9" s="1"/>
  <c r="B9"/>
  <c r="I9" s="1"/>
  <c r="B157" i="1"/>
  <c r="K8" i="10" s="1"/>
  <c r="R8" s="1"/>
  <c r="B8"/>
  <c r="I8" s="1"/>
  <c r="C41" i="4"/>
  <c r="L94"/>
  <c r="L106" s="1"/>
  <c r="AW86"/>
  <c r="AX86"/>
  <c r="D38"/>
  <c r="B39"/>
  <c r="C33" i="14" s="1"/>
  <c r="G41" i="4"/>
  <c r="BX31"/>
  <c r="S34"/>
  <c r="V34"/>
  <c r="BT34" s="1"/>
  <c r="W34"/>
  <c r="W35"/>
  <c r="S35"/>
  <c r="F39"/>
  <c r="V35"/>
  <c r="BT35" s="1"/>
  <c r="AN114"/>
  <c r="BF114"/>
  <c r="AI114"/>
  <c r="AR114" s="1"/>
  <c r="AS114" s="1"/>
  <c r="AV114" s="1"/>
  <c r="BG88"/>
  <c r="C42"/>
  <c r="G40"/>
  <c r="BR98"/>
  <c r="AG98"/>
  <c r="AY98"/>
  <c r="BG98"/>
  <c r="BI98"/>
  <c r="V36"/>
  <c r="BT36" s="1"/>
  <c r="S37"/>
  <c r="W37"/>
  <c r="V38"/>
  <c r="BT38" s="1"/>
  <c r="S39"/>
  <c r="W39"/>
  <c r="V40"/>
  <c r="BT40" s="1"/>
  <c r="S41"/>
  <c r="W41"/>
  <c r="V42"/>
  <c r="BT42" s="1"/>
  <c r="S43"/>
  <c r="W43"/>
  <c r="V44"/>
  <c r="BT44" s="1"/>
  <c r="S36"/>
  <c r="W36"/>
  <c r="V37"/>
  <c r="BT37" s="1"/>
  <c r="S38"/>
  <c r="W38"/>
  <c r="V39"/>
  <c r="BT39" s="1"/>
  <c r="S40"/>
  <c r="W40"/>
  <c r="V41"/>
  <c r="BT41" s="1"/>
  <c r="S42"/>
  <c r="W42"/>
  <c r="V43"/>
  <c r="BT43" s="1"/>
  <c r="S44"/>
  <c r="W44"/>
  <c r="BF96"/>
  <c r="AN96"/>
  <c r="BF12"/>
  <c r="BF14"/>
  <c r="AN97"/>
  <c r="AN12"/>
  <c r="AN13"/>
  <c r="AN14"/>
  <c r="BF13"/>
  <c r="AN15"/>
  <c r="BF97"/>
  <c r="AN28"/>
  <c r="BF15"/>
  <c r="AN30"/>
  <c r="AN29"/>
  <c r="BG90"/>
  <c r="BG100"/>
  <c r="BG102"/>
  <c r="BG104"/>
  <c r="AN31"/>
  <c r="AN32"/>
  <c r="BI97"/>
  <c r="BG97"/>
  <c r="BI86"/>
  <c r="AI86"/>
  <c r="BD86"/>
  <c r="AL86"/>
  <c r="BG96"/>
  <c r="BI96"/>
  <c r="BR96"/>
  <c r="BE104"/>
  <c r="AX104"/>
  <c r="AF104"/>
  <c r="D35"/>
  <c r="G44"/>
  <c r="F12" i="6"/>
  <c r="K31" i="4"/>
  <c r="M33"/>
  <c r="B43"/>
  <c r="C37" i="14" s="1"/>
  <c r="G33" i="4"/>
  <c r="F42"/>
  <c r="D34"/>
  <c r="E43"/>
  <c r="E34"/>
  <c r="F43"/>
  <c r="C34"/>
  <c r="D21" i="26" s="1"/>
  <c r="D43" i="4"/>
  <c r="B35"/>
  <c r="M43"/>
  <c r="C39"/>
  <c r="M38"/>
  <c r="E40"/>
  <c r="D34" i="14" s="1"/>
  <c r="G39" i="4"/>
  <c r="BV39" s="1"/>
  <c r="E39"/>
  <c r="D33" i="14" s="1"/>
  <c r="F38" i="4"/>
  <c r="D40"/>
  <c r="B40"/>
  <c r="C34" i="14" s="1"/>
  <c r="E41" i="4"/>
  <c r="D35" i="14" s="1"/>
  <c r="B41" i="4"/>
  <c r="C35" i="14" s="1"/>
  <c r="F40" i="4"/>
  <c r="M41"/>
  <c r="B37"/>
  <c r="C31" i="14" s="1"/>
  <c r="G36" i="4"/>
  <c r="B38"/>
  <c r="C32" i="14" s="1"/>
  <c r="F37" i="4"/>
  <c r="D37"/>
  <c r="D36"/>
  <c r="M44"/>
  <c r="M35"/>
  <c r="C38"/>
  <c r="M37"/>
  <c r="D39"/>
  <c r="G38"/>
  <c r="BV38" s="1"/>
  <c r="E38"/>
  <c r="M39"/>
  <c r="M34"/>
  <c r="D44"/>
  <c r="G34"/>
  <c r="G21" i="26" s="1"/>
  <c r="H21" s="1"/>
  <c r="B44" i="4"/>
  <c r="C38" i="14" s="1"/>
  <c r="G35" i="4"/>
  <c r="E44"/>
  <c r="E35"/>
  <c r="R35" s="1"/>
  <c r="C35"/>
  <c r="D22" i="26" s="1"/>
  <c r="F44" i="4"/>
  <c r="F33"/>
  <c r="F20" i="26" s="1"/>
  <c r="N20" s="1"/>
  <c r="M42" i="4"/>
  <c r="C40"/>
  <c r="F35"/>
  <c r="F22" i="26" s="1"/>
  <c r="N22" s="1"/>
  <c r="M36" i="4"/>
  <c r="E36"/>
  <c r="D30" i="14" s="1"/>
  <c r="C36" i="4"/>
  <c r="E37"/>
  <c r="F41"/>
  <c r="D41"/>
  <c r="B33"/>
  <c r="E42"/>
  <c r="R42" s="1"/>
  <c r="E33"/>
  <c r="E20" i="26" s="1"/>
  <c r="D42" i="4"/>
  <c r="C33"/>
  <c r="D20" i="26" s="1"/>
  <c r="B42" i="4"/>
  <c r="C36" i="14" s="1"/>
  <c r="M40" i="4"/>
  <c r="J42"/>
  <c r="B36"/>
  <c r="C30" i="14" s="1"/>
  <c r="H12" i="6"/>
  <c r="F50" i="1"/>
  <c r="F51"/>
  <c r="K51"/>
  <c r="F52"/>
  <c r="K52"/>
  <c r="F53"/>
  <c r="K53"/>
  <c r="K153"/>
  <c r="K197"/>
  <c r="B12" i="6"/>
  <c r="I8"/>
  <c r="I12" s="1"/>
  <c r="L10"/>
  <c r="E32" i="1"/>
  <c r="G32"/>
  <c r="D32"/>
  <c r="F32"/>
  <c r="F33" s="1"/>
  <c r="G39"/>
  <c r="A2" i="3"/>
  <c r="A2" i="29" s="1"/>
  <c r="G9" i="2"/>
  <c r="I9" s="1"/>
  <c r="I14" s="1"/>
  <c r="B53" i="3"/>
  <c r="K50" i="1"/>
  <c r="K10" i="6"/>
  <c r="L18" i="2"/>
  <c r="K126" i="4"/>
  <c r="L9" i="6"/>
  <c r="K11"/>
  <c r="K9"/>
  <c r="L11"/>
  <c r="G12"/>
  <c r="L1" i="2"/>
  <c r="D7"/>
  <c r="F7"/>
  <c r="I4" s="1"/>
  <c r="D12" i="6"/>
  <c r="C7" i="2"/>
  <c r="E7"/>
  <c r="E12" i="6"/>
  <c r="H1"/>
  <c r="K1" i="4"/>
  <c r="M1" i="5"/>
  <c r="I11"/>
  <c r="I25"/>
  <c r="B41" i="3"/>
  <c r="AC25" i="4"/>
  <c r="AC31"/>
  <c r="BA10"/>
  <c r="AC13"/>
  <c r="AC15"/>
  <c r="AC17"/>
  <c r="AC19"/>
  <c r="AC21"/>
  <c r="AC23"/>
  <c r="BQ25"/>
  <c r="AC29"/>
  <c r="AC32"/>
  <c r="BP89"/>
  <c r="BE89" s="1"/>
  <c r="BP93"/>
  <c r="BE93" s="1"/>
  <c r="BQ104"/>
  <c r="BR104" s="1"/>
  <c r="Y13"/>
  <c r="Y15"/>
  <c r="Y17"/>
  <c r="Y19"/>
  <c r="Y21"/>
  <c r="Y23"/>
  <c r="Y25"/>
  <c r="Y29"/>
  <c r="Y31"/>
  <c r="Y32"/>
  <c r="BQ86"/>
  <c r="BQ87"/>
  <c r="BR87" s="1"/>
  <c r="BQ91"/>
  <c r="BR91" s="1"/>
  <c r="BQ13"/>
  <c r="BQ15"/>
  <c r="AY15" s="1"/>
  <c r="BQ17"/>
  <c r="BQ19"/>
  <c r="BQ21"/>
  <c r="BQ23"/>
  <c r="BQ29"/>
  <c r="BQ31"/>
  <c r="BR31" s="1"/>
  <c r="BQ32"/>
  <c r="BR32" s="1"/>
  <c r="BP96"/>
  <c r="AM96" s="1"/>
  <c r="BV97"/>
  <c r="BP98"/>
  <c r="AM98" s="1"/>
  <c r="BV99"/>
  <c r="BP100"/>
  <c r="AM100" s="1"/>
  <c r="BV101"/>
  <c r="BP102"/>
  <c r="AM102" s="1"/>
  <c r="BV103"/>
  <c r="K8" i="6"/>
  <c r="C12"/>
  <c r="BG16" i="4"/>
  <c r="BG18"/>
  <c r="BG20"/>
  <c r="BI22"/>
  <c r="BG24"/>
  <c r="BB12"/>
  <c r="BI17"/>
  <c r="AB18"/>
  <c r="Z18"/>
  <c r="X18"/>
  <c r="BI21"/>
  <c r="AB22"/>
  <c r="Z22"/>
  <c r="X22"/>
  <c r="BI25"/>
  <c r="AB28"/>
  <c r="Z28"/>
  <c r="X28"/>
  <c r="AB30"/>
  <c r="Z30"/>
  <c r="X30"/>
  <c r="BI31"/>
  <c r="BQ88"/>
  <c r="BR88" s="1"/>
  <c r="BP88"/>
  <c r="BE88" s="1"/>
  <c r="BV89"/>
  <c r="AQ89"/>
  <c r="BQ92"/>
  <c r="BR92" s="1"/>
  <c r="BP92"/>
  <c r="BE92" s="1"/>
  <c r="BV93"/>
  <c r="AQ93"/>
  <c r="AA18"/>
  <c r="AA22"/>
  <c r="AA28"/>
  <c r="BV28"/>
  <c r="AA30"/>
  <c r="BV30"/>
  <c r="BV43"/>
  <c r="AB14"/>
  <c r="Z14"/>
  <c r="X14"/>
  <c r="AB16"/>
  <c r="Z16"/>
  <c r="X16"/>
  <c r="AB20"/>
  <c r="Z20"/>
  <c r="X20"/>
  <c r="BI23"/>
  <c r="AB24"/>
  <c r="Z24"/>
  <c r="X24"/>
  <c r="AB13"/>
  <c r="Z13"/>
  <c r="X13"/>
  <c r="AB15"/>
  <c r="Z15"/>
  <c r="X15"/>
  <c r="AB17"/>
  <c r="Z17"/>
  <c r="X17"/>
  <c r="AB19"/>
  <c r="Z19"/>
  <c r="X19"/>
  <c r="AB21"/>
  <c r="Z21"/>
  <c r="X21"/>
  <c r="AB23"/>
  <c r="Z23"/>
  <c r="X23"/>
  <c r="AB25"/>
  <c r="Z25"/>
  <c r="X25"/>
  <c r="AB29"/>
  <c r="Z29"/>
  <c r="X29"/>
  <c r="AB31"/>
  <c r="Z31"/>
  <c r="X31"/>
  <c r="BG32"/>
  <c r="BV87"/>
  <c r="AQ87"/>
  <c r="BQ90"/>
  <c r="BR90" s="1"/>
  <c r="BP90"/>
  <c r="BE90" s="1"/>
  <c r="BV91"/>
  <c r="AQ91"/>
  <c r="AA14"/>
  <c r="AA16"/>
  <c r="AA20"/>
  <c r="AA24"/>
  <c r="AA13"/>
  <c r="BQ14"/>
  <c r="AY14" s="1"/>
  <c r="Y14"/>
  <c r="AC14"/>
  <c r="AA15"/>
  <c r="BQ16"/>
  <c r="Y16"/>
  <c r="AC16"/>
  <c r="AA17"/>
  <c r="BQ18"/>
  <c r="Y18"/>
  <c r="AC18"/>
  <c r="AA19"/>
  <c r="BQ20"/>
  <c r="Y20"/>
  <c r="AC20"/>
  <c r="AA21"/>
  <c r="BQ22"/>
  <c r="Y22"/>
  <c r="AC22"/>
  <c r="AA23"/>
  <c r="BQ24"/>
  <c r="Y24"/>
  <c r="AC24"/>
  <c r="AA25"/>
  <c r="BQ28"/>
  <c r="Y28"/>
  <c r="AC28"/>
  <c r="AA29"/>
  <c r="BV29"/>
  <c r="BQ30"/>
  <c r="Y30"/>
  <c r="AC30"/>
  <c r="AA31"/>
  <c r="AM87"/>
  <c r="AM91"/>
  <c r="AB32"/>
  <c r="Z32"/>
  <c r="X32"/>
  <c r="AA32"/>
  <c r="BV32"/>
  <c r="BV40"/>
  <c r="BV42"/>
  <c r="R13"/>
  <c r="BO13"/>
  <c r="R14"/>
  <c r="BO14"/>
  <c r="AW14" s="1"/>
  <c r="R15"/>
  <c r="BO15"/>
  <c r="AW15" s="1"/>
  <c r="R16"/>
  <c r="BO16"/>
  <c r="R17"/>
  <c r="BO17"/>
  <c r="R18"/>
  <c r="BO18"/>
  <c r="R19"/>
  <c r="BO19"/>
  <c r="R20"/>
  <c r="BO20"/>
  <c r="R21"/>
  <c r="BO21"/>
  <c r="R22"/>
  <c r="BO22"/>
  <c r="R23"/>
  <c r="BO23"/>
  <c r="R24"/>
  <c r="BO24"/>
  <c r="R25"/>
  <c r="BO25"/>
  <c r="R28"/>
  <c r="BO28"/>
  <c r="R29"/>
  <c r="BO29"/>
  <c r="R30"/>
  <c r="BO30"/>
  <c r="R31"/>
  <c r="BO31"/>
  <c r="BP31" s="1"/>
  <c r="R32"/>
  <c r="BO32"/>
  <c r="BP32" s="1"/>
  <c r="AO87"/>
  <c r="AO89"/>
  <c r="AO91"/>
  <c r="AO93"/>
  <c r="BQ97"/>
  <c r="AQ97"/>
  <c r="BQ99"/>
  <c r="AQ99"/>
  <c r="BQ101"/>
  <c r="BR101" s="1"/>
  <c r="AQ101"/>
  <c r="AO97"/>
  <c r="AO99"/>
  <c r="AO101"/>
  <c r="BV96"/>
  <c r="AE96"/>
  <c r="AQ96"/>
  <c r="BV98"/>
  <c r="AQ98"/>
  <c r="BV100"/>
  <c r="AQ100"/>
  <c r="BV102"/>
  <c r="AQ102"/>
  <c r="AQ104"/>
  <c r="BQ103"/>
  <c r="BR103" s="1"/>
  <c r="AQ103"/>
  <c r="BV104"/>
  <c r="AO103"/>
  <c r="AM104"/>
  <c r="AO96"/>
  <c r="AO98"/>
  <c r="AO100"/>
  <c r="AO102"/>
  <c r="AO104"/>
  <c r="H32" i="1"/>
  <c r="F9"/>
  <c r="F37"/>
  <c r="G7" i="2" s="1"/>
  <c r="C54" i="1"/>
  <c r="E37"/>
  <c r="N9" i="2" l="1"/>
  <c r="I31" i="5"/>
  <c r="I32" s="1"/>
  <c r="N25"/>
  <c r="N31" s="1"/>
  <c r="N32" s="1"/>
  <c r="E33"/>
  <c r="AN44" i="4"/>
  <c r="C44"/>
  <c r="BY44" s="1"/>
  <c r="AR78" i="1"/>
  <c r="AR79" s="1"/>
  <c r="I42" i="4"/>
  <c r="K42"/>
  <c r="AP42"/>
  <c r="C28" i="14"/>
  <c r="BO40" i="4"/>
  <c r="BP40" s="1"/>
  <c r="AH32"/>
  <c r="AF32"/>
  <c r="BV37"/>
  <c r="H37"/>
  <c r="E31" i="14" s="1"/>
  <c r="F31" s="1"/>
  <c r="BO41" i="4"/>
  <c r="BP41" s="1"/>
  <c r="BR99"/>
  <c r="AG99"/>
  <c r="AY99"/>
  <c r="BY43"/>
  <c r="BU43"/>
  <c r="BY37"/>
  <c r="BU37"/>
  <c r="AC41"/>
  <c r="C27" i="14"/>
  <c r="B20" i="26"/>
  <c r="BV35" i="4"/>
  <c r="G22" i="26"/>
  <c r="H22" s="1"/>
  <c r="K21"/>
  <c r="L21" s="1"/>
  <c r="I21"/>
  <c r="Q21"/>
  <c r="R21" s="1"/>
  <c r="BV33" i="4"/>
  <c r="G20" i="26"/>
  <c r="H20" s="1"/>
  <c r="D29" i="14"/>
  <c r="E22" i="26"/>
  <c r="C29" i="14"/>
  <c r="B22" i="26"/>
  <c r="D28" i="14"/>
  <c r="E21" i="26"/>
  <c r="M18"/>
  <c r="G14" i="2"/>
  <c r="BV41" i="4"/>
  <c r="X39"/>
  <c r="Y40"/>
  <c r="J43"/>
  <c r="I43"/>
  <c r="H43"/>
  <c r="X38"/>
  <c r="AN43"/>
  <c r="AN41"/>
  <c r="AP43"/>
  <c r="AD43"/>
  <c r="A25" i="14"/>
  <c r="A26" s="1"/>
  <c r="B26" s="1"/>
  <c r="B24"/>
  <c r="A2" i="4"/>
  <c r="A4" i="26"/>
  <c r="A1" i="23"/>
  <c r="A2" i="7"/>
  <c r="G36" i="14"/>
  <c r="I36"/>
  <c r="G31"/>
  <c r="I31"/>
  <c r="B46" i="3"/>
  <c r="K54" i="1"/>
  <c r="AC40" i="4"/>
  <c r="Z40"/>
  <c r="AA41"/>
  <c r="Z41"/>
  <c r="X43"/>
  <c r="F54" i="1"/>
  <c r="H33"/>
  <c r="BR23" i="4"/>
  <c r="AG23"/>
  <c r="AY23"/>
  <c r="BR19"/>
  <c r="AG19"/>
  <c r="AY19"/>
  <c r="BR25"/>
  <c r="AG25"/>
  <c r="AY25"/>
  <c r="D33" i="1"/>
  <c r="G33"/>
  <c r="BP25" i="4"/>
  <c r="AW25"/>
  <c r="AE25"/>
  <c r="BP24"/>
  <c r="AM24" s="1"/>
  <c r="AW24"/>
  <c r="AE24"/>
  <c r="BP23"/>
  <c r="AE23"/>
  <c r="AW23"/>
  <c r="BP22"/>
  <c r="AE22"/>
  <c r="AW22"/>
  <c r="BP21"/>
  <c r="AE21"/>
  <c r="AW21"/>
  <c r="BP20"/>
  <c r="AM20" s="1"/>
  <c r="AW20"/>
  <c r="AE20"/>
  <c r="BP19"/>
  <c r="AE19"/>
  <c r="AW19"/>
  <c r="BP18"/>
  <c r="AE18"/>
  <c r="AW18"/>
  <c r="BP17"/>
  <c r="AE17"/>
  <c r="AW17"/>
  <c r="BP16"/>
  <c r="AM16" s="1"/>
  <c r="AW16"/>
  <c r="AE16"/>
  <c r="BR24"/>
  <c r="AY24"/>
  <c r="AG24"/>
  <c r="BR22"/>
  <c r="AG22"/>
  <c r="AY22"/>
  <c r="BR20"/>
  <c r="AY20"/>
  <c r="AG20"/>
  <c r="BR18"/>
  <c r="AG18"/>
  <c r="AY18"/>
  <c r="BR16"/>
  <c r="AY16"/>
  <c r="AG16"/>
  <c r="BR21"/>
  <c r="AG21"/>
  <c r="AY21"/>
  <c r="BR17"/>
  <c r="AG17"/>
  <c r="AY17"/>
  <c r="A2" i="2"/>
  <c r="F6" i="25"/>
  <c r="F8" i="24"/>
  <c r="A2" i="22"/>
  <c r="A1" i="20"/>
  <c r="B1" i="14"/>
  <c r="A1" i="13"/>
  <c r="A2" i="28" s="1"/>
  <c r="A27" i="13"/>
  <c r="A2" i="12"/>
  <c r="A2" i="21"/>
  <c r="A2" i="19"/>
  <c r="A2" i="15"/>
  <c r="A2" i="16"/>
  <c r="A14" i="13"/>
  <c r="A2" i="11"/>
  <c r="A2" i="9"/>
  <c r="E33" i="1"/>
  <c r="I33"/>
  <c r="BO43" i="4"/>
  <c r="BP43" s="1"/>
  <c r="BO38"/>
  <c r="BP38" s="1"/>
  <c r="H40"/>
  <c r="E34" i="14" s="1"/>
  <c r="F34" s="1"/>
  <c r="I41" i="4"/>
  <c r="AN42"/>
  <c r="AD42"/>
  <c r="AB42"/>
  <c r="X34"/>
  <c r="AP40"/>
  <c r="I37"/>
  <c r="Y36"/>
  <c r="AC38"/>
  <c r="AB41"/>
  <c r="R41"/>
  <c r="R40"/>
  <c r="BV44"/>
  <c r="BQ41"/>
  <c r="BR41" s="1"/>
  <c r="AA40"/>
  <c r="BV36"/>
  <c r="AB44"/>
  <c r="X40"/>
  <c r="AB40"/>
  <c r="X36"/>
  <c r="AA33"/>
  <c r="Y41"/>
  <c r="X41"/>
  <c r="X35"/>
  <c r="I40"/>
  <c r="J40"/>
  <c r="J41"/>
  <c r="H41"/>
  <c r="AN40"/>
  <c r="AP41"/>
  <c r="AD41"/>
  <c r="L41" s="1"/>
  <c r="I29" i="10"/>
  <c r="I30" s="1"/>
  <c r="BO36" i="4"/>
  <c r="BP36" s="1"/>
  <c r="BV34"/>
  <c r="R29" i="10"/>
  <c r="R30" s="1"/>
  <c r="D27" i="14"/>
  <c r="X42" i="4"/>
  <c r="D36" i="14"/>
  <c r="Z37" i="4"/>
  <c r="D31" i="14"/>
  <c r="X44" i="4"/>
  <c r="D38" i="14"/>
  <c r="AB38" i="4"/>
  <c r="D32" i="14"/>
  <c r="AB43" i="4"/>
  <c r="D37" i="14"/>
  <c r="AC37" i="4"/>
  <c r="X33"/>
  <c r="BY41"/>
  <c r="BU41"/>
  <c r="BU33"/>
  <c r="BY33"/>
  <c r="BU36"/>
  <c r="BY36"/>
  <c r="BU35"/>
  <c r="BY35"/>
  <c r="BW39"/>
  <c r="BX39" s="1"/>
  <c r="BS39"/>
  <c r="BI39" s="1"/>
  <c r="BW35"/>
  <c r="BX35" s="1"/>
  <c r="BS35"/>
  <c r="BI35" s="1"/>
  <c r="BU34"/>
  <c r="BY34"/>
  <c r="AW13"/>
  <c r="BP13"/>
  <c r="Q40"/>
  <c r="BW40"/>
  <c r="BX40" s="1"/>
  <c r="BS40"/>
  <c r="BG40" s="1"/>
  <c r="BW36"/>
  <c r="BX36" s="1"/>
  <c r="BS36"/>
  <c r="BG36" s="1"/>
  <c r="BU40"/>
  <c r="BY40"/>
  <c r="Q42"/>
  <c r="BW42"/>
  <c r="BX42" s="1"/>
  <c r="BS42"/>
  <c r="AO42" s="1"/>
  <c r="BW34"/>
  <c r="BX34" s="1"/>
  <c r="BS34"/>
  <c r="BI34" s="1"/>
  <c r="Q37"/>
  <c r="BW37"/>
  <c r="BX37" s="1"/>
  <c r="BS37"/>
  <c r="BI37" s="1"/>
  <c r="BU38"/>
  <c r="BY38"/>
  <c r="Q44"/>
  <c r="BW44"/>
  <c r="BX44" s="1"/>
  <c r="BS44"/>
  <c r="BG44" s="1"/>
  <c r="Q41"/>
  <c r="BW41"/>
  <c r="BX41" s="1"/>
  <c r="BS41"/>
  <c r="BW38"/>
  <c r="BX38" s="1"/>
  <c r="BS38"/>
  <c r="BG38" s="1"/>
  <c r="BU39"/>
  <c r="BY39"/>
  <c r="Q43"/>
  <c r="BW43"/>
  <c r="BX43" s="1"/>
  <c r="BS43"/>
  <c r="AM43" s="1"/>
  <c r="BW33"/>
  <c r="BS33"/>
  <c r="BI33" s="1"/>
  <c r="BU42"/>
  <c r="BY42"/>
  <c r="BQ33"/>
  <c r="BR33" s="1"/>
  <c r="J37"/>
  <c r="K37" s="1"/>
  <c r="BF37"/>
  <c r="AY13"/>
  <c r="L37"/>
  <c r="AN37"/>
  <c r="AP37"/>
  <c r="BA86"/>
  <c r="BA114"/>
  <c r="BJ114" s="1"/>
  <c r="BK114" s="1"/>
  <c r="BN114" s="1"/>
  <c r="BG31"/>
  <c r="I44"/>
  <c r="AD40"/>
  <c r="BF40" s="1"/>
  <c r="BQ36"/>
  <c r="BR36" s="1"/>
  <c r="AB35"/>
  <c r="AB39"/>
  <c r="AC34"/>
  <c r="J44"/>
  <c r="BO42"/>
  <c r="BP42" s="1"/>
  <c r="BO39"/>
  <c r="BP39" s="1"/>
  <c r="R38"/>
  <c r="R36"/>
  <c r="R34"/>
  <c r="BG21"/>
  <c r="AA44"/>
  <c r="BQ37"/>
  <c r="BR37" s="1"/>
  <c r="AA36"/>
  <c r="AB36"/>
  <c r="AB34"/>
  <c r="AA37"/>
  <c r="Y43"/>
  <c r="Y39"/>
  <c r="Y35"/>
  <c r="H44"/>
  <c r="AH98"/>
  <c r="AZ98"/>
  <c r="J14" i="5"/>
  <c r="J33" s="1"/>
  <c r="BG25" i="4"/>
  <c r="AM93"/>
  <c r="BR97"/>
  <c r="AG97"/>
  <c r="AY97"/>
  <c r="BI15"/>
  <c r="BB15"/>
  <c r="BI13"/>
  <c r="BB13"/>
  <c r="BI29"/>
  <c r="BB29"/>
  <c r="BG30"/>
  <c r="BB30"/>
  <c r="BH41"/>
  <c r="BB32"/>
  <c r="BB31"/>
  <c r="BG28"/>
  <c r="BB28"/>
  <c r="BI14"/>
  <c r="BB14"/>
  <c r="BR86"/>
  <c r="AG86"/>
  <c r="AY86"/>
  <c r="AG96"/>
  <c r="AH96"/>
  <c r="AI104"/>
  <c r="AR104" s="1"/>
  <c r="AS104" s="1"/>
  <c r="AV104" s="1"/>
  <c r="AL104"/>
  <c r="BE102"/>
  <c r="AX102"/>
  <c r="AF102"/>
  <c r="BE100"/>
  <c r="AX100"/>
  <c r="AF100"/>
  <c r="BE98"/>
  <c r="AX98"/>
  <c r="AF98"/>
  <c r="BE96"/>
  <c r="AF96"/>
  <c r="BA104"/>
  <c r="BJ104" s="1"/>
  <c r="BK104" s="1"/>
  <c r="BN104" s="1"/>
  <c r="BD104"/>
  <c r="BP30"/>
  <c r="AF30" s="1"/>
  <c r="AE30"/>
  <c r="BR30"/>
  <c r="AH30" s="1"/>
  <c r="AG30"/>
  <c r="BP29"/>
  <c r="AF29" s="1"/>
  <c r="AE29"/>
  <c r="BP28"/>
  <c r="AF28" s="1"/>
  <c r="AE28"/>
  <c r="BR28"/>
  <c r="AH28" s="1"/>
  <c r="AG28"/>
  <c r="BR29"/>
  <c r="AH29" s="1"/>
  <c r="AG29"/>
  <c r="AD35"/>
  <c r="L35" s="1"/>
  <c r="AP35"/>
  <c r="AD34"/>
  <c r="L34" s="1"/>
  <c r="AP34"/>
  <c r="AD36"/>
  <c r="BH36" s="1"/>
  <c r="AP36"/>
  <c r="AD39"/>
  <c r="BH39" s="1"/>
  <c r="AP39"/>
  <c r="AD33"/>
  <c r="L33" s="1"/>
  <c r="AP33"/>
  <c r="AE31"/>
  <c r="AH31"/>
  <c r="AG31"/>
  <c r="AF31"/>
  <c r="AP44"/>
  <c r="AD44"/>
  <c r="L44" s="1"/>
  <c r="BI30"/>
  <c r="BI24"/>
  <c r="BI20"/>
  <c r="Z33"/>
  <c r="Y42"/>
  <c r="BH42"/>
  <c r="AB37"/>
  <c r="BH37"/>
  <c r="AC44"/>
  <c r="Y38"/>
  <c r="AP38"/>
  <c r="AD38"/>
  <c r="BH38" s="1"/>
  <c r="Z43"/>
  <c r="BH43"/>
  <c r="AE32"/>
  <c r="AL32" s="1"/>
  <c r="AG32"/>
  <c r="BG13"/>
  <c r="AC42"/>
  <c r="BQ40"/>
  <c r="BR40" s="1"/>
  <c r="AC36"/>
  <c r="Z39"/>
  <c r="BG29"/>
  <c r="BI28"/>
  <c r="BG22"/>
  <c r="BG19"/>
  <c r="BG14"/>
  <c r="Z35"/>
  <c r="Y34"/>
  <c r="BO44"/>
  <c r="BP44" s="1"/>
  <c r="R44"/>
  <c r="R43"/>
  <c r="R39"/>
  <c r="BO37"/>
  <c r="BP37" s="1"/>
  <c r="R37"/>
  <c r="BO35"/>
  <c r="BP35" s="1"/>
  <c r="BO34"/>
  <c r="BP34" s="1"/>
  <c r="BO33"/>
  <c r="BP33" s="1"/>
  <c r="R33"/>
  <c r="BG17"/>
  <c r="BI16"/>
  <c r="BQ43"/>
  <c r="BR43" s="1"/>
  <c r="AA42"/>
  <c r="BQ39"/>
  <c r="BR39" s="1"/>
  <c r="AA38"/>
  <c r="BQ35"/>
  <c r="BR35" s="1"/>
  <c r="AA34"/>
  <c r="Z44"/>
  <c r="Z42"/>
  <c r="Z38"/>
  <c r="Z36"/>
  <c r="Z34"/>
  <c r="AA43"/>
  <c r="AA39"/>
  <c r="AA35"/>
  <c r="AC43"/>
  <c r="AC39"/>
  <c r="Y37"/>
  <c r="X37"/>
  <c r="AC35"/>
  <c r="Y33"/>
  <c r="AB33"/>
  <c r="BQ44"/>
  <c r="BR44" s="1"/>
  <c r="BQ38"/>
  <c r="BR38" s="1"/>
  <c r="BQ34"/>
  <c r="BR34" s="1"/>
  <c r="Y44"/>
  <c r="BG23"/>
  <c r="BI18"/>
  <c r="AC33"/>
  <c r="BQ42"/>
  <c r="BR42" s="1"/>
  <c r="AH42" s="1"/>
  <c r="BG15"/>
  <c r="K12" i="6"/>
  <c r="K14" i="2" s="1"/>
  <c r="A2" i="5"/>
  <c r="BI32" i="4"/>
  <c r="L8" i="6"/>
  <c r="L12" s="1"/>
  <c r="A2"/>
  <c r="L32" i="4"/>
  <c r="BF32"/>
  <c r="L31"/>
  <c r="BF31"/>
  <c r="L29"/>
  <c r="BF29"/>
  <c r="L30"/>
  <c r="BF30"/>
  <c r="AN38"/>
  <c r="Q38"/>
  <c r="L28"/>
  <c r="BF28"/>
  <c r="AN35"/>
  <c r="Q35"/>
  <c r="AN34"/>
  <c r="Q34"/>
  <c r="AN36"/>
  <c r="Q36"/>
  <c r="AN39"/>
  <c r="Q39"/>
  <c r="AN33"/>
  <c r="Q33"/>
  <c r="AM89"/>
  <c r="I14" i="5"/>
  <c r="I33" s="1"/>
  <c r="H35" i="4"/>
  <c r="E29" i="14" s="1"/>
  <c r="F29" s="1"/>
  <c r="I35" i="4"/>
  <c r="J35"/>
  <c r="I34"/>
  <c r="H34"/>
  <c r="E28" i="14" s="1"/>
  <c r="F28" s="1"/>
  <c r="J34" i="4"/>
  <c r="H36"/>
  <c r="E30" i="14" s="1"/>
  <c r="F30" s="1"/>
  <c r="J36" i="4"/>
  <c r="I36"/>
  <c r="H39"/>
  <c r="E33" i="14" s="1"/>
  <c r="F33" s="1"/>
  <c r="I39" i="4"/>
  <c r="J39"/>
  <c r="H33"/>
  <c r="E27" i="14" s="1"/>
  <c r="F27" s="1"/>
  <c r="I33" i="4"/>
  <c r="J33"/>
  <c r="I38"/>
  <c r="H38"/>
  <c r="E32" i="14" s="1"/>
  <c r="F32" s="1"/>
  <c r="J38" i="4"/>
  <c r="BI19"/>
  <c r="BP14"/>
  <c r="AM14" s="1"/>
  <c r="AE14"/>
  <c r="BR14"/>
  <c r="AG14"/>
  <c r="BR15"/>
  <c r="AG15"/>
  <c r="BP15"/>
  <c r="AM15" s="1"/>
  <c r="AE15"/>
  <c r="AE13"/>
  <c r="BR13"/>
  <c r="AG13"/>
  <c r="G44" i="1"/>
  <c r="E9" i="2"/>
  <c r="E14" s="1"/>
  <c r="N14"/>
  <c r="BP103" i="4"/>
  <c r="BP101"/>
  <c r="BP99"/>
  <c r="BP97"/>
  <c r="BE31"/>
  <c r="AM31"/>
  <c r="BE25"/>
  <c r="AM25"/>
  <c r="BE23"/>
  <c r="AM23"/>
  <c r="BE21"/>
  <c r="AM21"/>
  <c r="BE19"/>
  <c r="AM19"/>
  <c r="BE17"/>
  <c r="AM17"/>
  <c r="AM90"/>
  <c r="AM88"/>
  <c r="AQ37"/>
  <c r="AQ31"/>
  <c r="AO31"/>
  <c r="AO29"/>
  <c r="AQ29"/>
  <c r="AO25"/>
  <c r="AQ25"/>
  <c r="AO21"/>
  <c r="AQ21"/>
  <c r="AO17"/>
  <c r="AQ17"/>
  <c r="AQ30"/>
  <c r="AO30"/>
  <c r="AQ22"/>
  <c r="AO22"/>
  <c r="AQ18"/>
  <c r="AO18"/>
  <c r="AQ14"/>
  <c r="AO14"/>
  <c r="AQ92"/>
  <c r="BE32"/>
  <c r="AM32"/>
  <c r="BE24"/>
  <c r="BE22"/>
  <c r="AM22"/>
  <c r="BE20"/>
  <c r="BE18"/>
  <c r="AM18"/>
  <c r="BE16"/>
  <c r="BV92"/>
  <c r="AO92"/>
  <c r="BV90"/>
  <c r="BV88"/>
  <c r="AO88"/>
  <c r="AO32"/>
  <c r="AQ32"/>
  <c r="AO23"/>
  <c r="AQ23"/>
  <c r="AO19"/>
  <c r="AQ19"/>
  <c r="AO15"/>
  <c r="AQ15"/>
  <c r="AO13"/>
  <c r="AQ13"/>
  <c r="AM92"/>
  <c r="AQ28"/>
  <c r="AO28"/>
  <c r="AQ24"/>
  <c r="AO24"/>
  <c r="AQ20"/>
  <c r="AO20"/>
  <c r="AQ16"/>
  <c r="AO16"/>
  <c r="AQ90"/>
  <c r="AQ88"/>
  <c r="AO90"/>
  <c r="AM42" l="1"/>
  <c r="AZ44"/>
  <c r="BB43"/>
  <c r="BF44"/>
  <c r="BU44"/>
  <c r="BH44"/>
  <c r="BB42"/>
  <c r="E38" i="14"/>
  <c r="F38" s="1"/>
  <c r="K44" i="4"/>
  <c r="AW44"/>
  <c r="AX44"/>
  <c r="AY44"/>
  <c r="BG41"/>
  <c r="BB41"/>
  <c r="AR80" i="1"/>
  <c r="L43" i="4"/>
  <c r="BF43"/>
  <c r="E37" i="14"/>
  <c r="K43" i="4"/>
  <c r="V46"/>
  <c r="BT46" s="1"/>
  <c r="B45"/>
  <c r="C39" i="14" s="1"/>
  <c r="F46" i="4"/>
  <c r="E46"/>
  <c r="W45"/>
  <c r="W46"/>
  <c r="C46"/>
  <c r="M46"/>
  <c r="B46"/>
  <c r="C40" i="14" s="1"/>
  <c r="M45" i="4"/>
  <c r="C45"/>
  <c r="G46"/>
  <c r="S45"/>
  <c r="S46"/>
  <c r="D46"/>
  <c r="D45"/>
  <c r="E45"/>
  <c r="G45"/>
  <c r="V45"/>
  <c r="BT45" s="1"/>
  <c r="F45"/>
  <c r="BB44"/>
  <c r="AE42"/>
  <c r="BF42"/>
  <c r="L42"/>
  <c r="AF42"/>
  <c r="AG42"/>
  <c r="AW41"/>
  <c r="AY41"/>
  <c r="AZ41"/>
  <c r="AX41"/>
  <c r="BD41" s="1"/>
  <c r="BB40"/>
  <c r="BF41"/>
  <c r="E35" i="14"/>
  <c r="K41" i="4"/>
  <c r="BH40"/>
  <c r="L40"/>
  <c r="K40"/>
  <c r="BF39"/>
  <c r="K39"/>
  <c r="AE39" s="1"/>
  <c r="BB39"/>
  <c r="L39"/>
  <c r="K38"/>
  <c r="AE38" s="1"/>
  <c r="K33"/>
  <c r="AG33" s="1"/>
  <c r="L121"/>
  <c r="K12" i="5" s="1"/>
  <c r="L122" i="4"/>
  <c r="K13" i="5" s="1"/>
  <c r="BH33" i="4"/>
  <c r="AO39"/>
  <c r="BG39"/>
  <c r="AH99"/>
  <c r="AZ99"/>
  <c r="AY33"/>
  <c r="Q20" i="26"/>
  <c r="K20"/>
  <c r="I20"/>
  <c r="H23"/>
  <c r="H24" s="1"/>
  <c r="M21"/>
  <c r="Q22"/>
  <c r="R22" s="1"/>
  <c r="K22"/>
  <c r="L22" s="1"/>
  <c r="I22"/>
  <c r="B25" i="14"/>
  <c r="G27"/>
  <c r="I27"/>
  <c r="A27" s="1"/>
  <c r="G30"/>
  <c r="I30"/>
  <c r="G28"/>
  <c r="I28"/>
  <c r="G29"/>
  <c r="I29"/>
  <c r="G38"/>
  <c r="I38"/>
  <c r="G34"/>
  <c r="I34"/>
  <c r="G32"/>
  <c r="I32"/>
  <c r="G33"/>
  <c r="I33"/>
  <c r="BG35" i="4"/>
  <c r="AO35"/>
  <c r="BI42"/>
  <c r="AQ35"/>
  <c r="AQ39"/>
  <c r="BI36"/>
  <c r="AM35"/>
  <c r="AM39"/>
  <c r="BE39"/>
  <c r="AZ37"/>
  <c r="AQ34"/>
  <c r="AH17"/>
  <c r="AZ17"/>
  <c r="AZ16"/>
  <c r="AH16"/>
  <c r="AZ20"/>
  <c r="AH20"/>
  <c r="AZ24"/>
  <c r="AH24"/>
  <c r="AF17"/>
  <c r="AX17"/>
  <c r="AF19"/>
  <c r="AX19"/>
  <c r="AF21"/>
  <c r="AX21"/>
  <c r="AF23"/>
  <c r="AX23"/>
  <c r="AF25"/>
  <c r="AI25" s="1"/>
  <c r="AX25"/>
  <c r="AH25"/>
  <c r="AZ25"/>
  <c r="AH23"/>
  <c r="AZ23"/>
  <c r="AH21"/>
  <c r="AZ21"/>
  <c r="AH18"/>
  <c r="AZ18"/>
  <c r="AH22"/>
  <c r="AZ22"/>
  <c r="AX16"/>
  <c r="AF16"/>
  <c r="AL16" s="1"/>
  <c r="AL17"/>
  <c r="AI17"/>
  <c r="AF18"/>
  <c r="AI18" s="1"/>
  <c r="AX18"/>
  <c r="AL19"/>
  <c r="AI19"/>
  <c r="AX20"/>
  <c r="AF20"/>
  <c r="AL20" s="1"/>
  <c r="AI21"/>
  <c r="AR21" s="1"/>
  <c r="AS21" s="1"/>
  <c r="AL21"/>
  <c r="AF22"/>
  <c r="AL22" s="1"/>
  <c r="AX22"/>
  <c r="AL23"/>
  <c r="AI23"/>
  <c r="AX24"/>
  <c r="AF24"/>
  <c r="AL24" s="1"/>
  <c r="AH19"/>
  <c r="AZ19"/>
  <c r="AO40"/>
  <c r="AM40"/>
  <c r="AO36"/>
  <c r="AM36"/>
  <c r="AQ42"/>
  <c r="AO44"/>
  <c r="AQ43"/>
  <c r="BG42"/>
  <c r="AM38"/>
  <c r="AO38"/>
  <c r="BE41"/>
  <c r="AO43"/>
  <c r="AQ44"/>
  <c r="BE38"/>
  <c r="AQ41"/>
  <c r="BI44"/>
  <c r="BG34"/>
  <c r="AO33"/>
  <c r="BE43"/>
  <c r="BG43"/>
  <c r="AM33"/>
  <c r="BI43"/>
  <c r="BE44"/>
  <c r="AQ33"/>
  <c r="AO41"/>
  <c r="AQ38"/>
  <c r="AM41"/>
  <c r="BI38"/>
  <c r="BG33"/>
  <c r="BI41"/>
  <c r="BB38"/>
  <c r="AQ36"/>
  <c r="AQ40"/>
  <c r="BE36"/>
  <c r="BE40"/>
  <c r="AO37"/>
  <c r="AO34"/>
  <c r="L38"/>
  <c r="BF38"/>
  <c r="BE28"/>
  <c r="BE42"/>
  <c r="AM34"/>
  <c r="AM37"/>
  <c r="BB37"/>
  <c r="BG37"/>
  <c r="BI40"/>
  <c r="AY37"/>
  <c r="K35"/>
  <c r="AG35" s="1"/>
  <c r="G11" i="15"/>
  <c r="BE34" i="4"/>
  <c r="BE37"/>
  <c r="BX33"/>
  <c r="BE30"/>
  <c r="AM44"/>
  <c r="BE29"/>
  <c r="BF34"/>
  <c r="AG37"/>
  <c r="AH37"/>
  <c r="AE37"/>
  <c r="AF37"/>
  <c r="AX37"/>
  <c r="BH34"/>
  <c r="AW37"/>
  <c r="AL31"/>
  <c r="AM28"/>
  <c r="AM30"/>
  <c r="AM29"/>
  <c r="BE33"/>
  <c r="L36"/>
  <c r="AY36" s="1"/>
  <c r="BF33"/>
  <c r="BF36"/>
  <c r="BF35"/>
  <c r="BH35"/>
  <c r="AH97"/>
  <c r="AZ97"/>
  <c r="AY34"/>
  <c r="AZ35"/>
  <c r="AH13"/>
  <c r="AZ13"/>
  <c r="AF13"/>
  <c r="AI13" s="1"/>
  <c r="AX13"/>
  <c r="AF15"/>
  <c r="AI15" s="1"/>
  <c r="AX15"/>
  <c r="AH15"/>
  <c r="AZ15"/>
  <c r="AH14"/>
  <c r="AZ14"/>
  <c r="AF14"/>
  <c r="AL14" s="1"/>
  <c r="AX14"/>
  <c r="BA14" s="1"/>
  <c r="AY28"/>
  <c r="AZ28"/>
  <c r="AX28"/>
  <c r="AW28"/>
  <c r="AZ86"/>
  <c r="AH86"/>
  <c r="AX34"/>
  <c r="AZ34"/>
  <c r="AW34"/>
  <c r="AX35"/>
  <c r="AY35"/>
  <c r="BB35"/>
  <c r="AW33"/>
  <c r="AZ33"/>
  <c r="AW30"/>
  <c r="AZ30"/>
  <c r="AX30"/>
  <c r="AY30"/>
  <c r="AZ29"/>
  <c r="AW29"/>
  <c r="AY29"/>
  <c r="AX29"/>
  <c r="AZ31"/>
  <c r="AW31"/>
  <c r="AY31"/>
  <c r="AX31"/>
  <c r="AY32"/>
  <c r="AW32"/>
  <c r="AZ32"/>
  <c r="AX32"/>
  <c r="BB34"/>
  <c r="AW35"/>
  <c r="BB36"/>
  <c r="AX33"/>
  <c r="BB33"/>
  <c r="AW96"/>
  <c r="AY96"/>
  <c r="AX96"/>
  <c r="AZ96"/>
  <c r="BE99"/>
  <c r="AF99"/>
  <c r="AX99"/>
  <c r="BE103"/>
  <c r="AF103"/>
  <c r="AX103"/>
  <c r="AI98"/>
  <c r="AL98"/>
  <c r="BA100"/>
  <c r="BJ100" s="1"/>
  <c r="BK100" s="1"/>
  <c r="BN100" s="1"/>
  <c r="BD100"/>
  <c r="AI102"/>
  <c r="AR102" s="1"/>
  <c r="AS102" s="1"/>
  <c r="AV102" s="1"/>
  <c r="AL102"/>
  <c r="BE97"/>
  <c r="AF97"/>
  <c r="AX97"/>
  <c r="BE101"/>
  <c r="AF101"/>
  <c r="AX101"/>
  <c r="AI96"/>
  <c r="AL96"/>
  <c r="BA98"/>
  <c r="BD98"/>
  <c r="AI100"/>
  <c r="AR100" s="1"/>
  <c r="AS100" s="1"/>
  <c r="AV100" s="1"/>
  <c r="AL100"/>
  <c r="BA102"/>
  <c r="BJ102" s="1"/>
  <c r="BK102" s="1"/>
  <c r="BN102" s="1"/>
  <c r="BD102"/>
  <c r="AL29"/>
  <c r="AL30"/>
  <c r="AI28"/>
  <c r="AL28"/>
  <c r="BE14"/>
  <c r="AM13"/>
  <c r="K36"/>
  <c r="AI31"/>
  <c r="AH33"/>
  <c r="AE33"/>
  <c r="AI32"/>
  <c r="AR32" s="1"/>
  <c r="AS32" s="1"/>
  <c r="AF33"/>
  <c r="AI29"/>
  <c r="AI30"/>
  <c r="BE35"/>
  <c r="BE13"/>
  <c r="BE15"/>
  <c r="O14" i="2"/>
  <c r="L14"/>
  <c r="J14"/>
  <c r="K34" i="4"/>
  <c r="F14" i="2"/>
  <c r="C46" i="3"/>
  <c r="C8"/>
  <c r="B8"/>
  <c r="AM97" i="4"/>
  <c r="AM99"/>
  <c r="AM101"/>
  <c r="AM103"/>
  <c r="I37" i="14" l="1"/>
  <c r="F37"/>
  <c r="I35"/>
  <c r="F35"/>
  <c r="G37"/>
  <c r="G35"/>
  <c r="AF38" i="4"/>
  <c r="AG38"/>
  <c r="BA41"/>
  <c r="AF35"/>
  <c r="AE35"/>
  <c r="AH38"/>
  <c r="BU45"/>
  <c r="BY45"/>
  <c r="BU46"/>
  <c r="BY46"/>
  <c r="AC45"/>
  <c r="Z45"/>
  <c r="AB45"/>
  <c r="AA45"/>
  <c r="X45"/>
  <c r="Y45"/>
  <c r="BO46"/>
  <c r="BP46" s="1"/>
  <c r="BQ46"/>
  <c r="BR46" s="1"/>
  <c r="D40" i="14"/>
  <c r="R46" i="4"/>
  <c r="AE43"/>
  <c r="AF43"/>
  <c r="AG43"/>
  <c r="AH43"/>
  <c r="D39" i="14"/>
  <c r="BQ45" i="4"/>
  <c r="BR45" s="1"/>
  <c r="BO45"/>
  <c r="BP45" s="1"/>
  <c r="R45"/>
  <c r="I45"/>
  <c r="AN45"/>
  <c r="BV45"/>
  <c r="AP45"/>
  <c r="H45"/>
  <c r="J45"/>
  <c r="AD45"/>
  <c r="BH45" s="1"/>
  <c r="Q45"/>
  <c r="I46"/>
  <c r="AP46"/>
  <c r="J46"/>
  <c r="H46"/>
  <c r="E40" i="14" s="1"/>
  <c r="F40" s="1"/>
  <c r="AN46" i="4"/>
  <c r="BV46"/>
  <c r="AD46"/>
  <c r="BH46" s="1"/>
  <c r="Q46"/>
  <c r="BS45"/>
  <c r="BW45"/>
  <c r="BS46"/>
  <c r="BW46"/>
  <c r="BX46" s="1"/>
  <c r="AC46"/>
  <c r="X46"/>
  <c r="AB46"/>
  <c r="AA46"/>
  <c r="Y46"/>
  <c r="Z46"/>
  <c r="AY43"/>
  <c r="AZ43"/>
  <c r="AW43"/>
  <c r="AX43"/>
  <c r="AR81" i="1"/>
  <c r="AF44" i="4"/>
  <c r="AG44"/>
  <c r="AE44"/>
  <c r="AH44"/>
  <c r="AI42"/>
  <c r="AL42"/>
  <c r="AW42"/>
  <c r="AX42"/>
  <c r="AZ42"/>
  <c r="AY42"/>
  <c r="AH39"/>
  <c r="AE41"/>
  <c r="AH41"/>
  <c r="AF41"/>
  <c r="AG41"/>
  <c r="AG39"/>
  <c r="AF39"/>
  <c r="AL39" s="1"/>
  <c r="AW40"/>
  <c r="AX40"/>
  <c r="AY40"/>
  <c r="AZ40"/>
  <c r="AH40"/>
  <c r="AE40"/>
  <c r="AF40"/>
  <c r="AG40"/>
  <c r="AX39"/>
  <c r="AW39"/>
  <c r="AY39"/>
  <c r="AZ39"/>
  <c r="BD14"/>
  <c r="BJ14" s="1"/>
  <c r="BK14" s="1"/>
  <c r="BN14" s="1"/>
  <c r="BD31"/>
  <c r="BA37"/>
  <c r="AI14"/>
  <c r="BA96"/>
  <c r="AX36"/>
  <c r="B30" i="3"/>
  <c r="B29"/>
  <c r="O13" i="5"/>
  <c r="N13"/>
  <c r="M13"/>
  <c r="O12"/>
  <c r="N12"/>
  <c r="M12"/>
  <c r="AI33" i="4"/>
  <c r="M22" i="26"/>
  <c r="R20"/>
  <c r="R23" s="1"/>
  <c r="R24" s="1"/>
  <c r="Q27" s="1"/>
  <c r="Q23"/>
  <c r="Q24" s="1"/>
  <c r="Q25" s="1"/>
  <c r="I23"/>
  <c r="I24" s="1"/>
  <c r="I25" s="1"/>
  <c r="H25"/>
  <c r="M30"/>
  <c r="Q30" s="1"/>
  <c r="L20"/>
  <c r="K23"/>
  <c r="K24" s="1"/>
  <c r="K25" s="1"/>
  <c r="A28" i="14"/>
  <c r="A29" s="1"/>
  <c r="A30" s="1"/>
  <c r="A31" s="1"/>
  <c r="B27"/>
  <c r="AH35" i="4"/>
  <c r="BD37"/>
  <c r="AR31"/>
  <c r="AS31" s="1"/>
  <c r="M14" i="2"/>
  <c r="AI24" i="4"/>
  <c r="AI16"/>
  <c r="BD35"/>
  <c r="AI20"/>
  <c r="AR24"/>
  <c r="AS24" s="1"/>
  <c r="AR20"/>
  <c r="AS20" s="1"/>
  <c r="AV20" s="1"/>
  <c r="AR16"/>
  <c r="AS16" s="1"/>
  <c r="AV16" s="1"/>
  <c r="AL25"/>
  <c r="AR25" s="1"/>
  <c r="AS25" s="1"/>
  <c r="AV25" s="1"/>
  <c r="AI22"/>
  <c r="AR22" s="1"/>
  <c r="AS22" s="1"/>
  <c r="AV22" s="1"/>
  <c r="AL18"/>
  <c r="AR18" s="1"/>
  <c r="AS18" s="1"/>
  <c r="AV18" s="1"/>
  <c r="AR23"/>
  <c r="AS23" s="1"/>
  <c r="AR19"/>
  <c r="AS19" s="1"/>
  <c r="AR17"/>
  <c r="AS17" s="1"/>
  <c r="AV17" s="1"/>
  <c r="AI38"/>
  <c r="AL38"/>
  <c r="AW38"/>
  <c r="AZ38"/>
  <c r="AX38"/>
  <c r="AY38"/>
  <c r="BJ98"/>
  <c r="BK98" s="1"/>
  <c r="BN98" s="1"/>
  <c r="AL13"/>
  <c r="AR13" s="1"/>
  <c r="AS13" s="1"/>
  <c r="AV13" s="1"/>
  <c r="BD33"/>
  <c r="AW36"/>
  <c r="BA35"/>
  <c r="AI37"/>
  <c r="AL37"/>
  <c r="AI35"/>
  <c r="BA33"/>
  <c r="AL15"/>
  <c r="AR15" s="1"/>
  <c r="AS15" s="1"/>
  <c r="AV15" s="1"/>
  <c r="AR30"/>
  <c r="AS30" s="1"/>
  <c r="AR28"/>
  <c r="AS28" s="1"/>
  <c r="AZ36"/>
  <c r="BD96"/>
  <c r="AR98"/>
  <c r="AS98" s="1"/>
  <c r="AV98" s="1"/>
  <c r="AR29"/>
  <c r="AS29" s="1"/>
  <c r="AV29" s="1"/>
  <c r="AR96"/>
  <c r="AS96" s="1"/>
  <c r="AV96" s="1"/>
  <c r="AR14"/>
  <c r="AS14" s="1"/>
  <c r="AV14" s="1"/>
  <c r="AI101"/>
  <c r="AR101" s="1"/>
  <c r="AS101" s="1"/>
  <c r="AV101" s="1"/>
  <c r="AL101"/>
  <c r="BD97"/>
  <c r="BA97"/>
  <c r="AI103"/>
  <c r="AR103" s="1"/>
  <c r="AS103" s="1"/>
  <c r="AV103" s="1"/>
  <c r="AL103"/>
  <c r="BD99"/>
  <c r="BA99"/>
  <c r="BD101"/>
  <c r="BA101"/>
  <c r="AI97"/>
  <c r="AL97"/>
  <c r="BD103"/>
  <c r="BA103"/>
  <c r="AI99"/>
  <c r="AR99" s="1"/>
  <c r="AS99" s="1"/>
  <c r="AV99" s="1"/>
  <c r="AL99"/>
  <c r="AF34"/>
  <c r="AE34"/>
  <c r="AH34"/>
  <c r="AG34"/>
  <c r="AH36"/>
  <c r="AG36"/>
  <c r="AF36"/>
  <c r="AE36"/>
  <c r="AL35"/>
  <c r="AL33"/>
  <c r="BA31"/>
  <c r="AV21"/>
  <c r="BA30"/>
  <c r="BD30"/>
  <c r="BA22"/>
  <c r="BD22"/>
  <c r="BD19"/>
  <c r="BA19"/>
  <c r="BA28"/>
  <c r="BD28"/>
  <c r="BA24"/>
  <c r="BD24"/>
  <c r="BA20"/>
  <c r="BD20"/>
  <c r="BA16"/>
  <c r="BD16"/>
  <c r="BJ41"/>
  <c r="BK41" s="1"/>
  <c r="BN41" s="1"/>
  <c r="AV32"/>
  <c r="BD34"/>
  <c r="BA34"/>
  <c r="BD29"/>
  <c r="BA29"/>
  <c r="BD25"/>
  <c r="BA25"/>
  <c r="BD17"/>
  <c r="BA17"/>
  <c r="BA18"/>
  <c r="BD18"/>
  <c r="BD21"/>
  <c r="BA21"/>
  <c r="BD44"/>
  <c r="BA44"/>
  <c r="BD32"/>
  <c r="BA32"/>
  <c r="BD23"/>
  <c r="BA23"/>
  <c r="BD15"/>
  <c r="BA15"/>
  <c r="BD13"/>
  <c r="BA13"/>
  <c r="BD36" l="1"/>
  <c r="BA40"/>
  <c r="K46"/>
  <c r="AF46" s="1"/>
  <c r="L46"/>
  <c r="AX46" s="1"/>
  <c r="BA42"/>
  <c r="BD40"/>
  <c r="BD42"/>
  <c r="BF45"/>
  <c r="AR82" i="1"/>
  <c r="G63" i="4" s="1"/>
  <c r="W59"/>
  <c r="S66"/>
  <c r="D49"/>
  <c r="M49"/>
  <c r="D60"/>
  <c r="F56"/>
  <c r="G67"/>
  <c r="V48"/>
  <c r="BT48" s="1"/>
  <c r="W69"/>
  <c r="V65"/>
  <c r="BT65" s="1"/>
  <c r="B50"/>
  <c r="C44" i="14" s="1"/>
  <c r="M60" i="4"/>
  <c r="E68"/>
  <c r="G52"/>
  <c r="C56"/>
  <c r="S61"/>
  <c r="S54"/>
  <c r="M67"/>
  <c r="M65"/>
  <c r="B49"/>
  <c r="C43" i="14" s="1"/>
  <c r="D55" i="4"/>
  <c r="G56"/>
  <c r="W65"/>
  <c r="W58"/>
  <c r="F65"/>
  <c r="B60"/>
  <c r="C54" i="14" s="1"/>
  <c r="M62" i="4"/>
  <c r="D58"/>
  <c r="B70"/>
  <c r="C64" i="14" s="1"/>
  <c r="E52" i="4"/>
  <c r="D67"/>
  <c r="D64"/>
  <c r="C55"/>
  <c r="S57"/>
  <c r="W67"/>
  <c r="W52"/>
  <c r="V63"/>
  <c r="BT63" s="1"/>
  <c r="C62"/>
  <c r="E59"/>
  <c r="D50"/>
  <c r="F60"/>
  <c r="E65"/>
  <c r="E63"/>
  <c r="M66"/>
  <c r="F57"/>
  <c r="F62"/>
  <c r="C54"/>
  <c r="C58"/>
  <c r="V56"/>
  <c r="BT56" s="1"/>
  <c r="S67"/>
  <c r="S52"/>
  <c r="W62"/>
  <c r="E51"/>
  <c r="E57"/>
  <c r="F68"/>
  <c r="F58"/>
  <c r="M58"/>
  <c r="E50"/>
  <c r="G59"/>
  <c r="C49"/>
  <c r="V58"/>
  <c r="BT58" s="1"/>
  <c r="S69"/>
  <c r="V51"/>
  <c r="BT51" s="1"/>
  <c r="S62"/>
  <c r="G60"/>
  <c r="E64"/>
  <c r="B62"/>
  <c r="C56" i="14" s="1"/>
  <c r="E62" i="4"/>
  <c r="M48"/>
  <c r="M71"/>
  <c r="D56"/>
  <c r="G50"/>
  <c r="G71"/>
  <c r="G55"/>
  <c r="V52"/>
  <c r="BT52" s="1"/>
  <c r="S63"/>
  <c r="S56"/>
  <c r="W66"/>
  <c r="E67"/>
  <c r="B61"/>
  <c r="C55" i="14" s="1"/>
  <c r="D71" i="4"/>
  <c r="M57"/>
  <c r="D48"/>
  <c r="B71"/>
  <c r="C65" i="14" s="1"/>
  <c r="F54" i="4"/>
  <c r="D68"/>
  <c r="E66"/>
  <c r="BA43"/>
  <c r="BD43"/>
  <c r="BG45"/>
  <c r="AQ45"/>
  <c r="AO45"/>
  <c r="BI45"/>
  <c r="AI44"/>
  <c r="AL44"/>
  <c r="E39" i="14"/>
  <c r="F39" s="1"/>
  <c r="AM45" i="4"/>
  <c r="BE45"/>
  <c r="AI43"/>
  <c r="AL43"/>
  <c r="BE46"/>
  <c r="AM46"/>
  <c r="AH46"/>
  <c r="K45"/>
  <c r="C64"/>
  <c r="G54"/>
  <c r="AG46"/>
  <c r="AE46"/>
  <c r="BB45"/>
  <c r="AW46"/>
  <c r="C67"/>
  <c r="BX45"/>
  <c r="I40" i="14"/>
  <c r="G40"/>
  <c r="BB46" i="4"/>
  <c r="BF46"/>
  <c r="G68"/>
  <c r="BI46"/>
  <c r="AO46"/>
  <c r="BG46"/>
  <c r="AQ46"/>
  <c r="C70"/>
  <c r="C60"/>
  <c r="BJ37"/>
  <c r="BK37" s="1"/>
  <c r="BN37" s="1"/>
  <c r="G62"/>
  <c r="W51"/>
  <c r="L45"/>
  <c r="C68"/>
  <c r="AR42"/>
  <c r="AS42" s="1"/>
  <c r="AI39"/>
  <c r="AR39" s="1"/>
  <c r="AS39" s="1"/>
  <c r="AV39" s="1"/>
  <c r="AI41"/>
  <c r="AL41"/>
  <c r="AI40"/>
  <c r="AL40"/>
  <c r="BD39"/>
  <c r="BA39"/>
  <c r="AR38"/>
  <c r="AS38" s="1"/>
  <c r="AV38" s="1"/>
  <c r="A32" i="14"/>
  <c r="B31"/>
  <c r="BA36" i="4"/>
  <c r="BJ36" s="1"/>
  <c r="BK36" s="1"/>
  <c r="BN36" s="1"/>
  <c r="BJ35"/>
  <c r="BK35" s="1"/>
  <c r="BN35" s="1"/>
  <c r="AR35"/>
  <c r="AS35" s="1"/>
  <c r="AV35" s="1"/>
  <c r="BJ33"/>
  <c r="BK33" s="1"/>
  <c r="BN33" s="1"/>
  <c r="BA38"/>
  <c r="BD38"/>
  <c r="BJ96"/>
  <c r="BK96" s="1"/>
  <c r="BN96" s="1"/>
  <c r="AR33"/>
  <c r="AS33" s="1"/>
  <c r="BJ31"/>
  <c r="BK31" s="1"/>
  <c r="BN31" s="1"/>
  <c r="B28" i="14"/>
  <c r="J12" i="24"/>
  <c r="R25" i="26"/>
  <c r="M20"/>
  <c r="M23" s="1"/>
  <c r="M24" s="1"/>
  <c r="L23"/>
  <c r="L24" s="1"/>
  <c r="L25" s="1"/>
  <c r="B30" i="14"/>
  <c r="B29"/>
  <c r="AR37" i="4"/>
  <c r="AS37" s="1"/>
  <c r="AV37" s="1"/>
  <c r="AR97"/>
  <c r="AS97" s="1"/>
  <c r="AV97" s="1"/>
  <c r="AI36"/>
  <c r="AI34"/>
  <c r="BJ103"/>
  <c r="BK103" s="1"/>
  <c r="BN103" s="1"/>
  <c r="BJ101"/>
  <c r="BK101" s="1"/>
  <c r="BN101" s="1"/>
  <c r="BJ99"/>
  <c r="BK99" s="1"/>
  <c r="BN99" s="1"/>
  <c r="BJ97"/>
  <c r="BK97" s="1"/>
  <c r="BN97" s="1"/>
  <c r="AL36"/>
  <c r="AL34"/>
  <c r="AV42"/>
  <c r="BJ18"/>
  <c r="BK18" s="1"/>
  <c r="BN18" s="1"/>
  <c r="BJ16"/>
  <c r="BK16" s="1"/>
  <c r="BN16" s="1"/>
  <c r="BJ20"/>
  <c r="BK20" s="1"/>
  <c r="BN20" s="1"/>
  <c r="BJ24"/>
  <c r="BK24" s="1"/>
  <c r="BN24" s="1"/>
  <c r="BJ28"/>
  <c r="BK28" s="1"/>
  <c r="BN28" s="1"/>
  <c r="BJ19"/>
  <c r="BK19" s="1"/>
  <c r="BN19" s="1"/>
  <c r="BJ13"/>
  <c r="BK13" s="1"/>
  <c r="BN13" s="1"/>
  <c r="AV24"/>
  <c r="BJ15"/>
  <c r="BK15" s="1"/>
  <c r="BN15" s="1"/>
  <c r="BJ23"/>
  <c r="BK23" s="1"/>
  <c r="BN23" s="1"/>
  <c r="BJ32"/>
  <c r="BK32" s="1"/>
  <c r="BN32" s="1"/>
  <c r="BJ40"/>
  <c r="BK40" s="1"/>
  <c r="BN40" s="1"/>
  <c r="BJ44"/>
  <c r="BK44" s="1"/>
  <c r="BN44" s="1"/>
  <c r="AV23"/>
  <c r="AV31"/>
  <c r="BJ21"/>
  <c r="BK21" s="1"/>
  <c r="BN21" s="1"/>
  <c r="AV28"/>
  <c r="AV30"/>
  <c r="BJ17"/>
  <c r="BK17" s="1"/>
  <c r="BN17" s="1"/>
  <c r="BJ25"/>
  <c r="BK25" s="1"/>
  <c r="BN25" s="1"/>
  <c r="BJ29"/>
  <c r="BK29" s="1"/>
  <c r="BN29" s="1"/>
  <c r="AV33"/>
  <c r="BJ34"/>
  <c r="BK34" s="1"/>
  <c r="BN34" s="1"/>
  <c r="BJ42"/>
  <c r="BK42" s="1"/>
  <c r="BN42" s="1"/>
  <c r="AV19"/>
  <c r="BJ22"/>
  <c r="BK22" s="1"/>
  <c r="BN22" s="1"/>
  <c r="BJ30"/>
  <c r="BK30" s="1"/>
  <c r="BN30" s="1"/>
  <c r="M29" i="26" l="1"/>
  <c r="M27"/>
  <c r="Q39"/>
  <c r="Q29"/>
  <c r="V69" i="4"/>
  <c r="BT69" s="1"/>
  <c r="S55"/>
  <c r="D66"/>
  <c r="M70"/>
  <c r="W71"/>
  <c r="G51"/>
  <c r="E55"/>
  <c r="G69"/>
  <c r="S59"/>
  <c r="E58"/>
  <c r="M68"/>
  <c r="B55"/>
  <c r="C49" i="14" s="1"/>
  <c r="S49" i="4"/>
  <c r="G65"/>
  <c r="D65"/>
  <c r="B67"/>
  <c r="C61" i="14" s="1"/>
  <c r="F51" i="4"/>
  <c r="S64"/>
  <c r="G47"/>
  <c r="W57"/>
  <c r="C50"/>
  <c r="M53"/>
  <c r="E71"/>
  <c r="V66"/>
  <c r="BT66" s="1"/>
  <c r="S48"/>
  <c r="C59"/>
  <c r="B59"/>
  <c r="C53" i="14" s="1"/>
  <c r="W64" i="4"/>
  <c r="V50"/>
  <c r="BT50" s="1"/>
  <c r="B57"/>
  <c r="C51" i="14" s="1"/>
  <c r="B63" i="4"/>
  <c r="C57" i="14" s="1"/>
  <c r="W54" i="4"/>
  <c r="G64"/>
  <c r="F67"/>
  <c r="M54"/>
  <c r="V55"/>
  <c r="BT55" s="1"/>
  <c r="G58"/>
  <c r="G48"/>
  <c r="V67"/>
  <c r="BT67" s="1"/>
  <c r="S51"/>
  <c r="V62"/>
  <c r="BT62" s="1"/>
  <c r="F70"/>
  <c r="C69"/>
  <c r="D57"/>
  <c r="B58"/>
  <c r="C52" i="14" s="1"/>
  <c r="D54" i="4"/>
  <c r="B54"/>
  <c r="C48" i="14" s="1"/>
  <c r="C48" i="4"/>
  <c r="AZ46"/>
  <c r="AY46"/>
  <c r="M63"/>
  <c r="W50"/>
  <c r="B48"/>
  <c r="C42" i="14" s="1"/>
  <c r="W63" i="4"/>
  <c r="M64"/>
  <c r="C53"/>
  <c r="E48"/>
  <c r="BQ48" s="1"/>
  <c r="BR48" s="1"/>
  <c r="E69"/>
  <c r="W49"/>
  <c r="W48"/>
  <c r="V47"/>
  <c r="BT47" s="1"/>
  <c r="B47"/>
  <c r="C41" i="14" s="1"/>
  <c r="C47" i="4"/>
  <c r="J47"/>
  <c r="AN47"/>
  <c r="AD47"/>
  <c r="L47" s="1"/>
  <c r="BV47"/>
  <c r="I47"/>
  <c r="AP47"/>
  <c r="H47"/>
  <c r="E41" i="14" s="1"/>
  <c r="F41" s="1"/>
  <c r="M47" i="4"/>
  <c r="E47"/>
  <c r="E56"/>
  <c r="M69"/>
  <c r="E49"/>
  <c r="G53"/>
  <c r="V57"/>
  <c r="BT57" s="1"/>
  <c r="D59"/>
  <c r="W68"/>
  <c r="D51"/>
  <c r="E60"/>
  <c r="F48"/>
  <c r="W47"/>
  <c r="D47"/>
  <c r="S47"/>
  <c r="F47"/>
  <c r="BJ43"/>
  <c r="BK43" s="1"/>
  <c r="BN43" s="1"/>
  <c r="AW45"/>
  <c r="AY45"/>
  <c r="AX45"/>
  <c r="AZ45"/>
  <c r="BY68"/>
  <c r="BU68"/>
  <c r="AG62"/>
  <c r="AD62"/>
  <c r="L62"/>
  <c r="BV62"/>
  <c r="AE62"/>
  <c r="AP62"/>
  <c r="AN62"/>
  <c r="J62"/>
  <c r="AL62"/>
  <c r="AH62"/>
  <c r="BF62"/>
  <c r="H62"/>
  <c r="E56" i="14" s="1"/>
  <c r="F56" s="1"/>
  <c r="K62" i="4"/>
  <c r="AI62"/>
  <c r="AF62"/>
  <c r="I62"/>
  <c r="Q62"/>
  <c r="BY70"/>
  <c r="BU70"/>
  <c r="AI46"/>
  <c r="AR46" s="1"/>
  <c r="AS46" s="1"/>
  <c r="AV46" s="1"/>
  <c r="AL46"/>
  <c r="AG45"/>
  <c r="AF45"/>
  <c r="AE45"/>
  <c r="AH45"/>
  <c r="AX66"/>
  <c r="R66"/>
  <c r="AY66"/>
  <c r="AS66"/>
  <c r="AV66" s="1"/>
  <c r="D60" i="14"/>
  <c r="AZ66" i="4"/>
  <c r="BH66"/>
  <c r="AW66"/>
  <c r="BB66"/>
  <c r="AR66"/>
  <c r="BO66"/>
  <c r="BP66" s="1"/>
  <c r="BQ66"/>
  <c r="BR66" s="1"/>
  <c r="D61" i="14"/>
  <c r="AY67" i="4"/>
  <c r="AS67"/>
  <c r="AV67" s="1"/>
  <c r="BQ67"/>
  <c r="BR67" s="1"/>
  <c r="AZ67"/>
  <c r="AW67"/>
  <c r="R67"/>
  <c r="BH67"/>
  <c r="BB67"/>
  <c r="AR67"/>
  <c r="AX67"/>
  <c r="BO67"/>
  <c r="BP67" s="1"/>
  <c r="AG59"/>
  <c r="H59"/>
  <c r="E53" i="14" s="1"/>
  <c r="F53" s="1"/>
  <c r="BV59" i="4"/>
  <c r="J59"/>
  <c r="AE59"/>
  <c r="BF59"/>
  <c r="AN59"/>
  <c r="AD59"/>
  <c r="AI59"/>
  <c r="AH59"/>
  <c r="K59"/>
  <c r="L59"/>
  <c r="AF59"/>
  <c r="AL59"/>
  <c r="AP59"/>
  <c r="I59"/>
  <c r="BY54"/>
  <c r="BU54"/>
  <c r="R63"/>
  <c r="D57" i="14"/>
  <c r="AY63" i="4"/>
  <c r="AS63"/>
  <c r="AV63" s="1"/>
  <c r="BH63"/>
  <c r="AZ63"/>
  <c r="AW63"/>
  <c r="AX63"/>
  <c r="BO63"/>
  <c r="BP63" s="1"/>
  <c r="AR63"/>
  <c r="BB63"/>
  <c r="BQ63"/>
  <c r="BR63" s="1"/>
  <c r="AZ59"/>
  <c r="AR59"/>
  <c r="BB59"/>
  <c r="AX59"/>
  <c r="D53" i="14"/>
  <c r="AY59" i="4"/>
  <c r="R59"/>
  <c r="AW59"/>
  <c r="AS59"/>
  <c r="AV59" s="1"/>
  <c r="BH59"/>
  <c r="Y67"/>
  <c r="AB67"/>
  <c r="Z67"/>
  <c r="X67"/>
  <c r="AA67"/>
  <c r="AC67"/>
  <c r="BW62"/>
  <c r="BX62" s="1"/>
  <c r="BS62"/>
  <c r="BG62" s="1"/>
  <c r="AA58"/>
  <c r="AB58"/>
  <c r="X58"/>
  <c r="AC58"/>
  <c r="Z58"/>
  <c r="Y58"/>
  <c r="AG56"/>
  <c r="AF56"/>
  <c r="BV56"/>
  <c r="H56"/>
  <c r="E50" i="14" s="1"/>
  <c r="F50" s="1"/>
  <c r="AN56" i="4"/>
  <c r="AH56"/>
  <c r="J56"/>
  <c r="BF56"/>
  <c r="L56"/>
  <c r="I56"/>
  <c r="AE56"/>
  <c r="AP56"/>
  <c r="K56"/>
  <c r="AI56"/>
  <c r="AD56"/>
  <c r="AL56"/>
  <c r="BW67"/>
  <c r="BX67" s="1"/>
  <c r="BS67"/>
  <c r="BI67" s="1"/>
  <c r="AG52"/>
  <c r="AD52"/>
  <c r="AE52"/>
  <c r="AP52"/>
  <c r="BV52"/>
  <c r="AI52"/>
  <c r="BF52"/>
  <c r="L52"/>
  <c r="AL52"/>
  <c r="AN52"/>
  <c r="I52"/>
  <c r="AH52"/>
  <c r="J52"/>
  <c r="AF52"/>
  <c r="H52"/>
  <c r="E46" i="14" s="1"/>
  <c r="F46" s="1"/>
  <c r="K52" i="4"/>
  <c r="BW60"/>
  <c r="BX60" s="1"/>
  <c r="BS60"/>
  <c r="BS49"/>
  <c r="BW49"/>
  <c r="BX49" s="1"/>
  <c r="AG63"/>
  <c r="BF63"/>
  <c r="L63"/>
  <c r="J63"/>
  <c r="AE63"/>
  <c r="AL63"/>
  <c r="AH63"/>
  <c r="AF63"/>
  <c r="AN63"/>
  <c r="AP63"/>
  <c r="BV63"/>
  <c r="K63"/>
  <c r="I63"/>
  <c r="H63"/>
  <c r="E57" i="14" s="1"/>
  <c r="F57" s="1"/>
  <c r="AI63" i="4"/>
  <c r="AD63"/>
  <c r="Q63"/>
  <c r="D42" i="14"/>
  <c r="R48" i="4"/>
  <c r="AR44"/>
  <c r="AS44" s="1"/>
  <c r="AV44" s="1"/>
  <c r="F52"/>
  <c r="F64"/>
  <c r="V68"/>
  <c r="BT68" s="1"/>
  <c r="M50"/>
  <c r="Q50" s="1"/>
  <c r="B69"/>
  <c r="C63" i="14" s="1"/>
  <c r="W56" i="4"/>
  <c r="C52"/>
  <c r="F49"/>
  <c r="S68"/>
  <c r="C63"/>
  <c r="F66"/>
  <c r="S58"/>
  <c r="F55"/>
  <c r="F61"/>
  <c r="V53"/>
  <c r="BT53" s="1"/>
  <c r="C66"/>
  <c r="M52"/>
  <c r="Q52" s="1"/>
  <c r="S70"/>
  <c r="W55"/>
  <c r="B52"/>
  <c r="C46" i="14" s="1"/>
  <c r="F59" i="4"/>
  <c r="W70"/>
  <c r="W53"/>
  <c r="B53"/>
  <c r="C47" i="14" s="1"/>
  <c r="D61" i="4"/>
  <c r="V71"/>
  <c r="BT71" s="1"/>
  <c r="V54"/>
  <c r="BT54" s="1"/>
  <c r="Y51"/>
  <c r="AA51"/>
  <c r="X51"/>
  <c r="Z51"/>
  <c r="AC51"/>
  <c r="AB51"/>
  <c r="AG68"/>
  <c r="L68"/>
  <c r="H68"/>
  <c r="E62" i="14" s="1"/>
  <c r="F62" s="1"/>
  <c r="J68" i="4"/>
  <c r="AP68"/>
  <c r="AF68"/>
  <c r="AH68"/>
  <c r="I68"/>
  <c r="K68"/>
  <c r="AN68"/>
  <c r="AL68"/>
  <c r="Q68"/>
  <c r="BV68"/>
  <c r="AE68"/>
  <c r="BF68"/>
  <c r="AI68"/>
  <c r="AD68"/>
  <c r="BA46"/>
  <c r="BD46"/>
  <c r="BY64"/>
  <c r="BU64"/>
  <c r="AE50"/>
  <c r="AP50"/>
  <c r="BF50"/>
  <c r="H50"/>
  <c r="E44" i="14" s="1"/>
  <c r="F44" s="1"/>
  <c r="K50" i="4"/>
  <c r="AL50"/>
  <c r="AH50"/>
  <c r="I50"/>
  <c r="BV50"/>
  <c r="AI50"/>
  <c r="AF50"/>
  <c r="L50"/>
  <c r="AG50"/>
  <c r="AD50"/>
  <c r="AN50"/>
  <c r="J50"/>
  <c r="D56" i="14"/>
  <c r="R62" i="4"/>
  <c r="BB62"/>
  <c r="AW62"/>
  <c r="BH62"/>
  <c r="AX62"/>
  <c r="AR62"/>
  <c r="AY62"/>
  <c r="AZ62"/>
  <c r="BQ62"/>
  <c r="BR62" s="1"/>
  <c r="AS62"/>
  <c r="AV62" s="1"/>
  <c r="BO62"/>
  <c r="BP62" s="1"/>
  <c r="AQ62"/>
  <c r="BI62"/>
  <c r="BY49"/>
  <c r="BU49"/>
  <c r="AC62"/>
  <c r="Y62"/>
  <c r="AB62"/>
  <c r="AA62"/>
  <c r="Z62"/>
  <c r="X62"/>
  <c r="BY58"/>
  <c r="BU58"/>
  <c r="BS66"/>
  <c r="BW66"/>
  <c r="BX66" s="1"/>
  <c r="Y52"/>
  <c r="AB52"/>
  <c r="X52"/>
  <c r="AC52"/>
  <c r="Z52"/>
  <c r="AA52"/>
  <c r="BS70"/>
  <c r="BW70"/>
  <c r="BX70" s="1"/>
  <c r="Z71"/>
  <c r="AC71"/>
  <c r="X71"/>
  <c r="AA71"/>
  <c r="AB71"/>
  <c r="Y71"/>
  <c r="AD51"/>
  <c r="AP51"/>
  <c r="BF51"/>
  <c r="K51"/>
  <c r="AI51"/>
  <c r="AL51"/>
  <c r="H51"/>
  <c r="E45" i="14" s="1"/>
  <c r="F45" s="1"/>
  <c r="J51" i="4"/>
  <c r="AG51"/>
  <c r="AH51"/>
  <c r="L51"/>
  <c r="AE51"/>
  <c r="AF51"/>
  <c r="AN51"/>
  <c r="I51"/>
  <c r="BV51"/>
  <c r="D49" i="14"/>
  <c r="BB55" i="4"/>
  <c r="AX55"/>
  <c r="R55"/>
  <c r="BH55"/>
  <c r="AW55"/>
  <c r="AY55"/>
  <c r="AZ55"/>
  <c r="AS55"/>
  <c r="AV55" s="1"/>
  <c r="AR55"/>
  <c r="BF69"/>
  <c r="AN69"/>
  <c r="AI69"/>
  <c r="AL69"/>
  <c r="H69"/>
  <c r="E63" i="14" s="1"/>
  <c r="F63" s="1"/>
  <c r="L69" i="4"/>
  <c r="K69"/>
  <c r="AG69"/>
  <c r="AH69"/>
  <c r="BV69"/>
  <c r="Q69"/>
  <c r="AP69"/>
  <c r="J69"/>
  <c r="AE69"/>
  <c r="I69"/>
  <c r="AF69"/>
  <c r="AD69"/>
  <c r="D52" i="14"/>
  <c r="AZ58" i="4"/>
  <c r="AS58"/>
  <c r="AV58" s="1"/>
  <c r="BO58"/>
  <c r="BP58" s="1"/>
  <c r="BB58"/>
  <c r="AR58"/>
  <c r="BH58"/>
  <c r="AX58"/>
  <c r="BQ58"/>
  <c r="BR58" s="1"/>
  <c r="AY58"/>
  <c r="AW58"/>
  <c r="R58"/>
  <c r="BW68"/>
  <c r="BX68" s="1"/>
  <c r="BS68"/>
  <c r="AC59"/>
  <c r="Z59"/>
  <c r="AB59"/>
  <c r="Y59"/>
  <c r="AA59"/>
  <c r="X59"/>
  <c r="AI58"/>
  <c r="AL58"/>
  <c r="I58"/>
  <c r="AH58"/>
  <c r="BV58"/>
  <c r="AN58"/>
  <c r="AF58"/>
  <c r="H58"/>
  <c r="E52" i="14" s="1"/>
  <c r="F52" s="1"/>
  <c r="AE58" i="4"/>
  <c r="J58"/>
  <c r="L58"/>
  <c r="K58"/>
  <c r="AP58"/>
  <c r="AG58"/>
  <c r="BF58"/>
  <c r="AD58"/>
  <c r="Q58"/>
  <c r="BS63"/>
  <c r="BI63" s="1"/>
  <c r="BW63"/>
  <c r="BX63" s="1"/>
  <c r="D50" i="14"/>
  <c r="R56" i="4"/>
  <c r="AZ56"/>
  <c r="AS56"/>
  <c r="AV56" s="1"/>
  <c r="BB56"/>
  <c r="AR56"/>
  <c r="BH56"/>
  <c r="AX56"/>
  <c r="AY56"/>
  <c r="AW56"/>
  <c r="Z50"/>
  <c r="AC50"/>
  <c r="AB50"/>
  <c r="Y50"/>
  <c r="AA50"/>
  <c r="X50"/>
  <c r="BS69"/>
  <c r="AQ69" s="1"/>
  <c r="BW69"/>
  <c r="BX69" s="1"/>
  <c r="BY50"/>
  <c r="BU50"/>
  <c r="BS53"/>
  <c r="BW53"/>
  <c r="BX53" s="1"/>
  <c r="Z68"/>
  <c r="AB68"/>
  <c r="Y68"/>
  <c r="X68"/>
  <c r="AC68"/>
  <c r="AA68"/>
  <c r="R69"/>
  <c r="BQ69"/>
  <c r="BR69" s="1"/>
  <c r="BB69"/>
  <c r="AR69"/>
  <c r="BH69"/>
  <c r="AX69"/>
  <c r="D63" i="14"/>
  <c r="AY69" i="4"/>
  <c r="BO69"/>
  <c r="BP69" s="1"/>
  <c r="AW69"/>
  <c r="AZ69"/>
  <c r="AS69"/>
  <c r="AV69" s="1"/>
  <c r="AO69"/>
  <c r="BG69"/>
  <c r="BO60"/>
  <c r="BP60" s="1"/>
  <c r="BQ60"/>
  <c r="BR60" s="1"/>
  <c r="AW60"/>
  <c r="AX60"/>
  <c r="AY60"/>
  <c r="D54" i="14"/>
  <c r="BB60" i="4"/>
  <c r="BH60"/>
  <c r="AS60"/>
  <c r="AV60" s="1"/>
  <c r="R60"/>
  <c r="AR60"/>
  <c r="AZ60"/>
  <c r="C61"/>
  <c r="D53"/>
  <c r="V64"/>
  <c r="BT64" s="1"/>
  <c r="D63"/>
  <c r="D69"/>
  <c r="B64"/>
  <c r="C58" i="14" s="1"/>
  <c r="S65" i="4"/>
  <c r="AE47"/>
  <c r="AG47"/>
  <c r="AH47"/>
  <c r="AF47"/>
  <c r="BY60"/>
  <c r="BU60"/>
  <c r="AE54"/>
  <c r="AL54"/>
  <c r="L54"/>
  <c r="K54"/>
  <c r="J54"/>
  <c r="AD54"/>
  <c r="BV54"/>
  <c r="I54"/>
  <c r="AI54"/>
  <c r="Q54"/>
  <c r="BF54"/>
  <c r="AN54"/>
  <c r="AP54"/>
  <c r="AH54"/>
  <c r="H54"/>
  <c r="E48" i="14" s="1"/>
  <c r="F48" s="1"/>
  <c r="AG54" i="4"/>
  <c r="AF54"/>
  <c r="G39" i="14"/>
  <c r="I39"/>
  <c r="AD71" i="4"/>
  <c r="J71"/>
  <c r="BV71"/>
  <c r="AL71"/>
  <c r="AN71"/>
  <c r="L71"/>
  <c r="AF71"/>
  <c r="AP71"/>
  <c r="AE71"/>
  <c r="AG71"/>
  <c r="K71"/>
  <c r="BF71"/>
  <c r="AI71"/>
  <c r="H71"/>
  <c r="E65" i="14" s="1"/>
  <c r="F65" s="1"/>
  <c r="I71" i="4"/>
  <c r="AH71"/>
  <c r="Q71"/>
  <c r="BS48"/>
  <c r="AO48" s="1"/>
  <c r="BW48"/>
  <c r="AE60"/>
  <c r="L60"/>
  <c r="I60"/>
  <c r="AH60"/>
  <c r="AN60"/>
  <c r="AG60"/>
  <c r="AI60"/>
  <c r="K60"/>
  <c r="BF60"/>
  <c r="BV60"/>
  <c r="AD60"/>
  <c r="Q60"/>
  <c r="AP60"/>
  <c r="AL60"/>
  <c r="H60"/>
  <c r="E54" i="14" s="1"/>
  <c r="F54" s="1"/>
  <c r="J60" i="4"/>
  <c r="AF60"/>
  <c r="BS58"/>
  <c r="BI58" s="1"/>
  <c r="BW58"/>
  <c r="BX58" s="1"/>
  <c r="D45" i="14"/>
  <c r="R51" i="4"/>
  <c r="AY51"/>
  <c r="AS51"/>
  <c r="AV51" s="1"/>
  <c r="AZ51"/>
  <c r="AR51"/>
  <c r="BH51"/>
  <c r="AX51"/>
  <c r="AW51"/>
  <c r="BB51"/>
  <c r="BY55"/>
  <c r="BU55"/>
  <c r="X65"/>
  <c r="AA65"/>
  <c r="AB65"/>
  <c r="Y65"/>
  <c r="Z65"/>
  <c r="AC65"/>
  <c r="BW65"/>
  <c r="BX65" s="1"/>
  <c r="BS65"/>
  <c r="BG65" s="1"/>
  <c r="BU56"/>
  <c r="BY56"/>
  <c r="D62" i="14"/>
  <c r="R68" i="4"/>
  <c r="BB68"/>
  <c r="AW68"/>
  <c r="BO68"/>
  <c r="BP68" s="1"/>
  <c r="BH68"/>
  <c r="AX68"/>
  <c r="AY68"/>
  <c r="AR68"/>
  <c r="AZ68"/>
  <c r="BQ68"/>
  <c r="BR68" s="1"/>
  <c r="AS68"/>
  <c r="AV68" s="1"/>
  <c r="BI68"/>
  <c r="BG68"/>
  <c r="AQ68"/>
  <c r="AB69"/>
  <c r="Y69"/>
  <c r="Z69"/>
  <c r="AC69"/>
  <c r="AA69"/>
  <c r="X69"/>
  <c r="AG67"/>
  <c r="I67"/>
  <c r="AF67"/>
  <c r="BF67"/>
  <c r="AL67"/>
  <c r="AE67"/>
  <c r="H67"/>
  <c r="E61" i="14" s="1"/>
  <c r="F61" s="1"/>
  <c r="K67" i="4"/>
  <c r="AD67"/>
  <c r="L67"/>
  <c r="AH67"/>
  <c r="AP67"/>
  <c r="Q67"/>
  <c r="J67"/>
  <c r="AI67"/>
  <c r="BV67"/>
  <c r="AN67"/>
  <c r="AB48"/>
  <c r="X48"/>
  <c r="AA48"/>
  <c r="AC48"/>
  <c r="Y48"/>
  <c r="Z48"/>
  <c r="AR43"/>
  <c r="AS43" s="1"/>
  <c r="AV43" s="1"/>
  <c r="V70"/>
  <c r="BT70" s="1"/>
  <c r="G66"/>
  <c r="X66" s="1"/>
  <c r="M61"/>
  <c r="D62"/>
  <c r="V61"/>
  <c r="BT61" s="1"/>
  <c r="C71"/>
  <c r="F71"/>
  <c r="S53"/>
  <c r="B56"/>
  <c r="C50" i="14" s="1"/>
  <c r="E70" i="4"/>
  <c r="W61"/>
  <c r="F53"/>
  <c r="D70"/>
  <c r="B65"/>
  <c r="C59" i="14" s="1"/>
  <c r="F63" i="4"/>
  <c r="E54"/>
  <c r="AC54" s="1"/>
  <c r="C65"/>
  <c r="V60"/>
  <c r="BT60" s="1"/>
  <c r="BG60" s="1"/>
  <c r="M56"/>
  <c r="BO56" s="1"/>
  <c r="BP56" s="1"/>
  <c r="D52"/>
  <c r="G61"/>
  <c r="B66"/>
  <c r="C60" i="14" s="1"/>
  <c r="F50" i="4"/>
  <c r="V49"/>
  <c r="BT49" s="1"/>
  <c r="C51"/>
  <c r="M55"/>
  <c r="M51"/>
  <c r="S50"/>
  <c r="G70"/>
  <c r="BU67"/>
  <c r="BY67"/>
  <c r="BS57"/>
  <c r="BW57"/>
  <c r="BX57" s="1"/>
  <c r="Z66"/>
  <c r="AG55"/>
  <c r="AI55"/>
  <c r="H55"/>
  <c r="E49" i="14" s="1"/>
  <c r="F49" s="1"/>
  <c r="AD55" i="4"/>
  <c r="I55"/>
  <c r="AE55"/>
  <c r="K55"/>
  <c r="AL55"/>
  <c r="L55"/>
  <c r="AH55"/>
  <c r="AF55"/>
  <c r="BV55"/>
  <c r="J55"/>
  <c r="AP55"/>
  <c r="BF55"/>
  <c r="AN55"/>
  <c r="BS71"/>
  <c r="BI71" s="1"/>
  <c r="BW71"/>
  <c r="BX71" s="1"/>
  <c r="AX64"/>
  <c r="BO64"/>
  <c r="BP64" s="1"/>
  <c r="R64"/>
  <c r="AY64"/>
  <c r="AS64"/>
  <c r="AV64" s="1"/>
  <c r="D58" i="14"/>
  <c r="BQ64" i="4"/>
  <c r="BR64" s="1"/>
  <c r="BB64"/>
  <c r="AZ64"/>
  <c r="AR64"/>
  <c r="BH64"/>
  <c r="AW64"/>
  <c r="R50"/>
  <c r="D44" i="14"/>
  <c r="AW50" i="4"/>
  <c r="AX50"/>
  <c r="AY50"/>
  <c r="BH50"/>
  <c r="AZ50"/>
  <c r="BQ50"/>
  <c r="BR50" s="1"/>
  <c r="BB50"/>
  <c r="AS50"/>
  <c r="AV50" s="1"/>
  <c r="AR50"/>
  <c r="BO50"/>
  <c r="BP50" s="1"/>
  <c r="D51" i="14"/>
  <c r="R57" i="4"/>
  <c r="BQ57"/>
  <c r="BR57" s="1"/>
  <c r="BB57"/>
  <c r="AX57"/>
  <c r="BO57"/>
  <c r="BP57" s="1"/>
  <c r="BH57"/>
  <c r="AW57"/>
  <c r="AY57"/>
  <c r="AR57"/>
  <c r="AZ57"/>
  <c r="AS57"/>
  <c r="AV57" s="1"/>
  <c r="D59" i="14"/>
  <c r="AZ65" i="4"/>
  <c r="AW65"/>
  <c r="R65"/>
  <c r="BQ65"/>
  <c r="BR65" s="1"/>
  <c r="BB65"/>
  <c r="AR65"/>
  <c r="AS65"/>
  <c r="AV65" s="1"/>
  <c r="BH65"/>
  <c r="AX65"/>
  <c r="BO65"/>
  <c r="BP65" s="1"/>
  <c r="AY65"/>
  <c r="BY62"/>
  <c r="BU62"/>
  <c r="D46" i="14"/>
  <c r="AW52" i="4"/>
  <c r="AX52"/>
  <c r="BH52"/>
  <c r="AY52"/>
  <c r="R52"/>
  <c r="AZ52"/>
  <c r="BO52"/>
  <c r="BP52" s="1"/>
  <c r="BB52"/>
  <c r="BQ52"/>
  <c r="BR52" s="1"/>
  <c r="AS52"/>
  <c r="AV52" s="1"/>
  <c r="AR52"/>
  <c r="BY59"/>
  <c r="BU59"/>
  <c r="AB64"/>
  <c r="Y64"/>
  <c r="X64"/>
  <c r="AA64"/>
  <c r="Z64"/>
  <c r="AC64"/>
  <c r="AA54"/>
  <c r="AG64"/>
  <c r="J64"/>
  <c r="AE64"/>
  <c r="AP64"/>
  <c r="H64"/>
  <c r="E58" i="14" s="1"/>
  <c r="F58" s="1"/>
  <c r="AL64" i="4"/>
  <c r="Q64"/>
  <c r="I64"/>
  <c r="BV64"/>
  <c r="BF64"/>
  <c r="AI64"/>
  <c r="L64"/>
  <c r="AN64"/>
  <c r="AD64"/>
  <c r="AF64"/>
  <c r="K64"/>
  <c r="AH64"/>
  <c r="BS54"/>
  <c r="BW54"/>
  <c r="BX54" s="1"/>
  <c r="BY69"/>
  <c r="BU69"/>
  <c r="AE65"/>
  <c r="AF65"/>
  <c r="AD65"/>
  <c r="AP65"/>
  <c r="AG65"/>
  <c r="AN65"/>
  <c r="K65"/>
  <c r="Q65"/>
  <c r="BV65"/>
  <c r="AL65"/>
  <c r="BF65"/>
  <c r="H65"/>
  <c r="E59" i="14" s="1"/>
  <c r="F59" s="1"/>
  <c r="L65" i="4"/>
  <c r="AH65"/>
  <c r="I65"/>
  <c r="AI65"/>
  <c r="J65"/>
  <c r="Q48"/>
  <c r="J48"/>
  <c r="AD48"/>
  <c r="BF48" s="1"/>
  <c r="BV48"/>
  <c r="I48"/>
  <c r="AP48"/>
  <c r="L48"/>
  <c r="H48"/>
  <c r="AN48"/>
  <c r="D43" i="14"/>
  <c r="R49" i="4"/>
  <c r="BO49"/>
  <c r="BP49" s="1"/>
  <c r="BQ49"/>
  <c r="BR49" s="1"/>
  <c r="AC63"/>
  <c r="Z63"/>
  <c r="AB63"/>
  <c r="AA63"/>
  <c r="X63"/>
  <c r="Y63"/>
  <c r="AE53"/>
  <c r="AF53"/>
  <c r="I53"/>
  <c r="AD53"/>
  <c r="AP53"/>
  <c r="AN53"/>
  <c r="J53"/>
  <c r="AI53"/>
  <c r="AL53"/>
  <c r="BF53"/>
  <c r="K53"/>
  <c r="BV53"/>
  <c r="AG53"/>
  <c r="AH53"/>
  <c r="H53"/>
  <c r="E47" i="14" s="1"/>
  <c r="F47" s="1"/>
  <c r="L53" i="4"/>
  <c r="Q53"/>
  <c r="BS64"/>
  <c r="BG64" s="1"/>
  <c r="BW64"/>
  <c r="BX64" s="1"/>
  <c r="BU53"/>
  <c r="BY53"/>
  <c r="D65" i="14"/>
  <c r="R71" i="4"/>
  <c r="BB71"/>
  <c r="AR71"/>
  <c r="BH71"/>
  <c r="AX71"/>
  <c r="AY71"/>
  <c r="AW71"/>
  <c r="AZ71"/>
  <c r="AS71"/>
  <c r="AV71" s="1"/>
  <c r="BO71"/>
  <c r="BP71" s="1"/>
  <c r="BQ71"/>
  <c r="BR71" s="1"/>
  <c r="BU48"/>
  <c r="BY48"/>
  <c r="M59"/>
  <c r="S71"/>
  <c r="B68"/>
  <c r="C62" i="14" s="1"/>
  <c r="V59" i="4"/>
  <c r="BT59" s="1"/>
  <c r="C57"/>
  <c r="E53"/>
  <c r="F69"/>
  <c r="S60"/>
  <c r="G57"/>
  <c r="AC57" s="1"/>
  <c r="E61"/>
  <c r="B51"/>
  <c r="C45" i="14" s="1"/>
  <c r="W60" i="4"/>
  <c r="G49"/>
  <c r="AQ49" s="1"/>
  <c r="AR41"/>
  <c r="AS41" s="1"/>
  <c r="AV41" s="1"/>
  <c r="AR40"/>
  <c r="AS40" s="1"/>
  <c r="AV40" s="1"/>
  <c r="BJ39"/>
  <c r="BK39" s="1"/>
  <c r="BN39" s="1"/>
  <c r="A33" i="14"/>
  <c r="B32"/>
  <c r="BJ38" i="4"/>
  <c r="BK38" s="1"/>
  <c r="BN38" s="1"/>
  <c r="AR34"/>
  <c r="AS34" s="1"/>
  <c r="AV34" s="1"/>
  <c r="L12" i="24"/>
  <c r="L22" s="1"/>
  <c r="J22"/>
  <c r="M12"/>
  <c r="M22" s="1"/>
  <c r="K12"/>
  <c r="K22" s="1"/>
  <c r="M25" i="26"/>
  <c r="AR36" i="4"/>
  <c r="AS36" s="1"/>
  <c r="AV36" s="1"/>
  <c r="BF47" l="1"/>
  <c r="K47"/>
  <c r="BG71"/>
  <c r="BO48"/>
  <c r="BP48" s="1"/>
  <c r="Y54"/>
  <c r="AO62"/>
  <c r="BI60"/>
  <c r="Z54"/>
  <c r="AA66"/>
  <c r="AO71"/>
  <c r="X54"/>
  <c r="Y66"/>
  <c r="AB66"/>
  <c r="N20" i="11"/>
  <c r="AO65" i="4"/>
  <c r="G41" i="14"/>
  <c r="I41"/>
  <c r="BY47" i="4"/>
  <c r="BU47"/>
  <c r="AB54"/>
  <c r="BI69"/>
  <c r="AO68"/>
  <c r="AC47"/>
  <c r="AB47"/>
  <c r="Y47"/>
  <c r="Z47"/>
  <c r="X47"/>
  <c r="AA47"/>
  <c r="BW47"/>
  <c r="BX47" s="1"/>
  <c r="BS47"/>
  <c r="AO47" s="1"/>
  <c r="X57"/>
  <c r="AB57"/>
  <c r="AQ54"/>
  <c r="AQ60"/>
  <c r="D41" i="14"/>
  <c r="BB47" i="4"/>
  <c r="BO47"/>
  <c r="BP47" s="1"/>
  <c r="BH47"/>
  <c r="R47"/>
  <c r="BQ47"/>
  <c r="BR47" s="1"/>
  <c r="AX47"/>
  <c r="BI47"/>
  <c r="AY47"/>
  <c r="AW47"/>
  <c r="AZ47"/>
  <c r="BG49"/>
  <c r="BG57"/>
  <c r="Q47"/>
  <c r="AQ71"/>
  <c r="BT123"/>
  <c r="BJ46"/>
  <c r="BK46" s="1"/>
  <c r="BN46" s="1"/>
  <c r="AQ67"/>
  <c r="BG67"/>
  <c r="U31" i="9"/>
  <c r="BI65" i="4"/>
  <c r="AQ66"/>
  <c r="K31" i="9"/>
  <c r="T31"/>
  <c r="V31" s="1"/>
  <c r="I49" i="4"/>
  <c r="BV49"/>
  <c r="AD49"/>
  <c r="L49" s="1"/>
  <c r="AN49"/>
  <c r="H49"/>
  <c r="E43" i="14" s="1"/>
  <c r="F43" s="1"/>
  <c r="AP49" i="4"/>
  <c r="J49"/>
  <c r="Q49"/>
  <c r="AE57"/>
  <c r="H57"/>
  <c r="E51" i="14" s="1"/>
  <c r="F51" s="1"/>
  <c r="AG57" i="4"/>
  <c r="BF57"/>
  <c r="K57"/>
  <c r="BV57"/>
  <c r="AN57"/>
  <c r="I57"/>
  <c r="AD57"/>
  <c r="AI57"/>
  <c r="L57"/>
  <c r="J57"/>
  <c r="AH57"/>
  <c r="AP57"/>
  <c r="Q57"/>
  <c r="AF57"/>
  <c r="AL57"/>
  <c r="BU57"/>
  <c r="BY57"/>
  <c r="BS59"/>
  <c r="BW59"/>
  <c r="BX59" s="1"/>
  <c r="G47" i="14"/>
  <c r="I47"/>
  <c r="B47" s="1"/>
  <c r="E42"/>
  <c r="F42" s="1"/>
  <c r="I59"/>
  <c r="B59" s="1"/>
  <c r="G59"/>
  <c r="I58"/>
  <c r="B58" s="1"/>
  <c r="G58"/>
  <c r="BE65" i="4"/>
  <c r="AM65"/>
  <c r="BA65"/>
  <c r="BD65"/>
  <c r="AM57"/>
  <c r="BE57"/>
  <c r="BA64"/>
  <c r="BD64"/>
  <c r="I49" i="14"/>
  <c r="B49" s="1"/>
  <c r="G49"/>
  <c r="BS55" i="4"/>
  <c r="BW55"/>
  <c r="BX55" s="1"/>
  <c r="D64" i="14"/>
  <c r="BI70" i="4"/>
  <c r="BB70"/>
  <c r="AW70"/>
  <c r="BG70"/>
  <c r="R70"/>
  <c r="BH70"/>
  <c r="AX70"/>
  <c r="AY70"/>
  <c r="AR70"/>
  <c r="AZ70"/>
  <c r="BO70"/>
  <c r="BP70" s="1"/>
  <c r="BQ70"/>
  <c r="BR70" s="1"/>
  <c r="AS70"/>
  <c r="AV70" s="1"/>
  <c r="AO70"/>
  <c r="BY71"/>
  <c r="BU71"/>
  <c r="H66"/>
  <c r="E60" i="14" s="1"/>
  <c r="F60" s="1"/>
  <c r="AE66" i="4"/>
  <c r="I66"/>
  <c r="BV66"/>
  <c r="AF66"/>
  <c r="AG66"/>
  <c r="L66"/>
  <c r="AL66"/>
  <c r="K66"/>
  <c r="AP66"/>
  <c r="J66"/>
  <c r="AD66"/>
  <c r="BF66"/>
  <c r="AN66"/>
  <c r="AI66"/>
  <c r="AH66"/>
  <c r="Q66"/>
  <c r="G48" i="14"/>
  <c r="I48"/>
  <c r="B48" s="1"/>
  <c r="AL47" i="4"/>
  <c r="AI47"/>
  <c r="BE69"/>
  <c r="AM69"/>
  <c r="I44" i="14"/>
  <c r="B44" s="1"/>
  <c r="G44"/>
  <c r="Y53" i="4"/>
  <c r="AB53"/>
  <c r="X53"/>
  <c r="AA53"/>
  <c r="Z53"/>
  <c r="AC53"/>
  <c r="Z55"/>
  <c r="Y55"/>
  <c r="AC55"/>
  <c r="AA55"/>
  <c r="AB55"/>
  <c r="X55"/>
  <c r="BY52"/>
  <c r="BU52"/>
  <c r="BE63"/>
  <c r="AM63"/>
  <c r="G56" i="14"/>
  <c r="I56"/>
  <c r="B56" s="1"/>
  <c r="Y57" i="4"/>
  <c r="Z57"/>
  <c r="AO57"/>
  <c r="O26" i="11"/>
  <c r="Y49" i="4"/>
  <c r="AC49"/>
  <c r="BG58"/>
  <c r="O17" i="11"/>
  <c r="U15" i="9"/>
  <c r="O29" i="11"/>
  <c r="T29" i="9"/>
  <c r="U26"/>
  <c r="K26"/>
  <c r="M20"/>
  <c r="U25"/>
  <c r="N28" i="11"/>
  <c r="K12" i="9"/>
  <c r="O21" i="11"/>
  <c r="M30" i="9"/>
  <c r="K16"/>
  <c r="M12"/>
  <c r="O12" s="1"/>
  <c r="G11" i="11" s="1"/>
  <c r="B11" s="1"/>
  <c r="N8"/>
  <c r="M15" i="9"/>
  <c r="U29"/>
  <c r="K30"/>
  <c r="O28" i="11"/>
  <c r="U10" i="9"/>
  <c r="K19"/>
  <c r="U19"/>
  <c r="N12" i="11"/>
  <c r="K14" i="9"/>
  <c r="M21"/>
  <c r="N19" i="11"/>
  <c r="U24" i="9"/>
  <c r="T24"/>
  <c r="K25"/>
  <c r="BI48" i="4"/>
  <c r="AZ48"/>
  <c r="BB48"/>
  <c r="BH48"/>
  <c r="BO59"/>
  <c r="BP59" s="1"/>
  <c r="AO63"/>
  <c r="BI66"/>
  <c r="O27" i="11"/>
  <c r="AY61" i="4"/>
  <c r="AS61"/>
  <c r="AV61" s="1"/>
  <c r="R61"/>
  <c r="AZ61"/>
  <c r="AR61"/>
  <c r="BQ61"/>
  <c r="BR61" s="1"/>
  <c r="D55" i="14"/>
  <c r="AX61" i="4"/>
  <c r="AW61"/>
  <c r="BH61"/>
  <c r="BO61"/>
  <c r="BP61" s="1"/>
  <c r="BB61"/>
  <c r="BE71"/>
  <c r="AM71"/>
  <c r="BU61"/>
  <c r="BY61"/>
  <c r="BE60"/>
  <c r="AM60"/>
  <c r="BD69"/>
  <c r="BA69"/>
  <c r="BJ69" s="1"/>
  <c r="BK69" s="1"/>
  <c r="BN69" s="1"/>
  <c r="I45" i="14"/>
  <c r="B45" s="1"/>
  <c r="G45"/>
  <c r="BE62" i="4"/>
  <c r="AM62"/>
  <c r="BA62"/>
  <c r="BD62"/>
  <c r="BY66"/>
  <c r="BU66"/>
  <c r="BS50"/>
  <c r="BW50"/>
  <c r="BX50" s="1"/>
  <c r="I57" i="14"/>
  <c r="B57" s="1"/>
  <c r="G57"/>
  <c r="BE67" i="4"/>
  <c r="AM67"/>
  <c r="AM66"/>
  <c r="BE66"/>
  <c r="AI45"/>
  <c r="AL45"/>
  <c r="AQ64"/>
  <c r="AB49"/>
  <c r="AO58"/>
  <c r="T28" i="9"/>
  <c r="K20"/>
  <c r="O20" s="1"/>
  <c r="G19" i="11" s="1"/>
  <c r="B19" s="1"/>
  <c r="U20" i="9"/>
  <c r="K17"/>
  <c r="M28"/>
  <c r="U13"/>
  <c r="N21" i="11"/>
  <c r="O16"/>
  <c r="U16" i="9"/>
  <c r="N9" i="11"/>
  <c r="O10"/>
  <c r="T12" i="9"/>
  <c r="K21"/>
  <c r="U22"/>
  <c r="T21"/>
  <c r="U14"/>
  <c r="O9" i="11"/>
  <c r="N11"/>
  <c r="O14"/>
  <c r="U21" i="9"/>
  <c r="M22"/>
  <c r="N15" i="11"/>
  <c r="M14" i="9"/>
  <c r="T20"/>
  <c r="M17"/>
  <c r="N17" i="11"/>
  <c r="M24" i="9"/>
  <c r="N22" i="11"/>
  <c r="M23" i="9"/>
  <c r="K24"/>
  <c r="BG63" i="4"/>
  <c r="Q59"/>
  <c r="N27" i="11"/>
  <c r="BS51" i="4"/>
  <c r="BW51"/>
  <c r="BX51" s="1"/>
  <c r="BS56"/>
  <c r="BE56" s="1"/>
  <c r="BW56"/>
  <c r="BX56" s="1"/>
  <c r="AB61"/>
  <c r="Z61"/>
  <c r="X61"/>
  <c r="Y61"/>
  <c r="AC61"/>
  <c r="AA61"/>
  <c r="BW61"/>
  <c r="BX61" s="1"/>
  <c r="BS61"/>
  <c r="AQ61" s="1"/>
  <c r="G61" i="14"/>
  <c r="I61"/>
  <c r="B61" s="1"/>
  <c r="BA68" i="4"/>
  <c r="BD68"/>
  <c r="BD71"/>
  <c r="BA71"/>
  <c r="BA57"/>
  <c r="BD57"/>
  <c r="BA50"/>
  <c r="BD50"/>
  <c r="AM64"/>
  <c r="BE64"/>
  <c r="D48" i="14"/>
  <c r="R54" i="4"/>
  <c r="AW54"/>
  <c r="AX54"/>
  <c r="BH54"/>
  <c r="AY54"/>
  <c r="AZ54"/>
  <c r="BB54"/>
  <c r="AS54"/>
  <c r="AV54" s="1"/>
  <c r="BO54"/>
  <c r="BP54" s="1"/>
  <c r="BQ54"/>
  <c r="BR54" s="1"/>
  <c r="AR54"/>
  <c r="AO54"/>
  <c r="BG54"/>
  <c r="BI54"/>
  <c r="BE68"/>
  <c r="AM68"/>
  <c r="G54" i="14"/>
  <c r="I54"/>
  <c r="B54" s="1"/>
  <c r="BG48" i="4"/>
  <c r="I65" i="14"/>
  <c r="B65" s="1"/>
  <c r="G65"/>
  <c r="G52"/>
  <c r="I52"/>
  <c r="B52" s="1"/>
  <c r="BA58" i="4"/>
  <c r="BD58"/>
  <c r="BD55"/>
  <c r="BA55"/>
  <c r="I62" i="14"/>
  <c r="B62" s="1"/>
  <c r="G62"/>
  <c r="BS52" i="4"/>
  <c r="BD52" s="1"/>
  <c r="BW52"/>
  <c r="BX52" s="1"/>
  <c r="BE48"/>
  <c r="AM48"/>
  <c r="I46" i="14"/>
  <c r="B46" s="1"/>
  <c r="G46"/>
  <c r="BA59" i="4"/>
  <c r="BD59"/>
  <c r="BD63"/>
  <c r="BA63"/>
  <c r="I53" i="14"/>
  <c r="B53" s="1"/>
  <c r="G53"/>
  <c r="BA66" i="4"/>
  <c r="BD66"/>
  <c r="BD45"/>
  <c r="BA45"/>
  <c r="M27" i="9"/>
  <c r="BQ51" i="4"/>
  <c r="BR51" s="1"/>
  <c r="M31" i="9"/>
  <c r="AO49" i="4"/>
  <c r="AA57"/>
  <c r="AQ65"/>
  <c r="BI64"/>
  <c r="Q55"/>
  <c r="AC66"/>
  <c r="BI57"/>
  <c r="AO60"/>
  <c r="Z49"/>
  <c r="BQ56"/>
  <c r="BR56" s="1"/>
  <c r="AQ58"/>
  <c r="BQ55"/>
  <c r="BR55" s="1"/>
  <c r="O25" i="11"/>
  <c r="M25" i="9"/>
  <c r="M13"/>
  <c r="M29"/>
  <c r="O18" i="11"/>
  <c r="M19" i="9"/>
  <c r="T19"/>
  <c r="T25"/>
  <c r="V25" s="1"/>
  <c r="T26"/>
  <c r="U11"/>
  <c r="T22"/>
  <c r="U28"/>
  <c r="V28" s="1"/>
  <c r="N18" i="11"/>
  <c r="O12"/>
  <c r="T17" i="9"/>
  <c r="N14" i="11"/>
  <c r="N16"/>
  <c r="T16" i="9"/>
  <c r="M26"/>
  <c r="O23" i="11"/>
  <c r="U18" i="9"/>
  <c r="O8" i="11"/>
  <c r="T13" i="9"/>
  <c r="V13" s="1"/>
  <c r="U17"/>
  <c r="N29" i="11"/>
  <c r="O15"/>
  <c r="T23" i="9"/>
  <c r="N25" i="11"/>
  <c r="O20"/>
  <c r="K23" i="9"/>
  <c r="AW48" i="4"/>
  <c r="BI49"/>
  <c r="Q56"/>
  <c r="AQ63"/>
  <c r="AO67"/>
  <c r="R53"/>
  <c r="D47" i="14"/>
  <c r="BB53" i="4"/>
  <c r="AX53"/>
  <c r="BH53"/>
  <c r="AW53"/>
  <c r="BQ53"/>
  <c r="BR53" s="1"/>
  <c r="AY53"/>
  <c r="AZ53"/>
  <c r="BO53"/>
  <c r="BP53" s="1"/>
  <c r="AO53"/>
  <c r="AS53"/>
  <c r="AV53" s="1"/>
  <c r="AQ53"/>
  <c r="AR53"/>
  <c r="BI53"/>
  <c r="BG53"/>
  <c r="N26" i="11"/>
  <c r="K27" i="9"/>
  <c r="K28"/>
  <c r="AB60" i="4"/>
  <c r="X60"/>
  <c r="AA60"/>
  <c r="AC60"/>
  <c r="Y60"/>
  <c r="Z60"/>
  <c r="AM49"/>
  <c r="BE49"/>
  <c r="AE70"/>
  <c r="AG70"/>
  <c r="BV70"/>
  <c r="AH70"/>
  <c r="H70"/>
  <c r="E64" i="14" s="1"/>
  <c r="F64" s="1"/>
  <c r="AN70" i="4"/>
  <c r="AF70"/>
  <c r="AD70"/>
  <c r="L70"/>
  <c r="BF70"/>
  <c r="K70"/>
  <c r="AI70"/>
  <c r="I70"/>
  <c r="J70"/>
  <c r="AL70"/>
  <c r="AP70"/>
  <c r="Q70"/>
  <c r="BY51"/>
  <c r="BU51"/>
  <c r="AG61"/>
  <c r="I61"/>
  <c r="BF61"/>
  <c r="H61"/>
  <c r="E55" i="14" s="1"/>
  <c r="F55" s="1"/>
  <c r="L61" i="4"/>
  <c r="BV61"/>
  <c r="K61"/>
  <c r="AF61"/>
  <c r="AI61"/>
  <c r="AD61"/>
  <c r="J61"/>
  <c r="J72" s="1"/>
  <c r="J73" s="1"/>
  <c r="J74" s="1"/>
  <c r="J84" s="1"/>
  <c r="J120" s="1"/>
  <c r="J123" s="1"/>
  <c r="AN61"/>
  <c r="AL61"/>
  <c r="AH61"/>
  <c r="Q61"/>
  <c r="AE61"/>
  <c r="AP61"/>
  <c r="BY65"/>
  <c r="BU65"/>
  <c r="BA51"/>
  <c r="BD51"/>
  <c r="BX48"/>
  <c r="O30" i="11" s="1"/>
  <c r="N30"/>
  <c r="BA60" i="4"/>
  <c r="BD60"/>
  <c r="BA56"/>
  <c r="BD56"/>
  <c r="BE58"/>
  <c r="AM58"/>
  <c r="I63" i="14"/>
  <c r="B63" s="1"/>
  <c r="G63"/>
  <c r="AA70" i="4"/>
  <c r="X70"/>
  <c r="AC70"/>
  <c r="Z70"/>
  <c r="AB70"/>
  <c r="Y70"/>
  <c r="BY63"/>
  <c r="BU63"/>
  <c r="X56"/>
  <c r="AB56"/>
  <c r="AA56"/>
  <c r="AC56"/>
  <c r="Y56"/>
  <c r="Z56"/>
  <c r="I50" i="14"/>
  <c r="B50" s="1"/>
  <c r="G50"/>
  <c r="BA67" i="4"/>
  <c r="BD67"/>
  <c r="K48"/>
  <c r="AQ57"/>
  <c r="AO64"/>
  <c r="BO51"/>
  <c r="BP51" s="1"/>
  <c r="X49"/>
  <c r="AA49"/>
  <c r="BO55"/>
  <c r="BP55" s="1"/>
  <c r="Q51"/>
  <c r="AQ70"/>
  <c r="BG66"/>
  <c r="T27" i="9"/>
  <c r="O22" i="11"/>
  <c r="T18" i="9"/>
  <c r="M16"/>
  <c r="U23"/>
  <c r="O11" i="11"/>
  <c r="K22" i="9"/>
  <c r="O22" s="1"/>
  <c r="G21" i="11" s="1"/>
  <c r="B21" s="1"/>
  <c r="T30" i="9"/>
  <c r="O19" i="11"/>
  <c r="T10" i="9"/>
  <c r="V10" s="1"/>
  <c r="K15"/>
  <c r="O15" s="1"/>
  <c r="G14" i="11" s="1"/>
  <c r="B14" s="1"/>
  <c r="T14" i="9"/>
  <c r="V14" s="1"/>
  <c r="U12"/>
  <c r="V12" s="1"/>
  <c r="M11"/>
  <c r="K10"/>
  <c r="U30"/>
  <c r="V30" s="1"/>
  <c r="N13" i="11"/>
  <c r="K29" i="9"/>
  <c r="O29" s="1"/>
  <c r="G28" i="11" s="1"/>
  <c r="T15" i="9"/>
  <c r="V15" s="1"/>
  <c r="M10"/>
  <c r="O24" i="11"/>
  <c r="U27" i="9"/>
  <c r="K13"/>
  <c r="O13" s="1"/>
  <c r="G12" i="11" s="1"/>
  <c r="B12" s="1"/>
  <c r="K11" i="9"/>
  <c r="O13" i="11"/>
  <c r="T11" i="9"/>
  <c r="V11" s="1"/>
  <c r="N10" i="11"/>
  <c r="N23"/>
  <c r="AQ48" i="4"/>
  <c r="K18" i="9"/>
  <c r="M18"/>
  <c r="N24" i="11"/>
  <c r="AY48" i="4"/>
  <c r="AX48"/>
  <c r="BQ59"/>
  <c r="BR59" s="1"/>
  <c r="AO66"/>
  <c r="A34" i="14"/>
  <c r="B33"/>
  <c r="M39" i="26"/>
  <c r="N12" i="24"/>
  <c r="N22" s="1"/>
  <c r="D12" i="4"/>
  <c r="R12"/>
  <c r="AA12"/>
  <c r="X12"/>
  <c r="AC12"/>
  <c r="Z12"/>
  <c r="C12"/>
  <c r="D9" i="26" s="1"/>
  <c r="Y12" i="4"/>
  <c r="AP123"/>
  <c r="K82" s="1"/>
  <c r="C24" i="3" s="1"/>
  <c r="AB12" i="4"/>
  <c r="BI12"/>
  <c r="AQ12"/>
  <c r="BQ12"/>
  <c r="BO12"/>
  <c r="AW12" s="1"/>
  <c r="AO12"/>
  <c r="BG12"/>
  <c r="V19" i="9" l="1"/>
  <c r="O21"/>
  <c r="G20" i="11" s="1"/>
  <c r="BG47" i="4"/>
  <c r="AQ47"/>
  <c r="V18" i="9"/>
  <c r="V17"/>
  <c r="O24"/>
  <c r="G23" i="11" s="1"/>
  <c r="B23" s="1"/>
  <c r="AD123" i="4"/>
  <c r="V20" i="9"/>
  <c r="O10"/>
  <c r="G9" i="11" s="1"/>
  <c r="B9" s="1"/>
  <c r="L72" i="4"/>
  <c r="B9" i="3" s="1"/>
  <c r="B10" s="1"/>
  <c r="BA47" i="4"/>
  <c r="BD47"/>
  <c r="BE47"/>
  <c r="AM47"/>
  <c r="AB123"/>
  <c r="N10" i="15" s="1"/>
  <c r="N11" s="1"/>
  <c r="O18" i="9"/>
  <c r="G17" i="11" s="1"/>
  <c r="B17" s="1"/>
  <c r="Q123" i="4"/>
  <c r="K79" s="1"/>
  <c r="BJ63"/>
  <c r="BK63" s="1"/>
  <c r="BN63" s="1"/>
  <c r="AR45"/>
  <c r="AS45" s="1"/>
  <c r="AV45" s="1"/>
  <c r="BJ58"/>
  <c r="BK58" s="1"/>
  <c r="BN58" s="1"/>
  <c r="BE52"/>
  <c r="X123"/>
  <c r="H10" i="15" s="1"/>
  <c r="H11" s="1"/>
  <c r="O27" i="9"/>
  <c r="G26" i="11" s="1"/>
  <c r="AM52" i="4"/>
  <c r="V24" i="9"/>
  <c r="O14"/>
  <c r="G13" i="11" s="1"/>
  <c r="B13" s="1"/>
  <c r="V29" i="9"/>
  <c r="BJ65" i="4"/>
  <c r="BK65" s="1"/>
  <c r="BN65" s="1"/>
  <c r="BF49"/>
  <c r="AC123"/>
  <c r="O10" i="15" s="1"/>
  <c r="O11" s="1"/>
  <c r="L79" i="4"/>
  <c r="B18" i="3" s="1"/>
  <c r="AH48" i="4"/>
  <c r="AE48"/>
  <c r="AF48"/>
  <c r="AG48"/>
  <c r="BE53"/>
  <c r="AM53"/>
  <c r="BD53"/>
  <c r="BA53"/>
  <c r="BA54"/>
  <c r="BD54"/>
  <c r="BI51"/>
  <c r="BG51"/>
  <c r="AO51"/>
  <c r="AQ51"/>
  <c r="AO50"/>
  <c r="BI50"/>
  <c r="AQ50"/>
  <c r="BG50"/>
  <c r="I60" i="14"/>
  <c r="B60" s="1"/>
  <c r="G60"/>
  <c r="I43"/>
  <c r="G43"/>
  <c r="BB49" i="4"/>
  <c r="BB123" s="1"/>
  <c r="BH49"/>
  <c r="BH123" s="1"/>
  <c r="L82" s="1"/>
  <c r="B24" i="3" s="1"/>
  <c r="Z123" i="4"/>
  <c r="K10" i="15" s="1"/>
  <c r="K11" s="1"/>
  <c r="BJ45" i="4"/>
  <c r="BK45" s="1"/>
  <c r="BN45" s="1"/>
  <c r="BJ57"/>
  <c r="BK57" s="1"/>
  <c r="BN57" s="1"/>
  <c r="V22" i="9"/>
  <c r="BJ62" i="4"/>
  <c r="BK62" s="1"/>
  <c r="BN62" s="1"/>
  <c r="O25" i="9"/>
  <c r="G24" i="11" s="1"/>
  <c r="O19" i="9"/>
  <c r="G18" i="11" s="1"/>
  <c r="B18" s="1"/>
  <c r="O16" i="9"/>
  <c r="G15" i="11" s="1"/>
  <c r="B15" s="1"/>
  <c r="V26" i="9"/>
  <c r="AR47" i="4"/>
  <c r="AS47" s="1"/>
  <c r="AV47" s="1"/>
  <c r="AM50"/>
  <c r="AM51"/>
  <c r="BE51"/>
  <c r="G55" i="14"/>
  <c r="I55"/>
  <c r="B55" s="1"/>
  <c r="BG52" i="4"/>
  <c r="AO52"/>
  <c r="BI52"/>
  <c r="AQ52"/>
  <c r="BD61"/>
  <c r="BA61"/>
  <c r="BE59"/>
  <c r="AM59"/>
  <c r="AQ55"/>
  <c r="BG55"/>
  <c r="BI55"/>
  <c r="AO55"/>
  <c r="I42" i="14"/>
  <c r="G42"/>
  <c r="BI59" i="4"/>
  <c r="AQ59"/>
  <c r="AO59"/>
  <c r="BG59"/>
  <c r="BW123"/>
  <c r="AA123"/>
  <c r="L10" i="15" s="1"/>
  <c r="L11" s="1"/>
  <c r="O11" i="9"/>
  <c r="G10" i="11" s="1"/>
  <c r="B10" s="1"/>
  <c r="BJ67" i="4"/>
  <c r="BK67" s="1"/>
  <c r="BN67" s="1"/>
  <c r="BJ60"/>
  <c r="BK60" s="1"/>
  <c r="BN60" s="1"/>
  <c r="O28" i="9"/>
  <c r="G27" i="11" s="1"/>
  <c r="O23" i="9"/>
  <c r="G22" i="11" s="1"/>
  <c r="O31"/>
  <c r="V16" i="9"/>
  <c r="BJ66" i="4"/>
  <c r="BK66" s="1"/>
  <c r="BN66" s="1"/>
  <c r="BJ71"/>
  <c r="BK71" s="1"/>
  <c r="BN71" s="1"/>
  <c r="V21" i="9"/>
  <c r="AO61" i="4"/>
  <c r="O30" i="9"/>
  <c r="G29" i="11" s="1"/>
  <c r="B29" s="1"/>
  <c r="O26" i="9"/>
  <c r="G25" i="11" s="1"/>
  <c r="BJ64" i="4"/>
  <c r="BK64" s="1"/>
  <c r="BN64" s="1"/>
  <c r="AM55"/>
  <c r="BE55"/>
  <c r="I64" i="14"/>
  <c r="B64" s="1"/>
  <c r="G64"/>
  <c r="BD48" i="4"/>
  <c r="BA48"/>
  <c r="BI56"/>
  <c r="BG56"/>
  <c r="AO56"/>
  <c r="AQ56"/>
  <c r="BE70"/>
  <c r="AM70"/>
  <c r="BD70"/>
  <c r="BA70"/>
  <c r="V27" i="9"/>
  <c r="V23"/>
  <c r="BS123" i="4"/>
  <c r="BJ68"/>
  <c r="BK68" s="1"/>
  <c r="BN68" s="1"/>
  <c r="O17" i="9"/>
  <c r="G16" i="11" s="1"/>
  <c r="B16" s="1"/>
  <c r="BI61" i="4"/>
  <c r="N31" i="11"/>
  <c r="H72" i="4"/>
  <c r="H73" s="1"/>
  <c r="H74" s="1"/>
  <c r="H84" s="1"/>
  <c r="H120" s="1"/>
  <c r="K49"/>
  <c r="AM56"/>
  <c r="AM54"/>
  <c r="BE54"/>
  <c r="AM61"/>
  <c r="BE61"/>
  <c r="G51" i="14"/>
  <c r="I51"/>
  <c r="B51" s="1"/>
  <c r="AY49" i="4"/>
  <c r="AW49"/>
  <c r="AZ49"/>
  <c r="AX49"/>
  <c r="BG61"/>
  <c r="BE50"/>
  <c r="BA52"/>
  <c r="BJ52" s="1"/>
  <c r="BK52" s="1"/>
  <c r="BN52" s="1"/>
  <c r="O31" i="9"/>
  <c r="G30" i="11" s="1"/>
  <c r="A35" i="14"/>
  <c r="B34"/>
  <c r="BY12" i="4"/>
  <c r="BU12"/>
  <c r="U9" i="9" s="1"/>
  <c r="AY12" i="4"/>
  <c r="Y123"/>
  <c r="I10" i="15" s="1"/>
  <c r="BP12" i="4"/>
  <c r="BE12" s="1"/>
  <c r="AE12"/>
  <c r="AG12"/>
  <c r="BQ123"/>
  <c r="BO123"/>
  <c r="BR12"/>
  <c r="G66" i="14" l="1"/>
  <c r="P10" i="15"/>
  <c r="P11" s="1"/>
  <c r="L73" i="4"/>
  <c r="L76" s="1"/>
  <c r="B13" i="3" s="1"/>
  <c r="BJ50" i="4"/>
  <c r="BK50" s="1"/>
  <c r="BN50" s="1"/>
  <c r="BJ55"/>
  <c r="BK55" s="1"/>
  <c r="BN55" s="1"/>
  <c r="BJ51"/>
  <c r="BK51" s="1"/>
  <c r="BN51" s="1"/>
  <c r="BJ47"/>
  <c r="BK47" s="1"/>
  <c r="BN47" s="1"/>
  <c r="BJ56"/>
  <c r="BK56" s="1"/>
  <c r="BN56" s="1"/>
  <c r="BJ59"/>
  <c r="BK59" s="1"/>
  <c r="BN59" s="1"/>
  <c r="M10" i="15"/>
  <c r="M11" s="1"/>
  <c r="BJ70" i="4"/>
  <c r="BK70" s="1"/>
  <c r="BN70" s="1"/>
  <c r="BJ48"/>
  <c r="BK48" s="1"/>
  <c r="BN48" s="1"/>
  <c r="AG49"/>
  <c r="AH49"/>
  <c r="AE49"/>
  <c r="AF49"/>
  <c r="BJ53"/>
  <c r="BK53" s="1"/>
  <c r="BN53" s="1"/>
  <c r="K72"/>
  <c r="BA49"/>
  <c r="BD49"/>
  <c r="L74"/>
  <c r="BJ61"/>
  <c r="BK61" s="1"/>
  <c r="BN61" s="1"/>
  <c r="BJ54"/>
  <c r="BK54" s="1"/>
  <c r="BN54" s="1"/>
  <c r="AI48"/>
  <c r="AL48"/>
  <c r="A36" i="14"/>
  <c r="B35"/>
  <c r="J10" i="15"/>
  <c r="I11"/>
  <c r="R10"/>
  <c r="K9" i="9"/>
  <c r="T9"/>
  <c r="V9" s="1"/>
  <c r="M9"/>
  <c r="BU123" i="4"/>
  <c r="AH12"/>
  <c r="AZ12"/>
  <c r="BP123"/>
  <c r="AX12"/>
  <c r="BA12" s="1"/>
  <c r="AF12"/>
  <c r="AM12"/>
  <c r="BR123"/>
  <c r="BD12" l="1"/>
  <c r="BJ12" s="1"/>
  <c r="L75"/>
  <c r="B12" i="3" s="1"/>
  <c r="L78" i="4"/>
  <c r="B15" i="3" s="1"/>
  <c r="BJ49" i="4"/>
  <c r="BK49" s="1"/>
  <c r="BN49" s="1"/>
  <c r="AR48"/>
  <c r="AS48" s="1"/>
  <c r="AV48" s="1"/>
  <c r="K73"/>
  <c r="C9" i="3"/>
  <c r="C10" s="1"/>
  <c r="AL49" i="4"/>
  <c r="AI49"/>
  <c r="A37" i="14"/>
  <c r="B36"/>
  <c r="O9" i="9"/>
  <c r="G8" i="11" s="1"/>
  <c r="A8" s="1"/>
  <c r="A9" s="1"/>
  <c r="A10" s="1"/>
  <c r="A11" s="1"/>
  <c r="A12" s="1"/>
  <c r="A13" s="1"/>
  <c r="A14" s="1"/>
  <c r="A15" s="1"/>
  <c r="A16" s="1"/>
  <c r="A17" s="1"/>
  <c r="A18" s="1"/>
  <c r="A19" s="1"/>
  <c r="A20" s="1"/>
  <c r="R11" i="15"/>
  <c r="S10"/>
  <c r="S11" s="1"/>
  <c r="J11"/>
  <c r="Q10"/>
  <c r="Q11" s="1"/>
  <c r="M32" i="9"/>
  <c r="AL12" i="4"/>
  <c r="AI12"/>
  <c r="AR49" l="1"/>
  <c r="AS49" s="1"/>
  <c r="AV49" s="1"/>
  <c r="A38" i="14"/>
  <c r="B37"/>
  <c r="K76" i="4"/>
  <c r="C13" i="3" s="1"/>
  <c r="K74" i="4"/>
  <c r="K78"/>
  <c r="C15" i="3" s="1"/>
  <c r="K75" i="4"/>
  <c r="C12" i="3" s="1"/>
  <c r="A21" i="11"/>
  <c r="A22" s="1"/>
  <c r="B20"/>
  <c r="B8"/>
  <c r="G31"/>
  <c r="AR12" i="4"/>
  <c r="AS12" s="1"/>
  <c r="BK12"/>
  <c r="A39" i="14" l="1"/>
  <c r="B38"/>
  <c r="A23" i="11"/>
  <c r="A24" s="1"/>
  <c r="B22"/>
  <c r="BN12" i="4"/>
  <c r="A40" i="14" l="1"/>
  <c r="B39"/>
  <c r="A25" i="11"/>
  <c r="B25" s="1"/>
  <c r="B24"/>
  <c r="AV12" i="4"/>
  <c r="C18" i="3"/>
  <c r="BV86" i="4"/>
  <c r="BV123" s="1"/>
  <c r="AQ86"/>
  <c r="AQ123" s="1"/>
  <c r="K83" s="1"/>
  <c r="C22" i="3" s="1"/>
  <c r="BI123" i="4"/>
  <c r="L83" s="1"/>
  <c r="B22" i="3" s="1"/>
  <c r="BE86" i="4"/>
  <c r="AM86"/>
  <c r="AO86"/>
  <c r="AO123" s="1"/>
  <c r="K81" s="1"/>
  <c r="C21" i="3" s="1"/>
  <c r="BG86" i="4"/>
  <c r="BG123" s="1"/>
  <c r="L81" s="1"/>
  <c r="B21" i="3" s="1"/>
  <c r="BF86" i="4"/>
  <c r="BF123" s="1"/>
  <c r="L80" s="1"/>
  <c r="AN86"/>
  <c r="AN123" s="1"/>
  <c r="K80" s="1"/>
  <c r="C19" i="3"/>
  <c r="C28" s="1"/>
  <c r="A41" i="14" l="1"/>
  <c r="B40"/>
  <c r="A26" i="11"/>
  <c r="L84" i="4"/>
  <c r="L120" s="1"/>
  <c r="K11" i="5" s="1"/>
  <c r="G10" i="29" s="1"/>
  <c r="H10" s="1"/>
  <c r="K84" i="4"/>
  <c r="K120" s="1"/>
  <c r="L11" i="5" s="1"/>
  <c r="I10" i="29" s="1"/>
  <c r="BE123" i="4"/>
  <c r="BJ86"/>
  <c r="BK86" s="1"/>
  <c r="BN86" s="1"/>
  <c r="AM123"/>
  <c r="AR86"/>
  <c r="AS86" s="1"/>
  <c r="AV86" s="1"/>
  <c r="AE123"/>
  <c r="B19" i="3"/>
  <c r="B28" s="1"/>
  <c r="C16"/>
  <c r="C26" s="1"/>
  <c r="C27" s="1"/>
  <c r="C31" s="1"/>
  <c r="C47" s="1"/>
  <c r="C48" s="1"/>
  <c r="B16"/>
  <c r="AX123" i="4"/>
  <c r="AZ123"/>
  <c r="AY123"/>
  <c r="AH123"/>
  <c r="AG123"/>
  <c r="AF123"/>
  <c r="A42" i="14" l="1"/>
  <c r="B41"/>
  <c r="B26" i="3"/>
  <c r="B27" s="1"/>
  <c r="B31" s="1"/>
  <c r="B47" s="1"/>
  <c r="B48" s="1"/>
  <c r="A27" i="11"/>
  <c r="B26"/>
  <c r="B28"/>
  <c r="O11" i="5"/>
  <c r="O14" s="1"/>
  <c r="O33" s="1"/>
  <c r="L14"/>
  <c r="L33" s="1"/>
  <c r="N11"/>
  <c r="N14" s="1"/>
  <c r="N33" s="1"/>
  <c r="M11"/>
  <c r="M14" s="1"/>
  <c r="M33" s="1"/>
  <c r="K14"/>
  <c r="K33" s="1"/>
  <c r="H123" i="4"/>
  <c r="K123"/>
  <c r="L123"/>
  <c r="AL123"/>
  <c r="BD123"/>
  <c r="AW123"/>
  <c r="A43" i="14" l="1"/>
  <c r="B42"/>
  <c r="B27" i="11"/>
  <c r="A28"/>
  <c r="A29" s="1"/>
  <c r="A30" s="1"/>
  <c r="B30" s="1"/>
  <c r="BA123" i="4"/>
  <c r="AI123"/>
  <c r="A44" i="14" l="1"/>
  <c r="A45" s="1"/>
  <c r="A46" s="1"/>
  <c r="A47" s="1"/>
  <c r="A48" s="1"/>
  <c r="A49" s="1"/>
  <c r="A50" s="1"/>
  <c r="A51" s="1"/>
  <c r="A52" s="1"/>
  <c r="A53" s="1"/>
  <c r="A54" s="1"/>
  <c r="A55" s="1"/>
  <c r="A56" s="1"/>
  <c r="A57" s="1"/>
  <c r="A58" s="1"/>
  <c r="A59" s="1"/>
  <c r="A60" s="1"/>
  <c r="A61" s="1"/>
  <c r="A62" s="1"/>
  <c r="A63" s="1"/>
  <c r="A64" s="1"/>
  <c r="A65" s="1"/>
  <c r="A66" s="1"/>
  <c r="B43"/>
  <c r="AR123" i="4"/>
  <c r="BJ123"/>
  <c r="AV123" l="1"/>
  <c r="AS123"/>
  <c r="BN123"/>
  <c r="BK123"/>
  <c r="A7" i="5"/>
  <c r="B4" i="14" s="1"/>
  <c r="O32" i="9"/>
  <c r="K32" l="1"/>
</calcChain>
</file>

<file path=xl/sharedStrings.xml><?xml version="1.0" encoding="utf-8"?>
<sst xmlns="http://schemas.openxmlformats.org/spreadsheetml/2006/main" count="1944" uniqueCount="782">
  <si>
    <t>dk;kZy; dk uke ¼vaxzsth esa½ %</t>
  </si>
  <si>
    <t>Principal</t>
  </si>
  <si>
    <t>dk;kZy; dk uke ¼fgUnh esa½ %</t>
  </si>
  <si>
    <t>ctV vuqeku fofÙk; o"kZ %</t>
  </si>
  <si>
    <t>2018-19</t>
  </si>
  <si>
    <t>ctV en %</t>
  </si>
  <si>
    <t>NON PLAN - BOYS</t>
  </si>
  <si>
    <t>Ø-la-</t>
  </si>
  <si>
    <t>foLr`r ys[kk 'kh"kZd</t>
  </si>
  <si>
    <t>ctV vkoaVu
¼pkyw o"kZ½</t>
  </si>
  <si>
    <t>okLrfod O;; vkadM+s</t>
  </si>
  <si>
    <t>01&amp;laosru</t>
  </si>
  <si>
    <t>03&amp;;k=k O;;</t>
  </si>
  <si>
    <t>04&amp;fpfdRlk O;;</t>
  </si>
  <si>
    <t>dqy ;ksx izi= 8</t>
  </si>
  <si>
    <t>05&amp;dk;kZy; O;;</t>
  </si>
  <si>
    <t>Mkd fVdV</t>
  </si>
  <si>
    <t>nwjHkk"k</t>
  </si>
  <si>
    <t>fctyh ikuh</t>
  </si>
  <si>
    <t>iqLrdsa o pkVZ~l</t>
  </si>
  <si>
    <t>QuhZpj</t>
  </si>
  <si>
    <t>vU; O;;</t>
  </si>
  <si>
    <t>LVs'kujh</t>
  </si>
  <si>
    <t>NikbZ</t>
  </si>
  <si>
    <t>dqy ;ksx dk;kZy; O;; ¼v½</t>
  </si>
  <si>
    <t>28&amp;fofo/k</t>
  </si>
  <si>
    <t>31&amp;iqLrdky;</t>
  </si>
  <si>
    <t>33&amp;iz;ksx'kkyk</t>
  </si>
  <si>
    <t>57&amp;fof'k"V lsok,sa</t>
  </si>
  <si>
    <t>37&amp;ofnZ;ka</t>
  </si>
  <si>
    <t>dqy ;ksx ¼v½$¼c½</t>
  </si>
  <si>
    <t>loZ ;ksx</t>
  </si>
  <si>
    <t>okLrfod vk; ds vkadM+s</t>
  </si>
  <si>
    <t>izos'k o Vh-lh- 'kqYd</t>
  </si>
  <si>
    <t>uhykeh</t>
  </si>
  <si>
    <t>Hkou fdjk;k</t>
  </si>
  <si>
    <t>vU; vk;</t>
  </si>
  <si>
    <t>va'knku @ o`fRrnku</t>
  </si>
  <si>
    <t>dqy ;ksx</t>
  </si>
  <si>
    <t>fooj.k</t>
  </si>
  <si>
    <t>Nk= la[;k</t>
  </si>
  <si>
    <t>jkf'k</t>
  </si>
  <si>
    <t>d{kk 9</t>
  </si>
  <si>
    <t>d{kk 10</t>
  </si>
  <si>
    <t>d{kk 11</t>
  </si>
  <si>
    <t>d{kk 12</t>
  </si>
  <si>
    <t>deZpkjh dk uke</t>
  </si>
  <si>
    <t>Post</t>
  </si>
  <si>
    <t>Pay Matrics Level</t>
  </si>
  <si>
    <t>Basic Pay</t>
  </si>
  <si>
    <t>Employee ID No.</t>
  </si>
  <si>
    <t>GPF/PRAN No.</t>
  </si>
  <si>
    <t>Gender</t>
  </si>
  <si>
    <t>Handicaped</t>
  </si>
  <si>
    <t>PRINCIPAL</t>
  </si>
  <si>
    <t>RJAJ199506021728</t>
  </si>
  <si>
    <t>MALE</t>
  </si>
  <si>
    <t>NO</t>
  </si>
  <si>
    <t>GAZETTED - REGULAR</t>
  </si>
  <si>
    <t>TEACHER-I</t>
  </si>
  <si>
    <t>FEMALE</t>
  </si>
  <si>
    <t>TEACHER-II</t>
  </si>
  <si>
    <t>NON GAZETTED - REGULAR</t>
  </si>
  <si>
    <t>TEACHER-III</t>
  </si>
  <si>
    <t>LIBRARIAN II</t>
  </si>
  <si>
    <t>CLERK GRADE II</t>
  </si>
  <si>
    <t>PEON</t>
  </si>
  <si>
    <t>in</t>
  </si>
  <si>
    <t>inLFkkiu LFkku</t>
  </si>
  <si>
    <t>UP TO</t>
  </si>
  <si>
    <t>FY</t>
  </si>
  <si>
    <t>TOTAL</t>
  </si>
  <si>
    <t>2017-18</t>
  </si>
  <si>
    <r>
      <t xml:space="preserve">izos'k ,oa Vh-lh- ls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</si>
  <si>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</si>
  <si>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O;;</t>
    </r>
    <r>
      <rPr>
        <b/>
        <sz val="22"/>
        <color rgb="FFFF0000"/>
        <rFont val="DevLys 010"/>
      </rPr>
      <t xml:space="preserve"> ds vkadMksa dh uhps izfof"B djsa A</t>
    </r>
  </si>
  <si>
    <t>izi= 10</t>
  </si>
  <si>
    <t>vk; dk foLr`r ctV vuqeku foÙkh; o"kZ</t>
  </si>
  <si>
    <t>¼ 1 vizSy ls 31 ekpZ rd ½ dk</t>
  </si>
  <si>
    <t>ctV en %&amp; 0202&amp;f'k{kk] [ksydwn] dyk vkSj laLd`fr]  01&amp;lkekU; f'k{kk]  102&amp;ek/;fed f'k{kk]  01&amp;yM+dksa ds fo|ky;</t>
  </si>
  <si>
    <t>ys[ks dk 'kh"kZ &amp; eq[; 'kh"kZ @ mi&amp;eq[; 'kh"kZ @ y?kq 'kh"kZ @ mi&amp;'ksh"kZ @ xqzi 'kh"kZ</t>
  </si>
  <si>
    <t>okLrfod vk; vkadM+s 
¼xr rhu o"kksZa ds½</t>
  </si>
  <si>
    <t>vk; O;; vuqeku pkyw o"kZ</t>
  </si>
  <si>
    <t xml:space="preserve">okLrfod vk; ds vkadM+s </t>
  </si>
  <si>
    <t>o`f) ¼$½ ;k deh ¼&amp;½</t>
  </si>
  <si>
    <t>dkWye 7 o 8 dk ;ksx</t>
  </si>
  <si>
    <t>dkWye 6 o 11 esa</t>
  </si>
  <si>
    <t>dkWye 9 o 11 esa</t>
  </si>
  <si>
    <t>dkWye 11 o 12 esa</t>
  </si>
  <si>
    <t>GRAND TOTAL</t>
  </si>
  <si>
    <t>01 laosru</t>
  </si>
  <si>
    <t>d- osru jktif=r</t>
  </si>
  <si>
    <t>[k- osru vjktif=r</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</si>
  <si>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</si>
  <si>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</si>
  <si>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</si>
  <si>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</si>
  <si>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</si>
  <si>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</si>
  <si>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</si>
  <si>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</si>
  <si>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10- jksdM+ HkRrk</t>
  </si>
  <si>
    <t>11- /kqykbZ HkRrk</t>
  </si>
  <si>
    <t>12- lkbZfdy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</si>
  <si>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</si>
  <si>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</si>
  <si>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</si>
  <si>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</si>
  <si>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</si>
  <si>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</si>
  <si>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</si>
  <si>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</si>
  <si>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</si>
  <si>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</si>
  <si>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</si>
  <si>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</si>
  <si>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</si>
  <si>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</si>
  <si>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</si>
  <si>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</si>
  <si>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</si>
  <si>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</si>
  <si>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;ksx %&amp; th-,- 5</t>
  </si>
  <si>
    <t>;ksx %&amp; th-,- 4</t>
  </si>
  <si>
    <t>egk;ksx %&amp; ¼th-,- 4 $ th-,- 5½</t>
  </si>
  <si>
    <r>
      <t xml:space="preserve"> </t>
    </r>
    <r>
      <rPr>
        <b/>
        <sz val="14"/>
        <rFont val="DevLys 010"/>
      </rPr>
      <t xml:space="preserve">  ;ksx osru ¼d ls [k rd½</t>
    </r>
    <r>
      <rPr>
        <b/>
        <sz val="12"/>
        <rFont val="DevLys 010"/>
      </rPr>
      <t xml:space="preserve"> </t>
    </r>
    <r>
      <rPr>
        <b/>
        <sz val="12"/>
        <rFont val="Times New Roman"/>
        <family val="1"/>
      </rPr>
      <t>I</t>
    </r>
  </si>
  <si>
    <r>
      <t xml:space="preserve">;ksx laosru </t>
    </r>
    <r>
      <rPr>
        <b/>
        <sz val="12"/>
        <rFont val="Times New Roman"/>
        <family val="1"/>
      </rPr>
      <t>( I + II )</t>
    </r>
  </si>
  <si>
    <t>izi= &amp; 8</t>
  </si>
  <si>
    <t xml:space="preserve">fuf'pr O;;ksa ds foLr`r vuqeku vFkkZr vf/kdkfj;ksa o deZpkfj;ksa </t>
  </si>
  <si>
    <t>¼ctV vuqeku vf/kdkfj;ksa }kjk foHkkxk/;{k dks izLrqr djus gsrq½</t>
  </si>
  <si>
    <t>¼jkf'k :i;ksa esa½</t>
  </si>
  <si>
    <t>Øe la[;k</t>
  </si>
  <si>
    <t>uke</t>
  </si>
  <si>
    <t>deZpkjh vkbZ-Mh- la[;k</t>
  </si>
  <si>
    <t>th-ih-,Q-@ ,u-ih-,l- uEcj</t>
  </si>
  <si>
    <t>ctV dh izkjfEHkd frfFk ;kfu 1 ekpZ dks deZpkjh dk osru</t>
  </si>
  <si>
    <t>igyh ekpZ ls vfUre Qjojh ds fy;s fu/kkZfjr jde</t>
  </si>
  <si>
    <t>o`f) tks bl vof/k esa gksxh</t>
  </si>
  <si>
    <t>fo'ks"k fooj.k</t>
  </si>
  <si>
    <t>Handicap Allo.</t>
  </si>
  <si>
    <t>tUe frfFk</t>
  </si>
  <si>
    <t>fu;qfDr frFkh</t>
  </si>
  <si>
    <t>Cash  All Yes / No</t>
  </si>
  <si>
    <t>Male / Female</t>
  </si>
  <si>
    <t>Liveries Jamadar</t>
  </si>
  <si>
    <t>Liveries Lab Boy</t>
  </si>
  <si>
    <t>Liveries Peon</t>
  </si>
  <si>
    <t>BUDGET ESTIMATE</t>
  </si>
  <si>
    <t>REVISED ESTIMATE</t>
  </si>
  <si>
    <t>is esfVªDl ysoy</t>
  </si>
  <si>
    <t>frfFk o`f)</t>
  </si>
  <si>
    <t>jde o`f)</t>
  </si>
  <si>
    <t xml:space="preserve"> FEMALE</t>
  </si>
  <si>
    <t>Back Increement</t>
  </si>
  <si>
    <t>Salary Gazetted REGULAR</t>
  </si>
  <si>
    <t>Salary Non-Gazetted
REGULAR</t>
  </si>
  <si>
    <t>Salary Gazetted FIXED</t>
  </si>
  <si>
    <t>Salary Non-Gazetted FIXED</t>
  </si>
  <si>
    <t>Arear</t>
  </si>
  <si>
    <t>Bonus</t>
  </si>
  <si>
    <t>Surrender</t>
  </si>
  <si>
    <t>Cash. Allow.</t>
  </si>
  <si>
    <t>Handicap Allow.</t>
  </si>
  <si>
    <t>Washing Allow.</t>
  </si>
  <si>
    <t>TOTAL Regular</t>
  </si>
  <si>
    <t>Net Salary</t>
  </si>
  <si>
    <t>Travelling Expenses</t>
  </si>
  <si>
    <t>Medical Expenses</t>
  </si>
  <si>
    <t>Grand Total</t>
  </si>
  <si>
    <t>Grand Total GA-1</t>
  </si>
  <si>
    <t xml:space="preserve">Guz. </t>
  </si>
  <si>
    <t>Non Guz.</t>
  </si>
  <si>
    <t>Guz. Fix Pay</t>
  </si>
  <si>
    <t>Non Guz. Fix Pay</t>
  </si>
  <si>
    <t>Fix Pay</t>
  </si>
  <si>
    <t>Cash All</t>
  </si>
  <si>
    <t>NPS</t>
  </si>
  <si>
    <t>working</t>
  </si>
  <si>
    <t>SANVIDA</t>
  </si>
  <si>
    <t>Sanvida Amount</t>
  </si>
  <si>
    <t>TOTAL GAZETTED REGULAR</t>
  </si>
  <si>
    <t>TOTAL NON GAZETTED REGULAR</t>
  </si>
  <si>
    <t>C/F  TOTAL GAZETTED + NON GAZETTED REGULAR</t>
  </si>
  <si>
    <t>B/F  TOTAL GAZETTED + NON GAZETTED REGULAR</t>
  </si>
  <si>
    <t>FIXATATION ARREAR</t>
  </si>
  <si>
    <t>SURRENDER LEAVE</t>
  </si>
  <si>
    <t>CASHIER ALLOWANCE @ 75 p.m.</t>
  </si>
  <si>
    <t>HANDICAP ALLOW. @ 6% &amp;Max 600/-</t>
  </si>
  <si>
    <t>WASHING ALLOWANCE @150 p.m.</t>
  </si>
  <si>
    <t xml:space="preserve">TOTAL REGULAR         </t>
  </si>
  <si>
    <t>TOTAL REGULAR</t>
  </si>
  <si>
    <t>GAZETTED FIXED</t>
  </si>
  <si>
    <t>TOTAL GAZETTED FIXED</t>
  </si>
  <si>
    <t>NON GAZETTED FIXED</t>
  </si>
  <si>
    <t>TOTAL NON GAZETTED FIXED</t>
  </si>
  <si>
    <t>TOTAL GAZETTED + NON GAZETTED FIXED</t>
  </si>
  <si>
    <t>TRAVELLING ALLOWANCE</t>
  </si>
  <si>
    <t>MEDICAL ALLOWANCE</t>
  </si>
  <si>
    <t>TOTAL FORMAT 8</t>
  </si>
  <si>
    <t>प्रधानाचार्य</t>
  </si>
  <si>
    <t>प्रधानाध्यापक‌</t>
  </si>
  <si>
    <t>HEAD MASTER</t>
  </si>
  <si>
    <t>कृषि शिक्षा प्रभारी</t>
  </si>
  <si>
    <t>AGRICULTURE INST</t>
  </si>
  <si>
    <t>कृषि अध्यापक</t>
  </si>
  <si>
    <t>AGRICULTURE TEACH</t>
  </si>
  <si>
    <t>प्रशिक्षक</t>
  </si>
  <si>
    <t>INSTRUCTOR</t>
  </si>
  <si>
    <t>व्याख्याता (स्कूल शिक्षा)</t>
  </si>
  <si>
    <t>पुस्तकालय अध्यक्ष श्रेणी I</t>
  </si>
  <si>
    <t>LIBRARIAN I</t>
  </si>
  <si>
    <t>शारीरिक शिक्षक श्रेणी I</t>
  </si>
  <si>
    <t>PTI  I</t>
  </si>
  <si>
    <t>वरिष्ठ अध्यापक</t>
  </si>
  <si>
    <t>शारीरिक शिक्षक श्रेणी II</t>
  </si>
  <si>
    <t>PTI II</t>
  </si>
  <si>
    <t>पुस्तकालय अध्यक्ष श्रेणी II</t>
  </si>
  <si>
    <t>पुस्तकालय अध्यक्ष श्रेणी III</t>
  </si>
  <si>
    <t>LIBRARIAN III</t>
  </si>
  <si>
    <t>अध्यापक</t>
  </si>
  <si>
    <t>शारीरिक शिक्षक श्रेणी III</t>
  </si>
  <si>
    <t>PTI  III</t>
  </si>
  <si>
    <t>सहायक कार्यालय अधीक्षक</t>
  </si>
  <si>
    <t>ASSISTANT</t>
  </si>
  <si>
    <t>प्रयोगशाला सहायक</t>
  </si>
  <si>
    <t>LAB ASST</t>
  </si>
  <si>
    <t>लिपिक ग्रेड I</t>
  </si>
  <si>
    <t>CLERK GRADE I</t>
  </si>
  <si>
    <t>फील्ड मैन व फील्ड रिक़ॉर्डर</t>
  </si>
  <si>
    <t>FIELDMAN &amp; FIELD REC</t>
  </si>
  <si>
    <t>लिपिक ग्रेड II</t>
  </si>
  <si>
    <t>चतुर्थ श्रेणी कर्मचारी</t>
  </si>
  <si>
    <t>जमादार</t>
  </si>
  <si>
    <t>JAMADAR</t>
  </si>
  <si>
    <t>प्रयोगशाला परिचारक</t>
  </si>
  <si>
    <t>LAB BOY</t>
  </si>
  <si>
    <t>ctV en</t>
  </si>
  <si>
    <t>2202-02-109-(27)-(01) STATE FUND</t>
  </si>
  <si>
    <t>2202-GENERAL EDUCATION, 02-SECONDARY EDUCATION, 109-GOVT. SEC. SCHOOL, (27)-BOYS SCHOOL (01) (STATE FUND)</t>
  </si>
  <si>
    <t>NON PLAN - GIRLS</t>
  </si>
  <si>
    <t>2202-02-109-(28)-(01) (STATE FUND)</t>
  </si>
  <si>
    <t>2202-GENERAL EDUCATION, 02-SECONDARY EDUCATION, 109-GOVT. SEC. SCHOOL, (28)-GIRLS SCHOOL (01) (STATE FUND)</t>
  </si>
  <si>
    <t>NON PLAN (TRIBAL AREA) - BOYS</t>
  </si>
  <si>
    <t>2202-02-796-(02)-(06) (STATE FUND)</t>
  </si>
  <si>
    <t>2202-GENERAL EDUCATION, 02-SECONDARY EDUCATION, 796-TRIBAL AREA SUB PLAN, (02)-GOVT. SEC. SCHOOL  (06)-BOYS SCHOOL (STATE FUND)</t>
  </si>
  <si>
    <t>NON PLAN (TRIBAL AREA) - GIRLS</t>
  </si>
  <si>
    <t>2202-02-796-(02)-(07) (STATE FUND)</t>
  </si>
  <si>
    <t>2202-GENERAL EDUCATION, 02-SECONDARY EDUCATION, 796-TRIBAL AREA SUB PLAN, (02)-GOVT. SEC. SCHOOL  (07)-GIRLS SCHOOL (STATE FUND)</t>
  </si>
  <si>
    <t>PLAN - BOYS</t>
  </si>
  <si>
    <t>2202-02-109-(01) (STATE FUND)</t>
  </si>
  <si>
    <t>2202-GENERAL EDUCATION, 02-SECONDARY EDUCATION, 109-GOVT. SEC. SCHOOL, (01)-BOYS SCHOOL (STATE FUND)</t>
  </si>
  <si>
    <t>PLAN - GIRLS</t>
  </si>
  <si>
    <t>2202-02-109-(02) (STATE FUND)</t>
  </si>
  <si>
    <t>2202-GENERAL EDUCATION, 02-SECONDARY EDUCATION, 109-GOVT. SEC. SCHOOL, (02)-GIRLS SCHOOL (STATE FUND)</t>
  </si>
  <si>
    <t>PLAN (TRIBAL AREA) - BOYS</t>
  </si>
  <si>
    <t>2202-02-796-(02)-01 (STATE FUND)</t>
  </si>
  <si>
    <t>2202-GENERAL EDUCATION, 02-SECONDARY EDUCATION, 796-TRIBAL AREA SUB PLAN, (02)-GOVT. SEC. SCHOOL  01-(BOYS SCHOOL) (STATE FUND)</t>
  </si>
  <si>
    <t>PLAN (TRIBAL AREA) - GIRLS</t>
  </si>
  <si>
    <t>2202-02-796-(02)-(02) (STATE FUND)</t>
  </si>
  <si>
    <t>2202-GENERAL EDUCATION, 02-SECONDARY EDUCATION, 796-TRIBAL AREA SUB PLAN, (02)-GOVT. SEC. SCHOOL  (02)-GIRLS SCHOOL (STATE FUND)</t>
  </si>
  <si>
    <t>PLAN (789)</t>
  </si>
  <si>
    <t>2202-02-789-(01)-(01) (STATE FUND)</t>
  </si>
  <si>
    <t>2202-GENERAL EDUCATION, 02-SECONDARY EDUCATION, 789-(01)-(01) (STATE FUND)</t>
  </si>
  <si>
    <t>PLAN (RMSA) - 01</t>
  </si>
  <si>
    <t>2202-02-109-(07)-(01) (STATE FUND)</t>
  </si>
  <si>
    <t>2202-GENERAL EDUCATION, 02-SECONDARY EDUCATION, 109-GOVT. SEC. SCHOOL, (07)-(01) (STATE FUND)</t>
  </si>
  <si>
    <t>PLAN (RMSA) - 02</t>
  </si>
  <si>
    <t>2202-02-109-(07)-(02) (STATE FUND)</t>
  </si>
  <si>
    <t>2202-GENERAL EDUCATION, 02-SECONDARY EDUCATION, 109-GOVT. SEC. SCHOOL, (07)-(02) (STATE FUND)</t>
  </si>
  <si>
    <t>PLAN (RMSA) - 03</t>
  </si>
  <si>
    <t>2202-02-109-(07)-(03) (STATE FUND)</t>
  </si>
  <si>
    <t>2202-GENERAL EDUCATION, 02-SECONDARY EDUCATION, 109-GOVT. SEC. SCHOOL, (07)-(03) (STATE FUND)</t>
  </si>
  <si>
    <t>izi= 9</t>
  </si>
  <si>
    <t xml:space="preserve">         O;; ds foLr`r ctV vuqeku ¼e; laosru foLr`r 'kh"kZ lfgr½</t>
  </si>
  <si>
    <t>fofÙk; o"kZ</t>
  </si>
  <si>
    <t>foHkkx dk uke %&amp; f'k{kk foHkkx</t>
  </si>
  <si>
    <t>okLrfod O;; vkadM+s ¼xr rhu o"kksZa ds½</t>
  </si>
  <si>
    <t xml:space="preserve">okLrfod O;; vkadM+s </t>
  </si>
  <si>
    <t>dkWye 8 o 9 dk ;ksx</t>
  </si>
  <si>
    <t>laosru</t>
  </si>
  <si>
    <t>;k=k O;;</t>
  </si>
  <si>
    <t>fpfdRlk O;;</t>
  </si>
  <si>
    <t>dk;kZy; O;;</t>
  </si>
  <si>
    <t>fofo/k</t>
  </si>
  <si>
    <t>iqLrdky;</t>
  </si>
  <si>
    <t>iz;ksx'kkyk</t>
  </si>
  <si>
    <t>fof'k"V lsok,sa</t>
  </si>
  <si>
    <t>ofnZ;ka</t>
  </si>
  <si>
    <r>
      <t xml:space="preserve">foHkkx dk uke %&amp; </t>
    </r>
    <r>
      <rPr>
        <b/>
        <sz val="11"/>
        <rFont val="DevLys 010"/>
      </rPr>
      <t>f'k{kk foHkkx</t>
    </r>
  </si>
  <si>
    <t>Nk=k la[;k</t>
  </si>
  <si>
    <t>RE</t>
  </si>
  <si>
    <t>BE</t>
  </si>
  <si>
    <r>
      <t>LFkkukUrj.k 'kqYd @</t>
    </r>
    <r>
      <rPr>
        <sz val="16"/>
        <rFont val="Calibri"/>
        <family val="2"/>
        <scheme val="minor"/>
      </rPr>
      <t xml:space="preserve"> 5/-</t>
    </r>
  </si>
  <si>
    <r>
      <t xml:space="preserve">izos'k 'kqYd @ </t>
    </r>
    <r>
      <rPr>
        <sz val="16"/>
        <rFont val="Calibri"/>
        <family val="2"/>
        <scheme val="minor"/>
      </rPr>
      <t>10/-</t>
    </r>
  </si>
  <si>
    <t>क्रं.स.</t>
  </si>
  <si>
    <t>कक्षा</t>
  </si>
  <si>
    <t>सामान्य</t>
  </si>
  <si>
    <t>एस.टी.</t>
  </si>
  <si>
    <t>एस.सी.</t>
  </si>
  <si>
    <t>ओ.बी.सी.</t>
  </si>
  <si>
    <t>एस.बी.सी.</t>
  </si>
  <si>
    <t>कुल नामांकित</t>
  </si>
  <si>
    <t>अल्पसंख्यक नामांकन</t>
  </si>
  <si>
    <t>बालक</t>
  </si>
  <si>
    <t>बालिका</t>
  </si>
  <si>
    <t>कुल</t>
  </si>
  <si>
    <t>I</t>
  </si>
  <si>
    <t>II</t>
  </si>
  <si>
    <t>III</t>
  </si>
  <si>
    <t>IV</t>
  </si>
  <si>
    <t>V</t>
  </si>
  <si>
    <t>VI</t>
  </si>
  <si>
    <t>VII</t>
  </si>
  <si>
    <t>VIII</t>
  </si>
  <si>
    <t>IX</t>
  </si>
  <si>
    <t>X</t>
  </si>
  <si>
    <t>XI</t>
  </si>
  <si>
    <t>XII</t>
  </si>
  <si>
    <t>Grade Pay</t>
  </si>
  <si>
    <t>FIX PAY / SANVIDA</t>
  </si>
  <si>
    <t>GAZETTED - FIX PAY</t>
  </si>
  <si>
    <t>NON GAZETTED - FIX PAY</t>
  </si>
  <si>
    <t>NON GAZETTED - SANVIDA</t>
  </si>
  <si>
    <t>GAZETTED - SANVIDA</t>
  </si>
  <si>
    <t>HkÙks ,oa ekuns;</t>
  </si>
  <si>
    <r>
      <t xml:space="preserve">;ksx HkÙks ,osa ekuns; </t>
    </r>
    <r>
      <rPr>
        <b/>
        <sz val="12"/>
        <rFont val="Times New Roman"/>
        <family val="1"/>
      </rPr>
      <t>II</t>
    </r>
  </si>
  <si>
    <t xml:space="preserve"> नामांकन</t>
  </si>
  <si>
    <t>izi=</t>
  </si>
  <si>
    <t>ys[kk en &amp; 01 laosru dk x.kuk @ ekax izi=       ¼jkf'k yk[kksaa es½</t>
  </si>
  <si>
    <t>Ø- la-</t>
  </si>
  <si>
    <t>fo|ky; dk uke</t>
  </si>
  <si>
    <t>izi= &amp; 1</t>
  </si>
  <si>
    <t>¼v½ fu;fer Lohd`r inksa dk fooj.k</t>
  </si>
  <si>
    <t>ys[ks dk 'kh"kZ nh?kZ 'kh"kZ@ minh?kZ 'kh"kZ @ y?kq 'kh"kZ @ mi'kh"kZ</t>
  </si>
  <si>
    <t>ukWu Iyku@ Iyku@ lh-,l-,l-</t>
  </si>
  <si>
    <t xml:space="preserve">in uke </t>
  </si>
  <si>
    <t>is eSfVªDl ysoy</t>
  </si>
  <si>
    <t>orZeku inksa dh la[;k ¼dkWye la[;k 5$6&amp;7½</t>
  </si>
  <si>
    <t>fu;fer dk;Zjr</t>
  </si>
  <si>
    <t>fnukad ftlls in fjDr gS</t>
  </si>
  <si>
    <t>1 tuojh 2004 ls iwoZ fu;qDr</t>
  </si>
  <si>
    <t>1 tuojh 2004 ls i'pkr fu;qDr</t>
  </si>
  <si>
    <t>2202 lkekU; f'k{kk</t>
  </si>
  <si>
    <t>L-16</t>
  </si>
  <si>
    <t>-</t>
  </si>
  <si>
    <t>L-13</t>
  </si>
  <si>
    <t>L-12</t>
  </si>
  <si>
    <t>L-10</t>
  </si>
  <si>
    <t>L-11</t>
  </si>
  <si>
    <t>L-9</t>
  </si>
  <si>
    <t>L-5</t>
  </si>
  <si>
    <t>L-1</t>
  </si>
  <si>
    <t>Total</t>
  </si>
  <si>
    <t>TOTAL GAZETTED SANVIDA</t>
  </si>
  <si>
    <t>NON GAZETTED SANVIDA</t>
  </si>
  <si>
    <t>TOTAL NON GAZETTED SANVIDA</t>
  </si>
  <si>
    <t>TOTAL GAZETTED + NON GAZETTED SANVIDA</t>
  </si>
  <si>
    <t>TOTAL REGULAR + FIXED + SANVIDA</t>
  </si>
  <si>
    <t xml:space="preserve">GOVERNMENT OF RAJASTHAN </t>
  </si>
  <si>
    <t>S.No.</t>
  </si>
  <si>
    <t>NAME OF EMPLOYEE</t>
  </si>
  <si>
    <t xml:space="preserve">Total </t>
  </si>
  <si>
    <t xml:space="preserve">Total Rounded </t>
  </si>
  <si>
    <t>Total Rounded</t>
  </si>
  <si>
    <r>
      <t xml:space="preserve">dk;kZy;@fo|ky; esa </t>
    </r>
    <r>
      <rPr>
        <b/>
        <u/>
        <sz val="18"/>
        <color rgb="FF0000CC"/>
        <rFont val="DevLys 010"/>
      </rPr>
      <t>dk;Zjr@LFkkukUrfjr@lsokfuo`r</t>
    </r>
    <r>
      <rPr>
        <b/>
        <sz val="18"/>
        <color rgb="FFFF0000"/>
        <rFont val="DevLys 010"/>
      </rPr>
      <t xml:space="preserve"> deZpkfj;ksa isafMax ;k=k HkRrk ds O;; vkadMksa dh uhps izfof"B djsa A</t>
    </r>
  </si>
  <si>
    <r>
      <t xml:space="preserve">dk;kZy;@fo|ky; esa </t>
    </r>
    <r>
      <rPr>
        <b/>
        <u/>
        <sz val="18"/>
        <color rgb="FF0000CC"/>
        <rFont val="DevLys 010"/>
      </rPr>
      <t>dk;Zjr@LFkkukUrfjr@lsokfuo`r</t>
    </r>
    <r>
      <rPr>
        <b/>
        <sz val="18"/>
        <color rgb="FFFF0000"/>
        <rFont val="DevLys 010"/>
      </rPr>
      <t xml:space="preserve"> deZpkfj;ksa isafMax fpfdRlk O;; ds vkadMksa dh uhps izfof"B djsa A</t>
    </r>
  </si>
  <si>
    <r>
      <t xml:space="preserve">dk;kZy;@fo|ky; esa </t>
    </r>
    <r>
      <rPr>
        <b/>
        <u/>
        <sz val="18"/>
        <color rgb="FF0000CC"/>
        <rFont val="DevLys 010"/>
      </rPr>
      <t>dk;Zjr</t>
    </r>
    <r>
      <rPr>
        <b/>
        <sz val="18"/>
        <color rgb="FFFF0000"/>
        <rFont val="DevLys 010"/>
      </rPr>
      <t xml:space="preserve"> deZpkfj;ksa ,oa </t>
    </r>
    <r>
      <rPr>
        <b/>
        <u/>
        <sz val="18"/>
        <color rgb="FF0000CC"/>
        <rFont val="DevLys 010"/>
      </rPr>
      <t>fjDr in</t>
    </r>
    <r>
      <rPr>
        <b/>
        <sz val="18"/>
        <color rgb="FFFF0000"/>
        <rFont val="DevLys 010"/>
      </rPr>
      <t xml:space="preserve"> ds vkadMksa dh uhps izfof"B djsa A</t>
    </r>
  </si>
  <si>
    <t>¼c½ Lohd`r fjDr inksa ds fo:) foHkkx esa dk;Zjr vU; dkfeZdksa dk fooj.k</t>
  </si>
  <si>
    <t>vk;kstuk fHkUu @vk;kstuk @ dsUnz izofrZr ;kstuk</t>
  </si>
  <si>
    <t>fjDr inksa dh la[;k</t>
  </si>
  <si>
    <t>rnFkZ vLFkkbZ fu;qfDr ¼la[;k½</t>
  </si>
  <si>
    <t>vkSlr izfr O;fDr izfrekg O;; ¼:i;ksa esa½</t>
  </si>
  <si>
    <t>iqufuZ;qfDr ¼la[;k½</t>
  </si>
  <si>
    <t>,stsUlh ek/;e ls ¼la[;k½</t>
  </si>
  <si>
    <t>lsokfuo`r dkfeZd izR;{k lafonk ¼la[;k½</t>
  </si>
  <si>
    <t>dfeZd foHkkx ds ifji= ds vuqlkj ¼la[;k½</t>
  </si>
  <si>
    <t>vU; ¼la[;k½</t>
  </si>
  <si>
    <t>Lohd`r in</t>
  </si>
  <si>
    <t>---</t>
  </si>
  <si>
    <t>PTI I</t>
  </si>
  <si>
    <t>PTI III</t>
  </si>
  <si>
    <t>¼l½ foHkkx esa dk;Zjr vU; dkfeZdksa dk fooj.k ¼Lohd`r inksa ds vfrfjDr½</t>
  </si>
  <si>
    <t>vk;kstuk fHkUu @ vk;kstuk @ dsUnz izofrZr ;kstuk</t>
  </si>
  <si>
    <t>la[;k</t>
  </si>
  <si>
    <t>okf"kZd fofÙk; Hkkj ¼:i;s lgL= esa½</t>
  </si>
  <si>
    <t>izi=k la[;k 13</t>
  </si>
  <si>
    <t>d{kk</t>
  </si>
  <si>
    <t>nj</t>
  </si>
  <si>
    <t>xr o"kZ dh cdk;k jkf'k</t>
  </si>
  <si>
    <t>o"kZ</t>
  </si>
  <si>
    <t>;ksx ¼5$7½</t>
  </si>
  <si>
    <t>d{kk 6 ls 8 rd</t>
  </si>
  <si>
    <t>=</t>
  </si>
  <si>
    <t>d{kk 9 ls 10 rd</t>
  </si>
  <si>
    <t>d{kk 11 ls 12 rd</t>
  </si>
  <si>
    <t>Nk=k</t>
  </si>
  <si>
    <t xml:space="preserve">Nk= </t>
  </si>
  <si>
    <t>Nk= @ Nk=k la[;k</t>
  </si>
  <si>
    <t>izi= la[;k 13</t>
  </si>
  <si>
    <t>vuqlwfpr tu tkfr ds Nk= o Nk=kvksa ds fy, Nk=o``fRr dk fooj.k</t>
  </si>
  <si>
    <t>vU; fiNM+k oxZ ds Nk= o Nk=kvksa ds fy, Nk=o``fRr dk fooj.k</t>
  </si>
  <si>
    <t>osru fLFkjhdj.k ,oa eagxkbZ HkRrs dk ,fj;j</t>
  </si>
  <si>
    <t>uke vf/kdkjh@ deZpkjh</t>
  </si>
  <si>
    <t>inuke</t>
  </si>
  <si>
    <t>osru</t>
  </si>
  <si>
    <t>c&lt;s gq,s eagxkbZ HkRrs dh nj</t>
  </si>
  <si>
    <t>1</t>
  </si>
  <si>
    <t>2</t>
  </si>
  <si>
    <t>3</t>
  </si>
  <si>
    <t>4</t>
  </si>
  <si>
    <t>5</t>
  </si>
  <si>
    <t>6</t>
  </si>
  <si>
    <t>7</t>
  </si>
  <si>
    <t>Total:</t>
  </si>
  <si>
    <t>vodk'k udnhdj.k Hkqxrku fooj.k</t>
  </si>
  <si>
    <t xml:space="preserve">BUDGET HEAD : 2071 - Pension and other Retirement Benefits  115 - Leave encashment    01 - Civil  104 - Gratuities </t>
  </si>
  <si>
    <t>lsokfuo`fr frfFk</t>
  </si>
  <si>
    <t>vodk'k dh la[;k</t>
  </si>
  <si>
    <t>ewy osru</t>
  </si>
  <si>
    <t>Hkqxrku ;ksX; dqy jkf'k</t>
  </si>
  <si>
    <t>&amp;</t>
  </si>
  <si>
    <t xml:space="preserve">ofnZ;ksa lEcU/kh O;; fooj.k </t>
  </si>
  <si>
    <t>ctV vkoaVu</t>
  </si>
  <si>
    <t>dk;Zjr in</t>
  </si>
  <si>
    <t>ofnZ;ksa ij O;; gsrq jkf'k dh vk';drk</t>
  </si>
  <si>
    <t>cpr ;k vkf/kD;</t>
  </si>
  <si>
    <t>teknkj</t>
  </si>
  <si>
    <t>iz;ksx'kkyk lsod</t>
  </si>
  <si>
    <t xml:space="preserve">prqFkZ Js.kh deZpkjh </t>
  </si>
  <si>
    <t>;ksx</t>
  </si>
  <si>
    <t>iq:"k</t>
  </si>
  <si>
    <t>efgyk</t>
  </si>
  <si>
    <t>Income-Expenditure Estimate Of Salary</t>
  </si>
  <si>
    <t>FIX PAY</t>
  </si>
  <si>
    <t>PRINCIPAL (16)</t>
  </si>
  <si>
    <t>V P (14)</t>
  </si>
  <si>
    <t>H M (14)</t>
  </si>
  <si>
    <t>AGRICULTURE INST (13)</t>
  </si>
  <si>
    <t>TEACHER-1ST (13)</t>
  </si>
  <si>
    <t>PTI  I  (13)</t>
  </si>
  <si>
    <t>AGRICULTURE TEACH (13)</t>
  </si>
  <si>
    <t>INSTRUCTOR (13)</t>
  </si>
  <si>
    <t>JR TEACHER (13)</t>
  </si>
  <si>
    <t>LIBRARIAN I (13)</t>
  </si>
  <si>
    <t>ASSISTANT (11)</t>
  </si>
  <si>
    <t>TEACHER-2ND (12)</t>
  </si>
  <si>
    <t>JR TEACHER (12)</t>
  </si>
  <si>
    <t>PTI   II  (12)</t>
  </si>
  <si>
    <t>LIBRARIAN II (12)</t>
  </si>
  <si>
    <t>LAB ASST (11)</t>
  </si>
  <si>
    <t>UDC (9)</t>
  </si>
  <si>
    <t>PTI  III  (10)</t>
  </si>
  <si>
    <t>TEACHER-3RD (10)</t>
  </si>
  <si>
    <t>LIBRARIAN III (10)</t>
  </si>
  <si>
    <t>LAB ASST (9)</t>
  </si>
  <si>
    <t>LDC (6)</t>
  </si>
  <si>
    <t xml:space="preserve">FIELDMAN &amp; FIELD REC (6) </t>
  </si>
  <si>
    <t>LAB BOY (2)</t>
  </si>
  <si>
    <t>JAMADAR (2)</t>
  </si>
  <si>
    <t>PEON (2)</t>
  </si>
  <si>
    <t>PEON (1)</t>
  </si>
  <si>
    <t>FORM 1-POST WISE SALARY DETAIL - (FIXED -SANVIDA)</t>
  </si>
  <si>
    <t>Name of Employee</t>
  </si>
  <si>
    <t>Date of Joining</t>
  </si>
  <si>
    <t>Date Completion of Probatation</t>
  </si>
  <si>
    <t>Pay Band</t>
  </si>
  <si>
    <t>Salary of 12 Month</t>
  </si>
  <si>
    <t>--</t>
  </si>
  <si>
    <t>FORM 1-POST WISE SALARY DETAIL - FIXED</t>
  </si>
  <si>
    <t>&amp;&amp;</t>
  </si>
  <si>
    <t>ek/;fed fo|ky;ks dh la[;k</t>
  </si>
  <si>
    <t>lhfu;j mPp ek/;fed fo|ky;ks dh la[;k</t>
  </si>
  <si>
    <t>1-</t>
  </si>
  <si>
    <t>va'knku @ o`fRrnku ls vk;</t>
  </si>
  <si>
    <t>va'knku o`fRrnku nkrk dk uke o iz;kstu</t>
  </si>
  <si>
    <t>¼d½</t>
  </si>
  <si>
    <t>Jh@Jherh ------------------------------------------------------------</t>
  </si>
  <si>
    <t>¼[k½</t>
  </si>
  <si>
    <t>dqy ;ksx ¼va'knku @ o`fRrnku½</t>
  </si>
  <si>
    <t>2-</t>
  </si>
  <si>
    <t>fofo/k vk; dk fooj.k</t>
  </si>
  <si>
    <t>viz;ksT; lkeku dh uhykeh }kjk vk;</t>
  </si>
  <si>
    <t>'kkyk Hkou dk vU; iz;kstu esa mi;ksx ysus ij 'kqYd ls vk;</t>
  </si>
  <si>
    <t>3-</t>
  </si>
  <si>
    <t>vU; fofo/k vk;</t>
  </si>
  <si>
    <t>dqy fofo/k vk;</t>
  </si>
  <si>
    <t xml:space="preserve">fnukad %            </t>
  </si>
  <si>
    <t>iszf"kr]</t>
  </si>
  <si>
    <t xml:space="preserve">fo"k; %&amp; </t>
  </si>
  <si>
    <t>egksn;]</t>
  </si>
  <si>
    <t>layXu %&amp;</t>
  </si>
  <si>
    <t>06- 01 laosru x.kuk @ ekax i= &amp; 2 izfr</t>
  </si>
  <si>
    <t>07- lsokfuo`r deZpkjh dk cdk;k  mikftZr vodk'k uxnhdj.k lwpuk &amp; 1 izfr</t>
  </si>
  <si>
    <t>09- ofnZ;ksa ls lEcfU/kr lwpuk &amp; 1 izfr</t>
  </si>
  <si>
    <t>10- fQDl is ij dk;Zjr dkfeZdkas dh lwpuk &amp; 1 izfr</t>
  </si>
  <si>
    <t xml:space="preserve">ofnZ;ksa ds O;; dk izi=  </t>
  </si>
  <si>
    <t>Ø-la0</t>
  </si>
  <si>
    <t>dkfeZd dh la[;k</t>
  </si>
  <si>
    <t>iq#"k</t>
  </si>
  <si>
    <t>vf/kD;@cpr</t>
  </si>
  <si>
    <t>7(5X6)</t>
  </si>
  <si>
    <t>10(8X9)</t>
  </si>
  <si>
    <t>11(7+10)</t>
  </si>
  <si>
    <t>13(11-12)</t>
  </si>
  <si>
    <t>Name</t>
  </si>
  <si>
    <t xml:space="preserve">Post </t>
  </si>
  <si>
    <t>01-10-17 to -------</t>
  </si>
  <si>
    <t>1st 30%</t>
  </si>
  <si>
    <t>2nd 30%</t>
  </si>
  <si>
    <t>S.No</t>
  </si>
  <si>
    <t>3rd 40%</t>
  </si>
  <si>
    <t xml:space="preserve">lkrosa osru ds fQDls'ku ,fj;j O;; dk izi=  </t>
  </si>
  <si>
    <t>izi= &amp; 4</t>
  </si>
  <si>
    <t>dza-la-</t>
  </si>
  <si>
    <t>Iyku@ukWu Iyku</t>
  </si>
  <si>
    <t>lafonk fo|kFkhZ fe= dk uke</t>
  </si>
  <si>
    <t>in ftlds fo:} dk;Zjr gS</t>
  </si>
  <si>
    <t>fo"k;</t>
  </si>
  <si>
    <t>fo|ky; esa izFke dk;Zxzg.k frfFk</t>
  </si>
  <si>
    <t>orZeku l= dh dk;Zxzg.k frfFk</t>
  </si>
  <si>
    <t>okLrfod O;; 2018&amp;19</t>
  </si>
  <si>
    <t>NIL</t>
  </si>
  <si>
    <t>izi= 9 ¼th-,-­2½</t>
  </si>
  <si>
    <t>ctV esU;wvy</t>
  </si>
  <si>
    <t>eq[; 'kh"kZd</t>
  </si>
  <si>
    <t>y/kq 'kh"kZd</t>
  </si>
  <si>
    <t>Account Head</t>
  </si>
  <si>
    <t>Total of columns 7 &amp; 8</t>
  </si>
  <si>
    <t>Salary-01</t>
  </si>
  <si>
    <t>T.E.-03</t>
  </si>
  <si>
    <t>Medical-04</t>
  </si>
  <si>
    <t>O.E.-05</t>
  </si>
  <si>
    <t>Rent - 09</t>
  </si>
  <si>
    <t>Misc.-28</t>
  </si>
  <si>
    <t>Library-31</t>
  </si>
  <si>
    <t>Lab-33</t>
  </si>
  <si>
    <t>Liveries-37</t>
  </si>
  <si>
    <t>Spl.Ser-57</t>
  </si>
  <si>
    <t xml:space="preserve">             jktLFkku ljdkj</t>
  </si>
  <si>
    <t xml:space="preserve">             ¼ vuqHkkxkf/kdkfj;kas }kjk vius foHkkxk/;{kks dks izsf"kr djus gsrq½</t>
  </si>
  <si>
    <t>dk;kZy; dk uke %</t>
  </si>
  <si>
    <t>Tuition Fees</t>
  </si>
  <si>
    <t>Admission Fees</t>
  </si>
  <si>
    <t>TC Fees</t>
  </si>
  <si>
    <t>Hkou ds vU; iz;kstu ls vk;</t>
  </si>
  <si>
    <t>fuykeh ls vk;</t>
  </si>
  <si>
    <t>fo|kFkhZ lqj{kk nq?kVZuk chek izhfe;e</t>
  </si>
  <si>
    <t>2019-20</t>
  </si>
  <si>
    <t>2020-21</t>
  </si>
  <si>
    <r>
      <t xml:space="preserve">izos'k 'kqYd </t>
    </r>
    <r>
      <rPr>
        <b/>
        <sz val="13"/>
        <color rgb="FF0000CC"/>
        <rFont val="Times New Roman"/>
        <family val="1"/>
      </rPr>
      <t>@ 10/-</t>
    </r>
  </si>
  <si>
    <r>
      <t xml:space="preserve">LFkkukUrj.k 'kqYd </t>
    </r>
    <r>
      <rPr>
        <b/>
        <sz val="13"/>
        <color rgb="FF0000CC"/>
        <rFont val="Times New Roman"/>
        <family val="1"/>
      </rPr>
      <t>@ 5/-</t>
    </r>
  </si>
  <si>
    <t>Budget Head</t>
  </si>
  <si>
    <t xml:space="preserve">GAZETTED / 
NON GAZETTED </t>
  </si>
  <si>
    <t>Cashier
Allowance</t>
  </si>
  <si>
    <t>GPF/
PRAN No.</t>
  </si>
  <si>
    <t xml:space="preserve">jkmekfo </t>
  </si>
  <si>
    <t>NON GAZETTED REGULAR</t>
  </si>
  <si>
    <t xml:space="preserve"> GAZETTED SANVIDA</t>
  </si>
  <si>
    <t>izekf.kr fd;k tkrk gSa fd mi;qZDr lwpuk esjs }kjk O;fDrxr :i ls tkWp dj yh x;h gSa vkSj bls lgh ik;k x;k gSaA</t>
  </si>
  <si>
    <r>
      <rPr>
        <b/>
        <sz val="11"/>
        <rFont val="DevLys 010"/>
      </rPr>
      <t>foHkkx dk uke %&amp;</t>
    </r>
    <r>
      <rPr>
        <sz val="11"/>
        <rFont val="DevLys 010"/>
      </rPr>
      <t xml:space="preserve"> </t>
    </r>
    <r>
      <rPr>
        <b/>
        <sz val="11"/>
        <rFont val="DevLys 010"/>
      </rPr>
      <t>f'k{kk foHkkx</t>
    </r>
  </si>
  <si>
    <t>vk; izi= &amp;1 ¼[k½</t>
  </si>
  <si>
    <t>LECTURER</t>
  </si>
  <si>
    <t>CLERK GRADE III</t>
  </si>
  <si>
    <t>vkxkeh o"kZ ds fy;s jde ¼dkWye 9 vkSj 11 dk ;ksx½
2021&amp;22</t>
  </si>
  <si>
    <t>pkyw o"kZ ds fy, la'kksf/kr vuqeku
2020&amp;21</t>
  </si>
  <si>
    <t>62 dEI;qVjkbZts'ku o rRlEcU/kh lapkj O;;</t>
  </si>
  <si>
    <t>dEI;qVjkbZts'ku lEcU/kh</t>
  </si>
  <si>
    <t>62&amp;dEI;qVjkbZts'ku lEcU/kh O;;</t>
  </si>
  <si>
    <t>izekf.kr fd;k tkrk gSa fd mi;qZDr lwpuk esjs }kjk O;fDrxr :i ls tkWp dj yh x;h gSa rFkk fooj.k iw.kZ ls lgh gSaA leLr cdk;k nkf;Roksa dksa mDr lwpuk esa 'kkfey dj fy;k x;k gSA ftrus Hkh cdk;k nkf;Ro gSa] mudk foLr`r enokj fooj.k i`FkDd ls layXu gSaA</t>
  </si>
  <si>
    <t xml:space="preserve"> 9- fo|kFkhZ fe=ksa gsrq vko';d jkf'k</t>
  </si>
  <si>
    <t>13- fodykax HkRrk</t>
  </si>
  <si>
    <t xml:space="preserve">  mDr ukekadu lwpuk 'kkyk niZ.k ds vuqlkj esjs }kjk O;fDrxr :i ls tkWp dj yh x;h gSa vkSj bls lgh ik;k x;k gSaA</t>
  </si>
  <si>
    <t>8</t>
  </si>
  <si>
    <t>l'kksf/kr vuqeku ¼pkyw o"kZ½
2020&amp;21</t>
  </si>
  <si>
    <t>vk; O;;d vuqeku ¼vkxkeh o"kZ½
2021&amp;22</t>
  </si>
  <si>
    <r>
      <t xml:space="preserve">vkWfQl </t>
    </r>
    <r>
      <rPr>
        <b/>
        <sz val="16"/>
        <color rgb="FF0000CC"/>
        <rFont val="Cambria"/>
        <family val="1"/>
        <scheme val="major"/>
      </rPr>
      <t>IFMS</t>
    </r>
    <r>
      <rPr>
        <b/>
        <sz val="16"/>
        <color rgb="FF0000CC"/>
        <rFont val="DevLys 010"/>
      </rPr>
      <t xml:space="preserve"> vkbZ-Mh- la[;k %</t>
    </r>
  </si>
  <si>
    <t>01- izi= 8 laosru &amp; 2 izfr</t>
  </si>
  <si>
    <t>02- izi= 9 ¼dk;kZy; O;;½ &amp; 2 izfr</t>
  </si>
  <si>
    <t>03- izi= 10 &amp; 2 izfr</t>
  </si>
  <si>
    <t>04- d{kkokj ukekadu la[;k &amp; 1 izfr</t>
  </si>
  <si>
    <t>05- izi=&amp;1 v] c] l &amp; 2 izfr</t>
  </si>
  <si>
    <t>12- Mh, ,fj;j dh lwpuk &amp; 2 izfr</t>
  </si>
  <si>
    <t>13- lafonkdehZ ls lEcfU/kr i=</t>
  </si>
  <si>
    <t>14- lesfdr lwpuk &amp; 2 izfr</t>
  </si>
  <si>
    <t>7th pay Fixation arrear paid &amp; to be paid  during 2020-21</t>
  </si>
  <si>
    <t>Budget
 (NP,PLAN etc)</t>
  </si>
  <si>
    <t>Budget Estimate for 2020­21</t>
  </si>
  <si>
    <t>Aug.19 to Mar.20</t>
  </si>
  <si>
    <t>Revised Estimates for 2020­21</t>
  </si>
  <si>
    <t>Budget Estimate for 2021­22</t>
  </si>
  <si>
    <t xml:space="preserve"> izi= &amp; 8 ¼th-,- 1½</t>
  </si>
  <si>
    <t>Ø- l-</t>
  </si>
  <si>
    <t>Male/Female</t>
  </si>
  <si>
    <t>vkbZMh ua-</t>
  </si>
  <si>
    <t>in uke</t>
  </si>
  <si>
    <t>in dk Lohd`r osru</t>
  </si>
  <si>
    <t>osru ekpZ 2021</t>
  </si>
  <si>
    <t>12 ekg  dh jkf'k</t>
  </si>
  <si>
    <t>vkxkeh o"kZ 2021&amp;22 ds fy, jde</t>
  </si>
  <si>
    <t>ekg ekpZ 20 isM vizSy 20 dk osru</t>
  </si>
  <si>
    <t xml:space="preserve">pkyw o"kZ 2020&amp;21 ds fy, la'kksf/kr vuqeku </t>
  </si>
  <si>
    <t>tUefrfFk</t>
  </si>
  <si>
    <t>fo-fo-</t>
  </si>
  <si>
    <t>osru o`f) frfFk</t>
  </si>
  <si>
    <t>fn- 01-7-21 dks ns; osru o`f) jkf'k</t>
  </si>
  <si>
    <t>dqy osru</t>
  </si>
  <si>
    <t>2A</t>
  </si>
  <si>
    <t>9A</t>
  </si>
  <si>
    <t>11A</t>
  </si>
  <si>
    <t>11B</t>
  </si>
  <si>
    <t>11C</t>
  </si>
  <si>
    <t>11D</t>
  </si>
  <si>
    <r>
      <rPr>
        <b/>
        <sz val="12"/>
        <rFont val="DevLys 010"/>
      </rPr>
      <t xml:space="preserve">;ksx jktif=r vf/kdkjh </t>
    </r>
    <r>
      <rPr>
        <b/>
        <sz val="10"/>
        <rFont val="Cambria"/>
        <family val="1"/>
        <scheme val="major"/>
      </rPr>
      <t>(A)</t>
    </r>
  </si>
  <si>
    <t>Total A+B (C/F)</t>
  </si>
  <si>
    <t>Total A+B (B/F)</t>
  </si>
  <si>
    <t>Lohd`r</t>
  </si>
  <si>
    <t>dk;Zjr</t>
  </si>
  <si>
    <t>fjDr</t>
  </si>
  <si>
    <t>DA Arrear 07/19 to 02/20</t>
  </si>
  <si>
    <t>PL Surrender</t>
  </si>
  <si>
    <t>fodykax HkÙkk dkfeZd la[;k</t>
  </si>
  <si>
    <t>Bonus @ Rs 6774*……….</t>
  </si>
  <si>
    <t>Fixation / ACP Arrear</t>
  </si>
  <si>
    <t>7th Pay Fixation Arrear</t>
  </si>
  <si>
    <t>Cashier Allowance @ Rs 75</t>
  </si>
  <si>
    <t>Washing Allowance @ Rs 150</t>
  </si>
  <si>
    <t>Employee on FIX PAY</t>
  </si>
  <si>
    <t xml:space="preserve">dqy ;ksx laosru en </t>
  </si>
  <si>
    <t>izFke fu;qfDr frfFk</t>
  </si>
  <si>
    <t>tqykbZ] 20 ls Qjojh 21 rd dk osru</t>
  </si>
  <si>
    <t>tqykbZ] 20 ls Qjojh 21 rd okLrfod vkgfjr</t>
  </si>
  <si>
    <t>laLFkk iz/kku dk uke%</t>
  </si>
  <si>
    <t>eksckbZy ua- %&amp;</t>
  </si>
  <si>
    <t>2021-22</t>
  </si>
  <si>
    <t>ds osru vuqeku o"kZ ¼vizSy ls ekpZ rd½ 2021&amp;22</t>
  </si>
  <si>
    <t>vuqlwfpr tkfr ds Nk= o Nk=kvksa ds fy, Nk=o``fRr dk fooj.k</t>
  </si>
  <si>
    <t xml:space="preserve"> ek/;fed f'k{kk                                                       </t>
  </si>
  <si>
    <t>ikyh&amp;ekjokM+A</t>
  </si>
  <si>
    <t xml:space="preserve">Jheku~ eq[; ftyk f'k{kk vf/kdkjh] </t>
  </si>
  <si>
    <t>ek/;fed f'k{kk]</t>
  </si>
  <si>
    <t xml:space="preserve">jktLFkku ljdkj             </t>
  </si>
  <si>
    <t xml:space="preserve">¼ vuqHkkxkf/kdkfj;kas }kjk vius foHkkxk/;{kks dks izsf"kr djus gsrq ½       </t>
  </si>
  <si>
    <r>
      <rPr>
        <b/>
        <sz val="12"/>
        <color rgb="FF002060"/>
        <rFont val="DevLys 010"/>
      </rPr>
      <t xml:space="preserve">;ksx vjktif=r deZpkjh </t>
    </r>
    <r>
      <rPr>
        <b/>
        <sz val="10"/>
        <color rgb="FF002060"/>
        <rFont val="Cambria"/>
        <family val="1"/>
        <scheme val="major"/>
      </rPr>
      <t>(B)</t>
    </r>
  </si>
  <si>
    <t xml:space="preserve">ys[kk- lgk-@ ofj"B fyfid </t>
  </si>
  <si>
    <t xml:space="preserve"> izi= &amp; 9 ¼th-,- 2½</t>
  </si>
  <si>
    <t>forh; o"kZ 2020&amp;21 ds fy, fuf'pr O;;ksa ¼vf/kdkfj;ksa ,ao deZpkfj;ksa ds laosru½  dk foLr`r vk;­O;;d vuqeku ¼vizsy] 2020 ls ekpZ] 2021 rd½</t>
  </si>
  <si>
    <t>April 20 to July 20</t>
  </si>
  <si>
    <t>Increment (+) or decrese (-) between columns</t>
  </si>
  <si>
    <r>
      <rPr>
        <b/>
        <sz val="12"/>
        <rFont val="Calibri"/>
        <family val="2"/>
        <scheme val="minor"/>
      </rPr>
      <t>Actuals</t>
    </r>
    <r>
      <rPr>
        <b/>
        <sz val="10"/>
        <rFont val="Kruti Dev 010"/>
      </rPr>
      <t xml:space="preserve"> </t>
    </r>
    <r>
      <rPr>
        <b/>
        <sz val="12"/>
        <rFont val="Kruti Dev 010"/>
      </rPr>
      <t>okLrfod vkadMs</t>
    </r>
  </si>
  <si>
    <r>
      <rPr>
        <b/>
        <sz val="12"/>
        <rFont val="Calibri"/>
        <family val="2"/>
        <scheme val="minor"/>
      </rPr>
      <t>Actuals</t>
    </r>
    <r>
      <rPr>
        <b/>
        <sz val="10"/>
        <rFont val="Arial"/>
        <family val="2"/>
      </rPr>
      <t xml:space="preserve"> </t>
    </r>
    <r>
      <rPr>
        <b/>
        <sz val="12"/>
        <rFont val="Kruti Dev 010"/>
      </rPr>
      <t>okLrfod O;; vkadMs</t>
    </r>
  </si>
  <si>
    <t>6 &amp; 10</t>
  </si>
  <si>
    <t>9 &amp; 10</t>
  </si>
  <si>
    <t>10 &amp; 11</t>
  </si>
  <si>
    <t>izi= 10 ¼th-,-­3½</t>
  </si>
  <si>
    <t>Important Instructions for Use</t>
  </si>
  <si>
    <t>Master Sheet</t>
  </si>
  <si>
    <t>First you enter the data in the master sheet. White color cell is for you. In which data entry has to be done. Fill the name of the office, head of the institution and information related to it. The budget head has to be selected. One sheet is to be used for each head. So you have to prepare the headwise sheet. Then feel carefully the actual and estimated figures of the budget. Entry of personnel's name, position, level, ID, basic etc. should be done carefully. Along with this, feel free by selecting the personnel on the fix and regular pay as well as the gazetted and non-gazetted. Also enter the pending bills of TA and Medical.</t>
  </si>
  <si>
    <t xml:space="preserve">सबसे पहले आप मास्टर शीट में डाटा इंद्राज करे।  आपके लिए सफ़ेद कलर की सेल है।  जिसमे डाटा एंट्री करनी है। कार्यालय का नाम , संस्था प्रधान व उससे सम्बंधित जानकारी भरे। बजट हेड को सलेक्ट करना है।  प्रत्येक हेड के लिए एक शीट काम में लेनी है।  अतः आपको headwise  शीट तैयार करनी है।  फिर बजट के वास्तविक व अनुमानित आकड़े सावधानीपूर्वक फील करे।   कार्मिक के नाम , पद , लेवल , आईडी , बेसिक आदि की एंट्री सावधानीपूर्वक करे।  साथ में कार्मिक के फिक्स पे और रेगुलर पे तथा गजटेड व नॉन गजटेड को भी सलेक्ट बटन से सलेक्ट कर फील करें।  TA  व मेडिकल के पेंडिंग बिलो की भी एंट्री करे। </t>
  </si>
  <si>
    <t>All the remaining seats are connected one to one. All sheets are linked to the master sheet. You have to check carefully. Wherever you have to edit, or to fill the data or make some correction in the entry, all the sheets have been kept unlocked so that you can easily change the data.</t>
  </si>
  <si>
    <t>If you want to add any head or post, you have to do it on the master. There is a place for him, it will come in the select list upon entry.</t>
  </si>
  <si>
    <t xml:space="preserve">बाकि सभी सीटें एक से आगे एक जुडी हुई है।  सभी शीट्स का मास्टर शीट से लिंक है।  आपको सावधानीपूर्वक चेक करनी है।  जहा भी आपको एडिट करना है , या डाटा फील करने है या  एंट्री में कुछ सुधार करना हो तो सभी शीट अनलॉक रखी गयी है ताकि आप आसानी से डाटा चेंज कर सके। </t>
  </si>
  <si>
    <t xml:space="preserve">कोई भी हेड या पोस्ट ऐड करनी हो तो मास्टर पर करनी है।  उसके लिए स्थान दिया हुआ है , वह पर एंट्री करने पर सलेक्ट लिस्ट में आ जायेंगे। </t>
  </si>
  <si>
    <r>
      <t xml:space="preserve">इस शीट पर बजट से सम्बंधित सभी प्रकार के फॉर्मेट उपलब्ध हो जायेंगे।  इस शीट निदेशालय द्वारा जारी दिशा निर्देशों के अनुरूप ही फॉर्मेट व एक्सेल शीट को तैयार किया है।  </t>
    </r>
    <r>
      <rPr>
        <b/>
        <u/>
        <sz val="12"/>
        <color rgb="FFCC0099"/>
        <rFont val="Calibri"/>
        <family val="2"/>
        <scheme val="minor"/>
      </rPr>
      <t>शीट के हिंदी के फॉण्ट निर्देशानुसार</t>
    </r>
    <r>
      <rPr>
        <b/>
        <u/>
        <sz val="12"/>
        <color rgb="FF00B050"/>
        <rFont val="Calibri"/>
        <family val="2"/>
        <scheme val="minor"/>
      </rPr>
      <t xml:space="preserve"> DevLys 010 </t>
    </r>
    <r>
      <rPr>
        <b/>
        <u/>
        <sz val="12"/>
        <color rgb="FFCC0099"/>
        <rFont val="Calibri"/>
        <family val="2"/>
        <scheme val="minor"/>
      </rPr>
      <t>रखे गए है।</t>
    </r>
    <r>
      <rPr>
        <b/>
        <sz val="12"/>
        <color rgb="FFCC0099"/>
        <rFont val="Calibri"/>
        <family val="2"/>
        <scheme val="minor"/>
      </rPr>
      <t xml:space="preserve">  ताकि आगे फॉण्ट से सम्बंधित कोई समस्या नहीं आये। अंग्रेजी के लिए रेगुलर फॉण्ट ही प्रयोग में लिया गया है। </t>
    </r>
  </si>
  <si>
    <r>
      <t>All types of budget related formats will be available on this sheet. Format and excel sheet have been prepared in accordance with the guidelines issued by this sheet directorate.</t>
    </r>
    <r>
      <rPr>
        <b/>
        <u/>
        <sz val="13"/>
        <color rgb="FF00B050"/>
        <rFont val="Calibri"/>
        <family val="2"/>
        <scheme val="minor"/>
      </rPr>
      <t xml:space="preserve"> DevLys 010 is kept as per the Hindi font instructions of the sheet.</t>
    </r>
    <r>
      <rPr>
        <b/>
        <sz val="13"/>
        <color rgb="FF0000FF"/>
        <rFont val="Calibri"/>
        <family val="2"/>
        <scheme val="minor"/>
      </rPr>
      <t xml:space="preserve"> So that no further problems related to the font are encountered. Regular font is used for English.</t>
    </r>
  </si>
  <si>
    <t xml:space="preserve">शाला दर्पण के अनुसार नामांकन सफ़ेद कलर की सेल में फील करने है। इसका प्रिंट ब्लैक एंड व्हाइट ही आएगा। page सेट अप किया हुआ है। </t>
  </si>
  <si>
    <t xml:space="preserve">Instruct. About Font </t>
  </si>
  <si>
    <t>t; xq:nso oklqnso th egkjkt</t>
  </si>
  <si>
    <t>Prepared By</t>
  </si>
  <si>
    <t>HEERALAL JAT</t>
  </si>
  <si>
    <t>Sr. Teacher</t>
  </si>
  <si>
    <t xml:space="preserve">MAHATMA GANDHI </t>
  </si>
  <si>
    <t>GOVERNMENT SCHOOL</t>
  </si>
  <si>
    <t>BAR, PALI</t>
  </si>
  <si>
    <r>
      <t xml:space="preserve">You can also Downlaod Format-8  For helping  Prapatra -8 By Using  PAY MANAGER  (report </t>
    </r>
    <r>
      <rPr>
        <b/>
        <sz val="14"/>
        <color rgb="FFFFFF00"/>
        <rFont val="Calibri"/>
        <family val="2"/>
      </rPr>
      <t>→ DDO report → perfoma 8</t>
    </r>
  </si>
  <si>
    <t>izi= 6</t>
  </si>
  <si>
    <t>nj izfrekg</t>
  </si>
  <si>
    <t>2021&amp;22 ds fy,</t>
  </si>
  <si>
    <t>xro"kZ dk cdk;k ------ ls cdk;k dk fooj.k</t>
  </si>
  <si>
    <t>6 ls 8 Nk=</t>
  </si>
  <si>
    <t>6 ls 8 Nk=k</t>
  </si>
  <si>
    <t>9 ls 10 rd Nk=</t>
  </si>
  <si>
    <t>9 ls 10 rd Nk=k</t>
  </si>
  <si>
    <r>
      <t>ST</t>
    </r>
    <r>
      <rPr>
        <sz val="12"/>
        <rFont val="Kruti Dev 010"/>
      </rPr>
      <t xml:space="preserve"> </t>
    </r>
    <r>
      <rPr>
        <sz val="14"/>
        <rFont val="Kruti Dev 010"/>
      </rPr>
      <t>iwoZ eSfVªd Nk=o`fr;ksa dk fooj.k</t>
    </r>
    <r>
      <rPr>
        <sz val="14"/>
        <rFont val="DevLys 010 "/>
      </rPr>
      <t xml:space="preserve">  </t>
    </r>
  </si>
  <si>
    <r>
      <t>OBC</t>
    </r>
    <r>
      <rPr>
        <sz val="12"/>
        <rFont val="Kruti Dev 010"/>
      </rPr>
      <t xml:space="preserve"> </t>
    </r>
    <r>
      <rPr>
        <sz val="14"/>
        <rFont val="Kruti Dev 010"/>
      </rPr>
      <t xml:space="preserve">iwoZ eSfVªd Nk=o`fr;ksa dk fooj.k  </t>
    </r>
  </si>
  <si>
    <t>6 ls 10 Nk=</t>
  </si>
  <si>
    <t>6 ls 10 Nk=k</t>
  </si>
  <si>
    <r>
      <t>SBC</t>
    </r>
    <r>
      <rPr>
        <sz val="12"/>
        <rFont val="Kruti Dev 010"/>
      </rPr>
      <t xml:space="preserve"> </t>
    </r>
    <r>
      <rPr>
        <sz val="14"/>
        <rFont val="Kruti Dev 010"/>
      </rPr>
      <t xml:space="preserve">iwoZ eSfVªd Nk=o`fr;ksa dk fooj.k  </t>
    </r>
  </si>
  <si>
    <r>
      <t xml:space="preserve">SC </t>
    </r>
    <r>
      <rPr>
        <sz val="14"/>
        <rFont val="Kruti Dev 010"/>
      </rPr>
      <t xml:space="preserve">mÙkj eSfVªd Nk=o`fr;ksa dk fooj.k </t>
    </r>
    <r>
      <rPr>
        <sz val="14"/>
        <rFont val="DevLys 010 "/>
      </rPr>
      <t xml:space="preserve"> </t>
    </r>
  </si>
  <si>
    <t>11 ls 12 Nk=</t>
  </si>
  <si>
    <t>11 ls 12 Nk=k</t>
  </si>
  <si>
    <r>
      <t xml:space="preserve">ST </t>
    </r>
    <r>
      <rPr>
        <sz val="14"/>
        <rFont val="Kruti Dev 010"/>
      </rPr>
      <t xml:space="preserve">mÙkj eSfVªd Nk=o`fr;ksa dk fooj.k </t>
    </r>
    <r>
      <rPr>
        <sz val="14"/>
        <rFont val="DevLys 010 "/>
      </rPr>
      <t xml:space="preserve"> </t>
    </r>
  </si>
  <si>
    <r>
      <t xml:space="preserve">OBC </t>
    </r>
    <r>
      <rPr>
        <sz val="14"/>
        <rFont val="Kruti Dev 010"/>
      </rPr>
      <t xml:space="preserve">mÙkj eSfVªd Nk=o`fr;ksa dk fooj.k  </t>
    </r>
  </si>
  <si>
    <r>
      <t xml:space="preserve">SBC </t>
    </r>
    <r>
      <rPr>
        <sz val="14"/>
        <rFont val="Kruti Dev 010"/>
      </rPr>
      <t xml:space="preserve">mÙkj eSfVªd Nk=o`fr;ksa dk fooj.k  </t>
    </r>
  </si>
  <si>
    <r>
      <t>SC</t>
    </r>
    <r>
      <rPr>
        <u/>
        <sz val="12"/>
        <rFont val="Kruti Dev 010"/>
      </rPr>
      <t xml:space="preserve"> </t>
    </r>
    <r>
      <rPr>
        <u/>
        <sz val="14"/>
        <rFont val="Kruti Dev 010"/>
      </rPr>
      <t xml:space="preserve">iwoZ eSfVªd Nk=o`fr;ksa dk fooj.k  </t>
    </r>
  </si>
  <si>
    <t xml:space="preserve">11- th,&amp;1] th,&amp;2 o th,&amp;3 dh lwpuk &amp; 2 izfr </t>
  </si>
  <si>
    <t>dqy ;ksx 1 ls 6 ¼c½</t>
  </si>
  <si>
    <t>Ø-l-</t>
  </si>
  <si>
    <t>vkfQl vkbZMh u0</t>
  </si>
  <si>
    <r>
      <t xml:space="preserve">fofr; o"kZ es gksus okyk dqay O;; ;ksx ¼dkWye </t>
    </r>
    <r>
      <rPr>
        <sz val="12"/>
        <color indexed="8"/>
        <rFont val="Arial"/>
        <family val="2"/>
      </rPr>
      <t>5+6</t>
    </r>
    <r>
      <rPr>
        <sz val="14"/>
        <color indexed="8"/>
        <rFont val="Arial"/>
        <family val="2"/>
      </rPr>
      <t>) = (</t>
    </r>
    <r>
      <rPr>
        <sz val="14"/>
        <color indexed="8"/>
        <rFont val="DevLys 010"/>
      </rPr>
      <t>izi= 9ls ½</t>
    </r>
  </si>
  <si>
    <t xml:space="preserve">जय गुरुदेव वासुदेव जी महाराज </t>
  </si>
  <si>
    <t>Mahatma Gandhi Government School (English Medium) Bar, PALI</t>
  </si>
  <si>
    <t>egkRek xka/kh jktdh; fo|ky; ¼vaxzsth ek/;e½ cj ] ikyh</t>
  </si>
  <si>
    <t>m"kk ikfy;k</t>
  </si>
  <si>
    <t>2022-23</t>
  </si>
  <si>
    <t>Jherh m"kk ikfy;k</t>
  </si>
  <si>
    <t>Jh ;ksxsUnz</t>
  </si>
  <si>
    <t>Jh lqjs'k pUn flaxkfM+;k</t>
  </si>
  <si>
    <t>Jh jkds'k dqekj 'kekZ</t>
  </si>
  <si>
    <t>Jh ghjkyky tkV</t>
  </si>
  <si>
    <t>Jh 'kjn 'kekZ</t>
  </si>
  <si>
    <t>Jh jk/ks';ke</t>
  </si>
  <si>
    <t>Jh izdk'k pUn</t>
  </si>
  <si>
    <t>Jherh eerk yokfu;k</t>
  </si>
  <si>
    <t>Jh lEirjkt</t>
  </si>
  <si>
    <t>Jh eukst ikpksjh</t>
  </si>
  <si>
    <t>Jh iznhiflag</t>
  </si>
  <si>
    <t>Jh vfHkeU;q flag</t>
  </si>
  <si>
    <t>Jh iq"isUn toM+k</t>
  </si>
  <si>
    <t>Jh lq[kohjflag</t>
  </si>
  <si>
    <t>Jh izoh.k lksyadh</t>
  </si>
  <si>
    <t>Jherh 'kkjnk pkS/kjh</t>
  </si>
  <si>
    <t>Jh eqds'k dqekj</t>
  </si>
  <si>
    <t xml:space="preserve">Jh jkds'k dqekj </t>
  </si>
  <si>
    <t xml:space="preserve">Jh fueZy dqekj </t>
  </si>
  <si>
    <t>fjDr in</t>
  </si>
  <si>
    <t>vxLr 2021 ls ekpZ 2022 rd dk lEHkkfor vk;</t>
  </si>
  <si>
    <t>o"kZ 2022&amp;23 dk vuqekfur vk;</t>
  </si>
  <si>
    <t>o"kZ 2022&amp;23 dk vuqekfur O;;</t>
  </si>
  <si>
    <t>vxLr 2021 ls ekpZ 2022 rd dk lEHkkfor O;;</t>
  </si>
  <si>
    <t>vk; O;; vuqeku pkyw o"kZ 2021&amp;22</t>
  </si>
  <si>
    <t>o"kZ 2021&amp;22 dk la'kksf/kr</t>
  </si>
  <si>
    <t>o"kZ 2021&amp;22 dk la'kksf/kr vk;</t>
  </si>
  <si>
    <t>o"kZ 2022&amp;23 dk vuqekfur</t>
  </si>
  <si>
    <t>vxLr 2021 ls ekpZ 2022 rd dk lEHkkfor O;; ¼pkyw o"kZ½</t>
  </si>
  <si>
    <t>la'kksf/kr vuqeku ¼pkyw o"kZ½ 
o"kZ 21&amp;22½</t>
  </si>
  <si>
    <t>vk; O;; vuqeku vkxkeh o"kZ ¼22&amp;23½</t>
  </si>
  <si>
    <t>vizsy 2021 ls tqykbZ 2021 rd ¼pkyw o"kZ½</t>
  </si>
  <si>
    <t>vxLr 20 ls ekpZ 21 rd ¼xr o"kZ½</t>
  </si>
  <si>
    <t>vxLr 2021 ls ekpZ 2022 rd dk lEHkkfor vk; ¼pkyw o"kZ½</t>
  </si>
  <si>
    <t>l'kksf/kr vuqeku 2021&amp;22 ¼pkyw o"kZ½ ¼08$10½</t>
  </si>
  <si>
    <t>vk; O;;d vuqeku 2022&amp;23 ¼vkxkeh o"kZ½</t>
  </si>
  <si>
    <t>la'kksf/kr vuqeku 
l= 2021&amp;22</t>
  </si>
  <si>
    <t>vk;&amp;O;;d vuqeku
l= 2022&amp;23</t>
  </si>
  <si>
    <t>la'kksf/kr vuqeku l= 2021&amp;22 vk;&amp;O;;d vuqeku lkjka'k 2022&amp;23</t>
  </si>
  <si>
    <r>
      <t>o"kZ 2021&amp;22 ds fy;s vfrfjDr vko';drk  ¼dkWye 4</t>
    </r>
    <r>
      <rPr>
        <sz val="16"/>
        <color indexed="8"/>
        <rFont val="DevLys 010"/>
      </rPr>
      <t>&amp;7½</t>
    </r>
  </si>
  <si>
    <t>foRrh; o"kZ 2022&amp;-23 ds fy;s vuqeku    ¼izi= 9 ls ½</t>
  </si>
  <si>
    <t>tqykbZ 21 rd okLrfod O;; ¼izi=&amp;09 ls ½</t>
  </si>
  <si>
    <r>
      <t xml:space="preserve">vxLr 2021 ls ekpZ 2022 rd gksus okyk vuqekfur O;; ¼dkWye </t>
    </r>
    <r>
      <rPr>
        <sz val="12"/>
        <color indexed="8"/>
        <rFont val="Arial"/>
        <family val="2"/>
      </rPr>
      <t>7-5</t>
    </r>
    <r>
      <rPr>
        <sz val="14"/>
        <color indexed="8"/>
        <rFont val="Arial"/>
        <family val="2"/>
      </rPr>
      <t>)</t>
    </r>
  </si>
  <si>
    <t>fofr; o"kZ 2021&amp;22 esa laosru esa vkofVr jkf'k       ¼izi=&amp;09 ls½</t>
  </si>
  <si>
    <t>vk; O;;d vuqeku l= 2022&amp;2023 ,oa la'kksf/kr l= 2021&amp;2022</t>
  </si>
  <si>
    <t>Lohd`r inksa dh la[;k 
¼fnukad 01-04-2021 dh fLFkfr½</t>
  </si>
  <si>
    <t>pkyw o"kZ 2021&amp;22 esa Lohd`r inksa dh la[;k</t>
  </si>
  <si>
    <t>pkyw o"kZ 2021&amp;22 esa lekIr fd, inksa dh la[;k</t>
  </si>
  <si>
    <t>fnukad 31-08-2021 dks fjDr inksa dh la[;k</t>
  </si>
  <si>
    <t>L I S T   O F   P E N D I N G   T. A.   C L A I M S   FOR FY 2021-22</t>
  </si>
  <si>
    <t>L I S T   O F   P E N D I N G   M E D I C A L   C L A I M S   FOR FY 2021-22</t>
  </si>
  <si>
    <t>o"kZ 2021&amp;22 ds fy, 
la'kksf/kr vuqeku
10 ekg ds fy,</t>
  </si>
  <si>
    <t>o"kZ 2022&amp;23 ds fy, 
vuqekfur jkf'k 
10 ekg ds fy,</t>
  </si>
  <si>
    <t>2022&amp;23 ds fy,</t>
  </si>
  <si>
    <t>For FY - 2021-22 (April 2021 to March 2022)</t>
  </si>
  <si>
    <t>Salary on 1st March 21</t>
  </si>
  <si>
    <t>Budget Estimate For FY 
2022-23</t>
  </si>
  <si>
    <t>Revised Estimate For FY 
2021-22</t>
  </si>
  <si>
    <t>fofÙk; o"kZ 2021&amp;22</t>
  </si>
  <si>
    <t>vk; O;;d vuqeku 2022&amp;23 ,oa la'kksf/kr vuqeku 2021&amp;22</t>
  </si>
  <si>
    <t>o"kZ 2021&amp;2022 dk la'kksf/kr vuqeku</t>
  </si>
  <si>
    <t>o"kZ 2022&amp;2023 dk vk; O;;d vuqeku</t>
  </si>
  <si>
    <t>izkIr ctV vkoaVu 2021&amp;22</t>
  </si>
  <si>
    <t>lafonk ¼fo|kFkhZ fe= ;kstukUrxZr½ o"kZ 2021&amp;22 ds O;; dh lwpuk</t>
  </si>
  <si>
    <t xml:space="preserve">DA @ 28% </t>
  </si>
  <si>
    <t>HRA 9%</t>
  </si>
  <si>
    <t>foÙkh; o"kZ 2022&amp;23 ds fy, fuf'pr O;;ksa¼ vf/kdkfj;ksa ,ao deZpkfj;ksa ds laosru½ dk foLr`r vk; O;;d vuqeku ¼ vizsy ls ekpZ rd½</t>
  </si>
  <si>
    <t>forh; o"kZ 2020&amp;21 ds fy, fuf'pr O;;ksa¼ vf/kdkfj;ksa ,ao deZpkfj;ksa ds laosru½  dk foLr`r vk;­O;;d vuqeku ¼ vizsy ls ekpZ rd½</t>
  </si>
  <si>
    <t>foÙkh; o"kZ 2021&amp;22 ds fy, fuf'pr O;;ksa dk foLr`r vk;­O;;d vuqeku ¼vizsy]2021 ls ekpZ] 2022 rd½</t>
  </si>
  <si>
    <t>Revised Estimates for 2021­22</t>
  </si>
  <si>
    <t>Budget Estimate for 2022­23</t>
  </si>
  <si>
    <t>Aug.20 to Mar.21</t>
  </si>
  <si>
    <t>April 21 to July 21</t>
  </si>
  <si>
    <t>la'kksf/kr ctV vuqeku l= 2021&amp;22 ,oa vk;&amp;O;;d vuqeku 2022&amp;23 izLrqr djus ckcr A</t>
  </si>
  <si>
    <t>Øekad % exkvek@cj@ctV@2021&amp;22@</t>
  </si>
  <si>
    <t xml:space="preserve">          mi;qZDr fo"k;kUrxZr fuosnu gaS fd LFkkuh; fo|ky; esa dk;Zjr deZpkfj;ksa ds fy, la'kksf/kr ctV vuqeku l= 2021&amp;22 ,oa vk;&amp;O;;d vuqeku 2022&amp;23 fu/kkZfjr izi= esa rS;kj dj vko';d dk;Zokgh gsrq Jheku dh lsok esa lknj iszf"kr gS A</t>
  </si>
  <si>
    <t>08- 31-07-2021 rd cdk;k ;k=k@fpfdRlk foi=ksa dh o"kZokj vyx&amp;vyx lwph &amp; 1 izfr</t>
  </si>
</sst>
</file>

<file path=xl/styles.xml><?xml version="1.0" encoding="utf-8"?>
<styleSheet xmlns="http://schemas.openxmlformats.org/spreadsheetml/2006/main">
  <numFmts count="18">
    <numFmt numFmtId="164" formatCode="&quot;L-&quot;0"/>
    <numFmt numFmtId="165" formatCode="&quot;OFFICE ID &quot;0"/>
    <numFmt numFmtId="166" formatCode="&quot;D.A. @ &quot;00%"/>
    <numFmt numFmtId="167" formatCode="&quot;D.A. Arear @ &quot;00%"/>
    <numFmt numFmtId="168" formatCode="&quot;HRA @ &quot;00%"/>
    <numFmt numFmtId="169" formatCode="&quot;D.A. @ &quot;0%"/>
    <numFmt numFmtId="170" formatCode="&quot;D.A. AREAR @ &quot;0%"/>
    <numFmt numFmtId="171" formatCode="&quot;H.R.A. @ &quot;0%"/>
    <numFmt numFmtId="172" formatCode="&quot;BONUS @ &quot;0&quot;/-&quot;"/>
    <numFmt numFmtId="173" formatCode="&quot;LP-&quot;0"/>
    <numFmt numFmtId="174" formatCode="0&quot;/-&quot;"/>
    <numFmt numFmtId="175" formatCode="&quot;DA @&quot;0%"/>
    <numFmt numFmtId="176" formatCode="dd\.mm\.yyyy;@"/>
    <numFmt numFmtId="177" formatCode="[$-F800]dddd\,\ mmmm\ dd\,\ yyyy"/>
    <numFmt numFmtId="178" formatCode="&quot;IFMS ID &quot;0"/>
    <numFmt numFmtId="179" formatCode="&quot;IFMS ID : &quot;0"/>
    <numFmt numFmtId="180" formatCode="[$-14009]dd/mm/yy;@"/>
    <numFmt numFmtId="181" formatCode="&quot;L- &quot;\ 0"/>
  </numFmts>
  <fonts count="220">
    <font>
      <sz val="11"/>
      <color theme="1"/>
      <name val="Calibri"/>
      <family val="2"/>
      <scheme val="minor"/>
    </font>
    <font>
      <b/>
      <sz val="16"/>
      <color rgb="FF0000CC"/>
      <name val="DevLys 010"/>
    </font>
    <font>
      <sz val="11"/>
      <color rgb="FF0000CC"/>
      <name val="Calibri"/>
      <family val="2"/>
      <scheme val="minor"/>
    </font>
    <font>
      <sz val="12"/>
      <color rgb="FF0000CC"/>
      <name val="DevLys 010"/>
    </font>
    <font>
      <b/>
      <sz val="14"/>
      <color rgb="FF0000CC"/>
      <name val="DevLys 010"/>
    </font>
    <font>
      <sz val="10"/>
      <color rgb="FF0000CC"/>
      <name val="Times New Roman"/>
      <family val="1"/>
    </font>
    <font>
      <sz val="11"/>
      <color rgb="FF0000CC"/>
      <name val="Times New Roman"/>
      <family val="1"/>
    </font>
    <font>
      <b/>
      <sz val="11"/>
      <color rgb="FFFF0000"/>
      <name val="Times New Roman"/>
      <family val="1"/>
    </font>
    <font>
      <sz val="11"/>
      <color rgb="FF0000CC"/>
      <name val="DevLys 010"/>
    </font>
    <font>
      <sz val="11"/>
      <color theme="1"/>
      <name val="DevLys 010"/>
    </font>
    <font>
      <b/>
      <sz val="12"/>
      <color rgb="FF0000CC"/>
      <name val="DevLys 010"/>
    </font>
    <font>
      <b/>
      <sz val="12"/>
      <color rgb="FF0000CC"/>
      <name val="Times New Roman"/>
      <family val="1"/>
    </font>
    <font>
      <sz val="12"/>
      <color rgb="FF0000CC"/>
      <name val="Times New Roman"/>
      <family val="1"/>
    </font>
    <font>
      <sz val="8"/>
      <color rgb="FF0000CC"/>
      <name val="Calibri"/>
      <family val="2"/>
      <scheme val="minor"/>
    </font>
    <font>
      <sz val="14"/>
      <color rgb="FF0000CC"/>
      <name val="DevLys 010"/>
    </font>
    <font>
      <b/>
      <sz val="11"/>
      <color rgb="FF0000CC"/>
      <name val="Times New Roman"/>
      <family val="1"/>
    </font>
    <font>
      <b/>
      <sz val="12"/>
      <name val="Times New Roman"/>
      <family val="1"/>
    </font>
    <font>
      <sz val="11"/>
      <name val="Times New Roman"/>
      <family val="1"/>
    </font>
    <font>
      <b/>
      <sz val="16"/>
      <name val="DevLys 010"/>
    </font>
    <font>
      <b/>
      <sz val="14"/>
      <name val="Times New Roman"/>
      <family val="1"/>
    </font>
    <font>
      <b/>
      <sz val="14"/>
      <name val="DevLys 010"/>
    </font>
    <font>
      <b/>
      <sz val="22"/>
      <color rgb="FFFF0000"/>
      <name val="DevLys 010"/>
    </font>
    <font>
      <b/>
      <u/>
      <sz val="22"/>
      <color rgb="FF0000CC"/>
      <name val="DevLys 010"/>
    </font>
    <font>
      <sz val="22"/>
      <color rgb="FF0000CC"/>
      <name val="Calibri"/>
      <family val="2"/>
      <scheme val="minor"/>
    </font>
    <font>
      <sz val="16"/>
      <name val="DevLys 010"/>
    </font>
    <font>
      <sz val="10"/>
      <name val="Times New Roman"/>
      <family val="1"/>
    </font>
    <font>
      <sz val="14"/>
      <name val="DevLys 010"/>
    </font>
    <font>
      <b/>
      <sz val="11"/>
      <name val="Times New Roman"/>
      <family val="1"/>
    </font>
    <font>
      <b/>
      <sz val="10"/>
      <color rgb="FF0000CC"/>
      <name val="Times New Roman"/>
      <family val="1"/>
    </font>
    <font>
      <b/>
      <sz val="22"/>
      <color rgb="FF0000CC"/>
      <name val="DevLys 010"/>
    </font>
    <font>
      <sz val="14"/>
      <color theme="1"/>
      <name val="DevLys 010"/>
    </font>
    <font>
      <b/>
      <sz val="18"/>
      <name val="DevLys 010"/>
    </font>
    <font>
      <b/>
      <sz val="10"/>
      <name val="Times New Roman"/>
      <family val="1"/>
    </font>
    <font>
      <sz val="12"/>
      <name val="DevLys 010"/>
    </font>
    <font>
      <b/>
      <sz val="12"/>
      <name val="DevLys 010"/>
    </font>
    <font>
      <b/>
      <sz val="11"/>
      <name val="Calibri"/>
      <family val="2"/>
      <scheme val="minor"/>
    </font>
    <font>
      <b/>
      <u/>
      <sz val="20"/>
      <color rgb="FF0000CC"/>
      <name val="Times New Roman"/>
      <family val="1"/>
    </font>
    <font>
      <b/>
      <sz val="20"/>
      <color rgb="FF0000CC"/>
      <name val="Times New Roman"/>
      <family val="1"/>
    </font>
    <font>
      <sz val="20"/>
      <color rgb="FF0000CC"/>
      <name val="Times New Roman"/>
      <family val="1"/>
    </font>
    <font>
      <sz val="12"/>
      <color rgb="FF0000CC"/>
      <name val="Calibri"/>
      <family val="2"/>
    </font>
    <font>
      <b/>
      <sz val="8"/>
      <color rgb="FF0000CC"/>
      <name val="Times New Roman"/>
      <family val="1"/>
    </font>
    <font>
      <sz val="8"/>
      <color theme="1"/>
      <name val="Times New Roman"/>
      <family val="1"/>
    </font>
    <font>
      <sz val="12"/>
      <color theme="1"/>
      <name val="Calibri"/>
      <family val="2"/>
      <scheme val="minor"/>
    </font>
    <font>
      <sz val="11"/>
      <name val="Calibri"/>
      <family val="2"/>
      <scheme val="minor"/>
    </font>
    <font>
      <b/>
      <u/>
      <sz val="14"/>
      <name val="Times New Roman"/>
      <family val="1"/>
    </font>
    <font>
      <sz val="11"/>
      <name val="DevLys 010"/>
    </font>
    <font>
      <b/>
      <sz val="11"/>
      <name val="DevLys 010"/>
    </font>
    <font>
      <sz val="10"/>
      <name val="DevLys 010"/>
    </font>
    <font>
      <sz val="10"/>
      <name val="Calibri"/>
      <family val="2"/>
      <scheme val="minor"/>
    </font>
    <font>
      <b/>
      <sz val="10"/>
      <name val="Arial"/>
      <family val="2"/>
    </font>
    <font>
      <b/>
      <sz val="11"/>
      <color indexed="8"/>
      <name val="Calibri"/>
      <family val="2"/>
    </font>
    <font>
      <sz val="16"/>
      <name val="Calibri"/>
      <family val="2"/>
      <scheme val="minor"/>
    </font>
    <font>
      <b/>
      <u/>
      <sz val="16"/>
      <name val="Times New Roman"/>
      <family val="1"/>
    </font>
    <font>
      <b/>
      <sz val="10"/>
      <name val="DevLys 010"/>
    </font>
    <font>
      <sz val="9"/>
      <name val="Calibri"/>
      <family val="2"/>
      <scheme val="minor"/>
    </font>
    <font>
      <sz val="12"/>
      <name val="Times New Roman"/>
      <family val="1"/>
    </font>
    <font>
      <sz val="11"/>
      <color theme="1"/>
      <name val="Times New Roman"/>
      <family val="1"/>
    </font>
    <font>
      <sz val="12"/>
      <color rgb="FF0000CC"/>
      <name val="Calibri"/>
      <family val="2"/>
      <scheme val="minor"/>
    </font>
    <font>
      <b/>
      <sz val="10"/>
      <color rgb="FFFF0000"/>
      <name val="Times New Roman"/>
      <family val="1"/>
    </font>
    <font>
      <b/>
      <sz val="10"/>
      <color rgb="FFC00000"/>
      <name val="Times New Roman"/>
      <family val="1"/>
    </font>
    <font>
      <b/>
      <sz val="12"/>
      <name val="Calibri"/>
      <family val="2"/>
      <scheme val="minor"/>
    </font>
    <font>
      <sz val="12"/>
      <name val="Calibri"/>
      <family val="2"/>
      <scheme val="minor"/>
    </font>
    <font>
      <b/>
      <sz val="14"/>
      <color rgb="FFFF0000"/>
      <name val="Calibri"/>
      <family val="2"/>
      <scheme val="minor"/>
    </font>
    <font>
      <b/>
      <i/>
      <sz val="14"/>
      <name val="Times New Roman"/>
      <family val="1"/>
    </font>
    <font>
      <b/>
      <sz val="8"/>
      <name val="Calibri"/>
      <family val="2"/>
      <scheme val="minor"/>
    </font>
    <font>
      <b/>
      <u/>
      <sz val="12"/>
      <color theme="1"/>
      <name val="Times New Roman"/>
      <family val="1"/>
    </font>
    <font>
      <b/>
      <u/>
      <sz val="18"/>
      <name val="DevLys 010"/>
    </font>
    <font>
      <sz val="14"/>
      <name val="Times New Roman"/>
      <family val="1"/>
    </font>
    <font>
      <b/>
      <sz val="9"/>
      <name val="Times New Roman"/>
      <family val="1"/>
    </font>
    <font>
      <b/>
      <sz val="18"/>
      <color rgb="FFFF0000"/>
      <name val="DevLys 010"/>
    </font>
    <font>
      <b/>
      <u/>
      <sz val="18"/>
      <color rgb="FF0000CC"/>
      <name val="DevLys 010"/>
    </font>
    <font>
      <b/>
      <sz val="10"/>
      <color rgb="FFFF0000"/>
      <name val="Arial"/>
      <family val="2"/>
    </font>
    <font>
      <b/>
      <i/>
      <sz val="10"/>
      <name val="Times New Roman"/>
      <family val="1"/>
    </font>
    <font>
      <sz val="16"/>
      <color theme="1"/>
      <name val="Calibri"/>
      <family val="2"/>
      <scheme val="minor"/>
    </font>
    <font>
      <b/>
      <i/>
      <sz val="14"/>
      <name val="DevLys 010"/>
    </font>
    <font>
      <sz val="9"/>
      <name val="Times New Roman"/>
      <family val="1"/>
    </font>
    <font>
      <sz val="8"/>
      <name val="Times New Roman"/>
      <family val="1"/>
    </font>
    <font>
      <sz val="11"/>
      <color rgb="FF0000FF"/>
      <name val="Calibri"/>
      <family val="2"/>
      <scheme val="minor"/>
    </font>
    <font>
      <b/>
      <sz val="11"/>
      <color rgb="FF0000FF"/>
      <name val="Times New Roman"/>
      <family val="1"/>
    </font>
    <font>
      <sz val="11"/>
      <color rgb="FF0000FF"/>
      <name val="Times New Roman"/>
      <family val="1"/>
    </font>
    <font>
      <b/>
      <i/>
      <u/>
      <sz val="12"/>
      <name val="Times New Roman"/>
      <family val="1"/>
    </font>
    <font>
      <b/>
      <sz val="9"/>
      <name val="Calibri"/>
      <family val="2"/>
      <scheme val="minor"/>
    </font>
    <font>
      <sz val="12"/>
      <name val="Arjun Wide"/>
    </font>
    <font>
      <sz val="9"/>
      <name val="Arial"/>
      <family val="2"/>
    </font>
    <font>
      <sz val="11"/>
      <name val="Arial"/>
      <family val="2"/>
    </font>
    <font>
      <b/>
      <sz val="11"/>
      <name val="Arial"/>
      <family val="2"/>
    </font>
    <font>
      <sz val="11"/>
      <color rgb="FF000099"/>
      <name val="Calibri"/>
      <family val="2"/>
      <scheme val="minor"/>
    </font>
    <font>
      <sz val="12"/>
      <color rgb="FF000099"/>
      <name val="Calibri"/>
      <family val="2"/>
    </font>
    <font>
      <sz val="10"/>
      <name val="Arjun Wide"/>
    </font>
    <font>
      <sz val="14"/>
      <name val="Arial"/>
      <family val="2"/>
    </font>
    <font>
      <b/>
      <sz val="16"/>
      <color rgb="FF0000CC"/>
      <name val="Arjun Wide"/>
    </font>
    <font>
      <sz val="12"/>
      <color rgb="FF0000CC"/>
      <name val="Arjun Wide"/>
    </font>
    <font>
      <b/>
      <sz val="10"/>
      <color indexed="12"/>
      <name val="Times New Roman"/>
      <family val="1"/>
    </font>
    <font>
      <sz val="14"/>
      <color indexed="12"/>
      <name val="DevLys 010"/>
    </font>
    <font>
      <sz val="10"/>
      <color indexed="12"/>
      <name val="Times New Roman"/>
      <family val="1"/>
    </font>
    <font>
      <sz val="10"/>
      <color indexed="8"/>
      <name val="Times New Roman"/>
      <family val="1"/>
    </font>
    <font>
      <b/>
      <sz val="11"/>
      <color indexed="8"/>
      <name val="Times New Roman"/>
      <family val="1"/>
    </font>
    <font>
      <sz val="11"/>
      <color rgb="FF000099"/>
      <name val="Times New Roman"/>
      <family val="1"/>
    </font>
    <font>
      <b/>
      <sz val="10"/>
      <color rgb="FF000099"/>
      <name val="Times New Roman"/>
      <family val="1"/>
    </font>
    <font>
      <b/>
      <sz val="11"/>
      <color rgb="FF000099"/>
      <name val="Times New Roman"/>
      <family val="1"/>
    </font>
    <font>
      <sz val="10"/>
      <color rgb="FF0000CC"/>
      <name val="Arjun Wide"/>
    </font>
    <font>
      <sz val="13"/>
      <color rgb="FF0000CC"/>
      <name val="Arjun Wide"/>
    </font>
    <font>
      <sz val="10"/>
      <name val="Kruti Dev 010"/>
    </font>
    <font>
      <b/>
      <sz val="12"/>
      <name val="Kruti Dev 010"/>
    </font>
    <font>
      <sz val="14"/>
      <name val="Kruti Dev 010"/>
    </font>
    <font>
      <sz val="12"/>
      <color theme="1"/>
      <name val="Times New Roman"/>
      <family val="1"/>
    </font>
    <font>
      <b/>
      <sz val="12"/>
      <color theme="1"/>
      <name val="Times New Roman"/>
      <family val="1"/>
    </font>
    <font>
      <sz val="10"/>
      <name val="Arial"/>
      <family val="2"/>
    </font>
    <font>
      <b/>
      <sz val="12"/>
      <color theme="1"/>
      <name val="Calibri"/>
      <family val="2"/>
      <scheme val="minor"/>
    </font>
    <font>
      <b/>
      <i/>
      <sz val="14"/>
      <color theme="1"/>
      <name val="Calibri"/>
      <family val="2"/>
      <scheme val="minor"/>
    </font>
    <font>
      <sz val="15"/>
      <name val="DevLys 010"/>
    </font>
    <font>
      <sz val="18"/>
      <name val="DevLys 010"/>
    </font>
    <font>
      <sz val="15"/>
      <name val="Cambria"/>
      <family val="1"/>
      <scheme val="major"/>
    </font>
    <font>
      <sz val="20"/>
      <name val="DevLys 010"/>
    </font>
    <font>
      <sz val="20"/>
      <name val="Cambria"/>
      <family val="1"/>
      <scheme val="major"/>
    </font>
    <font>
      <sz val="10"/>
      <name val="Cambria"/>
      <family val="1"/>
      <scheme val="major"/>
    </font>
    <font>
      <sz val="16"/>
      <name val="Kruti Dev 010"/>
    </font>
    <font>
      <sz val="13"/>
      <name val="Kruti Dev 010"/>
    </font>
    <font>
      <u/>
      <sz val="14"/>
      <name val="Kruti Dev 010"/>
    </font>
    <font>
      <sz val="8"/>
      <name val="Arial"/>
      <family val="2"/>
    </font>
    <font>
      <b/>
      <sz val="16"/>
      <color theme="1"/>
      <name val="DevLys 010"/>
    </font>
    <font>
      <b/>
      <sz val="16"/>
      <color rgb="FF0000CC"/>
      <name val="Calibri"/>
      <family val="2"/>
      <scheme val="minor"/>
    </font>
    <font>
      <b/>
      <i/>
      <sz val="14"/>
      <name val="Cambria"/>
      <family val="1"/>
      <scheme val="major"/>
    </font>
    <font>
      <b/>
      <sz val="14"/>
      <name val="Calibri"/>
      <family val="2"/>
      <scheme val="minor"/>
    </font>
    <font>
      <b/>
      <sz val="12"/>
      <color rgb="FFFF0000"/>
      <name val="Calibri"/>
      <family val="2"/>
      <scheme val="minor"/>
    </font>
    <font>
      <b/>
      <sz val="12"/>
      <color rgb="FF0000CC"/>
      <name val="Calibri"/>
      <family val="2"/>
      <scheme val="minor"/>
    </font>
    <font>
      <b/>
      <sz val="13"/>
      <color rgb="FF0000CC"/>
      <name val="DevLys 010"/>
    </font>
    <font>
      <b/>
      <sz val="13"/>
      <color rgb="FF0000CC"/>
      <name val="Times New Roman"/>
      <family val="1"/>
    </font>
    <font>
      <b/>
      <sz val="13"/>
      <color rgb="FFFF0000"/>
      <name val="Times New Roman"/>
      <family val="1"/>
    </font>
    <font>
      <b/>
      <sz val="16"/>
      <color theme="1"/>
      <name val="Calibri"/>
      <family val="2"/>
      <scheme val="minor"/>
    </font>
    <font>
      <b/>
      <sz val="14"/>
      <color rgb="FF0000CC"/>
      <name val="Calibri"/>
      <family val="2"/>
      <scheme val="minor"/>
    </font>
    <font>
      <b/>
      <sz val="11"/>
      <color rgb="FF0000CC"/>
      <name val="Calibri"/>
      <family val="2"/>
      <scheme val="minor"/>
    </font>
    <font>
      <b/>
      <sz val="13"/>
      <color theme="9" tint="-0.499984740745262"/>
      <name val="Times New Roman"/>
      <family val="1"/>
    </font>
    <font>
      <b/>
      <sz val="13"/>
      <color theme="9" tint="-0.499984740745262"/>
      <name val="Calibri"/>
      <family val="2"/>
      <scheme val="minor"/>
    </font>
    <font>
      <sz val="13"/>
      <name val="Calibri"/>
      <family val="2"/>
      <scheme val="minor"/>
    </font>
    <font>
      <b/>
      <sz val="13"/>
      <name val="Calibri"/>
      <family val="2"/>
      <scheme val="minor"/>
    </font>
    <font>
      <b/>
      <i/>
      <sz val="13"/>
      <name val="Cambria"/>
      <family val="1"/>
      <scheme val="major"/>
    </font>
    <font>
      <b/>
      <sz val="10"/>
      <name val="Cambria"/>
      <family val="1"/>
      <scheme val="major"/>
    </font>
    <font>
      <b/>
      <sz val="10"/>
      <name val="Calibri"/>
      <family val="2"/>
      <scheme val="minor"/>
    </font>
    <font>
      <b/>
      <sz val="8"/>
      <name val="Times New Roman"/>
      <family val="1"/>
    </font>
    <font>
      <sz val="11"/>
      <name val="Cambria"/>
      <family val="1"/>
      <scheme val="major"/>
    </font>
    <font>
      <b/>
      <sz val="11"/>
      <color rgb="FFFF0000"/>
      <name val="Calibri"/>
      <family val="2"/>
      <scheme val="minor"/>
    </font>
    <font>
      <b/>
      <sz val="11"/>
      <color rgb="FFFF0000"/>
      <name val="Cambria"/>
      <family val="1"/>
      <scheme val="major"/>
    </font>
    <font>
      <b/>
      <sz val="10"/>
      <color rgb="FF0000CC"/>
      <name val="Calibri"/>
      <family val="2"/>
      <scheme val="minor"/>
    </font>
    <font>
      <b/>
      <sz val="10"/>
      <color theme="1"/>
      <name val="Calibri"/>
      <family val="2"/>
      <scheme val="minor"/>
    </font>
    <font>
      <b/>
      <sz val="13"/>
      <name val="DevLys 010"/>
    </font>
    <font>
      <sz val="13"/>
      <name val="DevLys 010"/>
    </font>
    <font>
      <b/>
      <sz val="11"/>
      <color rgb="FFC00000"/>
      <name val="Calibri"/>
      <family val="2"/>
      <scheme val="minor"/>
    </font>
    <font>
      <b/>
      <sz val="11"/>
      <color theme="9" tint="-0.499984740745262"/>
      <name val="Calibri"/>
      <family val="2"/>
      <scheme val="minor"/>
    </font>
    <font>
      <b/>
      <u/>
      <sz val="12"/>
      <color theme="1"/>
      <name val="Cambria"/>
      <family val="1"/>
      <scheme val="major"/>
    </font>
    <font>
      <b/>
      <sz val="11"/>
      <color rgb="FFC00000"/>
      <name val="Times New Roman"/>
      <family val="1"/>
    </font>
    <font>
      <sz val="9"/>
      <name val="Cambria"/>
      <family val="1"/>
      <scheme val="major"/>
    </font>
    <font>
      <sz val="9"/>
      <color rgb="FF0000FF"/>
      <name val="Times New Roman"/>
      <family val="1"/>
    </font>
    <font>
      <b/>
      <sz val="11"/>
      <color rgb="FF0000CC"/>
      <name val="DevLys 010"/>
    </font>
    <font>
      <b/>
      <sz val="10"/>
      <color rgb="FF0000CC"/>
      <name val="DevLys 010"/>
    </font>
    <font>
      <sz val="12"/>
      <color theme="1"/>
      <name val="DevLys 010"/>
    </font>
    <font>
      <b/>
      <sz val="12"/>
      <color rgb="FF0000FF"/>
      <name val="DevLys 010"/>
    </font>
    <font>
      <b/>
      <sz val="12"/>
      <color rgb="FF0000FF"/>
      <name val="Calibri"/>
      <family val="2"/>
      <scheme val="minor"/>
    </font>
    <font>
      <b/>
      <sz val="9"/>
      <color rgb="FF0000CC"/>
      <name val="DevLys 010"/>
    </font>
    <font>
      <b/>
      <sz val="16"/>
      <color rgb="FF0000CC"/>
      <name val="Cambria"/>
      <family val="1"/>
      <scheme val="major"/>
    </font>
    <font>
      <b/>
      <u/>
      <sz val="12"/>
      <name val="Cambria"/>
      <family val="1"/>
      <scheme val="major"/>
    </font>
    <font>
      <b/>
      <u/>
      <sz val="14"/>
      <color theme="1"/>
      <name val="Cambria"/>
      <family val="1"/>
      <scheme val="major"/>
    </font>
    <font>
      <b/>
      <sz val="11"/>
      <color rgb="FF0000FF"/>
      <name val="Cambria"/>
      <family val="1"/>
      <scheme val="major"/>
    </font>
    <font>
      <b/>
      <sz val="11"/>
      <color theme="1"/>
      <name val="Calibri"/>
      <family val="2"/>
      <scheme val="minor"/>
    </font>
    <font>
      <b/>
      <u/>
      <sz val="18"/>
      <color theme="1"/>
      <name val="DevLys 010"/>
    </font>
    <font>
      <b/>
      <u/>
      <sz val="14"/>
      <name val="Calibri"/>
      <family val="2"/>
      <scheme val="minor"/>
    </font>
    <font>
      <b/>
      <u/>
      <sz val="12"/>
      <name val="Times New Roman"/>
      <family val="1"/>
    </font>
    <font>
      <u/>
      <sz val="20"/>
      <name val="DevLys 010"/>
    </font>
    <font>
      <sz val="24"/>
      <name val="DevLys 010"/>
    </font>
    <font>
      <sz val="14"/>
      <name val="DevLys 010 "/>
    </font>
    <font>
      <sz val="10"/>
      <name val="DevLys 010 "/>
    </font>
    <font>
      <sz val="12"/>
      <name val="Arial"/>
      <family val="2"/>
    </font>
    <font>
      <sz val="9.5"/>
      <name val="Arial"/>
      <family val="2"/>
    </font>
    <font>
      <b/>
      <sz val="12"/>
      <name val="Arial"/>
      <family val="2"/>
    </font>
    <font>
      <b/>
      <sz val="12"/>
      <color rgb="FF0000CC"/>
      <name val="Cambria"/>
      <family val="1"/>
      <scheme val="major"/>
    </font>
    <font>
      <b/>
      <sz val="11"/>
      <color rgb="FF002060"/>
      <name val="DevLys 010"/>
    </font>
    <font>
      <sz val="13"/>
      <color theme="1"/>
      <name val="DevLys 010"/>
    </font>
    <font>
      <b/>
      <sz val="11"/>
      <color rgb="FF002060"/>
      <name val="Calibri"/>
      <family val="2"/>
      <scheme val="minor"/>
    </font>
    <font>
      <b/>
      <sz val="12"/>
      <color rgb="FF002060"/>
      <name val="DevLys 010"/>
    </font>
    <font>
      <b/>
      <sz val="13"/>
      <name val="Cambria"/>
      <family val="1"/>
      <scheme val="major"/>
    </font>
    <font>
      <sz val="9.5"/>
      <name val="Calibri"/>
      <family val="2"/>
      <scheme val="minor"/>
    </font>
    <font>
      <b/>
      <sz val="12"/>
      <color rgb="FFC00000"/>
      <name val="Calibri"/>
      <family val="2"/>
      <scheme val="minor"/>
    </font>
    <font>
      <sz val="8.5"/>
      <name val="Calibri"/>
      <family val="2"/>
      <scheme val="minor"/>
    </font>
    <font>
      <b/>
      <sz val="10"/>
      <color rgb="FFC00000"/>
      <name val="Calibri"/>
      <family val="2"/>
      <scheme val="minor"/>
    </font>
    <font>
      <b/>
      <sz val="10"/>
      <color rgb="FF002060"/>
      <name val="DevLys 010"/>
    </font>
    <font>
      <b/>
      <sz val="10"/>
      <color rgb="FF002060"/>
      <name val="Cambria"/>
      <family val="1"/>
      <scheme val="major"/>
    </font>
    <font>
      <b/>
      <sz val="10"/>
      <color rgb="FF002060"/>
      <name val="Arial"/>
      <family val="2"/>
    </font>
    <font>
      <sz val="13"/>
      <name val="Arial"/>
      <family val="2"/>
    </font>
    <font>
      <u/>
      <sz val="14"/>
      <name val="DevLys 010"/>
    </font>
    <font>
      <b/>
      <i/>
      <sz val="11"/>
      <color theme="1"/>
      <name val="Calibri"/>
      <family val="2"/>
      <scheme val="minor"/>
    </font>
    <font>
      <b/>
      <sz val="10"/>
      <name val="Kruti Dev 010"/>
    </font>
    <font>
      <b/>
      <sz val="9"/>
      <color theme="1"/>
      <name val="Calibri"/>
      <family val="2"/>
      <scheme val="minor"/>
    </font>
    <font>
      <b/>
      <sz val="12"/>
      <color theme="1"/>
      <name val="Cambria"/>
      <family val="1"/>
      <scheme val="major"/>
    </font>
    <font>
      <b/>
      <sz val="12"/>
      <name val="Cambria"/>
      <family val="1"/>
      <scheme val="major"/>
    </font>
    <font>
      <b/>
      <i/>
      <sz val="12"/>
      <name val="Calibri"/>
      <family val="2"/>
      <scheme val="minor"/>
    </font>
    <font>
      <b/>
      <sz val="22"/>
      <name val="Kruti Dev 010"/>
    </font>
    <font>
      <b/>
      <i/>
      <u/>
      <sz val="24"/>
      <name val="Calibri"/>
    </font>
    <font>
      <b/>
      <sz val="14"/>
      <color rgb="FF7030A0"/>
      <name val="Calibri"/>
      <family val="2"/>
      <scheme val="minor"/>
    </font>
    <font>
      <b/>
      <i/>
      <sz val="13"/>
      <color rgb="FF0000FF"/>
      <name val="Calibri"/>
      <family val="2"/>
      <scheme val="minor"/>
    </font>
    <font>
      <b/>
      <sz val="12"/>
      <color rgb="FFCC0099"/>
      <name val="Calibri"/>
      <family val="2"/>
      <scheme val="minor"/>
    </font>
    <font>
      <b/>
      <sz val="13"/>
      <color rgb="FF0000FF"/>
      <name val="Calibri"/>
      <family val="2"/>
      <scheme val="minor"/>
    </font>
    <font>
      <b/>
      <u/>
      <sz val="12"/>
      <color rgb="FFCC0099"/>
      <name val="Calibri"/>
      <family val="2"/>
      <scheme val="minor"/>
    </font>
    <font>
      <b/>
      <u/>
      <sz val="12"/>
      <color rgb="FF00B050"/>
      <name val="Calibri"/>
      <family val="2"/>
      <scheme val="minor"/>
    </font>
    <font>
      <b/>
      <u/>
      <sz val="13"/>
      <color rgb="FF00B050"/>
      <name val="Calibri"/>
      <family val="2"/>
      <scheme val="minor"/>
    </font>
    <font>
      <b/>
      <sz val="16"/>
      <color rgb="FFD60093"/>
      <name val="Kruti Dev 010"/>
    </font>
    <font>
      <b/>
      <sz val="14"/>
      <color theme="1"/>
      <name val="Cambria"/>
      <family val="1"/>
      <scheme val="major"/>
    </font>
    <font>
      <b/>
      <sz val="14"/>
      <color rgb="FFFFFF00"/>
      <name val="Calibri"/>
      <family val="2"/>
      <scheme val="minor"/>
    </font>
    <font>
      <b/>
      <sz val="14"/>
      <color rgb="FFFFFF00"/>
      <name val="Calibri"/>
      <family val="2"/>
    </font>
    <font>
      <sz val="12"/>
      <name val="Kruti Dev 010"/>
    </font>
    <font>
      <b/>
      <sz val="15"/>
      <name val="DevLys 010"/>
    </font>
    <font>
      <u/>
      <sz val="12"/>
      <name val="Arial"/>
      <family val="2"/>
    </font>
    <font>
      <u/>
      <sz val="12"/>
      <name val="Kruti Dev 010"/>
    </font>
    <font>
      <sz val="10"/>
      <name val="Arial"/>
    </font>
    <font>
      <b/>
      <sz val="11"/>
      <color rgb="FF0000FF"/>
      <name val="DevLys 010"/>
    </font>
    <font>
      <sz val="14"/>
      <color indexed="8"/>
      <name val="DevLys 010"/>
    </font>
    <font>
      <sz val="12"/>
      <color indexed="8"/>
      <name val="Arial"/>
      <family val="2"/>
    </font>
    <font>
      <sz val="14"/>
      <color indexed="8"/>
      <name val="Arial"/>
      <family val="2"/>
    </font>
    <font>
      <sz val="16"/>
      <color indexed="8"/>
      <name val="DevLys 010"/>
    </font>
    <font>
      <b/>
      <sz val="14"/>
      <color indexed="8"/>
      <name val="DevLys 010"/>
    </font>
    <font>
      <b/>
      <u/>
      <sz val="11"/>
      <color indexed="8"/>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indexed="9"/>
        <bgColor indexed="64"/>
      </patternFill>
    </fill>
    <fill>
      <patternFill patternType="solid">
        <fgColor indexed="4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1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indexed="6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FFFF"/>
        <bgColor indexed="64"/>
      </patternFill>
    </fill>
  </fills>
  <borders count="73">
    <border>
      <left/>
      <right/>
      <top/>
      <bottom/>
      <diagonal/>
    </border>
    <border>
      <left/>
      <right/>
      <top style="thick">
        <color rgb="FF002060"/>
      </top>
      <bottom style="thin">
        <color indexed="64"/>
      </bottom>
      <diagonal/>
    </border>
    <border>
      <left/>
      <right/>
      <top style="thin">
        <color indexed="64"/>
      </top>
      <bottom style="thin">
        <color indexed="64"/>
      </bottom>
      <diagonal/>
    </border>
    <border>
      <left/>
      <right style="thick">
        <color rgb="FF002060"/>
      </right>
      <top style="thin">
        <color indexed="64"/>
      </top>
      <bottom style="thin">
        <color indexed="64"/>
      </bottom>
      <diagonal/>
    </border>
    <border>
      <left style="thick">
        <color rgb="FF002060"/>
      </left>
      <right style="thin">
        <color indexed="64"/>
      </right>
      <top style="thick">
        <color rgb="FF002060"/>
      </top>
      <bottom style="thin">
        <color indexed="64"/>
      </bottom>
      <diagonal/>
    </border>
    <border>
      <left style="thin">
        <color indexed="64"/>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002060"/>
      </right>
      <top style="thin">
        <color indexed="64"/>
      </top>
      <bottom style="thin">
        <color indexed="64"/>
      </bottom>
      <diagonal/>
    </border>
    <border>
      <left style="thick">
        <color rgb="FF002060"/>
      </left>
      <right style="thin">
        <color indexed="64"/>
      </right>
      <top style="thin">
        <color indexed="64"/>
      </top>
      <bottom style="thick">
        <color rgb="FF002060"/>
      </bottom>
      <diagonal/>
    </border>
    <border>
      <left style="thin">
        <color indexed="64"/>
      </left>
      <right style="thin">
        <color indexed="64"/>
      </right>
      <top style="thin">
        <color indexed="64"/>
      </top>
      <bottom style="thick">
        <color rgb="FF002060"/>
      </bottom>
      <diagonal/>
    </border>
    <border>
      <left style="thin">
        <color indexed="64"/>
      </left>
      <right style="thick">
        <color rgb="FF002060"/>
      </right>
      <top style="thin">
        <color indexed="64"/>
      </top>
      <bottom style="thick">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n">
        <color indexed="64"/>
      </right>
      <top style="thick">
        <color rgb="FF002060"/>
      </top>
      <bottom/>
      <diagonal/>
    </border>
    <border>
      <left style="thin">
        <color indexed="64"/>
      </left>
      <right style="thin">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12"/>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12" fillId="0" borderId="0">
      <protection locked="0"/>
    </xf>
  </cellStyleXfs>
  <cellXfs count="1089">
    <xf numFmtId="0" fontId="0" fillId="0" borderId="0" xfId="0"/>
    <xf numFmtId="0" fontId="5" fillId="2" borderId="8" xfId="0" applyFont="1" applyFill="1" applyBorder="1" applyAlignment="1">
      <alignment horizontal="center" vertical="center" wrapText="1"/>
    </xf>
    <xf numFmtId="0" fontId="2" fillId="2" borderId="0" xfId="0" applyFont="1" applyFill="1" applyAlignment="1">
      <alignment vertical="center"/>
    </xf>
    <xf numFmtId="0" fontId="6" fillId="3" borderId="7" xfId="0" applyFont="1" applyFill="1" applyBorder="1" applyAlignment="1">
      <alignment vertical="center"/>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4" fillId="5" borderId="8" xfId="0" applyFont="1" applyFill="1" applyBorder="1" applyAlignment="1">
      <alignment horizontal="left" vertical="center"/>
    </xf>
    <xf numFmtId="0" fontId="12" fillId="5" borderId="7" xfId="0" applyFont="1" applyFill="1" applyBorder="1" applyAlignment="1">
      <alignment horizontal="center" vertical="center" shrinkToFit="1"/>
    </xf>
    <xf numFmtId="0" fontId="12" fillId="5" borderId="7" xfId="0" applyFont="1" applyFill="1" applyBorder="1" applyAlignment="1">
      <alignment horizontal="center"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0" fontId="14" fillId="3" borderId="8" xfId="0" applyFont="1" applyFill="1" applyBorder="1" applyAlignment="1">
      <alignment horizontal="left" vertical="center"/>
    </xf>
    <xf numFmtId="0" fontId="4" fillId="3" borderId="11" xfId="0" applyFont="1" applyFill="1" applyBorder="1" applyAlignment="1">
      <alignment horizontal="center" vertical="center" wrapText="1"/>
    </xf>
    <xf numFmtId="0" fontId="0" fillId="5" borderId="0" xfId="0" applyFill="1" applyAlignment="1">
      <alignment vertical="center"/>
    </xf>
    <xf numFmtId="0" fontId="0" fillId="5" borderId="0" xfId="0" applyFill="1" applyBorder="1" applyAlignment="1">
      <alignment vertical="center"/>
    </xf>
    <xf numFmtId="0" fontId="2" fillId="5" borderId="0" xfId="0" applyFont="1" applyFill="1" applyAlignment="1">
      <alignment vertical="center"/>
    </xf>
    <xf numFmtId="0" fontId="8" fillId="5" borderId="0" xfId="0" applyFont="1" applyFill="1" applyAlignment="1">
      <alignment vertical="center"/>
    </xf>
    <xf numFmtId="0" fontId="4" fillId="3" borderId="10"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1" fillId="5" borderId="8" xfId="0" applyFont="1" applyFill="1" applyBorder="1" applyAlignment="1">
      <alignment horizontal="center" vertical="center" wrapText="1"/>
    </xf>
    <xf numFmtId="0" fontId="13" fillId="5" borderId="0" xfId="0" applyFont="1" applyFill="1" applyAlignment="1">
      <alignment horizontal="left" vertical="center"/>
    </xf>
    <xf numFmtId="0" fontId="23" fillId="5" borderId="0" xfId="0" applyFont="1" applyFill="1" applyAlignment="1">
      <alignment vertical="center"/>
    </xf>
    <xf numFmtId="0" fontId="25" fillId="2" borderId="8" xfId="0" applyFont="1" applyFill="1" applyBorder="1" applyAlignment="1">
      <alignment horizontal="left" vertical="center" shrinkToFit="1"/>
    </xf>
    <xf numFmtId="0" fontId="1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4" borderId="0" xfId="0" applyFill="1"/>
    <xf numFmtId="0" fontId="2" fillId="4" borderId="0" xfId="0" applyFont="1" applyFill="1" applyAlignment="1">
      <alignment vertical="center"/>
    </xf>
    <xf numFmtId="0" fontId="8" fillId="4" borderId="0" xfId="0" applyFont="1" applyFill="1" applyAlignment="1">
      <alignment vertical="center"/>
    </xf>
    <xf numFmtId="0" fontId="2" fillId="4" borderId="0" xfId="0" applyFont="1" applyFill="1" applyAlignment="1">
      <alignment horizontal="left" vertical="center"/>
    </xf>
    <xf numFmtId="0" fontId="0" fillId="2" borderId="0" xfId="0" applyFill="1"/>
    <xf numFmtId="0" fontId="26" fillId="6" borderId="20" xfId="0" applyFont="1" applyFill="1" applyBorder="1" applyAlignment="1">
      <alignment horizontal="center" vertical="center"/>
    </xf>
    <xf numFmtId="0" fontId="26" fillId="6" borderId="20" xfId="0" applyFont="1" applyFill="1" applyBorder="1" applyAlignment="1">
      <alignment horizontal="center" vertical="center" wrapText="1"/>
    </xf>
    <xf numFmtId="0" fontId="20" fillId="7" borderId="20" xfId="0" applyFont="1" applyFill="1" applyBorder="1" applyAlignment="1">
      <alignment vertical="center"/>
    </xf>
    <xf numFmtId="0" fontId="33" fillId="7" borderId="20" xfId="0" applyFont="1" applyFill="1" applyBorder="1" applyAlignment="1">
      <alignment vertical="center"/>
    </xf>
    <xf numFmtId="0" fontId="33" fillId="6" borderId="20" xfId="0" applyFont="1" applyFill="1" applyBorder="1" applyAlignment="1">
      <alignment horizontal="left" vertical="center"/>
    </xf>
    <xf numFmtId="0" fontId="34" fillId="6" borderId="20" xfId="0" applyFont="1" applyFill="1" applyBorder="1" applyAlignment="1">
      <alignment horizontal="right" vertical="center" indent="2"/>
    </xf>
    <xf numFmtId="0" fontId="20" fillId="7" borderId="20" xfId="0" applyFont="1" applyFill="1" applyBorder="1" applyAlignment="1">
      <alignment horizontal="left" vertical="center"/>
    </xf>
    <xf numFmtId="0" fontId="20" fillId="7" borderId="20" xfId="0" applyFont="1" applyFill="1" applyBorder="1" applyAlignment="1">
      <alignment horizontal="right" vertical="center" indent="2"/>
    </xf>
    <xf numFmtId="0" fontId="33" fillId="6" borderId="20" xfId="0" applyFont="1" applyFill="1" applyBorder="1" applyAlignment="1">
      <alignment horizontal="left" vertical="center" indent="2"/>
    </xf>
    <xf numFmtId="0" fontId="26" fillId="7" borderId="20" xfId="0" applyFont="1" applyFill="1" applyBorder="1" applyAlignment="1">
      <alignment horizontal="right" vertical="center" indent="2"/>
    </xf>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2" fillId="0" borderId="0" xfId="0" applyFont="1"/>
    <xf numFmtId="165" fontId="36" fillId="2" borderId="0" xfId="0" applyNumberFormat="1" applyFont="1" applyFill="1" applyAlignment="1">
      <alignment horizontal="center" shrinkToFit="1"/>
    </xf>
    <xf numFmtId="0" fontId="2" fillId="0" borderId="0" xfId="0" applyFont="1" applyFill="1"/>
    <xf numFmtId="0" fontId="2" fillId="0" borderId="0" xfId="0" applyFont="1" applyAlignment="1">
      <alignment horizontal="center"/>
    </xf>
    <xf numFmtId="0" fontId="29" fillId="2"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pplyAlignment="1">
      <alignment horizontal="right" vertical="center" indent="1"/>
    </xf>
    <xf numFmtId="0" fontId="3" fillId="2" borderId="21" xfId="0" applyFont="1" applyFill="1" applyBorder="1" applyAlignment="1">
      <alignment horizontal="center" vertical="center" wrapText="1"/>
    </xf>
    <xf numFmtId="0" fontId="2" fillId="0" borderId="8" xfId="0" applyFont="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3" fillId="2" borderId="18" xfId="0" applyFont="1" applyFill="1" applyBorder="1" applyAlignment="1">
      <alignment horizontal="center" vertical="center" wrapText="1"/>
    </xf>
    <xf numFmtId="0" fontId="40" fillId="0" borderId="8" xfId="0" applyFont="1" applyFill="1" applyBorder="1" applyAlignment="1">
      <alignment horizontal="center" vertical="center" textRotation="90"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wrapText="1" shrinkToFit="1"/>
    </xf>
    <xf numFmtId="166" fontId="5" fillId="0" borderId="8" xfId="0" applyNumberFormat="1" applyFont="1" applyFill="1" applyBorder="1" applyAlignment="1">
      <alignment horizontal="center" vertical="center" wrapText="1" shrinkToFit="1"/>
    </xf>
    <xf numFmtId="167"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wrapText="1" shrinkToFit="1"/>
    </xf>
    <xf numFmtId="168"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shrinkToFit="1"/>
    </xf>
    <xf numFmtId="0" fontId="28" fillId="0" borderId="8" xfId="0" applyFont="1" applyFill="1" applyBorder="1" applyAlignment="1">
      <alignment horizontal="center" vertical="center" wrapText="1" shrinkToFit="1"/>
    </xf>
    <xf numFmtId="0" fontId="5" fillId="0" borderId="8" xfId="0" applyFont="1" applyFill="1" applyBorder="1" applyAlignment="1">
      <alignment horizontal="center" vertical="center"/>
    </xf>
    <xf numFmtId="0" fontId="5" fillId="0" borderId="0" xfId="0" applyFont="1" applyFill="1"/>
    <xf numFmtId="14" fontId="5" fillId="0" borderId="8" xfId="0" applyNumberFormat="1" applyFont="1" applyFill="1" applyBorder="1" applyAlignment="1">
      <alignment horizontal="center" vertical="center"/>
    </xf>
    <xf numFmtId="0" fontId="28" fillId="0" borderId="8" xfId="0" applyFont="1" applyFill="1" applyBorder="1" applyAlignment="1">
      <alignment horizontal="center" vertical="center" shrinkToFit="1"/>
    </xf>
    <xf numFmtId="0" fontId="28" fillId="0" borderId="8" xfId="0" applyFont="1" applyFill="1" applyBorder="1" applyAlignment="1">
      <alignment horizontal="center" vertical="center"/>
    </xf>
    <xf numFmtId="1" fontId="28" fillId="0" borderId="8" xfId="0" applyNumberFormat="1" applyFont="1" applyFill="1" applyBorder="1" applyAlignment="1">
      <alignment horizontal="center" vertical="center" shrinkToFit="1"/>
    </xf>
    <xf numFmtId="1" fontId="2" fillId="0" borderId="8" xfId="0" applyNumberFormat="1" applyFont="1" applyBorder="1" applyAlignment="1">
      <alignment horizontal="center" vertical="center"/>
    </xf>
    <xf numFmtId="1" fontId="2" fillId="0" borderId="0" xfId="0" applyNumberFormat="1" applyFont="1"/>
    <xf numFmtId="0" fontId="0" fillId="0" borderId="8" xfId="0" applyBorder="1"/>
    <xf numFmtId="0" fontId="2" fillId="0" borderId="0" xfId="0" applyFont="1" applyAlignment="1">
      <alignment horizontal="center" shrinkToFit="1"/>
    </xf>
    <xf numFmtId="0" fontId="5" fillId="2" borderId="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2" fillId="2" borderId="0" xfId="0" applyFont="1" applyFill="1" applyProtection="1"/>
    <xf numFmtId="0" fontId="14" fillId="2" borderId="0" xfId="0" applyFont="1" applyFill="1" applyAlignment="1">
      <alignment horizontal="center"/>
    </xf>
    <xf numFmtId="0" fontId="14" fillId="2" borderId="0" xfId="0" applyFont="1" applyFill="1" applyAlignment="1">
      <alignment horizontal="center" vertical="top" wrapText="1"/>
    </xf>
    <xf numFmtId="0" fontId="11" fillId="0" borderId="8" xfId="0" applyFont="1" applyFill="1" applyBorder="1"/>
    <xf numFmtId="0" fontId="11" fillId="2" borderId="8" xfId="0" applyFont="1" applyFill="1" applyBorder="1" applyAlignment="1">
      <alignment vertical="center" shrinkToFit="1"/>
    </xf>
    <xf numFmtId="0" fontId="11" fillId="0" borderId="8" xfId="0" applyFont="1" applyFill="1" applyBorder="1" applyAlignment="1">
      <alignment horizontal="center"/>
    </xf>
    <xf numFmtId="0" fontId="11" fillId="2" borderId="8" xfId="0" quotePrefix="1" applyFont="1" applyFill="1" applyBorder="1" applyAlignment="1">
      <alignment vertical="center" shrinkToFit="1"/>
    </xf>
    <xf numFmtId="0" fontId="9" fillId="0" borderId="0" xfId="0" applyFont="1" applyAlignment="1">
      <alignment vertical="center"/>
    </xf>
    <xf numFmtId="0" fontId="41" fillId="0" borderId="0" xfId="0" applyFont="1" applyBorder="1" applyAlignment="1">
      <alignment vertical="center"/>
    </xf>
    <xf numFmtId="0" fontId="6" fillId="0" borderId="0" xfId="0" applyFont="1" applyAlignment="1">
      <alignment vertical="center"/>
    </xf>
    <xf numFmtId="0" fontId="6" fillId="0" borderId="0" xfId="0" applyFont="1"/>
    <xf numFmtId="0" fontId="42" fillId="0" borderId="0" xfId="0" applyFont="1" applyAlignment="1">
      <alignment horizontal="center"/>
    </xf>
    <xf numFmtId="0" fontId="43" fillId="2" borderId="0" xfId="0" applyFont="1" applyFill="1" applyProtection="1">
      <protection locked="0"/>
    </xf>
    <xf numFmtId="0" fontId="31" fillId="2" borderId="0" xfId="0" applyFont="1" applyFill="1" applyAlignment="1" applyProtection="1">
      <alignment horizontal="left" vertical="center"/>
      <protection locked="0"/>
    </xf>
    <xf numFmtId="0" fontId="31"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5"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0" fillId="0" borderId="8" xfId="0" applyBorder="1" applyAlignment="1">
      <alignment horizontal="center" vertical="center" shrinkToFit="1"/>
    </xf>
    <xf numFmtId="0" fontId="49" fillId="6" borderId="0" xfId="0" applyFont="1" applyFill="1" applyBorder="1" applyAlignment="1">
      <alignment horizontal="center" vertical="center" wrapText="1"/>
    </xf>
    <xf numFmtId="0" fontId="50" fillId="0" borderId="8" xfId="0" applyFont="1" applyBorder="1" applyAlignment="1">
      <alignment horizontal="center" vertical="center" shrinkToFit="1"/>
    </xf>
    <xf numFmtId="0" fontId="43" fillId="2" borderId="0" xfId="0" applyFont="1" applyFill="1"/>
    <xf numFmtId="0" fontId="26" fillId="2" borderId="0" xfId="0" applyFont="1" applyFill="1" applyAlignment="1">
      <alignment vertical="top" wrapText="1"/>
    </xf>
    <xf numFmtId="0" fontId="24" fillId="2" borderId="3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33" fillId="2" borderId="29" xfId="0" applyFont="1" applyFill="1" applyBorder="1" applyAlignment="1">
      <alignment horizontal="centerContinuous" vertical="center" wrapText="1"/>
    </xf>
    <xf numFmtId="0" fontId="34" fillId="2" borderId="32" xfId="0" applyFont="1" applyFill="1" applyBorder="1" applyAlignment="1">
      <alignment horizontal="centerContinuous" vertical="center" wrapText="1"/>
    </xf>
    <xf numFmtId="0" fontId="43" fillId="2" borderId="0" xfId="0" applyFont="1" applyFill="1" applyAlignment="1" applyProtection="1">
      <alignment vertical="center"/>
    </xf>
    <xf numFmtId="0" fontId="43" fillId="2" borderId="0" xfId="0" applyFont="1" applyFill="1" applyAlignment="1" applyProtection="1">
      <alignment horizontal="center" vertical="center"/>
    </xf>
    <xf numFmtId="165" fontId="52" fillId="2" borderId="0" xfId="0" applyNumberFormat="1" applyFont="1" applyFill="1" applyAlignment="1" applyProtection="1">
      <alignment horizontal="center" vertical="center" shrinkToFi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34" fillId="2" borderId="0" xfId="0" applyFont="1" applyFill="1" applyAlignment="1" applyProtection="1">
      <alignment horizont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164" fontId="32" fillId="2" borderId="8" xfId="0" applyNumberFormat="1" applyFont="1" applyFill="1" applyBorder="1" applyAlignment="1" applyProtection="1">
      <alignment horizontal="center" vertical="center" shrinkToFit="1"/>
    </xf>
    <xf numFmtId="0" fontId="32" fillId="2" borderId="8" xfId="0" applyFont="1" applyFill="1" applyBorder="1" applyAlignment="1" applyProtection="1">
      <alignment horizontal="center" vertical="center" shrinkToFit="1"/>
    </xf>
    <xf numFmtId="1" fontId="32" fillId="8" borderId="2" xfId="0" applyNumberFormat="1" applyFont="1" applyFill="1" applyBorder="1" applyAlignment="1" applyProtection="1">
      <alignment horizontal="right" vertical="center" shrinkToFit="1"/>
    </xf>
    <xf numFmtId="0" fontId="32" fillId="8" borderId="14" xfId="0" applyFont="1" applyFill="1" applyBorder="1" applyAlignment="1" applyProtection="1">
      <alignment horizontal="right" vertical="center" indent="1"/>
    </xf>
    <xf numFmtId="0" fontId="25" fillId="8" borderId="8" xfId="0" applyFont="1" applyFill="1" applyBorder="1" applyAlignment="1" applyProtection="1">
      <alignment horizontal="center" vertical="center" shrinkToFit="1"/>
    </xf>
    <xf numFmtId="0" fontId="32" fillId="8" borderId="8" xfId="0" applyFont="1" applyFill="1" applyBorder="1" applyAlignment="1" applyProtection="1">
      <alignment horizontal="center" vertical="center" shrinkToFit="1"/>
    </xf>
    <xf numFmtId="0" fontId="25" fillId="8" borderId="8" xfId="0" applyFont="1" applyFill="1" applyBorder="1" applyAlignment="1" applyProtection="1">
      <alignment vertical="center" shrinkToFit="1"/>
    </xf>
    <xf numFmtId="0" fontId="32" fillId="8" borderId="8" xfId="0" applyFont="1" applyFill="1" applyBorder="1" applyAlignment="1" applyProtection="1">
      <alignment vertical="center" shrinkToFit="1"/>
    </xf>
    <xf numFmtId="0" fontId="25" fillId="2" borderId="8" xfId="0" applyFont="1" applyFill="1" applyBorder="1" applyAlignment="1" applyProtection="1">
      <alignment horizontal="right" vertical="center" shrinkToFit="1"/>
    </xf>
    <xf numFmtId="0" fontId="32" fillId="2" borderId="8" xfId="0" applyFont="1" applyFill="1" applyBorder="1" applyAlignment="1" applyProtection="1">
      <alignment vertical="center" shrinkToFit="1"/>
    </xf>
    <xf numFmtId="173" fontId="32" fillId="2" borderId="8" xfId="0" applyNumberFormat="1" applyFont="1" applyFill="1" applyBorder="1" applyAlignment="1" applyProtection="1">
      <alignment horizontal="center" vertical="center" shrinkToFit="1"/>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17"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6" fillId="2" borderId="0" xfId="0" applyFont="1" applyFill="1" applyAlignment="1">
      <alignment horizontal="center" vertical="center"/>
    </xf>
    <xf numFmtId="0" fontId="25" fillId="2" borderId="8" xfId="0" applyFont="1" applyFill="1" applyBorder="1" applyAlignment="1">
      <alignment horizontal="center" vertical="center" wrapText="1"/>
    </xf>
    <xf numFmtId="0" fontId="25" fillId="2" borderId="8" xfId="0" applyFont="1" applyFill="1" applyBorder="1" applyAlignment="1">
      <alignment horizontal="center" vertical="center"/>
    </xf>
    <xf numFmtId="0" fontId="32" fillId="2" borderId="8" xfId="0" applyFont="1" applyFill="1" applyBorder="1" applyAlignment="1">
      <alignment horizontal="center" vertical="center" shrinkToFit="1"/>
    </xf>
    <xf numFmtId="0" fontId="32" fillId="2" borderId="8" xfId="0" applyFont="1" applyFill="1" applyBorder="1" applyAlignment="1">
      <alignment horizontal="center" vertical="center"/>
    </xf>
    <xf numFmtId="0" fontId="17" fillId="2" borderId="0" xfId="0" applyFont="1" applyFill="1"/>
    <xf numFmtId="0" fontId="35" fillId="2" borderId="8" xfId="0" applyFont="1" applyFill="1" applyBorder="1" applyAlignment="1" applyProtection="1">
      <alignment horizontal="center" vertical="center" wrapText="1"/>
      <protection locked="0"/>
    </xf>
    <xf numFmtId="0" fontId="43" fillId="0" borderId="0" xfId="0" applyFont="1" applyFill="1"/>
    <xf numFmtId="0" fontId="54" fillId="0" borderId="0" xfId="0" applyFont="1" applyFill="1"/>
    <xf numFmtId="0" fontId="35" fillId="0" borderId="0" xfId="0" applyFont="1" applyFill="1"/>
    <xf numFmtId="0" fontId="0" fillId="2" borderId="0" xfId="0" applyFont="1" applyFill="1"/>
    <xf numFmtId="0" fontId="6" fillId="3" borderId="14" xfId="0" applyFont="1" applyFill="1" applyBorder="1" applyAlignment="1">
      <alignment horizontal="center" vertical="center"/>
    </xf>
    <xf numFmtId="0" fontId="6" fillId="3" borderId="8" xfId="0" applyFont="1" applyFill="1" applyBorder="1" applyAlignment="1">
      <alignment horizontal="center" vertical="center"/>
    </xf>
    <xf numFmtId="0" fontId="56" fillId="3" borderId="8" xfId="0" applyFont="1" applyFill="1" applyBorder="1" applyAlignment="1">
      <alignment vertical="center"/>
    </xf>
    <xf numFmtId="0" fontId="3"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3" borderId="8" xfId="0" applyFont="1" applyFill="1" applyBorder="1" applyAlignment="1">
      <alignment horizontal="center" vertical="center" wrapText="1" shrinkToFit="1"/>
    </xf>
    <xf numFmtId="0" fontId="3" fillId="2" borderId="8"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6" fillId="0" borderId="8"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7" fillId="2" borderId="8" xfId="0" applyFont="1" applyFill="1" applyBorder="1" applyAlignment="1">
      <alignment horizontal="left" vertical="center" shrinkToFit="1"/>
    </xf>
    <xf numFmtId="0" fontId="34" fillId="2" borderId="0" xfId="0" applyFont="1" applyFill="1" applyBorder="1" applyAlignment="1" applyProtection="1">
      <alignment horizontal="center"/>
    </xf>
    <xf numFmtId="0" fontId="25" fillId="2" borderId="0" xfId="0" applyFont="1" applyFill="1" applyBorder="1" applyAlignment="1" applyProtection="1">
      <alignment horizontal="center" vertical="center" shrinkToFit="1"/>
    </xf>
    <xf numFmtId="0" fontId="32" fillId="8" borderId="0" xfId="0" applyFont="1" applyFill="1" applyBorder="1" applyAlignment="1" applyProtection="1">
      <alignment horizontal="center" vertical="center" shrinkToFit="1"/>
    </xf>
    <xf numFmtId="0" fontId="25" fillId="8" borderId="0" xfId="0" applyFont="1" applyFill="1" applyBorder="1" applyAlignment="1" applyProtection="1">
      <alignment vertical="center" shrinkToFit="1"/>
    </xf>
    <xf numFmtId="0" fontId="32" fillId="8" borderId="0" xfId="0" applyFont="1" applyFill="1" applyBorder="1" applyAlignment="1" applyProtection="1">
      <alignment vertical="center" shrinkToFit="1"/>
    </xf>
    <xf numFmtId="0" fontId="32" fillId="2" borderId="0" xfId="0" applyFont="1" applyFill="1" applyBorder="1" applyAlignment="1" applyProtection="1">
      <alignment vertical="center" shrinkToFit="1"/>
    </xf>
    <xf numFmtId="0" fontId="32" fillId="2" borderId="0" xfId="0" applyFont="1" applyFill="1" applyBorder="1" applyAlignment="1" applyProtection="1">
      <alignment horizontal="center" vertical="center" shrinkToFit="1"/>
    </xf>
    <xf numFmtId="0" fontId="58" fillId="8" borderId="8" xfId="0" applyFont="1" applyFill="1" applyBorder="1" applyAlignment="1" applyProtection="1">
      <alignment horizontal="center" vertical="center" shrinkToFit="1"/>
    </xf>
    <xf numFmtId="0" fontId="7" fillId="8" borderId="8" xfId="0" applyFont="1" applyFill="1" applyBorder="1" applyAlignment="1" applyProtection="1">
      <alignment horizontal="center" vertical="center" shrinkToFit="1"/>
    </xf>
    <xf numFmtId="0" fontId="60" fillId="2" borderId="30"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1" fillId="2" borderId="31" xfId="0" applyFont="1" applyFill="1" applyBorder="1" applyAlignment="1">
      <alignment horizontal="center" vertical="center" wrapText="1"/>
    </xf>
    <xf numFmtId="0" fontId="62" fillId="2" borderId="33"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0" fontId="43" fillId="2" borderId="8" xfId="0" applyFont="1" applyFill="1" applyBorder="1" applyAlignment="1">
      <alignment horizontal="center" vertical="center"/>
    </xf>
    <xf numFmtId="0" fontId="26" fillId="2" borderId="0" xfId="0" applyFont="1" applyFill="1"/>
    <xf numFmtId="0" fontId="0" fillId="5" borderId="0" xfId="0" applyFill="1" applyAlignment="1">
      <alignment horizontal="left" vertical="center"/>
    </xf>
    <xf numFmtId="0" fontId="25" fillId="0" borderId="0" xfId="0" applyFont="1" applyFill="1" applyBorder="1" applyAlignment="1" applyProtection="1">
      <alignment vertical="center" shrinkToFit="1"/>
    </xf>
    <xf numFmtId="0" fontId="2" fillId="0" borderId="0" xfId="0" applyFont="1" applyFill="1" applyAlignment="1">
      <alignment horizontal="center"/>
    </xf>
    <xf numFmtId="0" fontId="47" fillId="2" borderId="8" xfId="0" applyFont="1" applyFill="1" applyBorder="1" applyAlignment="1">
      <alignment horizontal="center" vertical="center" wrapText="1"/>
    </xf>
    <xf numFmtId="0" fontId="6" fillId="2" borderId="0" xfId="0" applyFont="1" applyFill="1" applyAlignment="1">
      <alignment vertical="center"/>
    </xf>
    <xf numFmtId="0" fontId="6" fillId="0" borderId="0" xfId="0" applyFont="1" applyFill="1" applyAlignment="1">
      <alignment vertical="center"/>
    </xf>
    <xf numFmtId="0" fontId="6" fillId="2" borderId="33" xfId="0" applyFont="1" applyFill="1" applyBorder="1" applyAlignment="1">
      <alignment horizontal="center" vertical="center" wrapText="1"/>
    </xf>
    <xf numFmtId="0" fontId="6" fillId="2"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71" fillId="2" borderId="34" xfId="0" applyFont="1" applyFill="1" applyBorder="1" applyAlignment="1" applyProtection="1">
      <alignment horizontal="center" vertical="center" shrinkToFit="1"/>
      <protection locked="0"/>
    </xf>
    <xf numFmtId="0" fontId="48" fillId="2" borderId="30" xfId="0" applyFont="1" applyFill="1" applyBorder="1" applyAlignment="1">
      <alignment horizontal="center" vertical="center" shrinkToFit="1"/>
    </xf>
    <xf numFmtId="0" fontId="33" fillId="2" borderId="8" xfId="0" applyFont="1" applyFill="1" applyBorder="1" applyAlignment="1">
      <alignment horizontal="left" vertical="center" shrinkToFit="1"/>
    </xf>
    <xf numFmtId="0" fontId="16" fillId="2" borderId="34" xfId="0" applyFont="1" applyFill="1" applyBorder="1" applyAlignment="1">
      <alignment horizontal="center" vertical="center" shrinkToFit="1"/>
    </xf>
    <xf numFmtId="0" fontId="17" fillId="0" borderId="0" xfId="0" applyFont="1" applyFill="1" applyAlignment="1">
      <alignment vertical="center"/>
    </xf>
    <xf numFmtId="0" fontId="43" fillId="2" borderId="0" xfId="0" applyFont="1" applyFill="1" applyAlignment="1">
      <alignment vertical="center"/>
    </xf>
    <xf numFmtId="0" fontId="17" fillId="2" borderId="8" xfId="0" applyFont="1" applyFill="1" applyBorder="1" applyAlignment="1">
      <alignment horizontal="center" vertical="center"/>
    </xf>
    <xf numFmtId="0" fontId="16" fillId="2" borderId="8" xfId="0" applyFont="1" applyFill="1" applyBorder="1" applyAlignment="1">
      <alignment horizontal="center" vertical="center" shrinkToFit="1"/>
    </xf>
    <xf numFmtId="0" fontId="67" fillId="2" borderId="18" xfId="0" applyFont="1" applyFill="1" applyBorder="1" applyAlignment="1">
      <alignment horizontal="center" vertical="center" textRotation="90" wrapText="1"/>
    </xf>
    <xf numFmtId="0" fontId="67" fillId="2" borderId="8" xfId="0" applyFont="1" applyFill="1" applyBorder="1" applyAlignment="1">
      <alignment vertical="center"/>
    </xf>
    <xf numFmtId="0" fontId="19" fillId="2" borderId="8" xfId="0" applyFont="1" applyFill="1" applyBorder="1" applyAlignment="1">
      <alignment horizontal="center" vertical="center"/>
    </xf>
    <xf numFmtId="0" fontId="73" fillId="0" borderId="0" xfId="0" applyFont="1"/>
    <xf numFmtId="0" fontId="76" fillId="2" borderId="8" xfId="0" applyFont="1" applyFill="1" applyBorder="1" applyAlignment="1">
      <alignment vertical="center" shrinkToFit="1"/>
    </xf>
    <xf numFmtId="0" fontId="76" fillId="2" borderId="8" xfId="0" applyFont="1" applyFill="1" applyBorder="1" applyAlignment="1">
      <alignment horizontal="center" vertical="center"/>
    </xf>
    <xf numFmtId="0" fontId="77" fillId="0" borderId="0" xfId="0" applyFont="1"/>
    <xf numFmtId="0" fontId="79" fillId="0" borderId="0" xfId="0" applyFont="1"/>
    <xf numFmtId="0" fontId="78" fillId="0" borderId="0" xfId="0" applyFont="1"/>
    <xf numFmtId="0" fontId="26" fillId="2" borderId="0" xfId="0" applyFont="1" applyFill="1" applyAlignment="1">
      <alignment horizontal="center"/>
    </xf>
    <xf numFmtId="0" fontId="26" fillId="2" borderId="0" xfId="0" applyFont="1" applyFill="1" applyAlignment="1">
      <alignment horizontal="center" vertical="top" wrapText="1"/>
    </xf>
    <xf numFmtId="0" fontId="47"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3" fillId="0" borderId="0" xfId="0" applyFont="1"/>
    <xf numFmtId="0" fontId="25" fillId="2" borderId="8" xfId="0" applyFont="1" applyFill="1" applyBorder="1" applyAlignment="1">
      <alignment vertical="center" shrinkToFit="1"/>
    </xf>
    <xf numFmtId="174" fontId="17" fillId="2" borderId="8" xfId="0" applyNumberFormat="1" applyFont="1" applyFill="1" applyBorder="1" applyAlignment="1">
      <alignment horizontal="center"/>
    </xf>
    <xf numFmtId="0" fontId="55" fillId="2" borderId="8" xfId="0" applyFont="1" applyFill="1" applyBorder="1" applyAlignment="1">
      <alignment horizontal="center"/>
    </xf>
    <xf numFmtId="0" fontId="17" fillId="2" borderId="8" xfId="0" quotePrefix="1" applyFont="1" applyFill="1" applyBorder="1" applyAlignment="1">
      <alignment horizontal="center"/>
    </xf>
    <xf numFmtId="0" fontId="16" fillId="2" borderId="8" xfId="0" applyFont="1" applyFill="1" applyBorder="1"/>
    <xf numFmtId="0" fontId="16" fillId="2" borderId="8" xfId="0" applyFont="1" applyFill="1" applyBorder="1" applyAlignment="1">
      <alignment horizontal="center"/>
    </xf>
    <xf numFmtId="0" fontId="27" fillId="2" borderId="8" xfId="0" quotePrefix="1" applyFont="1" applyFill="1" applyBorder="1" applyAlignment="1">
      <alignment horizontal="center"/>
    </xf>
    <xf numFmtId="0" fontId="2" fillId="0" borderId="0" xfId="0" applyFont="1" applyAlignment="1">
      <alignment horizontal="center" vertical="center" wrapText="1"/>
    </xf>
    <xf numFmtId="0" fontId="33" fillId="2" borderId="13" xfId="0" applyFont="1" applyFill="1" applyBorder="1" applyAlignment="1">
      <alignment horizontal="center" vertical="center" wrapText="1"/>
    </xf>
    <xf numFmtId="0" fontId="33" fillId="2" borderId="8" xfId="0" applyFont="1" applyFill="1" applyBorder="1" applyAlignment="1">
      <alignment horizontal="center"/>
    </xf>
    <xf numFmtId="0" fontId="33" fillId="2" borderId="13" xfId="0" applyFont="1" applyFill="1" applyBorder="1" applyAlignment="1">
      <alignment horizontal="center"/>
    </xf>
    <xf numFmtId="0" fontId="55" fillId="2" borderId="8" xfId="0" applyFont="1" applyFill="1" applyBorder="1" applyAlignment="1">
      <alignment horizontal="right" vertical="center"/>
    </xf>
    <xf numFmtId="0" fontId="16" fillId="2" borderId="8" xfId="0" applyFont="1" applyFill="1" applyBorder="1" applyAlignment="1">
      <alignment horizontal="center" vertical="center"/>
    </xf>
    <xf numFmtId="0" fontId="83" fillId="6" borderId="30" xfId="0" applyFont="1" applyFill="1" applyBorder="1" applyAlignment="1">
      <alignment horizontal="center" vertical="center" wrapText="1"/>
    </xf>
    <xf numFmtId="0" fontId="83" fillId="6" borderId="8" xfId="0" applyFont="1" applyFill="1" applyBorder="1" applyAlignment="1">
      <alignment horizontal="center" vertical="center" wrapText="1"/>
    </xf>
    <xf numFmtId="0" fontId="83" fillId="6" borderId="31" xfId="0" applyFont="1" applyFill="1" applyBorder="1" applyAlignment="1">
      <alignment horizontal="center" vertical="center" wrapText="1"/>
    </xf>
    <xf numFmtId="0" fontId="84" fillId="6" borderId="8" xfId="0" applyFont="1" applyFill="1" applyBorder="1" applyAlignment="1">
      <alignment horizontal="center" vertical="center" wrapText="1"/>
    </xf>
    <xf numFmtId="0" fontId="84" fillId="6" borderId="13" xfId="0" applyFont="1" applyFill="1" applyBorder="1" applyAlignment="1">
      <alignment horizontal="center" vertical="center" wrapText="1"/>
    </xf>
    <xf numFmtId="0" fontId="84" fillId="6" borderId="13" xfId="0" applyFont="1" applyFill="1" applyBorder="1" applyAlignment="1">
      <alignment horizontal="center" vertical="center" shrinkToFit="1"/>
    </xf>
    <xf numFmtId="0" fontId="84" fillId="6" borderId="2" xfId="0" applyFont="1" applyFill="1" applyBorder="1" applyAlignment="1">
      <alignment horizontal="center" vertical="center" shrinkToFit="1"/>
    </xf>
    <xf numFmtId="0" fontId="84" fillId="6" borderId="8" xfId="0" applyFont="1" applyFill="1" applyBorder="1" applyAlignment="1">
      <alignment horizontal="left" vertical="center" wrapText="1"/>
    </xf>
    <xf numFmtId="0" fontId="84" fillId="6" borderId="31" xfId="0" applyFont="1" applyFill="1" applyBorder="1" applyAlignment="1">
      <alignment horizontal="left" vertical="center" wrapText="1"/>
    </xf>
    <xf numFmtId="0" fontId="84" fillId="6" borderId="21" xfId="0" applyFont="1" applyFill="1" applyBorder="1" applyAlignment="1">
      <alignment horizontal="center" vertical="center" wrapText="1"/>
    </xf>
    <xf numFmtId="0" fontId="84" fillId="6" borderId="21" xfId="0" applyFont="1" applyFill="1" applyBorder="1" applyAlignment="1">
      <alignment horizontal="left" vertical="center" wrapText="1"/>
    </xf>
    <xf numFmtId="0" fontId="84" fillId="6" borderId="45" xfId="0" applyFont="1" applyFill="1" applyBorder="1" applyAlignment="1">
      <alignment horizontal="left" vertical="center" wrapText="1"/>
    </xf>
    <xf numFmtId="0" fontId="84" fillId="6" borderId="49" xfId="0" applyFont="1" applyFill="1" applyBorder="1" applyAlignment="1">
      <alignment horizontal="center" vertical="center" shrinkToFit="1"/>
    </xf>
    <xf numFmtId="0" fontId="84" fillId="6" borderId="47" xfId="0" applyFont="1" applyFill="1" applyBorder="1" applyAlignment="1">
      <alignment horizontal="center" vertical="center" shrinkToFit="1"/>
    </xf>
    <xf numFmtId="0" fontId="85" fillId="6" borderId="47" xfId="0" applyFont="1" applyFill="1" applyBorder="1" applyAlignment="1">
      <alignment horizontal="center" vertical="center" shrinkToFit="1"/>
    </xf>
    <xf numFmtId="0" fontId="85" fillId="6" borderId="48" xfId="0" applyFont="1" applyFill="1" applyBorder="1" applyAlignment="1">
      <alignment horizontal="center" vertical="center" shrinkToFit="1"/>
    </xf>
    <xf numFmtId="0" fontId="85" fillId="6" borderId="49" xfId="0" applyFont="1" applyFill="1" applyBorder="1" applyAlignment="1">
      <alignment horizontal="center" vertical="center" shrinkToFit="1"/>
    </xf>
    <xf numFmtId="0" fontId="82" fillId="6" borderId="50" xfId="0" applyFont="1" applyFill="1" applyBorder="1" applyAlignment="1">
      <alignment horizontal="left" vertical="center" wrapText="1"/>
    </xf>
    <xf numFmtId="0" fontId="82" fillId="6" borderId="51" xfId="0" applyFont="1" applyFill="1" applyBorder="1" applyAlignment="1">
      <alignment horizontal="left" vertical="center" wrapText="1"/>
    </xf>
    <xf numFmtId="0" fontId="84" fillId="6" borderId="49" xfId="0" applyFont="1" applyFill="1" applyBorder="1" applyAlignment="1">
      <alignment horizontal="center" vertical="center" wrapText="1"/>
    </xf>
    <xf numFmtId="0" fontId="84" fillId="6" borderId="47" xfId="0" applyFont="1" applyFill="1" applyBorder="1" applyAlignment="1">
      <alignment horizontal="center" vertical="center" wrapText="1"/>
    </xf>
    <xf numFmtId="0" fontId="85" fillId="6" borderId="47" xfId="0" applyFont="1" applyFill="1" applyBorder="1" applyAlignment="1">
      <alignment horizontal="center" vertical="center" wrapText="1"/>
    </xf>
    <xf numFmtId="0" fontId="85" fillId="6" borderId="48" xfId="0" applyFont="1" applyFill="1" applyBorder="1" applyAlignment="1">
      <alignment horizontal="center" vertical="center" wrapText="1"/>
    </xf>
    <xf numFmtId="0" fontId="85" fillId="6" borderId="49"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1" xfId="0" applyFont="1" applyFill="1" applyBorder="1" applyAlignment="1">
      <alignment horizontal="center" vertical="center" wrapText="1"/>
    </xf>
    <xf numFmtId="0" fontId="33" fillId="6" borderId="21" xfId="0" applyFont="1" applyFill="1" applyBorder="1" applyAlignment="1">
      <alignment horizontal="center" vertical="center" wrapText="1"/>
    </xf>
    <xf numFmtId="0" fontId="86" fillId="0" borderId="0" xfId="0" applyFont="1"/>
    <xf numFmtId="0" fontId="87" fillId="0" borderId="0" xfId="0" applyFont="1"/>
    <xf numFmtId="0" fontId="88" fillId="6" borderId="40" xfId="0" applyFont="1" applyFill="1" applyBorder="1" applyAlignment="1">
      <alignment horizontal="center" vertical="center" wrapText="1"/>
    </xf>
    <xf numFmtId="0" fontId="88" fillId="6" borderId="18" xfId="0" applyFont="1" applyFill="1" applyBorder="1" applyAlignment="1">
      <alignment horizontal="center" vertical="center" wrapText="1"/>
    </xf>
    <xf numFmtId="0" fontId="61" fillId="6" borderId="8" xfId="0" applyFont="1" applyFill="1" applyBorder="1" applyAlignment="1">
      <alignment vertical="center" shrinkToFit="1"/>
    </xf>
    <xf numFmtId="1" fontId="25" fillId="6" borderId="8" xfId="0" applyNumberFormat="1" applyFont="1" applyFill="1" applyBorder="1" applyAlignment="1">
      <alignment horizontal="center" vertical="center" shrinkToFit="1"/>
    </xf>
    <xf numFmtId="9" fontId="25" fillId="6" borderId="8" xfId="0" applyNumberFormat="1" applyFont="1" applyFill="1" applyBorder="1" applyAlignment="1">
      <alignment horizontal="center" vertical="center" shrinkToFit="1"/>
    </xf>
    <xf numFmtId="0" fontId="89" fillId="6" borderId="8" xfId="0" applyFont="1" applyFill="1" applyBorder="1" applyAlignment="1">
      <alignment horizontal="center" vertical="center"/>
    </xf>
    <xf numFmtId="0" fontId="67" fillId="6" borderId="8" xfId="0" applyFont="1" applyFill="1" applyBorder="1" applyAlignment="1">
      <alignment horizontal="centerContinuous" vertical="center" shrinkToFit="1"/>
    </xf>
    <xf numFmtId="0" fontId="19" fillId="6" borderId="8" xfId="0" applyFont="1" applyFill="1" applyBorder="1" applyAlignment="1">
      <alignment horizontal="center" vertical="center" shrinkToFit="1"/>
    </xf>
    <xf numFmtId="0" fontId="26" fillId="2" borderId="0" xfId="0" applyFont="1" applyFill="1" applyAlignment="1"/>
    <xf numFmtId="0" fontId="26" fillId="2" borderId="0" xfId="0" applyFont="1" applyFill="1" applyAlignment="1">
      <alignment vertical="center"/>
    </xf>
    <xf numFmtId="175" fontId="17" fillId="0" borderId="8" xfId="0" applyNumberFormat="1" applyFont="1" applyFill="1" applyBorder="1" applyAlignment="1">
      <alignment horizontal="right" vertical="center" wrapText="1"/>
    </xf>
    <xf numFmtId="0" fontId="55" fillId="0" borderId="8" xfId="0" applyNumberFormat="1" applyFont="1" applyFill="1" applyBorder="1" applyAlignment="1">
      <alignment horizontal="center" vertical="center" wrapText="1"/>
    </xf>
    <xf numFmtId="0" fontId="34" fillId="2" borderId="8" xfId="0" applyNumberFormat="1" applyFont="1" applyFill="1" applyBorder="1" applyAlignment="1">
      <alignment horizontal="center" vertical="center" wrapText="1"/>
    </xf>
    <xf numFmtId="176" fontId="34" fillId="2" borderId="8" xfId="0" applyNumberFormat="1" applyFont="1" applyFill="1" applyBorder="1" applyAlignment="1">
      <alignment horizontal="center" vertical="center" wrapText="1"/>
    </xf>
    <xf numFmtId="176" fontId="16" fillId="2" borderId="8" xfId="0" quotePrefix="1" applyNumberFormat="1" applyFont="1" applyFill="1" applyBorder="1" applyAlignment="1">
      <alignment horizontal="center" vertical="center" wrapText="1"/>
    </xf>
    <xf numFmtId="0" fontId="16" fillId="2" borderId="8" xfId="0" quotePrefix="1"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43" fillId="0" borderId="0" xfId="0" applyFont="1" applyFill="1" applyAlignment="1">
      <alignment vertical="center"/>
    </xf>
    <xf numFmtId="0" fontId="5" fillId="0" borderId="0" xfId="0" applyFont="1" applyFill="1" applyAlignment="1">
      <alignment horizontal="center" vertical="center"/>
    </xf>
    <xf numFmtId="0" fontId="43" fillId="2" borderId="0" xfId="0" applyFont="1" applyFill="1" applyAlignment="1">
      <alignment horizontal="center" vertical="center"/>
    </xf>
    <xf numFmtId="0" fontId="33" fillId="2" borderId="8" xfId="0" applyFont="1" applyFill="1" applyBorder="1" applyAlignment="1">
      <alignment horizontal="center" vertical="center" textRotation="90" wrapText="1"/>
    </xf>
    <xf numFmtId="0" fontId="55" fillId="2" borderId="8" xfId="0" applyFont="1" applyFill="1" applyBorder="1" applyAlignment="1">
      <alignment horizontal="center" vertical="center" shrinkToFit="1"/>
    </xf>
    <xf numFmtId="0" fontId="56" fillId="2" borderId="0" xfId="0" applyFont="1" applyFill="1"/>
    <xf numFmtId="0" fontId="56" fillId="0" borderId="0" xfId="0" applyFont="1"/>
    <xf numFmtId="0" fontId="92" fillId="6" borderId="0" xfId="0" applyFont="1" applyFill="1" applyBorder="1" applyAlignment="1">
      <alignment horizontal="center" vertical="center" shrinkToFit="1"/>
    </xf>
    <xf numFmtId="0" fontId="92" fillId="6" borderId="0" xfId="0" applyFont="1" applyFill="1" applyBorder="1" applyAlignment="1">
      <alignment horizontal="center" vertical="center" wrapText="1"/>
    </xf>
    <xf numFmtId="0" fontId="92" fillId="6" borderId="0" xfId="0" applyFont="1" applyFill="1" applyBorder="1" applyAlignment="1">
      <alignment horizontal="center" vertical="center"/>
    </xf>
    <xf numFmtId="0" fontId="92" fillId="10" borderId="8" xfId="0" applyFont="1" applyFill="1" applyBorder="1" applyAlignment="1">
      <alignment horizontal="center" vertical="center" shrinkToFit="1"/>
    </xf>
    <xf numFmtId="0" fontId="92" fillId="7" borderId="8" xfId="0" applyFont="1" applyFill="1" applyBorder="1" applyAlignment="1">
      <alignment horizontal="center" vertical="center" shrinkToFit="1"/>
    </xf>
    <xf numFmtId="0" fontId="25" fillId="2" borderId="8" xfId="0" applyFont="1" applyFill="1" applyBorder="1" applyAlignment="1">
      <alignment horizontal="center" vertical="center" wrapText="1" shrinkToFit="1"/>
    </xf>
    <xf numFmtId="0" fontId="56" fillId="2" borderId="8" xfId="0" applyFont="1" applyFill="1" applyBorder="1" applyAlignment="1">
      <alignment horizontal="center" vertical="center"/>
    </xf>
    <xf numFmtId="0" fontId="93" fillId="2" borderId="8" xfId="0" quotePrefix="1" applyFont="1" applyFill="1" applyBorder="1" applyAlignment="1">
      <alignment horizontal="left" vertical="center" shrinkToFit="1"/>
    </xf>
    <xf numFmtId="0" fontId="94" fillId="2" borderId="8" xfId="0" applyFont="1" applyFill="1" applyBorder="1" applyAlignment="1">
      <alignment horizontal="left" vertical="center" shrinkToFit="1"/>
    </xf>
    <xf numFmtId="177" fontId="15" fillId="2" borderId="8" xfId="0" quotePrefix="1" applyNumberFormat="1" applyFont="1" applyFill="1" applyBorder="1" applyAlignment="1">
      <alignment horizontal="center" vertical="center"/>
    </xf>
    <xf numFmtId="0" fontId="25" fillId="2" borderId="18"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95" fillId="2" borderId="8" xfId="0" applyFont="1" applyFill="1" applyBorder="1" applyAlignment="1">
      <alignment horizontal="center" vertical="center"/>
    </xf>
    <xf numFmtId="0" fontId="15" fillId="2" borderId="8" xfId="0" applyFont="1" applyFill="1" applyBorder="1" applyAlignment="1">
      <alignment horizontal="left" vertical="center"/>
    </xf>
    <xf numFmtId="0" fontId="28" fillId="2" borderId="8" xfId="0" applyFont="1" applyFill="1" applyBorder="1" applyAlignment="1">
      <alignment horizontal="left" vertical="center" shrinkToFit="1"/>
    </xf>
    <xf numFmtId="14" fontId="15" fillId="2" borderId="8" xfId="0" applyNumberFormat="1" applyFont="1" applyFill="1" applyBorder="1" applyAlignment="1">
      <alignment horizontal="center" vertical="center"/>
    </xf>
    <xf numFmtId="0" fontId="17" fillId="2" borderId="40" xfId="0" applyFont="1" applyFill="1" applyBorder="1" applyAlignment="1">
      <alignment horizontal="center" vertical="center" shrinkToFit="1"/>
    </xf>
    <xf numFmtId="0" fontId="96" fillId="0" borderId="0" xfId="0" applyFont="1"/>
    <xf numFmtId="0" fontId="97" fillId="0" borderId="0" xfId="0" applyFont="1"/>
    <xf numFmtId="0" fontId="98" fillId="6" borderId="0" xfId="0" applyFont="1" applyFill="1" applyBorder="1" applyAlignment="1">
      <alignment horizontal="center" vertical="center" shrinkToFit="1"/>
    </xf>
    <xf numFmtId="0" fontId="98" fillId="6" borderId="0" xfId="0" applyFont="1" applyFill="1" applyBorder="1" applyAlignment="1">
      <alignment horizontal="center" vertical="center" wrapText="1"/>
    </xf>
    <xf numFmtId="0" fontId="98" fillId="6" borderId="0" xfId="0" applyFont="1" applyFill="1" applyBorder="1" applyAlignment="1">
      <alignment horizontal="center" vertical="center"/>
    </xf>
    <xf numFmtId="0" fontId="98" fillId="10" borderId="8" xfId="0" applyFont="1" applyFill="1" applyBorder="1" applyAlignment="1">
      <alignment horizontal="center" vertical="center" shrinkToFit="1"/>
    </xf>
    <xf numFmtId="0" fontId="98" fillId="7" borderId="8" xfId="0" applyFont="1" applyFill="1" applyBorder="1" applyAlignment="1">
      <alignment horizontal="center" vertical="center" shrinkToFit="1"/>
    </xf>
    <xf numFmtId="0" fontId="99" fillId="0" borderId="0" xfId="0" applyFont="1"/>
    <xf numFmtId="0" fontId="26" fillId="2" borderId="8" xfId="0" applyFont="1" applyFill="1" applyBorder="1" applyAlignment="1">
      <alignment horizontal="left" vertical="center" shrinkToFit="1"/>
    </xf>
    <xf numFmtId="177" fontId="27" fillId="2" borderId="8" xfId="0" quotePrefix="1" applyNumberFormat="1" applyFont="1" applyFill="1" applyBorder="1" applyAlignment="1">
      <alignment horizontal="center" vertical="center"/>
    </xf>
    <xf numFmtId="0" fontId="27" fillId="2" borderId="8" xfId="0" applyFont="1" applyFill="1" applyBorder="1" applyAlignment="1">
      <alignment horizontal="left" vertical="center"/>
    </xf>
    <xf numFmtId="0" fontId="32" fillId="2" borderId="8" xfId="0" applyFont="1" applyFill="1" applyBorder="1" applyAlignment="1">
      <alignment horizontal="left" vertical="center" shrinkToFit="1"/>
    </xf>
    <xf numFmtId="14" fontId="27" fillId="2" borderId="8" xfId="0" applyNumberFormat="1" applyFont="1" applyFill="1" applyBorder="1" applyAlignment="1">
      <alignment horizontal="center" vertical="center"/>
    </xf>
    <xf numFmtId="0" fontId="17" fillId="0" borderId="0" xfId="0" applyFont="1"/>
    <xf numFmtId="0" fontId="100" fillId="0" borderId="0" xfId="0" applyFont="1" applyFill="1" applyAlignment="1">
      <alignment vertical="center"/>
    </xf>
    <xf numFmtId="0" fontId="90" fillId="0" borderId="0" xfId="0" applyFont="1" applyFill="1" applyAlignment="1">
      <alignment horizontal="center" vertical="center"/>
    </xf>
    <xf numFmtId="0" fontId="101" fillId="0" borderId="0" xfId="0" applyFont="1" applyFill="1" applyAlignment="1">
      <alignment horizontal="center" vertical="center"/>
    </xf>
    <xf numFmtId="0" fontId="91" fillId="0" borderId="0" xfId="0" applyFont="1" applyFill="1" applyAlignment="1">
      <alignment vertical="center" wrapText="1"/>
    </xf>
    <xf numFmtId="0" fontId="91" fillId="0" borderId="0" xfId="0" applyFont="1" applyFill="1" applyAlignment="1">
      <alignment vertical="center"/>
    </xf>
    <xf numFmtId="0" fontId="60" fillId="2" borderId="14" xfId="0" applyFont="1" applyFill="1" applyBorder="1" applyAlignment="1">
      <alignment horizontal="right" vertical="center"/>
    </xf>
    <xf numFmtId="0" fontId="61" fillId="2" borderId="8" xfId="0" applyFont="1" applyFill="1" applyBorder="1" applyAlignment="1">
      <alignment horizontal="center" vertical="center"/>
    </xf>
    <xf numFmtId="0" fontId="60" fillId="2" borderId="8" xfId="0" applyFont="1" applyFill="1" applyBorder="1" applyAlignment="1">
      <alignment horizontal="center" vertical="center"/>
    </xf>
    <xf numFmtId="0" fontId="102" fillId="2" borderId="0" xfId="0" applyFont="1" applyFill="1" applyAlignment="1">
      <alignment vertical="center"/>
    </xf>
    <xf numFmtId="0" fontId="82" fillId="2" borderId="0" xfId="0" applyFont="1" applyFill="1" applyAlignment="1">
      <alignment vertical="center"/>
    </xf>
    <xf numFmtId="0" fontId="30" fillId="0" borderId="0" xfId="0" applyFont="1"/>
    <xf numFmtId="0" fontId="30" fillId="2" borderId="0" xfId="0" applyFont="1" applyFill="1"/>
    <xf numFmtId="0" fontId="30" fillId="2" borderId="0" xfId="0" applyFont="1" applyFill="1" applyAlignment="1">
      <alignment horizontal="right"/>
    </xf>
    <xf numFmtId="0" fontId="30" fillId="2" borderId="0" xfId="0" applyFont="1" applyFill="1" applyAlignment="1">
      <alignment horizontal="center" vertical="top"/>
    </xf>
    <xf numFmtId="0" fontId="30" fillId="2" borderId="0" xfId="0" applyFont="1" applyFill="1" applyAlignment="1">
      <alignment horizontal="left" wrapText="1"/>
    </xf>
    <xf numFmtId="165" fontId="80" fillId="2" borderId="0" xfId="0" applyNumberFormat="1" applyFont="1" applyFill="1" applyAlignment="1">
      <alignment shrinkToFit="1"/>
    </xf>
    <xf numFmtId="0" fontId="0" fillId="0" borderId="0" xfId="0"/>
    <xf numFmtId="0" fontId="26" fillId="0" borderId="8" xfId="0" applyFont="1" applyBorder="1" applyAlignment="1">
      <alignment horizontal="center" vertical="center" wrapText="1"/>
    </xf>
    <xf numFmtId="0" fontId="0" fillId="0" borderId="0" xfId="0" applyAlignment="1">
      <alignment horizontal="center"/>
    </xf>
    <xf numFmtId="0" fontId="0" fillId="0" borderId="8" xfId="0" applyBorder="1"/>
    <xf numFmtId="0" fontId="55" fillId="0" borderId="8" xfId="0" applyFont="1" applyBorder="1" applyAlignment="1">
      <alignment horizontal="center" vertical="center" wrapText="1"/>
    </xf>
    <xf numFmtId="0" fontId="0" fillId="0" borderId="8" xfId="0" applyBorder="1" applyAlignment="1">
      <alignment horizontal="center" vertical="center"/>
    </xf>
    <xf numFmtId="0" fontId="9" fillId="0" borderId="8" xfId="0" applyFont="1" applyBorder="1"/>
    <xf numFmtId="0" fontId="106" fillId="0" borderId="8" xfId="0" applyFont="1" applyBorder="1" applyAlignment="1">
      <alignment horizontal="center" vertical="center"/>
    </xf>
    <xf numFmtId="0" fontId="105" fillId="0" borderId="8" xfId="0" applyFont="1" applyBorder="1" applyAlignment="1">
      <alignment horizontal="center" vertical="center"/>
    </xf>
    <xf numFmtId="0" fontId="0" fillId="0" borderId="8" xfId="0" applyBorder="1" applyAlignment="1">
      <alignment horizontal="center" vertical="center" wrapText="1"/>
    </xf>
    <xf numFmtId="0" fontId="18" fillId="2" borderId="0" xfId="0" applyFont="1" applyFill="1" applyAlignment="1">
      <alignment vertical="center" shrinkToFit="1"/>
    </xf>
    <xf numFmtId="0" fontId="25" fillId="2" borderId="0" xfId="0" applyFont="1" applyFill="1" applyBorder="1" applyAlignment="1">
      <alignment vertical="center"/>
    </xf>
    <xf numFmtId="0" fontId="108" fillId="0" borderId="8" xfId="0" applyFont="1" applyBorder="1" applyAlignment="1">
      <alignment horizontal="center" vertical="center"/>
    </xf>
    <xf numFmtId="0" fontId="108" fillId="0" borderId="8" xfId="0" applyFont="1" applyFill="1" applyBorder="1" applyAlignment="1">
      <alignment horizontal="center" vertical="center" wrapText="1"/>
    </xf>
    <xf numFmtId="0" fontId="110" fillId="0" borderId="0" xfId="0" applyFont="1" applyAlignment="1">
      <alignment horizontal="center"/>
    </xf>
    <xf numFmtId="0" fontId="110" fillId="0" borderId="21" xfId="0" applyFont="1" applyBorder="1" applyAlignment="1">
      <alignment horizontal="center" vertical="center" wrapText="1"/>
    </xf>
    <xf numFmtId="0" fontId="0" fillId="0" borderId="0" xfId="0" applyAlignment="1">
      <alignment vertical="center" wrapText="1"/>
    </xf>
    <xf numFmtId="0" fontId="110" fillId="0" borderId="8" xfId="0" applyFont="1" applyBorder="1" applyAlignment="1">
      <alignment horizontal="center" vertical="center" wrapText="1"/>
    </xf>
    <xf numFmtId="0" fontId="110" fillId="0" borderId="8" xfId="0" applyFont="1" applyBorder="1" applyAlignment="1">
      <alignment vertical="center" wrapText="1"/>
    </xf>
    <xf numFmtId="0" fontId="110" fillId="0" borderId="0" xfId="0" applyFont="1" applyAlignment="1">
      <alignment vertical="center" wrapText="1"/>
    </xf>
    <xf numFmtId="0" fontId="112" fillId="0" borderId="8" xfId="0" applyFont="1" applyBorder="1" applyAlignment="1">
      <alignment horizontal="center" vertical="center" wrapText="1"/>
    </xf>
    <xf numFmtId="0" fontId="0" fillId="0" borderId="0" xfId="0" applyAlignment="1"/>
    <xf numFmtId="0" fontId="49" fillId="0" borderId="0" xfId="0" applyFont="1" applyAlignment="1">
      <alignment vertical="center" wrapText="1"/>
    </xf>
    <xf numFmtId="0" fontId="33" fillId="0" borderId="0" xfId="0" applyFont="1" applyAlignment="1">
      <alignment horizontal="center"/>
    </xf>
    <xf numFmtId="0" fontId="0" fillId="0" borderId="0" xfId="0" applyAlignment="1">
      <alignment wrapText="1"/>
    </xf>
    <xf numFmtId="0" fontId="33" fillId="0" borderId="8" xfId="0" applyFont="1" applyBorder="1" applyAlignment="1">
      <alignment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124" fillId="5" borderId="8" xfId="0" applyFont="1" applyFill="1" applyBorder="1" applyAlignment="1">
      <alignment horizontal="center" vertical="center" shrinkToFit="1"/>
    </xf>
    <xf numFmtId="0" fontId="124" fillId="3" borderId="8" xfId="0" applyFont="1" applyFill="1" applyBorder="1" applyAlignment="1">
      <alignment horizontal="center" vertical="center"/>
    </xf>
    <xf numFmtId="0" fontId="124" fillId="3" borderId="9" xfId="0" applyFont="1" applyFill="1" applyBorder="1" applyAlignment="1">
      <alignment horizontal="center" vertical="center"/>
    </xf>
    <xf numFmtId="0" fontId="124" fillId="3" borderId="8" xfId="0" applyFont="1" applyFill="1" applyBorder="1" applyAlignment="1">
      <alignment horizontal="center" vertical="center" shrinkToFit="1"/>
    </xf>
    <xf numFmtId="0" fontId="124" fillId="2" borderId="8" xfId="0" applyFont="1" applyFill="1" applyBorder="1" applyAlignment="1">
      <alignment horizontal="center" vertical="center" shrinkToFit="1"/>
    </xf>
    <xf numFmtId="0" fontId="124" fillId="3" borderId="9" xfId="0" applyFont="1" applyFill="1" applyBorder="1" applyAlignment="1">
      <alignment horizontal="center" vertical="center" shrinkToFit="1"/>
    </xf>
    <xf numFmtId="0" fontId="124" fillId="3" borderId="11" xfId="0" applyFont="1" applyFill="1" applyBorder="1" applyAlignment="1">
      <alignment horizontal="center" vertical="center" shrinkToFit="1"/>
    </xf>
    <xf numFmtId="0" fontId="124" fillId="3" borderId="12" xfId="0" applyFont="1" applyFill="1" applyBorder="1" applyAlignment="1">
      <alignment horizontal="center" vertical="center" shrinkToFit="1"/>
    </xf>
    <xf numFmtId="0" fontId="60" fillId="2" borderId="8" xfId="0" applyFont="1" applyFill="1" applyBorder="1" applyAlignment="1">
      <alignment horizontal="center" vertical="center" shrinkToFit="1"/>
    </xf>
    <xf numFmtId="0" fontId="60" fillId="2" borderId="9" xfId="0" applyFont="1" applyFill="1" applyBorder="1" applyAlignment="1">
      <alignment horizontal="center" vertical="center" shrinkToFit="1"/>
    </xf>
    <xf numFmtId="0" fontId="125" fillId="3" borderId="8" xfId="0" applyFont="1" applyFill="1" applyBorder="1" applyAlignment="1">
      <alignment horizontal="center" vertical="center" shrinkToFit="1"/>
    </xf>
    <xf numFmtId="0" fontId="125" fillId="3" borderId="9" xfId="0" applyFont="1" applyFill="1" applyBorder="1" applyAlignment="1">
      <alignment horizontal="center" vertical="center" shrinkToFit="1"/>
    </xf>
    <xf numFmtId="0" fontId="125" fillId="2" borderId="8" xfId="0" applyFont="1" applyFill="1" applyBorder="1" applyAlignment="1">
      <alignment horizontal="center" vertical="center" wrapText="1"/>
    </xf>
    <xf numFmtId="0" fontId="125" fillId="2" borderId="8" xfId="0" applyFont="1" applyFill="1" applyBorder="1" applyAlignment="1" applyProtection="1">
      <alignment horizontal="center" vertical="center"/>
      <protection locked="0"/>
    </xf>
    <xf numFmtId="0" fontId="125" fillId="2" borderId="8" xfId="0" applyFont="1" applyFill="1" applyBorder="1" applyAlignment="1">
      <alignment horizontal="center" vertical="center" shrinkToFit="1"/>
    </xf>
    <xf numFmtId="0" fontId="126" fillId="3" borderId="8" xfId="0" applyFont="1" applyFill="1" applyBorder="1" applyAlignment="1">
      <alignment horizontal="center" vertical="center" wrapText="1"/>
    </xf>
    <xf numFmtId="0" fontId="125" fillId="5" borderId="8" xfId="0" applyFont="1" applyFill="1" applyBorder="1" applyAlignment="1">
      <alignment horizontal="center" vertical="center" wrapText="1"/>
    </xf>
    <xf numFmtId="0" fontId="127" fillId="3" borderId="11" xfId="0" applyFont="1" applyFill="1" applyBorder="1" applyAlignment="1">
      <alignment horizontal="center" vertical="center" wrapText="1"/>
    </xf>
    <xf numFmtId="0" fontId="128" fillId="3" borderId="11" xfId="0" applyFont="1" applyFill="1" applyBorder="1" applyAlignment="1">
      <alignment horizontal="center" vertical="center" wrapText="1"/>
    </xf>
    <xf numFmtId="0" fontId="128" fillId="3" borderId="12" xfId="0" applyFont="1" applyFill="1" applyBorder="1" applyAlignment="1">
      <alignment horizontal="center" vertical="center" wrapText="1"/>
    </xf>
    <xf numFmtId="0" fontId="125" fillId="5" borderId="9" xfId="0" applyFont="1" applyFill="1" applyBorder="1" applyAlignment="1">
      <alignment horizontal="center" vertical="center" wrapText="1"/>
    </xf>
    <xf numFmtId="0" fontId="129" fillId="0" borderId="0" xfId="0" applyFont="1"/>
    <xf numFmtId="0" fontId="13" fillId="5" borderId="2" xfId="0" applyFont="1" applyFill="1" applyBorder="1" applyAlignment="1">
      <alignment vertical="center"/>
    </xf>
    <xf numFmtId="0" fontId="11" fillId="5" borderId="9" xfId="0" applyFont="1" applyFill="1" applyBorder="1" applyAlignment="1">
      <alignment horizontal="center" vertical="center" wrapText="1"/>
    </xf>
    <xf numFmtId="164" fontId="27" fillId="0" borderId="8" xfId="0" applyNumberFormat="1" applyFont="1" applyBorder="1" applyAlignment="1">
      <alignment horizontal="center" vertical="center" shrinkToFit="1"/>
    </xf>
    <xf numFmtId="0" fontId="60" fillId="0" borderId="8" xfId="0" applyFont="1" applyBorder="1" applyAlignment="1">
      <alignment horizontal="center" vertical="center" shrinkToFit="1"/>
    </xf>
    <xf numFmtId="1" fontId="60" fillId="0" borderId="8" xfId="0" applyNumberFormat="1" applyFont="1" applyBorder="1" applyAlignment="1">
      <alignment horizontal="center" vertical="center" shrinkToFit="1"/>
    </xf>
    <xf numFmtId="0" fontId="16" fillId="0" borderId="8" xfId="0" applyFont="1" applyBorder="1" applyAlignment="1">
      <alignment horizontal="center" vertical="center" shrinkToFit="1"/>
    </xf>
    <xf numFmtId="0" fontId="35" fillId="0" borderId="8" xfId="0" applyFont="1" applyBorder="1" applyAlignment="1">
      <alignment horizontal="left" vertical="center" shrinkToFit="1"/>
    </xf>
    <xf numFmtId="0" fontId="20" fillId="2" borderId="8" xfId="0" applyFont="1" applyFill="1" applyBorder="1" applyAlignment="1">
      <alignment horizontal="left" vertical="center" shrinkToFit="1"/>
    </xf>
    <xf numFmtId="0" fontId="20" fillId="0" borderId="8" xfId="0" applyFont="1" applyBorder="1" applyAlignment="1">
      <alignment vertical="center" wrapText="1"/>
    </xf>
    <xf numFmtId="0" fontId="68" fillId="0" borderId="8" xfId="0" applyFont="1" applyBorder="1" applyAlignment="1">
      <alignment horizontal="left" vertical="center" wrapText="1"/>
    </xf>
    <xf numFmtId="0" fontId="68" fillId="2" borderId="8" xfId="0" applyFont="1" applyFill="1" applyBorder="1" applyAlignment="1">
      <alignment horizontal="left" vertical="center" shrinkToFit="1"/>
    </xf>
    <xf numFmtId="0" fontId="34" fillId="0" borderId="8" xfId="0" applyFont="1" applyBorder="1" applyAlignment="1">
      <alignment horizontal="left" vertical="center" wrapText="1"/>
    </xf>
    <xf numFmtId="0" fontId="15" fillId="2" borderId="8" xfId="0" applyFont="1" applyFill="1" applyBorder="1" applyAlignment="1">
      <alignment horizontal="center" vertical="center" shrinkToFit="1"/>
    </xf>
    <xf numFmtId="14" fontId="15" fillId="2" borderId="8" xfId="0" applyNumberFormat="1" applyFont="1" applyFill="1" applyBorder="1" applyAlignment="1">
      <alignment horizontal="center" vertical="center" shrinkToFit="1"/>
    </xf>
    <xf numFmtId="0" fontId="11" fillId="5" borderId="8" xfId="0" applyFont="1" applyFill="1" applyBorder="1" applyAlignment="1">
      <alignment horizontal="center" vertical="center"/>
    </xf>
    <xf numFmtId="0" fontId="60" fillId="0" borderId="8" xfId="0" applyFont="1" applyBorder="1" applyAlignment="1">
      <alignment horizontal="center" vertical="center"/>
    </xf>
    <xf numFmtId="0" fontId="132" fillId="5" borderId="8" xfId="0" applyFont="1" applyFill="1" applyBorder="1" applyAlignment="1">
      <alignment horizontal="center" vertical="center"/>
    </xf>
    <xf numFmtId="0" fontId="20" fillId="5" borderId="8" xfId="0" applyFont="1" applyFill="1" applyBorder="1" applyAlignment="1">
      <alignment horizontal="center" vertical="center" wrapText="1"/>
    </xf>
    <xf numFmtId="0" fontId="68" fillId="5" borderId="8" xfId="0" applyFont="1" applyFill="1" applyBorder="1" applyAlignment="1">
      <alignment horizontal="left" vertical="center" wrapText="1"/>
    </xf>
    <xf numFmtId="0" fontId="34" fillId="5" borderId="8" xfId="0" applyFont="1" applyFill="1" applyBorder="1" applyAlignment="1">
      <alignment horizontal="center" vertical="center" wrapText="1"/>
    </xf>
    <xf numFmtId="0" fontId="133" fillId="5" borderId="8" xfId="0" applyFont="1" applyFill="1" applyBorder="1" applyAlignment="1">
      <alignment horizontal="center" vertical="center"/>
    </xf>
    <xf numFmtId="2" fontId="134" fillId="7" borderId="20" xfId="0" applyNumberFormat="1" applyFont="1" applyFill="1" applyBorder="1" applyAlignment="1">
      <alignment horizontal="right" vertical="center" indent="2"/>
    </xf>
    <xf numFmtId="0" fontId="33" fillId="2" borderId="8" xfId="0" applyFont="1" applyFill="1" applyBorder="1" applyAlignment="1">
      <alignment horizontal="center" vertical="center" wrapText="1"/>
    </xf>
    <xf numFmtId="0" fontId="32" fillId="2" borderId="8" xfId="0" applyFont="1" applyFill="1" applyBorder="1" applyAlignment="1" applyProtection="1">
      <alignment horizontal="center" vertical="center" wrapText="1"/>
      <protection locked="0"/>
    </xf>
    <xf numFmtId="0" fontId="45" fillId="2" borderId="8" xfId="0" applyFont="1" applyFill="1" applyBorder="1" applyAlignment="1" applyProtection="1">
      <alignment horizontal="center" vertical="center" wrapText="1"/>
      <protection locked="0"/>
    </xf>
    <xf numFmtId="0" fontId="32" fillId="2" borderId="23" xfId="0" applyFont="1" applyFill="1" applyBorder="1" applyAlignment="1" applyProtection="1">
      <alignment vertical="center"/>
    </xf>
    <xf numFmtId="0" fontId="72" fillId="2" borderId="8" xfId="0" applyFont="1" applyFill="1" applyBorder="1" applyAlignment="1" applyProtection="1">
      <alignment horizontal="center" vertical="center" wrapText="1"/>
    </xf>
    <xf numFmtId="0" fontId="28" fillId="2"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31" fillId="0" borderId="8" xfId="0" applyFont="1" applyBorder="1" applyAlignment="1">
      <alignment horizontal="center" vertical="center"/>
    </xf>
    <xf numFmtId="0" fontId="131" fillId="0" borderId="0" xfId="0" applyFont="1"/>
    <xf numFmtId="0" fontId="28" fillId="0" borderId="0" xfId="0" applyFont="1" applyFill="1"/>
    <xf numFmtId="0" fontId="138" fillId="2" borderId="8" xfId="0" applyFont="1" applyFill="1" applyBorder="1" applyAlignment="1" applyProtection="1">
      <alignment horizontal="center" vertical="center" shrinkToFit="1"/>
    </xf>
    <xf numFmtId="0" fontId="34" fillId="2" borderId="8" xfId="0" applyFont="1" applyFill="1" applyBorder="1" applyAlignment="1" applyProtection="1">
      <alignment horizontal="left" vertical="center" shrinkToFit="1"/>
    </xf>
    <xf numFmtId="0" fontId="68" fillId="2" borderId="8" xfId="0" applyNumberFormat="1" applyFont="1" applyFill="1" applyBorder="1" applyAlignment="1" applyProtection="1">
      <alignment horizontal="center" vertical="center" shrinkToFit="1"/>
    </xf>
    <xf numFmtId="1" fontId="138" fillId="2" borderId="8" xfId="0" applyNumberFormat="1" applyFont="1" applyFill="1" applyBorder="1" applyAlignment="1" applyProtection="1">
      <alignment horizontal="center" vertical="center" shrinkToFit="1"/>
    </xf>
    <xf numFmtId="0" fontId="68" fillId="2" borderId="8" xfId="0" applyFont="1" applyFill="1" applyBorder="1" applyAlignment="1" applyProtection="1">
      <alignment horizontal="left" vertical="center" shrinkToFit="1"/>
    </xf>
    <xf numFmtId="0" fontId="138" fillId="2" borderId="8" xfId="0" applyNumberFormat="1" applyFont="1" applyFill="1" applyBorder="1" applyAlignment="1" applyProtection="1">
      <alignment horizontal="center" vertical="center" shrinkToFit="1"/>
    </xf>
    <xf numFmtId="0" fontId="35" fillId="2" borderId="8" xfId="0" applyFont="1" applyFill="1" applyBorder="1" applyAlignment="1" applyProtection="1">
      <alignment horizontal="center" vertical="center" shrinkToFit="1"/>
    </xf>
    <xf numFmtId="0" fontId="35" fillId="2" borderId="8" xfId="0" applyNumberFormat="1" applyFont="1" applyFill="1" applyBorder="1" applyAlignment="1" applyProtection="1">
      <alignment horizontal="center" vertical="center" shrinkToFit="1"/>
    </xf>
    <xf numFmtId="0" fontId="139" fillId="2" borderId="8" xfId="0" applyFont="1" applyFill="1" applyBorder="1" applyAlignment="1" applyProtection="1">
      <alignment horizontal="left" vertical="center" shrinkToFit="1"/>
    </xf>
    <xf numFmtId="0" fontId="137" fillId="8" borderId="2" xfId="0" applyFont="1" applyFill="1" applyBorder="1" applyAlignment="1" applyProtection="1">
      <alignment horizontal="right" vertical="center"/>
    </xf>
    <xf numFmtId="0" fontId="137" fillId="8" borderId="14" xfId="0" applyFont="1" applyFill="1" applyBorder="1" applyAlignment="1" applyProtection="1">
      <alignment horizontal="right" vertical="center"/>
    </xf>
    <xf numFmtId="0" fontId="137" fillId="8" borderId="8" xfId="0" applyFont="1" applyFill="1" applyBorder="1" applyAlignment="1" applyProtection="1">
      <alignment horizontal="right" vertical="center" indent="1"/>
    </xf>
    <xf numFmtId="0" fontId="115" fillId="2" borderId="2" xfId="0" applyFont="1" applyFill="1" applyBorder="1" applyAlignment="1" applyProtection="1">
      <alignment horizontal="right" vertical="center"/>
    </xf>
    <xf numFmtId="0" fontId="115" fillId="2" borderId="2" xfId="0" applyFont="1" applyFill="1" applyBorder="1" applyProtection="1"/>
    <xf numFmtId="0" fontId="140" fillId="2" borderId="2" xfId="0" applyFont="1" applyFill="1" applyBorder="1" applyAlignment="1" applyProtection="1">
      <alignment horizontal="right" vertical="center"/>
    </xf>
    <xf numFmtId="169" fontId="115" fillId="2" borderId="2" xfId="0" applyNumberFormat="1" applyFont="1" applyFill="1" applyBorder="1" applyAlignment="1" applyProtection="1">
      <alignment horizontal="right" vertical="center"/>
    </xf>
    <xf numFmtId="169" fontId="115" fillId="2" borderId="14" xfId="0" applyNumberFormat="1" applyFont="1" applyFill="1" applyBorder="1" applyAlignment="1" applyProtection="1">
      <alignment horizontal="right" vertical="center"/>
    </xf>
    <xf numFmtId="0" fontId="115" fillId="2" borderId="14" xfId="0" applyFont="1" applyFill="1" applyBorder="1" applyAlignment="1" applyProtection="1">
      <alignment horizontal="right" vertical="center"/>
    </xf>
    <xf numFmtId="171" fontId="115" fillId="2" borderId="2" xfId="0" applyNumberFormat="1" applyFont="1" applyFill="1" applyBorder="1" applyAlignment="1" applyProtection="1">
      <alignment horizontal="right" vertical="center"/>
    </xf>
    <xf numFmtId="171" fontId="115" fillId="2" borderId="14" xfId="0" applyNumberFormat="1" applyFont="1" applyFill="1" applyBorder="1" applyAlignment="1" applyProtection="1">
      <alignment horizontal="right" vertical="center"/>
    </xf>
    <xf numFmtId="0" fontId="115" fillId="2" borderId="2" xfId="0" applyNumberFormat="1" applyFont="1" applyFill="1" applyBorder="1" applyAlignment="1" applyProtection="1">
      <alignment horizontal="right" vertical="center"/>
    </xf>
    <xf numFmtId="172" fontId="115" fillId="2" borderId="14" xfId="0" applyNumberFormat="1" applyFont="1" applyFill="1" applyBorder="1" applyAlignment="1" applyProtection="1">
      <alignment horizontal="right" vertical="center"/>
    </xf>
    <xf numFmtId="0" fontId="124" fillId="8" borderId="8" xfId="0" applyFont="1" applyFill="1" applyBorder="1" applyAlignment="1" applyProtection="1">
      <alignment horizontal="center" vertical="center" shrinkToFit="1"/>
    </xf>
    <xf numFmtId="0" fontId="60" fillId="8" borderId="8" xfId="0" applyFont="1" applyFill="1" applyBorder="1" applyAlignment="1" applyProtection="1">
      <alignment horizontal="center" vertical="center" shrinkToFit="1"/>
    </xf>
    <xf numFmtId="0" fontId="60" fillId="2" borderId="8" xfId="0" applyFont="1" applyFill="1" applyBorder="1" applyAlignment="1" applyProtection="1">
      <alignment vertical="center" shrinkToFit="1"/>
    </xf>
    <xf numFmtId="1" fontId="60" fillId="9" borderId="8" xfId="0" applyNumberFormat="1" applyFont="1" applyFill="1" applyBorder="1" applyAlignment="1" applyProtection="1">
      <alignment horizontal="center" vertical="center"/>
    </xf>
    <xf numFmtId="0" fontId="60" fillId="2" borderId="8" xfId="0" applyFont="1" applyFill="1" applyBorder="1" applyAlignment="1" applyProtection="1">
      <alignment horizontal="center" vertical="center" shrinkToFit="1"/>
    </xf>
    <xf numFmtId="0" fontId="60" fillId="2" borderId="8" xfId="0" applyNumberFormat="1" applyFont="1" applyFill="1" applyBorder="1" applyAlignment="1" applyProtection="1">
      <alignment horizontal="center" vertical="center" shrinkToFit="1"/>
    </xf>
    <xf numFmtId="0" fontId="60" fillId="2" borderId="8" xfId="0" applyFont="1" applyFill="1" applyBorder="1" applyAlignment="1" applyProtection="1">
      <alignment horizontal="center" vertical="center"/>
    </xf>
    <xf numFmtId="0" fontId="137" fillId="8" borderId="14" xfId="0" applyFont="1" applyFill="1" applyBorder="1" applyAlignment="1" applyProtection="1">
      <alignment horizontal="right" vertical="center" indent="1"/>
    </xf>
    <xf numFmtId="0" fontId="32" fillId="0" borderId="8" xfId="0" applyFont="1" applyFill="1" applyBorder="1" applyAlignment="1" applyProtection="1">
      <alignment horizontal="center" vertical="center"/>
    </xf>
    <xf numFmtId="0" fontId="68" fillId="0" borderId="8" xfId="0" applyFont="1" applyFill="1" applyBorder="1" applyAlignment="1" applyProtection="1">
      <alignment horizontal="right" vertical="center"/>
    </xf>
    <xf numFmtId="0" fontId="138" fillId="0" borderId="8" xfId="0" applyFont="1" applyFill="1" applyBorder="1" applyAlignment="1" applyProtection="1">
      <alignment horizontal="right" vertical="center"/>
    </xf>
    <xf numFmtId="0" fontId="139" fillId="0" borderId="8" xfId="0" applyFont="1" applyFill="1" applyBorder="1" applyAlignment="1" applyProtection="1">
      <alignment horizontal="right" vertical="center" indent="1"/>
    </xf>
    <xf numFmtId="0" fontId="138" fillId="0" borderId="8" xfId="0" applyFont="1" applyFill="1" applyBorder="1" applyAlignment="1" applyProtection="1">
      <alignment horizontal="center" vertical="center" shrinkToFit="1"/>
    </xf>
    <xf numFmtId="0" fontId="76" fillId="0" borderId="8" xfId="0" applyFont="1" applyFill="1" applyBorder="1" applyAlignment="1" applyProtection="1">
      <alignment horizontal="right" vertical="center" indent="1"/>
    </xf>
    <xf numFmtId="0" fontId="43" fillId="11" borderId="2" xfId="0" applyFont="1" applyFill="1" applyBorder="1" applyAlignment="1" applyProtection="1">
      <alignment horizontal="right" vertical="center"/>
    </xf>
    <xf numFmtId="0" fontId="140" fillId="11" borderId="2" xfId="0" applyFont="1" applyFill="1" applyBorder="1" applyAlignment="1" applyProtection="1">
      <alignment horizontal="right" vertical="center"/>
    </xf>
    <xf numFmtId="0" fontId="137" fillId="11" borderId="2" xfId="0" applyFont="1" applyFill="1" applyBorder="1" applyAlignment="1" applyProtection="1">
      <alignment horizontal="right" vertical="center"/>
    </xf>
    <xf numFmtId="0" fontId="137" fillId="11" borderId="14" xfId="0" applyFont="1" applyFill="1" applyBorder="1" applyAlignment="1" applyProtection="1">
      <alignment horizontal="right" vertical="center" indent="1"/>
    </xf>
    <xf numFmtId="0" fontId="25" fillId="11" borderId="8" xfId="0" applyFont="1" applyFill="1" applyBorder="1" applyAlignment="1" applyProtection="1">
      <alignment horizontal="center" vertical="center" shrinkToFit="1"/>
    </xf>
    <xf numFmtId="0" fontId="32" fillId="11" borderId="2" xfId="0" applyFont="1" applyFill="1" applyBorder="1" applyAlignment="1" applyProtection="1">
      <alignment horizontal="right" vertical="center"/>
    </xf>
    <xf numFmtId="0" fontId="138" fillId="11" borderId="8" xfId="0" applyFont="1" applyFill="1" applyBorder="1" applyAlignment="1" applyProtection="1">
      <alignment horizontal="center" vertical="center" shrinkToFit="1"/>
    </xf>
    <xf numFmtId="0" fontId="124" fillId="11" borderId="8" xfId="0" applyFont="1" applyFill="1" applyBorder="1" applyAlignment="1" applyProtection="1">
      <alignment horizontal="center" vertical="center" shrinkToFit="1"/>
    </xf>
    <xf numFmtId="0" fontId="138" fillId="11" borderId="8" xfId="0" applyFont="1" applyFill="1" applyBorder="1" applyAlignment="1" applyProtection="1">
      <alignment vertical="center" shrinkToFit="1"/>
    </xf>
    <xf numFmtId="0" fontId="48" fillId="11" borderId="8" xfId="0" applyFont="1" applyFill="1" applyBorder="1" applyAlignment="1" applyProtection="1">
      <alignment vertical="center" shrinkToFit="1"/>
    </xf>
    <xf numFmtId="0" fontId="60" fillId="11" borderId="8" xfId="0" applyFont="1" applyFill="1" applyBorder="1" applyAlignment="1" applyProtection="1">
      <alignment horizontal="center" vertical="center" shrinkToFit="1"/>
    </xf>
    <xf numFmtId="0" fontId="61" fillId="11" borderId="8" xfId="0" applyNumberFormat="1" applyFont="1" applyFill="1" applyBorder="1" applyAlignment="1" applyProtection="1">
      <alignment horizontal="center" vertical="center" shrinkToFit="1"/>
    </xf>
    <xf numFmtId="0" fontId="142" fillId="11" borderId="2" xfId="0" applyFont="1" applyFill="1" applyBorder="1" applyAlignment="1" applyProtection="1">
      <alignment horizontal="right" vertical="center"/>
    </xf>
    <xf numFmtId="0" fontId="142" fillId="11" borderId="14" xfId="0" applyFont="1" applyFill="1" applyBorder="1" applyAlignment="1" applyProtection="1">
      <alignment horizontal="right" vertical="center" indent="1"/>
    </xf>
    <xf numFmtId="0" fontId="143" fillId="0" borderId="8" xfId="0" applyFont="1" applyBorder="1" applyAlignment="1">
      <alignment vertical="center"/>
    </xf>
    <xf numFmtId="0" fontId="144" fillId="0" borderId="8" xfId="0" applyFont="1" applyBorder="1"/>
    <xf numFmtId="0" fontId="34" fillId="2" borderId="8" xfId="0" applyFont="1" applyFill="1" applyBorder="1" applyAlignment="1">
      <alignment horizontal="center" vertical="center" wrapText="1"/>
    </xf>
    <xf numFmtId="0" fontId="46" fillId="2" borderId="8" xfId="0" applyFont="1" applyFill="1" applyBorder="1" applyAlignment="1">
      <alignment vertical="center"/>
    </xf>
    <xf numFmtId="0" fontId="138" fillId="2" borderId="8" xfId="0" applyFont="1" applyFill="1" applyBorder="1" applyAlignment="1">
      <alignment horizontal="center" vertical="center" shrinkToFit="1"/>
    </xf>
    <xf numFmtId="0" fontId="138" fillId="2" borderId="8" xfId="0" applyFont="1" applyFill="1" applyBorder="1" applyAlignment="1">
      <alignment horizontal="center" vertical="center"/>
    </xf>
    <xf numFmtId="0" fontId="145" fillId="2" borderId="8" xfId="0" applyFont="1" applyFill="1" applyBorder="1" applyAlignment="1">
      <alignment vertical="center"/>
    </xf>
    <xf numFmtId="0" fontId="146" fillId="2" borderId="8" xfId="0" applyFont="1" applyFill="1" applyBorder="1" applyAlignment="1">
      <alignment horizontal="left" vertical="center" shrinkToFit="1"/>
    </xf>
    <xf numFmtId="0" fontId="146" fillId="2" borderId="8" xfId="0" applyFont="1" applyFill="1" applyBorder="1" applyAlignment="1">
      <alignment vertical="center"/>
    </xf>
    <xf numFmtId="0" fontId="141" fillId="2" borderId="8" xfId="0" applyFont="1" applyFill="1" applyBorder="1" applyAlignment="1">
      <alignment horizontal="center" vertical="center" shrinkToFit="1"/>
    </xf>
    <xf numFmtId="0" fontId="141" fillId="2" borderId="8" xfId="0" applyFont="1" applyFill="1" applyBorder="1" applyAlignment="1">
      <alignment horizontal="center" vertical="center"/>
    </xf>
    <xf numFmtId="0" fontId="147" fillId="2" borderId="8" xfId="0" applyFont="1" applyFill="1" applyBorder="1" applyAlignment="1">
      <alignment horizontal="center" vertical="center" shrinkToFit="1"/>
    </xf>
    <xf numFmtId="0" fontId="148" fillId="2" borderId="8" xfId="0" applyFont="1" applyFill="1" applyBorder="1" applyAlignment="1">
      <alignment horizontal="center" vertical="center" shrinkToFit="1"/>
    </xf>
    <xf numFmtId="0" fontId="138" fillId="2" borderId="8" xfId="0" applyFont="1" applyFill="1" applyBorder="1" applyAlignment="1" applyProtection="1">
      <alignment horizontal="center" vertical="center"/>
      <protection locked="0"/>
    </xf>
    <xf numFmtId="0" fontId="4" fillId="2" borderId="42" xfId="0" applyFont="1" applyFill="1" applyBorder="1" applyAlignment="1" applyProtection="1">
      <alignment vertical="center"/>
    </xf>
    <xf numFmtId="0" fontId="46" fillId="2" borderId="8"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left" vertical="center" wrapText="1"/>
      <protection locked="0"/>
    </xf>
    <xf numFmtId="0" fontId="124" fillId="2" borderId="8" xfId="0" applyFont="1" applyFill="1" applyBorder="1" applyAlignment="1" applyProtection="1">
      <alignment horizontal="center" vertical="center" wrapText="1"/>
      <protection locked="0"/>
    </xf>
    <xf numFmtId="0" fontId="7" fillId="12" borderId="8" xfId="0" applyFont="1" applyFill="1" applyBorder="1" applyAlignment="1">
      <alignment horizontal="center" vertical="center" wrapText="1"/>
    </xf>
    <xf numFmtId="0" fontId="150" fillId="12" borderId="8"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43" fillId="12" borderId="0" xfId="0" applyFont="1" applyFill="1"/>
    <xf numFmtId="0" fontId="31" fillId="12" borderId="0" xfId="0" applyFont="1" applyFill="1" applyBorder="1" applyAlignment="1">
      <alignment horizontal="center" vertical="center"/>
    </xf>
    <xf numFmtId="0" fontId="75" fillId="2" borderId="8" xfId="0" applyFont="1" applyFill="1" applyBorder="1" applyAlignment="1">
      <alignment horizontal="center" vertical="center" shrinkToFit="1"/>
    </xf>
    <xf numFmtId="0" fontId="60" fillId="0" borderId="8" xfId="0" applyFont="1" applyFill="1" applyBorder="1" applyAlignment="1">
      <alignment horizontal="center" vertical="center"/>
    </xf>
    <xf numFmtId="0" fontId="60" fillId="0" borderId="8" xfId="0" applyFont="1" applyFill="1" applyBorder="1" applyAlignment="1">
      <alignment vertical="center"/>
    </xf>
    <xf numFmtId="0" fontId="19" fillId="2" borderId="8" xfId="0" applyFont="1" applyFill="1" applyBorder="1" applyAlignment="1">
      <alignment vertical="center"/>
    </xf>
    <xf numFmtId="0" fontId="139" fillId="2" borderId="8" xfId="0" applyFont="1" applyFill="1" applyBorder="1" applyAlignment="1">
      <alignment vertical="center" shrinkToFit="1"/>
    </xf>
    <xf numFmtId="0" fontId="139" fillId="2" borderId="8" xfId="0" quotePrefix="1" applyFont="1" applyFill="1" applyBorder="1" applyAlignment="1">
      <alignment vertical="center" shrinkToFit="1"/>
    </xf>
    <xf numFmtId="0" fontId="27" fillId="2" borderId="8" xfId="0" applyFont="1" applyFill="1" applyBorder="1" applyAlignment="1">
      <alignment horizontal="center" vertical="center"/>
    </xf>
    <xf numFmtId="0" fontId="0" fillId="0" borderId="8" xfId="0" applyFont="1" applyBorder="1"/>
    <xf numFmtId="0" fontId="131" fillId="2" borderId="8" xfId="0" applyFont="1" applyFill="1" applyBorder="1" applyAlignment="1">
      <alignment vertical="center" shrinkToFit="1"/>
    </xf>
    <xf numFmtId="0" fontId="131" fillId="2" borderId="8" xfId="0" quotePrefix="1" applyFont="1" applyFill="1" applyBorder="1" applyAlignment="1">
      <alignment vertical="center" shrinkToFit="1"/>
    </xf>
    <xf numFmtId="0" fontId="34" fillId="0" borderId="8" xfId="0" applyFont="1" applyBorder="1" applyAlignment="1">
      <alignment vertical="center" wrapText="1"/>
    </xf>
    <xf numFmtId="174" fontId="27" fillId="2" borderId="8" xfId="0" applyNumberFormat="1" applyFont="1" applyFill="1" applyBorder="1" applyAlignment="1">
      <alignment horizontal="center" vertical="center"/>
    </xf>
    <xf numFmtId="174" fontId="25" fillId="2" borderId="8" xfId="0" applyNumberFormat="1" applyFont="1" applyFill="1" applyBorder="1" applyAlignment="1">
      <alignment horizontal="center"/>
    </xf>
    <xf numFmtId="0" fontId="151" fillId="2" borderId="8" xfId="0" applyFont="1" applyFill="1" applyBorder="1" applyAlignment="1">
      <alignment vertical="center" shrinkToFit="1"/>
    </xf>
    <xf numFmtId="0" fontId="151" fillId="2" borderId="8" xfId="0" quotePrefix="1" applyFont="1" applyFill="1" applyBorder="1" applyAlignment="1">
      <alignment vertical="center" shrinkToFit="1"/>
    </xf>
    <xf numFmtId="0" fontId="75" fillId="2" borderId="8" xfId="0" applyFont="1" applyFill="1" applyBorder="1" applyAlignment="1">
      <alignment horizontal="center"/>
    </xf>
    <xf numFmtId="0" fontId="152" fillId="0" borderId="0" xfId="0" applyFont="1"/>
    <xf numFmtId="0" fontId="68" fillId="2" borderId="27" xfId="0" applyFont="1" applyFill="1" applyBorder="1" applyAlignment="1">
      <alignment horizontal="center" vertical="center" shrinkToFit="1"/>
    </xf>
    <xf numFmtId="14" fontId="68" fillId="2" borderId="8" xfId="0" applyNumberFormat="1" applyFont="1" applyFill="1" applyBorder="1" applyAlignment="1">
      <alignment horizontal="center" vertical="center" shrinkToFit="1"/>
    </xf>
    <xf numFmtId="0" fontId="138" fillId="2" borderId="8" xfId="0" applyFont="1" applyFill="1" applyBorder="1" applyAlignment="1" applyProtection="1">
      <alignment horizontal="center" vertical="center" shrinkToFit="1"/>
      <protection locked="0"/>
    </xf>
    <xf numFmtId="0" fontId="138" fillId="2" borderId="31" xfId="0" applyFont="1" applyFill="1" applyBorder="1" applyAlignment="1">
      <alignment horizontal="center" vertical="center" shrinkToFit="1"/>
    </xf>
    <xf numFmtId="0" fontId="49" fillId="6" borderId="14" xfId="0" applyFont="1" applyFill="1" applyBorder="1" applyAlignment="1">
      <alignment horizontal="right" vertical="center" shrinkToFit="1"/>
    </xf>
    <xf numFmtId="0" fontId="49" fillId="6" borderId="14" xfId="0" applyFont="1" applyFill="1" applyBorder="1" applyAlignment="1">
      <alignment horizontal="center" vertical="center" shrinkToFit="1"/>
    </xf>
    <xf numFmtId="0" fontId="43" fillId="6" borderId="14" xfId="0" applyNumberFormat="1" applyFont="1" applyFill="1" applyBorder="1" applyAlignment="1">
      <alignment horizontal="center" vertical="center"/>
    </xf>
    <xf numFmtId="0" fontId="55" fillId="12" borderId="8" xfId="0" applyFont="1" applyFill="1" applyBorder="1" applyAlignment="1">
      <alignment horizontal="center" vertical="center" shrinkToFit="1"/>
    </xf>
    <xf numFmtId="0" fontId="146" fillId="6" borderId="8" xfId="0" applyFont="1" applyFill="1" applyBorder="1" applyAlignment="1">
      <alignment vertical="center" shrinkToFit="1"/>
    </xf>
    <xf numFmtId="0" fontId="61" fillId="6" borderId="8" xfId="0" applyNumberFormat="1" applyFont="1" applyFill="1" applyBorder="1" applyAlignment="1">
      <alignment horizontal="center" vertical="center" shrinkToFit="1"/>
    </xf>
    <xf numFmtId="0" fontId="61" fillId="6" borderId="13" xfId="0" applyFont="1" applyFill="1" applyBorder="1" applyAlignment="1">
      <alignment horizontal="center" vertical="center" shrinkToFit="1"/>
    </xf>
    <xf numFmtId="0" fontId="116" fillId="0" borderId="0" xfId="0" applyFont="1" applyBorder="1" applyAlignment="1">
      <alignment horizontal="center"/>
    </xf>
    <xf numFmtId="0" fontId="117" fillId="0" borderId="0" xfId="0" applyFont="1" applyBorder="1" applyAlignment="1">
      <alignment horizontal="center"/>
    </xf>
    <xf numFmtId="0" fontId="154" fillId="2" borderId="0" xfId="0" applyFont="1" applyFill="1" applyBorder="1" applyAlignment="1" applyProtection="1">
      <alignment horizontal="left" vertical="top" wrapText="1"/>
    </xf>
    <xf numFmtId="1" fontId="134" fillId="6" borderId="20" xfId="0" applyNumberFormat="1" applyFont="1" applyFill="1" applyBorder="1" applyAlignment="1">
      <alignment horizontal="right" vertical="center"/>
    </xf>
    <xf numFmtId="1" fontId="135" fillId="6" borderId="20" xfId="0" applyNumberFormat="1" applyFont="1" applyFill="1" applyBorder="1" applyAlignment="1">
      <alignment horizontal="right" vertical="center"/>
    </xf>
    <xf numFmtId="1" fontId="134" fillId="6" borderId="20" xfId="0" applyNumberFormat="1" applyFont="1" applyFill="1" applyBorder="1" applyAlignment="1">
      <alignment horizontal="right"/>
    </xf>
    <xf numFmtId="1" fontId="135" fillId="7" borderId="20" xfId="0" applyNumberFormat="1" applyFont="1" applyFill="1" applyBorder="1" applyAlignment="1">
      <alignment horizontal="right" vertical="center"/>
    </xf>
    <xf numFmtId="1" fontId="134" fillId="7" borderId="20" xfId="0" applyNumberFormat="1" applyFont="1" applyFill="1" applyBorder="1" applyAlignment="1">
      <alignment horizontal="right" vertical="center"/>
    </xf>
    <xf numFmtId="2" fontId="134" fillId="7" borderId="20" xfId="0" applyNumberFormat="1" applyFont="1" applyFill="1" applyBorder="1" applyAlignment="1">
      <alignment horizontal="right" vertical="center"/>
    </xf>
    <xf numFmtId="0" fontId="156" fillId="2" borderId="0" xfId="0" applyFont="1" applyFill="1" applyAlignment="1">
      <alignment horizontal="left" vertical="center"/>
    </xf>
    <xf numFmtId="0" fontId="157"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Border="1" applyAlignment="1" applyProtection="1">
      <alignment vertical="center"/>
    </xf>
    <xf numFmtId="0" fontId="126" fillId="2" borderId="0" xfId="0" applyFont="1" applyFill="1" applyBorder="1" applyAlignment="1" applyProtection="1">
      <alignment vertical="center"/>
    </xf>
    <xf numFmtId="0" fontId="158" fillId="2" borderId="0" xfId="0" applyFont="1" applyFill="1" applyBorder="1" applyAlignment="1" applyProtection="1">
      <alignment vertical="center"/>
    </xf>
    <xf numFmtId="0" fontId="43" fillId="13" borderId="0" xfId="0" applyNumberFormat="1" applyFont="1" applyFill="1" applyBorder="1" applyAlignment="1"/>
    <xf numFmtId="0" fontId="20" fillId="6" borderId="0" xfId="0" applyFont="1" applyFill="1" applyAlignment="1">
      <alignment vertical="center"/>
    </xf>
    <xf numFmtId="178" fontId="149" fillId="2" borderId="0" xfId="0" applyNumberFormat="1" applyFont="1" applyFill="1" applyAlignment="1">
      <alignment horizontal="center" shrinkToFit="1"/>
    </xf>
    <xf numFmtId="0" fontId="18" fillId="6" borderId="0" xfId="0" applyFont="1" applyFill="1" applyAlignment="1"/>
    <xf numFmtId="0" fontId="153" fillId="2" borderId="0" xfId="0" applyFont="1" applyFill="1" applyBorder="1" applyAlignment="1" applyProtection="1">
      <alignment horizontal="left" vertical="center" wrapText="1"/>
    </xf>
    <xf numFmtId="0" fontId="169" fillId="0" borderId="0" xfId="0" applyFont="1" applyAlignment="1"/>
    <xf numFmtId="0" fontId="170" fillId="0" borderId="0" xfId="0" applyFont="1"/>
    <xf numFmtId="0" fontId="169" fillId="0" borderId="0" xfId="0" applyFont="1" applyAlignment="1">
      <alignment horizontal="center" vertical="center" wrapText="1"/>
    </xf>
    <xf numFmtId="49" fontId="107" fillId="0" borderId="8" xfId="0" applyNumberFormat="1" applyFont="1" applyBorder="1" applyAlignment="1">
      <alignment horizontal="center" vertical="center"/>
    </xf>
    <xf numFmtId="0" fontId="107" fillId="0" borderId="0" xfId="0" applyFont="1" applyAlignment="1">
      <alignment horizontal="center"/>
    </xf>
    <xf numFmtId="0" fontId="107" fillId="0" borderId="8" xfId="0" applyFont="1" applyBorder="1" applyAlignment="1">
      <alignment horizontal="center" vertical="center"/>
    </xf>
    <xf numFmtId="180" fontId="107" fillId="0" borderId="8" xfId="0" applyNumberFormat="1" applyFont="1" applyBorder="1" applyAlignment="1">
      <alignment horizontal="center" vertical="center"/>
    </xf>
    <xf numFmtId="0" fontId="107" fillId="0" borderId="0" xfId="0" applyFont="1" applyAlignment="1">
      <alignment horizontal="center" vertical="center"/>
    </xf>
    <xf numFmtId="0" fontId="49" fillId="0" borderId="8" xfId="0" applyFont="1" applyBorder="1" applyAlignment="1">
      <alignment horizontal="center" vertical="center"/>
    </xf>
    <xf numFmtId="0" fontId="49" fillId="0" borderId="8" xfId="0" applyFont="1" applyBorder="1" applyAlignment="1">
      <alignment vertical="center"/>
    </xf>
    <xf numFmtId="0" fontId="49" fillId="0" borderId="0" xfId="0" applyFont="1" applyAlignment="1">
      <alignment vertical="center"/>
    </xf>
    <xf numFmtId="0" fontId="172" fillId="0" borderId="8" xfId="0" applyFont="1" applyBorder="1" applyAlignment="1">
      <alignment horizontal="center" vertical="center"/>
    </xf>
    <xf numFmtId="0" fontId="172" fillId="0" borderId="0" xfId="0" applyFont="1" applyAlignment="1">
      <alignment vertical="center"/>
    </xf>
    <xf numFmtId="0" fontId="171" fillId="0" borderId="0" xfId="0" applyFont="1" applyAlignment="1">
      <alignment vertical="center"/>
    </xf>
    <xf numFmtId="0" fontId="171" fillId="0" borderId="0" xfId="0" applyFont="1" applyAlignment="1">
      <alignment horizontal="right" vertical="center"/>
    </xf>
    <xf numFmtId="0" fontId="171" fillId="0" borderId="0" xfId="0" applyFont="1" applyAlignment="1">
      <alignment horizontal="center" vertical="center"/>
    </xf>
    <xf numFmtId="0" fontId="173" fillId="0" borderId="0" xfId="0" applyFont="1" applyAlignment="1">
      <alignment horizontal="center" vertical="center"/>
    </xf>
    <xf numFmtId="0" fontId="33" fillId="0" borderId="0" xfId="0" applyFont="1" applyAlignment="1">
      <alignment horizontal="center" vertical="center"/>
    </xf>
    <xf numFmtId="0" fontId="171" fillId="0" borderId="0" xfId="0" applyFont="1" applyAlignment="1">
      <alignment horizontal="right"/>
    </xf>
    <xf numFmtId="0" fontId="171" fillId="0" borderId="0" xfId="0" applyFont="1"/>
    <xf numFmtId="0" fontId="0" fillId="0" borderId="0" xfId="0" applyAlignment="1">
      <alignment horizontal="right"/>
    </xf>
    <xf numFmtId="0" fontId="13" fillId="5" borderId="23" xfId="0" applyFont="1" applyFill="1" applyBorder="1" applyAlignment="1">
      <alignment vertical="center"/>
    </xf>
    <xf numFmtId="0" fontId="20" fillId="2" borderId="42" xfId="0" applyFont="1" applyFill="1" applyBorder="1" applyAlignment="1">
      <alignment horizontal="right" vertical="center"/>
    </xf>
    <xf numFmtId="0" fontId="126" fillId="5" borderId="2" xfId="0" applyFont="1" applyFill="1" applyBorder="1" applyAlignment="1">
      <alignment horizontal="center" vertical="center"/>
    </xf>
    <xf numFmtId="0" fontId="122" fillId="2" borderId="53" xfId="0" applyFont="1" applyFill="1" applyBorder="1" applyAlignment="1">
      <alignment horizontal="right" vertical="center"/>
    </xf>
    <xf numFmtId="0" fontId="4" fillId="2" borderId="0" xfId="0" applyFont="1" applyFill="1" applyBorder="1" applyAlignment="1" applyProtection="1">
      <alignment vertical="center"/>
    </xf>
    <xf numFmtId="0" fontId="10" fillId="2" borderId="42" xfId="0" applyFont="1" applyFill="1" applyBorder="1" applyAlignment="1" applyProtection="1">
      <alignment vertical="center"/>
    </xf>
    <xf numFmtId="0" fontId="68" fillId="12" borderId="8" xfId="0" applyFont="1" applyFill="1" applyBorder="1" applyAlignment="1">
      <alignment horizontal="center" vertical="center" wrapText="1"/>
    </xf>
    <xf numFmtId="0" fontId="75" fillId="2" borderId="8" xfId="0" applyFont="1" applyFill="1" applyBorder="1" applyAlignment="1">
      <alignment vertical="center" shrinkToFit="1"/>
    </xf>
    <xf numFmtId="174" fontId="75" fillId="6" borderId="8" xfId="0" applyNumberFormat="1" applyFont="1" applyFill="1" applyBorder="1" applyAlignment="1">
      <alignment horizontal="center" vertical="center"/>
    </xf>
    <xf numFmtId="0" fontId="75" fillId="2" borderId="8" xfId="0" quotePrefix="1" applyFont="1" applyFill="1" applyBorder="1" applyAlignment="1">
      <alignment vertical="center" shrinkToFit="1"/>
    </xf>
    <xf numFmtId="0" fontId="17" fillId="2" borderId="8" xfId="0" applyFont="1" applyFill="1" applyBorder="1" applyAlignment="1">
      <alignment horizontal="center"/>
    </xf>
    <xf numFmtId="0" fontId="154" fillId="2" borderId="0" xfId="0" applyFont="1" applyFill="1" applyBorder="1" applyAlignment="1" applyProtection="1">
      <alignment vertical="center"/>
    </xf>
    <xf numFmtId="0" fontId="175" fillId="2" borderId="0" xfId="0" applyFont="1" applyFill="1" applyAlignment="1">
      <alignment vertical="center"/>
    </xf>
    <xf numFmtId="0" fontId="33" fillId="2" borderId="0" xfId="0" applyFont="1" applyFill="1" applyAlignment="1">
      <alignment vertical="center" wrapText="1"/>
    </xf>
    <xf numFmtId="0" fontId="146" fillId="2" borderId="8" xfId="0" applyFont="1" applyFill="1" applyBorder="1" applyAlignment="1">
      <alignment horizontal="center" vertical="center" wrapText="1"/>
    </xf>
    <xf numFmtId="0" fontId="34" fillId="2" borderId="13" xfId="0" applyFont="1" applyFill="1" applyBorder="1" applyAlignment="1">
      <alignment horizontal="right" vertical="top" shrinkToFit="1"/>
    </xf>
    <xf numFmtId="0" fontId="26" fillId="2" borderId="14" xfId="0" applyFont="1" applyFill="1" applyBorder="1" applyAlignment="1">
      <alignment vertical="top" wrapText="1" shrinkToFit="1"/>
    </xf>
    <xf numFmtId="0" fontId="33" fillId="2" borderId="14" xfId="0" applyFont="1" applyFill="1" applyBorder="1" applyAlignment="1">
      <alignment vertical="top" wrapText="1" shrinkToFit="1"/>
    </xf>
    <xf numFmtId="0" fontId="34" fillId="2" borderId="13" xfId="0" applyFont="1" applyFill="1" applyBorder="1" applyAlignment="1">
      <alignment horizontal="center" vertical="top" shrinkToFit="1"/>
    </xf>
    <xf numFmtId="0" fontId="33" fillId="2" borderId="14" xfId="0" quotePrefix="1" applyFont="1" applyFill="1" applyBorder="1" applyAlignment="1">
      <alignment vertical="top" wrapText="1" shrinkToFit="1"/>
    </xf>
    <xf numFmtId="0" fontId="178" fillId="2" borderId="0" xfId="0" applyFont="1" applyFill="1" applyAlignment="1">
      <alignment horizontal="center" vertical="center"/>
    </xf>
    <xf numFmtId="0" fontId="155" fillId="2" borderId="0" xfId="0" applyFont="1" applyFill="1" applyAlignment="1">
      <alignment horizontal="center" vertical="top"/>
    </xf>
    <xf numFmtId="0" fontId="155" fillId="2" borderId="0" xfId="0" applyFont="1" applyFill="1" applyAlignment="1">
      <alignment horizontal="center" vertical="top" wrapText="1"/>
    </xf>
    <xf numFmtId="179" fontId="162" fillId="0" borderId="0" xfId="0" applyNumberFormat="1" applyFont="1" applyAlignment="1">
      <alignment horizontal="center" vertical="top"/>
    </xf>
    <xf numFmtId="0" fontId="175" fillId="2" borderId="0" xfId="0" applyFont="1" applyFill="1" applyAlignment="1">
      <alignment horizontal="center"/>
    </xf>
    <xf numFmtId="0" fontId="24" fillId="0" borderId="23" xfId="0" applyFont="1" applyBorder="1" applyAlignment="1"/>
    <xf numFmtId="0" fontId="46" fillId="0" borderId="8" xfId="0" applyFont="1" applyBorder="1" applyAlignment="1">
      <alignment horizontal="left" vertical="center"/>
    </xf>
    <xf numFmtId="0" fontId="81" fillId="0" borderId="8" xfId="0" applyFont="1" applyBorder="1" applyAlignment="1">
      <alignment horizontal="center" vertical="center"/>
    </xf>
    <xf numFmtId="0" fontId="64" fillId="0" borderId="8" xfId="0" applyFont="1" applyBorder="1" applyAlignment="1">
      <alignment horizontal="center" vertical="center"/>
    </xf>
    <xf numFmtId="181" fontId="64" fillId="0" borderId="8" xfId="0" applyNumberFormat="1" applyFont="1" applyBorder="1" applyAlignment="1">
      <alignment horizontal="center" vertical="center"/>
    </xf>
    <xf numFmtId="0" fontId="61" fillId="0" borderId="8" xfId="0" applyFont="1" applyBorder="1" applyAlignment="1">
      <alignment vertical="center"/>
    </xf>
    <xf numFmtId="0" fontId="177" fillId="2" borderId="8" xfId="0" applyFont="1" applyFill="1" applyBorder="1" applyAlignment="1">
      <alignment vertical="center" shrinkToFit="1"/>
    </xf>
    <xf numFmtId="0" fontId="177" fillId="2" borderId="8" xfId="0" quotePrefix="1" applyFont="1" applyFill="1" applyBorder="1" applyAlignment="1">
      <alignment vertical="center" shrinkToFit="1"/>
    </xf>
    <xf numFmtId="0" fontId="34" fillId="0" borderId="8" xfId="0" applyFont="1" applyBorder="1" applyAlignment="1">
      <alignment horizontal="center" vertical="center"/>
    </xf>
    <xf numFmtId="0" fontId="181" fillId="0" borderId="8" xfId="0" applyFont="1" applyBorder="1" applyAlignment="1">
      <alignment horizontal="center" vertical="center"/>
    </xf>
    <xf numFmtId="0" fontId="60" fillId="0" borderId="0" xfId="0" applyFont="1" applyAlignment="1">
      <alignment vertical="center"/>
    </xf>
    <xf numFmtId="0" fontId="138" fillId="0" borderId="8" xfId="0" applyFont="1" applyBorder="1" applyAlignment="1">
      <alignment horizontal="center" vertical="center"/>
    </xf>
    <xf numFmtId="180" fontId="138" fillId="0" borderId="8" xfId="0" applyNumberFormat="1" applyFont="1" applyBorder="1" applyAlignment="1">
      <alignment horizontal="center" vertical="center"/>
    </xf>
    <xf numFmtId="0" fontId="180" fillId="0" borderId="8" xfId="0" applyFont="1" applyBorder="1" applyAlignment="1">
      <alignment vertical="center"/>
    </xf>
    <xf numFmtId="0" fontId="180" fillId="0" borderId="8" xfId="0" applyFont="1" applyBorder="1" applyAlignment="1">
      <alignment horizontal="left" vertical="center"/>
    </xf>
    <xf numFmtId="0" fontId="81" fillId="0" borderId="8" xfId="0" applyFont="1" applyBorder="1" applyAlignment="1">
      <alignment horizontal="left" vertical="center"/>
    </xf>
    <xf numFmtId="0" fontId="182" fillId="0" borderId="8" xfId="0" applyFont="1" applyBorder="1" applyAlignment="1">
      <alignment horizontal="left" vertical="center"/>
    </xf>
    <xf numFmtId="0" fontId="138" fillId="0" borderId="8" xfId="0" applyFont="1" applyBorder="1" applyAlignment="1">
      <alignment vertical="center"/>
    </xf>
    <xf numFmtId="181" fontId="138" fillId="0" borderId="8" xfId="0" applyNumberFormat="1" applyFont="1" applyBorder="1" applyAlignment="1">
      <alignment horizontal="center" vertical="center"/>
    </xf>
    <xf numFmtId="0" fontId="183" fillId="0" borderId="8" xfId="0" applyFont="1" applyBorder="1" applyAlignment="1">
      <alignment horizontal="center" vertical="center"/>
    </xf>
    <xf numFmtId="0" fontId="178" fillId="2" borderId="0" xfId="0" applyFont="1" applyFill="1" applyAlignment="1"/>
    <xf numFmtId="0" fontId="146" fillId="2" borderId="0" xfId="0" applyFont="1" applyFill="1" applyAlignment="1"/>
    <xf numFmtId="0" fontId="146" fillId="2" borderId="0" xfId="0" applyFont="1" applyFill="1" applyAlignment="1">
      <alignment vertical="top" wrapText="1"/>
    </xf>
    <xf numFmtId="0" fontId="33" fillId="2" borderId="0" xfId="0" applyFont="1" applyFill="1" applyAlignment="1">
      <alignment horizontal="center" vertical="center"/>
    </xf>
    <xf numFmtId="0" fontId="123" fillId="0" borderId="0" xfId="0" applyFont="1" applyAlignment="1">
      <alignment vertical="center"/>
    </xf>
    <xf numFmtId="0" fontId="26" fillId="0" borderId="0" xfId="0" applyFont="1" applyBorder="1" applyAlignment="1">
      <alignment vertical="center"/>
    </xf>
    <xf numFmtId="0" fontId="33" fillId="0" borderId="0" xfId="0" applyFont="1" applyBorder="1" applyAlignment="1">
      <alignment vertical="center"/>
    </xf>
    <xf numFmtId="0" fontId="171" fillId="0" borderId="41" xfId="0" applyFont="1" applyBorder="1" applyAlignment="1">
      <alignment vertical="center"/>
    </xf>
    <xf numFmtId="0" fontId="171" fillId="0" borderId="61" xfId="0" applyFont="1" applyBorder="1" applyAlignment="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171" fillId="0" borderId="22" xfId="0" applyFont="1" applyBorder="1" applyAlignment="1">
      <alignment vertical="center"/>
    </xf>
    <xf numFmtId="0" fontId="47" fillId="0" borderId="23" xfId="0" applyFont="1" applyBorder="1" applyAlignment="1">
      <alignment vertical="center"/>
    </xf>
    <xf numFmtId="0" fontId="33" fillId="0" borderId="23" xfId="0" applyFont="1" applyBorder="1" applyAlignment="1">
      <alignment vertical="center"/>
    </xf>
    <xf numFmtId="0" fontId="20" fillId="0" borderId="23" xfId="0" applyFont="1" applyBorder="1" applyAlignment="1">
      <alignment horizontal="right" vertical="center"/>
    </xf>
    <xf numFmtId="0" fontId="171" fillId="0" borderId="13" xfId="0" applyFont="1" applyBorder="1" applyAlignment="1">
      <alignment vertical="center"/>
    </xf>
    <xf numFmtId="0" fontId="107" fillId="0" borderId="2" xfId="0" applyFont="1" applyBorder="1" applyAlignment="1">
      <alignment vertical="center"/>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42" xfId="0" applyFont="1" applyBorder="1" applyAlignment="1">
      <alignment vertical="center"/>
    </xf>
    <xf numFmtId="0" fontId="35" fillId="0" borderId="42" xfId="0" applyFont="1" applyBorder="1" applyAlignment="1">
      <alignment horizontal="right" vertical="center"/>
    </xf>
    <xf numFmtId="0" fontId="35" fillId="0" borderId="23" xfId="0" applyFont="1" applyBorder="1" applyAlignment="1">
      <alignment vertical="center"/>
    </xf>
    <xf numFmtId="0" fontId="35" fillId="0" borderId="23" xfId="0" applyFont="1" applyBorder="1" applyAlignment="1">
      <alignment horizontal="right" vertical="center"/>
    </xf>
    <xf numFmtId="0" fontId="84" fillId="0" borderId="13" xfId="0" applyFont="1" applyBorder="1" applyAlignment="1">
      <alignment vertical="center"/>
    </xf>
    <xf numFmtId="0" fontId="46" fillId="0" borderId="2" xfId="0" applyFont="1" applyBorder="1" applyAlignment="1">
      <alignment vertical="center"/>
    </xf>
    <xf numFmtId="0" fontId="46" fillId="0" borderId="2" xfId="0" applyFont="1" applyBorder="1" applyAlignment="1">
      <alignment horizontal="right" vertical="center"/>
    </xf>
    <xf numFmtId="0" fontId="187" fillId="0" borderId="0" xfId="0" applyFont="1" applyAlignment="1">
      <alignment vertical="center"/>
    </xf>
    <xf numFmtId="0" fontId="35" fillId="0" borderId="13" xfId="0" applyFont="1" applyBorder="1" applyAlignment="1">
      <alignment horizontal="center" vertical="center"/>
    </xf>
    <xf numFmtId="0" fontId="35" fillId="0" borderId="22" xfId="0" applyFont="1" applyBorder="1" applyAlignment="1">
      <alignment horizontal="center" vertical="center"/>
    </xf>
    <xf numFmtId="0" fontId="171" fillId="0" borderId="13" xfId="0" applyFont="1" applyBorder="1" applyAlignment="1">
      <alignment horizontal="center" vertical="center"/>
    </xf>
    <xf numFmtId="0" fontId="171" fillId="0" borderId="2" xfId="0" applyFont="1" applyBorder="1" applyAlignment="1">
      <alignment vertical="center"/>
    </xf>
    <xf numFmtId="0" fontId="173" fillId="0" borderId="13" xfId="0" applyFont="1" applyBorder="1" applyAlignment="1">
      <alignment horizontal="center" vertical="center"/>
    </xf>
    <xf numFmtId="0" fontId="146" fillId="0" borderId="8" xfId="0" applyFont="1" applyBorder="1" applyAlignment="1">
      <alignment horizontal="center" vertical="center" wrapText="1"/>
    </xf>
    <xf numFmtId="0" fontId="0" fillId="0" borderId="0" xfId="0" applyAlignment="1">
      <alignment vertical="top"/>
    </xf>
    <xf numFmtId="0" fontId="138" fillId="0" borderId="8" xfId="0" applyFont="1" applyBorder="1" applyAlignment="1">
      <alignment horizontal="center" vertical="center" wrapText="1"/>
    </xf>
    <xf numFmtId="0" fontId="163" fillId="0" borderId="8" xfId="0" applyFont="1" applyBorder="1" applyAlignment="1">
      <alignment horizontal="center"/>
    </xf>
    <xf numFmtId="0" fontId="163"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44" fillId="0" borderId="8" xfId="0" applyFont="1" applyBorder="1" applyAlignment="1">
      <alignment horizontal="center" vertical="center" wrapText="1"/>
    </xf>
    <xf numFmtId="0" fontId="191" fillId="0" borderId="8" xfId="0" applyFont="1" applyBorder="1" applyAlignment="1">
      <alignment horizontal="center"/>
    </xf>
    <xf numFmtId="0" fontId="192" fillId="0" borderId="8" xfId="0" applyFont="1" applyBorder="1" applyAlignment="1">
      <alignment horizontal="left" vertical="center" wrapText="1"/>
    </xf>
    <xf numFmtId="0" fontId="193" fillId="0" borderId="8" xfId="0" applyFont="1" applyBorder="1" applyAlignment="1">
      <alignment horizontal="left" vertical="center" wrapText="1"/>
    </xf>
    <xf numFmtId="0" fontId="194" fillId="0" borderId="8" xfId="0" applyFont="1" applyBorder="1" applyAlignment="1">
      <alignment horizontal="center" vertical="center" wrapText="1"/>
    </xf>
    <xf numFmtId="0" fontId="26" fillId="0" borderId="0" xfId="0" applyFont="1" applyBorder="1" applyAlignment="1">
      <alignment horizontal="center"/>
    </xf>
    <xf numFmtId="0" fontId="163" fillId="0" borderId="8" xfId="0" applyFont="1" applyBorder="1" applyAlignment="1">
      <alignment horizontal="left" vertical="center" wrapText="1"/>
    </xf>
    <xf numFmtId="0" fontId="163" fillId="0" borderId="8" xfId="0" applyFont="1" applyBorder="1" applyAlignment="1">
      <alignment vertical="center" wrapText="1"/>
    </xf>
    <xf numFmtId="0" fontId="108" fillId="0" borderId="8" xfId="0" applyFont="1" applyBorder="1" applyAlignment="1">
      <alignment horizontal="center" vertical="center" wrapText="1"/>
    </xf>
    <xf numFmtId="0" fontId="32" fillId="8" borderId="2" xfId="0" applyFont="1" applyFill="1" applyBorder="1" applyAlignment="1" applyProtection="1">
      <alignment horizontal="right" vertical="center"/>
    </xf>
    <xf numFmtId="0" fontId="35" fillId="0" borderId="8" xfId="0" applyFont="1" applyBorder="1" applyAlignment="1">
      <alignment horizontal="center" vertical="center" wrapText="1"/>
    </xf>
    <xf numFmtId="0" fontId="109" fillId="20" borderId="69" xfId="0" applyFont="1" applyFill="1" applyBorder="1" applyAlignment="1" applyProtection="1">
      <alignment horizontal="center" vertical="center"/>
      <protection hidden="1"/>
    </xf>
    <xf numFmtId="0" fontId="205" fillId="20" borderId="70" xfId="0" applyFont="1" applyFill="1" applyBorder="1" applyAlignment="1" applyProtection="1">
      <alignment horizontal="center" vertical="center"/>
      <protection hidden="1"/>
    </xf>
    <xf numFmtId="0" fontId="109" fillId="20" borderId="70" xfId="0" applyFont="1" applyFill="1" applyBorder="1" applyAlignment="1" applyProtection="1">
      <alignment horizontal="center" vertical="center"/>
      <protection hidden="1"/>
    </xf>
    <xf numFmtId="0" fontId="205" fillId="20" borderId="71" xfId="0" applyFont="1" applyFill="1" applyBorder="1" applyAlignment="1" applyProtection="1">
      <alignment horizontal="center" vertical="center"/>
      <protection hidden="1"/>
    </xf>
    <xf numFmtId="0" fontId="196" fillId="0" borderId="0" xfId="0" applyFont="1" applyFill="1" applyAlignment="1" applyProtection="1">
      <alignment horizontal="center" vertical="center"/>
      <protection hidden="1"/>
    </xf>
    <xf numFmtId="0" fontId="196" fillId="0" borderId="0" xfId="0" applyFont="1" applyFill="1" applyAlignment="1" applyProtection="1">
      <alignment vertical="top"/>
      <protection hidden="1"/>
    </xf>
    <xf numFmtId="0" fontId="0" fillId="0" borderId="0" xfId="0" applyFill="1" applyProtection="1">
      <protection hidden="1"/>
    </xf>
    <xf numFmtId="0" fontId="0" fillId="0" borderId="0" xfId="0" applyProtection="1">
      <protection hidden="1"/>
    </xf>
    <xf numFmtId="0" fontId="197" fillId="14" borderId="0" xfId="0" applyFont="1" applyFill="1" applyProtection="1">
      <protection hidden="1"/>
    </xf>
    <xf numFmtId="0" fontId="198" fillId="15" borderId="0" xfId="0" applyNumberFormat="1" applyFont="1" applyFill="1" applyAlignment="1" applyProtection="1">
      <alignment horizontal="justify" vertical="top" wrapText="1"/>
      <protection hidden="1"/>
    </xf>
    <xf numFmtId="0" fontId="199" fillId="16" borderId="0" xfId="0" applyFont="1" applyFill="1" applyAlignment="1" applyProtection="1">
      <alignment horizontal="justify" vertical="top" wrapText="1"/>
      <protection hidden="1"/>
    </xf>
    <xf numFmtId="0" fontId="199" fillId="16" borderId="0" xfId="0" applyNumberFormat="1" applyFont="1" applyFill="1" applyAlignment="1" applyProtection="1">
      <alignment horizontal="justify" vertical="top" wrapText="1"/>
      <protection hidden="1"/>
    </xf>
    <xf numFmtId="0" fontId="200" fillId="15" borderId="0" xfId="0" applyFont="1" applyFill="1" applyAlignment="1" applyProtection="1">
      <alignment horizontal="justify" vertical="top" wrapText="1"/>
      <protection hidden="1"/>
    </xf>
    <xf numFmtId="0" fontId="200" fillId="15" borderId="0" xfId="0" applyNumberFormat="1" applyFont="1" applyFill="1" applyAlignment="1" applyProtection="1">
      <alignment horizontal="justify" vertical="top" wrapText="1"/>
      <protection hidden="1"/>
    </xf>
    <xf numFmtId="0" fontId="35" fillId="0" borderId="8" xfId="0" applyFont="1" applyBorder="1" applyAlignment="1">
      <alignment horizontal="center" vertical="center"/>
    </xf>
    <xf numFmtId="0" fontId="35" fillId="0" borderId="8" xfId="0" applyFont="1" applyBorder="1" applyAlignment="1">
      <alignment vertical="center"/>
    </xf>
    <xf numFmtId="0" fontId="69" fillId="5" borderId="0" xfId="0" applyFont="1" applyFill="1" applyBorder="1" applyAlignment="1">
      <alignment horizontal="center" vertical="center" shrinkToFit="1"/>
    </xf>
    <xf numFmtId="0" fontId="69" fillId="5" borderId="0" xfId="0" applyFont="1" applyFill="1" applyBorder="1" applyAlignment="1">
      <alignment horizontal="center" vertical="center"/>
    </xf>
    <xf numFmtId="0" fontId="60" fillId="2" borderId="3" xfId="0" applyFont="1" applyFill="1" applyBorder="1" applyAlignment="1">
      <alignment horizontal="center" vertical="center" shrinkToFit="1"/>
    </xf>
    <xf numFmtId="0" fontId="11" fillId="5" borderId="8" xfId="0" applyFont="1" applyFill="1" applyBorder="1" applyAlignment="1">
      <alignment horizontal="center" vertical="center" wrapText="1"/>
    </xf>
    <xf numFmtId="0" fontId="18" fillId="2" borderId="0" xfId="0" applyFont="1" applyFill="1" applyAlignment="1">
      <alignment horizontal="center" vertical="center"/>
    </xf>
    <xf numFmtId="0" fontId="45" fillId="2" borderId="8" xfId="0" applyFont="1" applyFill="1" applyBorder="1" applyAlignment="1">
      <alignment horizontal="center" vertical="center" wrapText="1"/>
    </xf>
    <xf numFmtId="0" fontId="206" fillId="17" borderId="72" xfId="0" applyFont="1" applyFill="1" applyBorder="1" applyAlignment="1" applyProtection="1">
      <alignment vertical="center" wrapText="1"/>
      <protection hidden="1"/>
    </xf>
    <xf numFmtId="0" fontId="32" fillId="8" borderId="13" xfId="0" applyFont="1" applyFill="1" applyBorder="1" applyAlignment="1" applyProtection="1">
      <alignment horizontal="right" vertical="center"/>
    </xf>
    <xf numFmtId="0" fontId="43" fillId="11" borderId="13" xfId="0" applyFont="1" applyFill="1" applyBorder="1" applyAlignment="1" applyProtection="1">
      <alignment horizontal="right" vertical="center"/>
    </xf>
    <xf numFmtId="0" fontId="32" fillId="11" borderId="13" xfId="0" applyFont="1" applyFill="1" applyBorder="1" applyAlignment="1" applyProtection="1">
      <alignment horizontal="right" vertical="center"/>
    </xf>
    <xf numFmtId="0" fontId="137" fillId="8" borderId="13" xfId="0" applyFont="1" applyFill="1" applyBorder="1" applyAlignment="1" applyProtection="1">
      <alignment horizontal="right" vertical="center"/>
    </xf>
    <xf numFmtId="0" fontId="115" fillId="2" borderId="13" xfId="0" applyFont="1" applyFill="1" applyBorder="1" applyAlignment="1" applyProtection="1">
      <alignment horizontal="right" vertical="center"/>
    </xf>
    <xf numFmtId="0" fontId="171" fillId="0" borderId="8" xfId="0" applyFont="1" applyBorder="1" applyAlignment="1">
      <alignment horizontal="right" vertical="center" wrapText="1"/>
    </xf>
    <xf numFmtId="0" fontId="153" fillId="2" borderId="0" xfId="0" applyFont="1" applyFill="1" applyBorder="1" applyAlignment="1" applyProtection="1">
      <alignment vertical="center"/>
    </xf>
    <xf numFmtId="0" fontId="33" fillId="0" borderId="8" xfId="0" applyFont="1" applyBorder="1" applyAlignment="1">
      <alignment horizontal="center" vertical="center" wrapText="1"/>
    </xf>
    <xf numFmtId="0" fontId="175" fillId="2" borderId="0" xfId="0" applyFont="1" applyFill="1" applyAlignment="1"/>
    <xf numFmtId="0" fontId="18" fillId="2" borderId="0" xfId="0" applyFont="1" applyFill="1" applyAlignment="1">
      <alignment vertical="center"/>
    </xf>
    <xf numFmtId="0" fontId="125" fillId="5" borderId="0" xfId="0" applyFont="1" applyFill="1" applyBorder="1" applyAlignment="1">
      <alignment horizontal="center" vertical="center" wrapText="1"/>
    </xf>
    <xf numFmtId="0" fontId="15" fillId="5" borderId="0" xfId="0" applyFont="1" applyFill="1" applyBorder="1" applyAlignment="1">
      <alignment horizontal="center" vertical="center" shrinkToFit="1"/>
    </xf>
    <xf numFmtId="0" fontId="131" fillId="5" borderId="0" xfId="0" applyFont="1" applyFill="1" applyBorder="1" applyAlignment="1">
      <alignment vertical="center" shrinkToFit="1"/>
    </xf>
    <xf numFmtId="0" fontId="11" fillId="5" borderId="0" xfId="0" applyFont="1" applyFill="1" applyBorder="1" applyAlignment="1">
      <alignment horizontal="center" vertical="center"/>
    </xf>
    <xf numFmtId="0" fontId="132" fillId="5" borderId="0" xfId="0" applyFont="1" applyFill="1" applyBorder="1" applyAlignment="1">
      <alignment horizontal="center" vertical="center"/>
    </xf>
    <xf numFmtId="0" fontId="4" fillId="5" borderId="0" xfId="0" applyFont="1" applyFill="1" applyBorder="1" applyAlignment="1">
      <alignment horizontal="center" vertical="center" wrapText="1"/>
    </xf>
    <xf numFmtId="0" fontId="128" fillId="5" borderId="0" xfId="0" applyFont="1" applyFill="1" applyBorder="1" applyAlignment="1">
      <alignment horizontal="center" vertical="center" wrapText="1"/>
    </xf>
    <xf numFmtId="0" fontId="125" fillId="5" borderId="0" xfId="0" applyFont="1" applyFill="1" applyBorder="1" applyAlignment="1">
      <alignment horizontal="center" vertical="center" wrapText="1" shrinkToFit="1"/>
    </xf>
    <xf numFmtId="0" fontId="35" fillId="5" borderId="0" xfId="0" applyFont="1" applyFill="1" applyBorder="1" applyAlignment="1">
      <alignment horizontal="left" vertical="center" shrinkToFit="1"/>
    </xf>
    <xf numFmtId="0" fontId="10" fillId="5" borderId="8"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214" fillId="0" borderId="0" xfId="0" applyFont="1"/>
    <xf numFmtId="0" fontId="218" fillId="0" borderId="8" xfId="0" applyFont="1" applyBorder="1" applyAlignment="1">
      <alignment horizontal="center" vertical="center"/>
    </xf>
    <xf numFmtId="0" fontId="218" fillId="0" borderId="8" xfId="0" applyFont="1" applyBorder="1" applyAlignment="1">
      <alignment horizontal="center" vertical="center" wrapText="1"/>
    </xf>
    <xf numFmtId="0" fontId="218" fillId="0" borderId="8" xfId="0" applyFont="1" applyBorder="1" applyAlignment="1">
      <alignment horizontal="center" wrapText="1"/>
    </xf>
    <xf numFmtId="0" fontId="218" fillId="0" borderId="8" xfId="0" applyFont="1" applyBorder="1" applyAlignment="1">
      <alignment horizontal="center"/>
    </xf>
    <xf numFmtId="0" fontId="214" fillId="0" borderId="8" xfId="0" applyFont="1" applyBorder="1" applyAlignment="1">
      <alignment horizontal="center" vertical="center"/>
    </xf>
    <xf numFmtId="1" fontId="215" fillId="0" borderId="8" xfId="0" applyNumberFormat="1" applyFont="1" applyBorder="1" applyAlignment="1">
      <alignment horizontal="center" vertical="center"/>
    </xf>
    <xf numFmtId="0" fontId="214" fillId="0" borderId="8" xfId="0" applyFont="1" applyBorder="1" applyAlignment="1">
      <alignment horizontal="center" vertical="center" wrapText="1"/>
    </xf>
    <xf numFmtId="0" fontId="214" fillId="21" borderId="8" xfId="0" applyFont="1" applyFill="1" applyBorder="1" applyAlignment="1">
      <alignment horizontal="center" vertical="center" wrapText="1"/>
    </xf>
    <xf numFmtId="0" fontId="214" fillId="21" borderId="8" xfId="0" applyFont="1" applyFill="1" applyBorder="1" applyAlignment="1">
      <alignment horizontal="center" vertical="center"/>
    </xf>
    <xf numFmtId="0" fontId="214" fillId="0" borderId="21" xfId="0" applyFont="1" applyBorder="1" applyAlignment="1">
      <alignment horizontal="center" vertical="center" wrapText="1"/>
    </xf>
    <xf numFmtId="0" fontId="214" fillId="21" borderId="21" xfId="0" applyFont="1" applyFill="1" applyBorder="1" applyAlignment="1">
      <alignment horizontal="center" vertical="center" wrapText="1"/>
    </xf>
    <xf numFmtId="0" fontId="219" fillId="0" borderId="23" xfId="0" applyFont="1" applyBorder="1" applyAlignment="1">
      <alignment horizontal="center"/>
    </xf>
    <xf numFmtId="0" fontId="219" fillId="0" borderId="0" xfId="0" applyFont="1" applyBorder="1" applyAlignment="1">
      <alignment horizontal="center"/>
    </xf>
    <xf numFmtId="0" fontId="0" fillId="11" borderId="0" xfId="0" applyFill="1" applyProtection="1">
      <protection hidden="1"/>
    </xf>
    <xf numFmtId="0" fontId="196" fillId="11" borderId="0" xfId="0" applyFont="1" applyFill="1" applyAlignment="1" applyProtection="1">
      <alignment vertical="top"/>
      <protection hidden="1"/>
    </xf>
    <xf numFmtId="0" fontId="26" fillId="0" borderId="8" xfId="0" applyFont="1" applyBorder="1" applyAlignment="1">
      <alignment horizontal="center" vertical="center" wrapText="1"/>
    </xf>
    <xf numFmtId="0" fontId="60" fillId="18" borderId="0" xfId="0" applyFont="1" applyFill="1" applyAlignment="1" applyProtection="1">
      <alignment horizontal="center" vertical="center"/>
      <protection hidden="1"/>
    </xf>
    <xf numFmtId="0" fontId="204" fillId="19" borderId="0" xfId="0" applyFont="1" applyFill="1" applyBorder="1" applyAlignment="1" applyProtection="1">
      <alignment horizontal="center" vertical="center" wrapText="1"/>
      <protection hidden="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5" fillId="5" borderId="8" xfId="0" applyFont="1" applyFill="1" applyBorder="1" applyAlignment="1">
      <alignment horizontal="center" vertical="center" shrinkToFit="1"/>
    </xf>
    <xf numFmtId="0" fontId="131" fillId="5" borderId="8" xfId="0" applyFont="1" applyFill="1" applyBorder="1" applyAlignment="1">
      <alignment vertical="center" shrinkToFit="1"/>
    </xf>
    <xf numFmtId="0" fontId="69" fillId="5" borderId="0" xfId="0" applyFont="1" applyFill="1" applyBorder="1" applyAlignment="1">
      <alignment horizontal="center" vertical="center" shrinkToFit="1"/>
    </xf>
    <xf numFmtId="0" fontId="130" fillId="3" borderId="17" xfId="0" applyFont="1" applyFill="1" applyBorder="1" applyAlignment="1">
      <alignment horizontal="center" vertical="center" wrapText="1" shrinkToFit="1"/>
    </xf>
    <xf numFmtId="0" fontId="130" fillId="3" borderId="18" xfId="0" applyFont="1" applyFill="1" applyBorder="1" applyAlignment="1">
      <alignment horizontal="center" vertical="center" wrapText="1" shrinkToFit="1"/>
    </xf>
    <xf numFmtId="0" fontId="125" fillId="3" borderId="17" xfId="0" applyFont="1" applyFill="1" applyBorder="1" applyAlignment="1">
      <alignment horizontal="center" vertical="center" wrapText="1" shrinkToFit="1"/>
    </xf>
    <xf numFmtId="0" fontId="125" fillId="3" borderId="18" xfId="0" applyFont="1" applyFill="1" applyBorder="1" applyAlignment="1">
      <alignment horizontal="center" vertical="center" wrapText="1" shrinkToFit="1"/>
    </xf>
    <xf numFmtId="0" fontId="126" fillId="3" borderId="13" xfId="0" applyFont="1" applyFill="1" applyBorder="1" applyAlignment="1">
      <alignment horizontal="center" vertical="center" wrapText="1"/>
    </xf>
    <xf numFmtId="0" fontId="126" fillId="3" borderId="14" xfId="0" applyFont="1" applyFill="1" applyBorder="1" applyAlignment="1">
      <alignment horizontal="center" vertical="center" wrapText="1"/>
    </xf>
    <xf numFmtId="0" fontId="69" fillId="5" borderId="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20" fillId="2" borderId="42" xfId="0" applyFont="1" applyFill="1" applyBorder="1" applyAlignment="1">
      <alignment horizontal="left" vertical="center"/>
    </xf>
    <xf numFmtId="0" fontId="20" fillId="2" borderId="56" xfId="0" applyFont="1" applyFill="1" applyBorder="1" applyAlignment="1">
      <alignment horizontal="left" vertical="center"/>
    </xf>
    <xf numFmtId="0" fontId="123" fillId="2" borderId="59" xfId="0" applyFont="1" applyFill="1" applyBorder="1" applyAlignment="1">
      <alignment horizontal="left" vertical="center"/>
    </xf>
    <xf numFmtId="0" fontId="121" fillId="5" borderId="59" xfId="0" applyFont="1" applyFill="1" applyBorder="1" applyAlignment="1">
      <alignment horizontal="left" vertical="center"/>
    </xf>
    <xf numFmtId="0" fontId="121" fillId="5" borderId="60" xfId="0" applyFont="1" applyFill="1" applyBorder="1" applyAlignment="1">
      <alignment horizontal="left" vertical="center"/>
    </xf>
    <xf numFmtId="0" fontId="21" fillId="5" borderId="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13" fillId="5" borderId="41" xfId="0" applyFont="1" applyFill="1" applyBorder="1" applyAlignment="1" applyProtection="1">
      <alignment horizontal="center" vertical="center" wrapText="1"/>
      <protection locked="0"/>
    </xf>
    <xf numFmtId="0" fontId="213" fillId="5" borderId="22" xfId="0" applyFont="1" applyFill="1" applyBorder="1" applyAlignment="1" applyProtection="1">
      <alignment horizontal="center" vertical="center" wrapText="1"/>
      <protection locked="0"/>
    </xf>
    <xf numFmtId="0" fontId="11" fillId="5" borderId="8" xfId="0" applyFont="1" applyFill="1" applyBorder="1" applyAlignment="1">
      <alignment horizontal="center" vertical="center" wrapText="1"/>
    </xf>
    <xf numFmtId="0" fontId="1" fillId="5" borderId="25" xfId="0" applyFont="1" applyFill="1" applyBorder="1" applyAlignment="1">
      <alignment horizontal="right" vertical="center"/>
    </xf>
    <xf numFmtId="0" fontId="1" fillId="5" borderId="53" xfId="0" applyFont="1" applyFill="1" applyBorder="1" applyAlignment="1">
      <alignment horizontal="right" vertical="center"/>
    </xf>
    <xf numFmtId="0" fontId="1" fillId="5" borderId="55" xfId="0" applyFont="1" applyFill="1" applyBorder="1" applyAlignment="1">
      <alignment horizontal="right" vertical="center"/>
    </xf>
    <xf numFmtId="0" fontId="1" fillId="5" borderId="42" xfId="0" applyFont="1" applyFill="1" applyBorder="1" applyAlignment="1">
      <alignment horizontal="right" vertical="center"/>
    </xf>
    <xf numFmtId="0" fontId="1" fillId="5" borderId="29" xfId="0" applyFont="1" applyFill="1" applyBorder="1" applyAlignment="1">
      <alignment horizontal="right" vertical="center"/>
    </xf>
    <xf numFmtId="0" fontId="1" fillId="5" borderId="2" xfId="0" applyFont="1" applyFill="1" applyBorder="1" applyAlignment="1">
      <alignment horizontal="right" vertical="center"/>
    </xf>
    <xf numFmtId="0" fontId="1" fillId="5" borderId="58" xfId="0" applyFont="1" applyFill="1" applyBorder="1" applyAlignment="1">
      <alignment horizontal="right" vertical="center"/>
    </xf>
    <xf numFmtId="0" fontId="1" fillId="5" borderId="23" xfId="0" applyFont="1" applyFill="1" applyBorder="1" applyAlignment="1">
      <alignment horizontal="right" vertical="center"/>
    </xf>
    <xf numFmtId="0" fontId="1" fillId="5" borderId="32" xfId="0" applyFont="1" applyFill="1" applyBorder="1" applyAlignment="1">
      <alignment horizontal="right" vertical="center"/>
    </xf>
    <xf numFmtId="0" fontId="1" fillId="5" borderId="59" xfId="0" applyFont="1" applyFill="1" applyBorder="1" applyAlignment="1">
      <alignment horizontal="right" vertical="center"/>
    </xf>
    <xf numFmtId="0" fontId="123" fillId="2" borderId="2" xfId="0" applyFont="1" applyFill="1" applyBorder="1" applyAlignment="1">
      <alignment horizontal="left" vertical="center"/>
    </xf>
    <xf numFmtId="0" fontId="123" fillId="2" borderId="23"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7" xfId="0" applyFont="1" applyFill="1" applyBorder="1" applyAlignment="1">
      <alignment horizontal="left" vertical="center"/>
    </xf>
    <xf numFmtId="0" fontId="174" fillId="14" borderId="2" xfId="0" applyFont="1" applyFill="1" applyBorder="1" applyAlignment="1">
      <alignment horizontal="left" vertical="center"/>
    </xf>
    <xf numFmtId="0" fontId="174" fillId="14" borderId="57" xfId="0" applyFont="1" applyFill="1" applyBorder="1" applyAlignment="1">
      <alignment horizontal="left" vertical="center"/>
    </xf>
    <xf numFmtId="0" fontId="122" fillId="2" borderId="53" xfId="0" applyFont="1" applyFill="1" applyBorder="1" applyAlignment="1">
      <alignment horizontal="left" vertical="center"/>
    </xf>
    <xf numFmtId="0" fontId="122" fillId="2" borderId="54" xfId="0" applyFont="1" applyFill="1" applyBorder="1" applyAlignment="1">
      <alignment horizontal="left" vertical="center"/>
    </xf>
    <xf numFmtId="0" fontId="120" fillId="0" borderId="0" xfId="0" applyFont="1" applyAlignment="1">
      <alignment horizontal="center" vertical="center"/>
    </xf>
    <xf numFmtId="0" fontId="3" fillId="3"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37" fillId="2" borderId="0" xfId="0" applyFont="1" applyFill="1" applyAlignment="1" applyProtection="1">
      <alignment horizontal="center" vertical="center"/>
    </xf>
    <xf numFmtId="0" fontId="34" fillId="2" borderId="0" xfId="0" applyFont="1" applyFill="1" applyAlignment="1" applyProtection="1">
      <alignment horizontal="center" vertical="top"/>
    </xf>
    <xf numFmtId="0" fontId="34" fillId="2" borderId="23" xfId="0" applyFont="1" applyFill="1" applyBorder="1" applyAlignment="1" applyProtection="1">
      <alignment horizontal="center" vertical="top"/>
    </xf>
    <xf numFmtId="178" fontId="44" fillId="2" borderId="0" xfId="0" applyNumberFormat="1" applyFont="1" applyFill="1" applyAlignment="1" applyProtection="1">
      <alignment horizontal="center" vertical="center" shrinkToFit="1"/>
    </xf>
    <xf numFmtId="0" fontId="59" fillId="8" borderId="13" xfId="0" applyFont="1" applyFill="1" applyBorder="1" applyAlignment="1" applyProtection="1">
      <alignment horizontal="center" vertical="center"/>
    </xf>
    <xf numFmtId="0" fontId="59" fillId="8" borderId="2" xfId="0" applyFont="1" applyFill="1" applyBorder="1" applyAlignment="1" applyProtection="1">
      <alignment horizontal="center" vertical="center"/>
    </xf>
    <xf numFmtId="0" fontId="59" fillId="8" borderId="14" xfId="0" applyFont="1" applyFill="1" applyBorder="1" applyAlignment="1" applyProtection="1">
      <alignment horizontal="center" vertic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43" fillId="0" borderId="13" xfId="0" applyFont="1" applyBorder="1" applyAlignment="1" applyProtection="1">
      <alignment horizontal="right" vertical="center"/>
    </xf>
    <xf numFmtId="0" fontId="43" fillId="0" borderId="2" xfId="0" applyFont="1" applyBorder="1" applyAlignment="1" applyProtection="1">
      <alignment horizontal="right" vertical="center"/>
    </xf>
    <xf numFmtId="0" fontId="45" fillId="2" borderId="21" xfId="0" applyFont="1" applyFill="1" applyBorder="1" applyAlignment="1" applyProtection="1">
      <alignment horizontal="center" vertical="center" wrapText="1"/>
    </xf>
    <xf numFmtId="0" fontId="45" fillId="2" borderId="18" xfId="0" applyFont="1" applyFill="1" applyBorder="1" applyAlignment="1" applyProtection="1">
      <alignment horizontal="center" vertical="center" wrapText="1"/>
    </xf>
    <xf numFmtId="0" fontId="43" fillId="0" borderId="18" xfId="0" applyFont="1" applyBorder="1" applyProtection="1"/>
    <xf numFmtId="0" fontId="4" fillId="2" borderId="42"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2" fillId="8" borderId="13" xfId="0" applyFont="1" applyFill="1" applyBorder="1" applyAlignment="1" applyProtection="1">
      <alignment horizontal="right" vertical="center"/>
    </xf>
    <xf numFmtId="0" fontId="32" fillId="8" borderId="2" xfId="0" applyFont="1" applyFill="1" applyBorder="1" applyAlignment="1" applyProtection="1">
      <alignment horizontal="right" vertical="center"/>
    </xf>
    <xf numFmtId="170" fontId="115" fillId="2" borderId="2" xfId="0" applyNumberFormat="1" applyFont="1" applyFill="1" applyBorder="1" applyAlignment="1" applyProtection="1">
      <alignment horizontal="right" vertical="center"/>
    </xf>
    <xf numFmtId="170" fontId="115" fillId="2" borderId="14" xfId="0" applyNumberFormat="1" applyFont="1" applyFill="1" applyBorder="1" applyAlignment="1" applyProtection="1">
      <alignment horizontal="right" vertical="center"/>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7" fillId="2" borderId="21" xfId="0" applyFont="1" applyFill="1" applyBorder="1" applyAlignment="1" applyProtection="1">
      <alignment horizontal="center" vertical="center" wrapText="1"/>
    </xf>
    <xf numFmtId="0" fontId="47" fillId="2" borderId="18"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178" fontId="44" fillId="2" borderId="0" xfId="0" applyNumberFormat="1" applyFont="1" applyFill="1" applyAlignment="1">
      <alignment horizontal="center" vertical="center" shrinkToFit="1"/>
    </xf>
    <xf numFmtId="0" fontId="31" fillId="2" borderId="0" xfId="0" applyFont="1" applyFill="1" applyAlignment="1">
      <alignment horizontal="center" vertical="center"/>
    </xf>
    <xf numFmtId="0" fontId="18" fillId="2" borderId="0" xfId="0" applyFont="1" applyFill="1" applyAlignment="1">
      <alignment horizontal="center" vertical="center"/>
    </xf>
    <xf numFmtId="0" fontId="34" fillId="2" borderId="8"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60" fillId="2" borderId="23" xfId="0" applyFont="1" applyFill="1" applyBorder="1" applyAlignment="1">
      <alignment horizontal="center" vertical="center"/>
    </xf>
    <xf numFmtId="0" fontId="126" fillId="2" borderId="42" xfId="0" applyFont="1" applyFill="1" applyBorder="1" applyAlignment="1" applyProtection="1">
      <alignment horizontal="center" vertical="center"/>
    </xf>
    <xf numFmtId="0" fontId="18" fillId="2" borderId="0" xfId="0" applyFont="1" applyFill="1" applyAlignment="1">
      <alignment horizontal="right" vertical="center"/>
    </xf>
    <xf numFmtId="0" fontId="33" fillId="2" borderId="0" xfId="0" applyFont="1" applyFill="1" applyAlignment="1">
      <alignment horizontal="center"/>
    </xf>
    <xf numFmtId="0" fontId="33" fillId="2" borderId="0" xfId="0" applyFont="1" applyFill="1" applyAlignment="1">
      <alignment horizontal="center" vertical="top" wrapText="1"/>
    </xf>
    <xf numFmtId="0" fontId="35" fillId="2" borderId="13" xfId="0" applyFont="1" applyFill="1" applyBorder="1" applyAlignment="1">
      <alignment horizontal="center" vertical="center"/>
    </xf>
    <xf numFmtId="0" fontId="35" fillId="2" borderId="2" xfId="0" applyFont="1" applyFill="1" applyBorder="1" applyAlignment="1">
      <alignment horizontal="center" vertical="center"/>
    </xf>
    <xf numFmtId="0" fontId="46" fillId="0" borderId="21" xfId="1" applyFont="1" applyBorder="1" applyAlignment="1" applyProtection="1">
      <alignment horizontal="center" vertical="center" wrapText="1"/>
      <protection hidden="1"/>
    </xf>
    <xf numFmtId="0" fontId="46" fillId="0" borderId="18" xfId="1" applyFont="1" applyBorder="1" applyAlignment="1" applyProtection="1">
      <alignment horizontal="center" vertical="center" wrapText="1"/>
      <protection hidden="1"/>
    </xf>
    <xf numFmtId="178" fontId="44" fillId="2" borderId="0" xfId="0" applyNumberFormat="1" applyFont="1" applyFill="1" applyAlignment="1" applyProtection="1">
      <alignment horizontal="center" shrinkToFit="1"/>
      <protection locked="0"/>
    </xf>
    <xf numFmtId="0" fontId="31" fillId="2" borderId="0" xfId="0" applyFont="1" applyFill="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right" vertical="center"/>
      <protection locked="0"/>
    </xf>
    <xf numFmtId="0" fontId="34" fillId="0" borderId="23" xfId="0" applyFont="1" applyFill="1" applyBorder="1" applyAlignment="1" applyProtection="1">
      <alignment horizontal="center" vertical="center"/>
      <protection locked="0" hidden="1"/>
    </xf>
    <xf numFmtId="0" fontId="45" fillId="2" borderId="23" xfId="0" applyFont="1" applyFill="1" applyBorder="1" applyAlignment="1" applyProtection="1">
      <alignment horizontal="center" vertical="center"/>
      <protection locked="0"/>
    </xf>
    <xf numFmtId="0" fontId="175" fillId="2" borderId="0" xfId="0" applyFont="1" applyFill="1" applyAlignment="1" applyProtection="1">
      <alignment horizontal="center"/>
      <protection locked="0"/>
    </xf>
    <xf numFmtId="0" fontId="26" fillId="2" borderId="0" xfId="0" applyFont="1" applyFill="1" applyAlignment="1" applyProtection="1">
      <alignment horizontal="center" vertical="top" wrapText="1"/>
      <protection locked="0"/>
    </xf>
    <xf numFmtId="0" fontId="26" fillId="2" borderId="0" xfId="0" applyFont="1" applyFill="1" applyAlignment="1" applyProtection="1">
      <alignment horizontal="center"/>
      <protection locked="0"/>
    </xf>
    <xf numFmtId="0" fontId="32" fillId="2" borderId="8" xfId="0" applyFont="1" applyFill="1" applyBorder="1" applyAlignment="1" applyProtection="1">
      <alignment horizontal="center" vertical="center" wrapText="1"/>
      <protection locked="0"/>
    </xf>
    <xf numFmtId="0" fontId="155" fillId="2" borderId="0" xfId="0" applyFont="1" applyFill="1" applyAlignment="1">
      <alignment horizontal="center" vertical="top" wrapText="1"/>
    </xf>
    <xf numFmtId="0" fontId="20" fillId="6" borderId="0" xfId="0" applyFont="1" applyFill="1" applyAlignment="1">
      <alignment horizontal="center" shrinkToFit="1"/>
    </xf>
    <xf numFmtId="0" fontId="136" fillId="6" borderId="0" xfId="0" applyFont="1" applyFill="1" applyAlignment="1">
      <alignment horizontal="center" vertical="top" shrinkToFi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64" fillId="0" borderId="19" xfId="0" applyFont="1" applyBorder="1" applyAlignment="1">
      <alignment horizontal="center" vertical="center" wrapText="1"/>
    </xf>
    <xf numFmtId="0" fontId="155" fillId="2" borderId="0" xfId="0" applyFont="1" applyFill="1" applyAlignment="1">
      <alignment horizontal="center"/>
    </xf>
    <xf numFmtId="0" fontId="154" fillId="2" borderId="52" xfId="0" applyFont="1" applyFill="1" applyBorder="1" applyAlignment="1" applyProtection="1">
      <alignment horizontal="left" vertical="top" wrapText="1"/>
    </xf>
    <xf numFmtId="0" fontId="154" fillId="2" borderId="0" xfId="0" applyFont="1" applyFill="1" applyBorder="1" applyAlignment="1" applyProtection="1">
      <alignment horizontal="left" vertical="top" wrapText="1"/>
    </xf>
    <xf numFmtId="0" fontId="154" fillId="2" borderId="0" xfId="0" applyFont="1" applyFill="1" applyBorder="1" applyAlignment="1" applyProtection="1">
      <alignment horizontal="center" vertical="top" wrapText="1"/>
    </xf>
    <xf numFmtId="0" fontId="26" fillId="2" borderId="0" xfId="0" applyFont="1" applyFill="1" applyAlignment="1">
      <alignment horizontal="center" vertical="top" wrapText="1"/>
    </xf>
    <xf numFmtId="0" fontId="205" fillId="0" borderId="0" xfId="0" applyFont="1" applyAlignment="1">
      <alignment horizontal="center"/>
    </xf>
    <xf numFmtId="0" fontId="120" fillId="0" borderId="0" xfId="0" applyFont="1" applyAlignment="1">
      <alignment horizontal="center"/>
    </xf>
    <xf numFmtId="0" fontId="219" fillId="0" borderId="0" xfId="0" applyFont="1" applyBorder="1" applyAlignment="1">
      <alignment horizontal="center"/>
    </xf>
    <xf numFmtId="178" fontId="149" fillId="2" borderId="0" xfId="0" applyNumberFormat="1" applyFont="1" applyFill="1" applyAlignment="1">
      <alignment horizontal="center" shrinkToFit="1"/>
    </xf>
    <xf numFmtId="0" fontId="18" fillId="2" borderId="0" xfId="0" applyFont="1" applyFill="1" applyBorder="1" applyAlignment="1">
      <alignment horizontal="center"/>
    </xf>
    <xf numFmtId="0" fontId="175" fillId="2" borderId="0" xfId="0" applyFont="1" applyFill="1" applyAlignment="1">
      <alignment horizontal="center"/>
    </xf>
    <xf numFmtId="0" fontId="26" fillId="2" borderId="0" xfId="0" applyFont="1" applyFill="1" applyAlignment="1">
      <alignment horizontal="center"/>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178" fontId="65" fillId="2" borderId="0" xfId="0" applyNumberFormat="1" applyFont="1" applyFill="1" applyAlignment="1">
      <alignment horizontal="center" shrinkToFit="1"/>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34" fillId="2" borderId="0" xfId="0" applyFont="1" applyFill="1" applyAlignment="1">
      <alignment horizontal="center"/>
    </xf>
    <xf numFmtId="0" fontId="77" fillId="0" borderId="63" xfId="0" applyFont="1" applyFill="1" applyBorder="1" applyAlignment="1">
      <alignment horizontal="center" vertical="center" wrapText="1"/>
    </xf>
    <xf numFmtId="0" fontId="77" fillId="0" borderId="38" xfId="0" applyFont="1" applyFill="1" applyBorder="1" applyAlignment="1">
      <alignment horizontal="center" vertical="center" wrapText="1"/>
    </xf>
    <xf numFmtId="0" fontId="77" fillId="0" borderId="64" xfId="0" applyFont="1" applyFill="1" applyBorder="1" applyAlignment="1">
      <alignment horizontal="center" vertical="center" wrapText="1"/>
    </xf>
    <xf numFmtId="0" fontId="77" fillId="0" borderId="65"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66" xfId="0" applyFont="1" applyFill="1" applyBorder="1" applyAlignment="1">
      <alignment horizontal="center" vertical="center" wrapText="1"/>
    </xf>
    <xf numFmtId="0" fontId="77" fillId="0" borderId="67" xfId="0" applyFont="1" applyFill="1" applyBorder="1" applyAlignment="1">
      <alignment horizontal="center" vertical="center" wrapText="1"/>
    </xf>
    <xf numFmtId="0" fontId="77" fillId="0" borderId="24" xfId="0" applyFont="1" applyFill="1" applyBorder="1" applyAlignment="1">
      <alignment horizontal="center" vertical="center" wrapText="1"/>
    </xf>
    <xf numFmtId="0" fontId="77" fillId="0" borderId="68" xfId="0" applyFont="1" applyFill="1" applyBorder="1" applyAlignment="1">
      <alignment horizontal="center" vertical="center" wrapText="1"/>
    </xf>
    <xf numFmtId="0" fontId="176" fillId="2" borderId="0" xfId="0" applyFont="1" applyFill="1" applyAlignment="1">
      <alignment horizontal="center" vertical="top" wrapText="1"/>
    </xf>
    <xf numFmtId="0" fontId="166" fillId="12" borderId="0"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176" fillId="2" borderId="0" xfId="0" applyFont="1" applyFill="1" applyAlignment="1">
      <alignment horizontal="center"/>
    </xf>
    <xf numFmtId="0" fontId="32" fillId="12" borderId="13" xfId="0" applyFont="1" applyFill="1" applyBorder="1" applyAlignment="1">
      <alignment horizontal="center" vertical="center" wrapText="1"/>
    </xf>
    <xf numFmtId="0" fontId="32" fillId="12" borderId="14" xfId="0" applyFont="1" applyFill="1" applyBorder="1" applyAlignment="1">
      <alignment horizontal="center" vertical="center" wrapText="1"/>
    </xf>
    <xf numFmtId="178" fontId="65" fillId="12" borderId="0" xfId="0" applyNumberFormat="1" applyFont="1" applyFill="1" applyAlignment="1">
      <alignment horizontal="center" shrinkToFit="1"/>
    </xf>
    <xf numFmtId="0" fontId="31" fillId="12" borderId="0" xfId="0" applyFont="1" applyFill="1" applyBorder="1" applyAlignment="1">
      <alignment horizontal="center" vertical="center"/>
    </xf>
    <xf numFmtId="0" fontId="16" fillId="12" borderId="8" xfId="0" applyFont="1" applyFill="1" applyBorder="1" applyAlignment="1">
      <alignment horizontal="center" vertical="center" wrapText="1"/>
    </xf>
    <xf numFmtId="0" fontId="146" fillId="2" borderId="0" xfId="0" applyFont="1" applyFill="1" applyAlignment="1">
      <alignment horizontal="center"/>
    </xf>
    <xf numFmtId="0" fontId="146" fillId="2" borderId="0" xfId="0" applyFont="1" applyFill="1" applyAlignment="1">
      <alignment horizontal="center" vertical="top"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15" fillId="2" borderId="23" xfId="0" applyFont="1" applyFill="1" applyBorder="1" applyAlignment="1">
      <alignment horizontal="center" vertical="center"/>
    </xf>
    <xf numFmtId="0" fontId="45" fillId="2" borderId="23" xfId="0" applyFont="1" applyFill="1" applyBorder="1" applyAlignment="1">
      <alignment horizontal="center" vertical="center"/>
    </xf>
    <xf numFmtId="0" fontId="60" fillId="2" borderId="13" xfId="0" applyFont="1" applyFill="1" applyBorder="1" applyAlignment="1">
      <alignment horizontal="center" vertical="center"/>
    </xf>
    <xf numFmtId="0" fontId="60" fillId="2" borderId="14" xfId="0" applyFont="1" applyFill="1" applyBorder="1" applyAlignment="1">
      <alignment horizontal="center" vertical="center"/>
    </xf>
    <xf numFmtId="178" fontId="160" fillId="2" borderId="0" xfId="0" applyNumberFormat="1" applyFont="1" applyFill="1" applyAlignment="1">
      <alignment horizontal="center" shrinkToFit="1"/>
    </xf>
    <xf numFmtId="0" fontId="20" fillId="2" borderId="0" xfId="0" applyFont="1" applyFill="1" applyAlignment="1">
      <alignment horizontal="center" vertical="center"/>
    </xf>
    <xf numFmtId="0" fontId="74" fillId="2" borderId="0" xfId="0" applyFont="1" applyFill="1" applyAlignment="1">
      <alignment horizontal="center" vertical="center"/>
    </xf>
    <xf numFmtId="0" fontId="45" fillId="2" borderId="8" xfId="0" applyFont="1" applyFill="1" applyBorder="1" applyAlignment="1">
      <alignment horizontal="center" vertical="center" wrapText="1"/>
    </xf>
    <xf numFmtId="0" fontId="175" fillId="2" borderId="0" xfId="0" applyFont="1" applyFill="1" applyAlignment="1">
      <alignment horizontal="center" vertical="center"/>
    </xf>
    <xf numFmtId="0" fontId="45" fillId="2" borderId="13"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32" fillId="2" borderId="23" xfId="0" applyFont="1" applyFill="1" applyBorder="1" applyAlignment="1">
      <alignment horizontal="center"/>
    </xf>
    <xf numFmtId="0" fontId="45" fillId="2" borderId="23" xfId="0" applyFont="1" applyFill="1" applyBorder="1" applyAlignment="1">
      <alignment horizontal="center"/>
    </xf>
    <xf numFmtId="0" fontId="18" fillId="2" borderId="0" xfId="0" applyFont="1" applyFill="1" applyAlignment="1">
      <alignment horizontal="center"/>
    </xf>
    <xf numFmtId="0" fontId="20" fillId="2" borderId="0" xfId="0" applyFont="1" applyFill="1" applyAlignment="1">
      <alignment horizontal="center"/>
    </xf>
    <xf numFmtId="0" fontId="27" fillId="2" borderId="13" xfId="0" applyFont="1" applyFill="1" applyBorder="1" applyAlignment="1">
      <alignment horizontal="center"/>
    </xf>
    <xf numFmtId="0" fontId="27" fillId="2" borderId="2" xfId="0" applyFont="1" applyFill="1" applyBorder="1" applyAlignment="1">
      <alignment horizontal="center"/>
    </xf>
    <xf numFmtId="0" fontId="27" fillId="2" borderId="14" xfId="0" applyFont="1" applyFill="1" applyBorder="1" applyAlignment="1">
      <alignment horizontal="center"/>
    </xf>
    <xf numFmtId="0" fontId="81" fillId="2" borderId="23" xfId="0" applyFont="1" applyFill="1" applyBorder="1" applyAlignment="1">
      <alignment horizontal="center"/>
    </xf>
    <xf numFmtId="0" fontId="20" fillId="2" borderId="23" xfId="0" applyFont="1" applyFill="1" applyBorder="1" applyAlignment="1">
      <alignment horizontal="center"/>
    </xf>
    <xf numFmtId="0" fontId="31" fillId="2" borderId="0" xfId="0" applyFont="1" applyFill="1" applyAlignment="1">
      <alignment horizontal="center"/>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3" xfId="0" applyFont="1" applyFill="1" applyBorder="1" applyAlignment="1">
      <alignment horizontal="center"/>
    </xf>
    <xf numFmtId="0" fontId="33" fillId="2" borderId="14" xfId="0" applyFont="1" applyFill="1" applyBorder="1" applyAlignment="1">
      <alignment horizontal="center"/>
    </xf>
    <xf numFmtId="0" fontId="25" fillId="2" borderId="21" xfId="0" applyFont="1" applyFill="1" applyBorder="1" applyAlignment="1">
      <alignment horizontal="left" vertical="top" wrapText="1"/>
    </xf>
    <xf numFmtId="0" fontId="25" fillId="2" borderId="36" xfId="0" applyFont="1" applyFill="1" applyBorder="1" applyAlignment="1">
      <alignment horizontal="left" vertical="top" wrapText="1"/>
    </xf>
    <xf numFmtId="0" fontId="25" fillId="2" borderId="18" xfId="0" applyFont="1" applyFill="1" applyBorder="1" applyAlignment="1">
      <alignment horizontal="left" vertical="top" wrapText="1"/>
    </xf>
    <xf numFmtId="0" fontId="16" fillId="2" borderId="13"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32" fillId="2" borderId="0" xfId="0" applyFont="1" applyFill="1" applyAlignment="1">
      <alignment horizontal="center" vertical="center" shrinkToFit="1"/>
    </xf>
    <xf numFmtId="0" fontId="32" fillId="2" borderId="0" xfId="0" applyFont="1" applyFill="1" applyAlignment="1">
      <alignment horizontal="center" vertical="center"/>
    </xf>
    <xf numFmtId="0" fontId="64" fillId="2" borderId="0" xfId="0" applyFont="1" applyFill="1" applyBorder="1" applyAlignment="1">
      <alignment horizontal="center" vertical="center" wrapText="1" shrinkToFit="1"/>
    </xf>
    <xf numFmtId="0" fontId="68" fillId="2" borderId="26" xfId="0" applyFont="1" applyFill="1" applyBorder="1" applyAlignment="1">
      <alignment horizontal="center" vertical="center" shrinkToFit="1"/>
    </xf>
    <xf numFmtId="0" fontId="81" fillId="2" borderId="30" xfId="0" applyFont="1" applyFill="1" applyBorder="1" applyAlignment="1">
      <alignment horizontal="center" vertical="center" shrinkToFit="1"/>
    </xf>
    <xf numFmtId="0" fontId="68" fillId="2" borderId="27" xfId="0" applyFont="1" applyFill="1" applyBorder="1" applyAlignment="1">
      <alignment horizontal="center" vertical="center" shrinkToFit="1"/>
    </xf>
    <xf numFmtId="0" fontId="81" fillId="2" borderId="8" xfId="0" applyFont="1" applyFill="1" applyBorder="1" applyAlignment="1">
      <alignment vertical="center" shrinkToFit="1"/>
    </xf>
    <xf numFmtId="0" fontId="68" fillId="2" borderId="28" xfId="0" applyFont="1" applyFill="1" applyBorder="1" applyAlignment="1">
      <alignment horizontal="center" vertical="center" shrinkToFit="1"/>
    </xf>
    <xf numFmtId="0" fontId="81" fillId="2" borderId="31" xfId="0" applyFont="1" applyFill="1" applyBorder="1" applyAlignment="1">
      <alignment vertical="center" shrinkToFit="1"/>
    </xf>
    <xf numFmtId="0" fontId="25" fillId="2" borderId="0" xfId="0" applyFont="1" applyFill="1" applyAlignment="1">
      <alignment horizontal="center" vertical="center" shrinkToFit="1"/>
    </xf>
    <xf numFmtId="0" fontId="34" fillId="6" borderId="46" xfId="0" applyFont="1" applyFill="1" applyBorder="1" applyAlignment="1">
      <alignment horizontal="center" vertical="center" wrapText="1"/>
    </xf>
    <xf numFmtId="0" fontId="34" fillId="6" borderId="47" xfId="0" applyFont="1" applyFill="1" applyBorder="1" applyAlignment="1">
      <alignment horizontal="center" vertical="center" wrapText="1"/>
    </xf>
    <xf numFmtId="0" fontId="34" fillId="6" borderId="48" xfId="0" applyFont="1" applyFill="1" applyBorder="1" applyAlignment="1">
      <alignment horizontal="center" vertical="center" wrapText="1"/>
    </xf>
    <xf numFmtId="0" fontId="26" fillId="2" borderId="0" xfId="0" applyFont="1" applyFill="1" applyAlignment="1">
      <alignment horizontal="center" vertical="center"/>
    </xf>
    <xf numFmtId="0" fontId="83" fillId="6" borderId="8" xfId="0" applyFont="1" applyFill="1" applyBorder="1" applyAlignment="1">
      <alignment horizontal="center" vertical="center" wrapText="1"/>
    </xf>
    <xf numFmtId="0" fontId="83" fillId="6" borderId="41" xfId="0" applyFont="1" applyFill="1" applyBorder="1" applyAlignment="1">
      <alignment horizontal="center" vertical="center" wrapText="1"/>
    </xf>
    <xf numFmtId="0" fontId="83" fillId="6" borderId="42" xfId="0" applyFont="1" applyFill="1" applyBorder="1" applyAlignment="1">
      <alignment horizontal="center" vertical="center" wrapText="1"/>
    </xf>
    <xf numFmtId="0" fontId="83" fillId="6" borderId="43" xfId="0" applyFont="1" applyFill="1" applyBorder="1" applyAlignment="1">
      <alignment horizontal="center" vertical="center" wrapText="1"/>
    </xf>
    <xf numFmtId="0" fontId="83" fillId="6" borderId="13" xfId="0" applyFont="1" applyFill="1" applyBorder="1" applyAlignment="1">
      <alignment horizontal="center" vertical="center" wrapText="1"/>
    </xf>
    <xf numFmtId="0" fontId="83" fillId="6" borderId="2" xfId="0" applyFont="1" applyFill="1" applyBorder="1" applyAlignment="1">
      <alignment horizontal="center" vertical="center" wrapText="1"/>
    </xf>
    <xf numFmtId="0" fontId="83" fillId="6" borderId="14"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44" xfId="0" applyFont="1" applyFill="1" applyBorder="1" applyAlignment="1">
      <alignment horizontal="center" vertical="center" wrapText="1"/>
    </xf>
    <xf numFmtId="0" fontId="18" fillId="6" borderId="0" xfId="0" applyFont="1" applyFill="1" applyAlignment="1">
      <alignment horizontal="center" vertical="center" shrinkToFit="1"/>
    </xf>
    <xf numFmtId="0" fontId="18" fillId="6" borderId="0" xfId="0" applyFont="1" applyFill="1" applyAlignment="1">
      <alignment horizontal="center" vertical="center"/>
    </xf>
    <xf numFmtId="0" fontId="18" fillId="6" borderId="24" xfId="0" applyFont="1" applyFill="1" applyBorder="1" applyAlignment="1">
      <alignment horizontal="center" vertical="center"/>
    </xf>
    <xf numFmtId="0" fontId="33" fillId="6" borderId="26"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7" xfId="0" applyFont="1" applyFill="1" applyBorder="1" applyAlignment="1">
      <alignment horizontal="center" vertical="center" wrapText="1"/>
    </xf>
    <xf numFmtId="0" fontId="33" fillId="6" borderId="38" xfId="0" applyFont="1" applyFill="1" applyBorder="1" applyAlignment="1">
      <alignment horizontal="center" vertical="center" wrapText="1"/>
    </xf>
    <xf numFmtId="0" fontId="33" fillId="6" borderId="39"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23" xfId="0" applyFont="1" applyFill="1" applyBorder="1" applyAlignment="1">
      <alignment horizontal="center" vertical="center" wrapText="1"/>
    </xf>
    <xf numFmtId="0" fontId="33" fillId="6" borderId="40"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175" fillId="0" borderId="0" xfId="0" applyFont="1" applyAlignment="1">
      <alignment horizontal="center" vertical="center"/>
    </xf>
    <xf numFmtId="0" fontId="20" fillId="6" borderId="24" xfId="0" applyFont="1" applyFill="1" applyBorder="1" applyAlignment="1">
      <alignment horizontal="center" vertical="center"/>
    </xf>
    <xf numFmtId="0" fontId="66" fillId="0" borderId="0" xfId="0" applyFont="1" applyAlignment="1">
      <alignment horizontal="center"/>
    </xf>
    <xf numFmtId="0" fontId="209" fillId="0" borderId="0" xfId="0" applyFont="1" applyAlignment="1">
      <alignment horizontal="center"/>
    </xf>
    <xf numFmtId="0" fontId="210" fillId="0" borderId="23" xfId="0" applyFont="1" applyBorder="1" applyAlignment="1">
      <alignment horizontal="center"/>
    </xf>
    <xf numFmtId="0" fontId="26" fillId="0" borderId="2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4" xfId="0" applyFont="1" applyBorder="1" applyAlignment="1">
      <alignment horizontal="center" vertical="center" wrapText="1"/>
    </xf>
    <xf numFmtId="0" fontId="171" fillId="0" borderId="23" xfId="0" applyFont="1" applyBorder="1" applyAlignment="1">
      <alignment horizontal="center" vertical="center"/>
    </xf>
    <xf numFmtId="0" fontId="171" fillId="0" borderId="23" xfId="0" applyFont="1" applyBorder="1" applyAlignment="1">
      <alignment horizontal="center"/>
    </xf>
    <xf numFmtId="0" fontId="18" fillId="2" borderId="0" xfId="0" applyFont="1" applyFill="1" applyAlignment="1">
      <alignment horizontal="center" vertical="center" shrinkToFit="1"/>
    </xf>
    <xf numFmtId="0" fontId="25" fillId="2" borderId="23" xfId="0" applyFont="1" applyFill="1" applyBorder="1" applyAlignment="1">
      <alignment horizontal="center" vertical="center"/>
    </xf>
    <xf numFmtId="0" fontId="18" fillId="6" borderId="0" xfId="0" applyFont="1" applyFill="1" applyBorder="1" applyAlignment="1">
      <alignment horizontal="center"/>
    </xf>
    <xf numFmtId="0" fontId="48" fillId="6" borderId="23" xfId="0" applyFont="1" applyFill="1" applyBorder="1" applyAlignment="1">
      <alignment horizontal="center" vertical="center" shrinkToFit="1"/>
    </xf>
    <xf numFmtId="0" fontId="146" fillId="2" borderId="0" xfId="0" applyFont="1" applyFill="1" applyAlignment="1">
      <alignment horizontal="center" vertical="center"/>
    </xf>
    <xf numFmtId="0" fontId="153" fillId="2" borderId="42" xfId="0" applyFont="1" applyFill="1" applyBorder="1" applyAlignment="1" applyProtection="1">
      <alignment horizontal="left" vertical="top" wrapText="1"/>
    </xf>
    <xf numFmtId="0" fontId="153" fillId="2" borderId="0" xfId="0" applyFont="1" applyFill="1" applyBorder="1" applyAlignment="1" applyProtection="1">
      <alignment horizontal="left" vertical="top" wrapText="1"/>
    </xf>
    <xf numFmtId="0" fontId="18" fillId="6" borderId="0" xfId="0" applyFont="1" applyFill="1" applyAlignment="1">
      <alignment horizontal="center"/>
    </xf>
    <xf numFmtId="0" fontId="178" fillId="2" borderId="0" xfId="0" applyFont="1" applyFill="1" applyAlignment="1">
      <alignment horizontal="center" vertical="center"/>
    </xf>
    <xf numFmtId="0" fontId="68" fillId="2" borderId="23" xfId="0" applyFont="1" applyFill="1" applyBorder="1" applyAlignment="1">
      <alignment horizontal="center" vertical="center"/>
    </xf>
    <xf numFmtId="0" fontId="33" fillId="2" borderId="8" xfId="0" applyFont="1" applyFill="1" applyBorder="1" applyAlignment="1">
      <alignment horizontal="center" vertical="center" wrapText="1"/>
    </xf>
    <xf numFmtId="0" fontId="33" fillId="2" borderId="8" xfId="0" applyFont="1" applyFill="1" applyBorder="1" applyAlignment="1">
      <alignment horizontal="center" vertical="center" textRotation="90" wrapText="1"/>
    </xf>
    <xf numFmtId="0" fontId="18" fillId="2" borderId="0" xfId="0" applyFont="1" applyFill="1" applyBorder="1" applyAlignment="1">
      <alignment horizontal="center" vertical="center"/>
    </xf>
    <xf numFmtId="0" fontId="19" fillId="6" borderId="0" xfId="0" applyFont="1" applyFill="1" applyAlignment="1">
      <alignment horizontal="center" vertical="center"/>
    </xf>
    <xf numFmtId="0" fontId="55" fillId="6" borderId="0" xfId="0" applyFont="1" applyFill="1" applyAlignment="1">
      <alignment horizontal="center" vertical="center"/>
    </xf>
    <xf numFmtId="178" fontId="161" fillId="2" borderId="0" xfId="0" applyNumberFormat="1" applyFont="1" applyFill="1" applyAlignment="1">
      <alignment horizontal="center" shrinkToFit="1"/>
    </xf>
    <xf numFmtId="0" fontId="63" fillId="6" borderId="0" xfId="0" applyFont="1" applyFill="1" applyAlignment="1">
      <alignment horizontal="center" vertical="center"/>
    </xf>
    <xf numFmtId="0" fontId="34" fillId="2" borderId="8" xfId="0" applyFont="1" applyFill="1" applyBorder="1" applyAlignment="1">
      <alignment horizontal="center" vertical="center"/>
    </xf>
    <xf numFmtId="0" fontId="26" fillId="2" borderId="8" xfId="0" applyFont="1" applyFill="1" applyBorder="1" applyAlignment="1">
      <alignment horizontal="center" vertical="center"/>
    </xf>
    <xf numFmtId="0" fontId="33" fillId="2" borderId="21"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3" fillId="2" borderId="18" xfId="0" applyFont="1" applyFill="1" applyBorder="1" applyAlignment="1">
      <alignment horizontal="center" vertical="center" shrinkToFit="1"/>
    </xf>
    <xf numFmtId="0" fontId="34" fillId="2" borderId="21" xfId="0" applyFont="1" applyFill="1" applyBorder="1" applyAlignment="1">
      <alignment horizontal="center" vertical="center" textRotation="90" shrinkToFit="1"/>
    </xf>
    <xf numFmtId="0" fontId="34" fillId="2" borderId="36" xfId="0" applyFont="1" applyFill="1" applyBorder="1" applyAlignment="1">
      <alignment horizontal="center" vertical="center" textRotation="90" shrinkToFit="1"/>
    </xf>
    <xf numFmtId="0" fontId="34" fillId="2" borderId="18" xfId="0" applyFont="1" applyFill="1" applyBorder="1" applyAlignment="1">
      <alignment horizontal="center" vertical="center" textRotation="90" shrinkToFit="1"/>
    </xf>
    <xf numFmtId="0" fontId="34" fillId="2" borderId="8" xfId="0" applyFont="1" applyFill="1" applyBorder="1" applyAlignment="1">
      <alignment horizontal="center" vertical="center" shrinkToFit="1"/>
    </xf>
    <xf numFmtId="0" fontId="153" fillId="2" borderId="42" xfId="0" applyFont="1" applyFill="1" applyBorder="1" applyAlignment="1" applyProtection="1">
      <alignment horizontal="left" vertical="center" wrapText="1"/>
    </xf>
    <xf numFmtId="0" fontId="153" fillId="2" borderId="0" xfId="0" applyFont="1" applyFill="1" applyBorder="1" applyAlignment="1" applyProtection="1">
      <alignment horizontal="left" vertical="center" wrapText="1"/>
    </xf>
    <xf numFmtId="0" fontId="33" fillId="2" borderId="0" xfId="0" applyFont="1" applyFill="1" applyAlignment="1">
      <alignment horizontal="left" vertical="center" wrapText="1"/>
    </xf>
    <xf numFmtId="178" fontId="165" fillId="2" borderId="0" xfId="0" applyNumberFormat="1" applyFont="1" applyFill="1" applyAlignment="1">
      <alignment horizontal="center" vertical="center" shrinkToFit="1"/>
    </xf>
    <xf numFmtId="0" fontId="145" fillId="2" borderId="0" xfId="0" applyFont="1" applyFill="1" applyAlignment="1">
      <alignment horizontal="center" vertical="center"/>
    </xf>
    <xf numFmtId="165" fontId="80" fillId="2" borderId="0" xfId="0" applyNumberFormat="1" applyFont="1" applyFill="1" applyAlignment="1">
      <alignment horizontal="center" shrinkToFit="1"/>
    </xf>
    <xf numFmtId="0" fontId="10" fillId="2" borderId="0" xfId="0" applyFont="1" applyFill="1" applyBorder="1" applyAlignment="1" applyProtection="1">
      <alignment horizontal="left" vertical="top" wrapText="1"/>
    </xf>
    <xf numFmtId="0" fontId="175" fillId="0" borderId="0" xfId="0" applyFont="1" applyFill="1" applyAlignment="1">
      <alignment horizontal="center" vertical="center"/>
    </xf>
    <xf numFmtId="0" fontId="109" fillId="0" borderId="8" xfId="0" applyFont="1" applyBorder="1" applyAlignment="1">
      <alignment horizontal="center"/>
    </xf>
    <xf numFmtId="0" fontId="25" fillId="2" borderId="0" xfId="0" applyFont="1" applyFill="1" applyBorder="1" applyAlignment="1">
      <alignment horizontal="center" vertical="center"/>
    </xf>
    <xf numFmtId="0" fontId="10" fillId="2" borderId="42" xfId="0" applyFont="1" applyFill="1" applyBorder="1" applyAlignment="1" applyProtection="1">
      <alignment horizontal="left" vertical="top" wrapText="1"/>
    </xf>
    <xf numFmtId="0" fontId="114" fillId="0" borderId="23" xfId="0" applyFont="1" applyBorder="1" applyAlignment="1">
      <alignment horizontal="center" vertical="center"/>
    </xf>
    <xf numFmtId="0" fontId="178" fillId="2" borderId="0" xfId="0" applyFont="1" applyFill="1" applyAlignment="1">
      <alignment horizontal="center"/>
    </xf>
    <xf numFmtId="178" fontId="166" fillId="2" borderId="0" xfId="0" applyNumberFormat="1" applyFont="1" applyFill="1" applyAlignment="1">
      <alignment horizontal="center" vertical="center" shrinkToFit="1"/>
    </xf>
    <xf numFmtId="0" fontId="151" fillId="0" borderId="0" xfId="0" applyFont="1" applyAlignment="1">
      <alignment horizontal="left" vertical="center"/>
    </xf>
    <xf numFmtId="0" fontId="167" fillId="0" borderId="0" xfId="0" applyFont="1" applyAlignment="1">
      <alignment horizontal="center" vertical="center"/>
    </xf>
    <xf numFmtId="0" fontId="111" fillId="0" borderId="0" xfId="0" applyFont="1" applyAlignment="1">
      <alignment horizontal="center"/>
    </xf>
    <xf numFmtId="0" fontId="113" fillId="0" borderId="0" xfId="0" applyFont="1" applyAlignment="1">
      <alignment horizontal="center"/>
    </xf>
    <xf numFmtId="0" fontId="168" fillId="0" borderId="0" xfId="0" applyFont="1" applyBorder="1" applyAlignment="1">
      <alignment horizontal="right" vertical="center"/>
    </xf>
    <xf numFmtId="0" fontId="18" fillId="0" borderId="0" xfId="0" applyFont="1" applyBorder="1" applyAlignment="1">
      <alignment horizontal="center"/>
    </xf>
    <xf numFmtId="0" fontId="24" fillId="0" borderId="0" xfId="0" applyFont="1" applyBorder="1" applyAlignment="1">
      <alignment horizontal="right"/>
    </xf>
    <xf numFmtId="0" fontId="24" fillId="0" borderId="0" xfId="0" applyFont="1" applyBorder="1" applyAlignment="1">
      <alignment horizontal="center"/>
    </xf>
    <xf numFmtId="0" fontId="31" fillId="0" borderId="0" xfId="0" applyFont="1" applyBorder="1" applyAlignment="1">
      <alignment horizontal="center"/>
    </xf>
    <xf numFmtId="0" fontId="60" fillId="0" borderId="42" xfId="0" applyFont="1" applyFill="1" applyBorder="1" applyAlignment="1">
      <alignment horizontal="center" vertical="center"/>
    </xf>
    <xf numFmtId="0" fontId="60" fillId="0" borderId="43" xfId="0" applyFont="1" applyFill="1" applyBorder="1" applyAlignment="1">
      <alignment horizontal="center" vertical="center"/>
    </xf>
    <xf numFmtId="0" fontId="146" fillId="0" borderId="21" xfId="0" applyFont="1" applyBorder="1" applyAlignment="1">
      <alignment horizontal="center" vertical="center" wrapText="1"/>
    </xf>
    <xf numFmtId="0" fontId="146" fillId="0" borderId="18" xfId="0" applyFont="1" applyBorder="1" applyAlignment="1">
      <alignment horizontal="center" vertical="center" wrapText="1"/>
    </xf>
    <xf numFmtId="0" fontId="53" fillId="0" borderId="13" xfId="0" applyFont="1" applyBorder="1" applyAlignment="1">
      <alignment horizontal="right" vertical="center"/>
    </xf>
    <xf numFmtId="0" fontId="53" fillId="0" borderId="2" xfId="0" applyFont="1" applyBorder="1" applyAlignment="1">
      <alignment horizontal="right" vertical="center"/>
    </xf>
    <xf numFmtId="0" fontId="53" fillId="0" borderId="14" xfId="0" applyFont="1" applyBorder="1" applyAlignment="1">
      <alignment horizontal="right" vertical="center"/>
    </xf>
    <xf numFmtId="0" fontId="184" fillId="0" borderId="13" xfId="0" applyFont="1" applyBorder="1" applyAlignment="1">
      <alignment horizontal="right" vertical="center"/>
    </xf>
    <xf numFmtId="0" fontId="184" fillId="0" borderId="2" xfId="0" applyFont="1" applyBorder="1" applyAlignment="1">
      <alignment horizontal="right" vertical="center"/>
    </xf>
    <xf numFmtId="0" fontId="184" fillId="0" borderId="14" xfId="0" applyFont="1" applyBorder="1" applyAlignment="1">
      <alignment horizontal="right" vertical="center"/>
    </xf>
    <xf numFmtId="0" fontId="186" fillId="0" borderId="13" xfId="0" applyFont="1" applyBorder="1" applyAlignment="1">
      <alignment horizontal="right" vertical="center"/>
    </xf>
    <xf numFmtId="0" fontId="186" fillId="0" borderId="2" xfId="0" applyFont="1" applyBorder="1" applyAlignment="1">
      <alignment horizontal="right" vertical="center"/>
    </xf>
    <xf numFmtId="0" fontId="186" fillId="0" borderId="14" xfId="0" applyFont="1" applyBorder="1" applyAlignment="1">
      <alignment horizontal="right" vertical="center"/>
    </xf>
    <xf numFmtId="0" fontId="146" fillId="0" borderId="8" xfId="0" applyFont="1" applyBorder="1" applyAlignment="1">
      <alignment horizontal="center" vertical="center" wrapText="1"/>
    </xf>
    <xf numFmtId="0" fontId="146" fillId="0" borderId="13" xfId="0" applyFont="1" applyBorder="1" applyAlignment="1">
      <alignment horizontal="center" vertical="center" wrapText="1"/>
    </xf>
    <xf numFmtId="0" fontId="146" fillId="0" borderId="14" xfId="0" applyFont="1" applyBorder="1" applyAlignment="1">
      <alignment horizontal="center" vertical="center" wrapText="1"/>
    </xf>
    <xf numFmtId="0" fontId="187" fillId="0" borderId="21" xfId="0" applyFont="1" applyBorder="1" applyAlignment="1">
      <alignment horizontal="center" vertical="center" textRotation="90" wrapText="1"/>
    </xf>
    <xf numFmtId="0" fontId="187" fillId="0" borderId="18" xfId="0" applyFont="1" applyBorder="1" applyAlignment="1">
      <alignment horizontal="center" vertical="center" textRotation="90" wrapText="1"/>
    </xf>
    <xf numFmtId="0" fontId="20" fillId="0" borderId="23" xfId="0" applyFont="1" applyBorder="1" applyAlignment="1">
      <alignment horizontal="left" vertical="center"/>
    </xf>
    <xf numFmtId="0" fontId="179" fillId="0" borderId="23" xfId="0" applyFont="1" applyBorder="1" applyAlignment="1">
      <alignment horizontal="left" vertical="center"/>
    </xf>
    <xf numFmtId="0" fontId="146" fillId="0" borderId="0" xfId="0" applyFont="1" applyBorder="1" applyAlignment="1">
      <alignment horizontal="center"/>
    </xf>
    <xf numFmtId="0" fontId="60" fillId="0" borderId="2" xfId="0" applyFont="1" applyBorder="1" applyAlignment="1">
      <alignment horizontal="center" vertical="center"/>
    </xf>
    <xf numFmtId="0" fontId="60" fillId="0" borderId="14" xfId="0" applyFont="1" applyBorder="1" applyAlignment="1">
      <alignment horizontal="center" vertical="center"/>
    </xf>
    <xf numFmtId="0" fontId="60" fillId="0" borderId="23" xfId="0" applyFont="1" applyBorder="1" applyAlignment="1">
      <alignment horizontal="center" vertical="center"/>
    </xf>
    <xf numFmtId="0" fontId="60" fillId="0" borderId="40" xfId="0" applyFont="1" applyBorder="1" applyAlignment="1">
      <alignment horizontal="center" vertical="center"/>
    </xf>
    <xf numFmtId="0" fontId="123" fillId="0" borderId="23" xfId="0" applyFont="1" applyBorder="1" applyAlignment="1">
      <alignment horizontal="center" vertical="center"/>
    </xf>
    <xf numFmtId="0" fontId="123" fillId="0" borderId="40" xfId="0" applyFont="1" applyBorder="1" applyAlignment="1">
      <alignment horizontal="center" vertical="center"/>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60" fillId="0" borderId="2" xfId="0" applyFont="1" applyFill="1" applyBorder="1" applyAlignment="1">
      <alignment horizontal="center" vertical="center"/>
    </xf>
    <xf numFmtId="0" fontId="60" fillId="0" borderId="14"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62" xfId="0" applyFont="1" applyFill="1" applyBorder="1" applyAlignment="1">
      <alignment horizontal="center" vertical="center"/>
    </xf>
    <xf numFmtId="0" fontId="123" fillId="0" borderId="2" xfId="0" applyFont="1" applyBorder="1" applyAlignment="1">
      <alignment horizontal="center" vertical="center"/>
    </xf>
    <xf numFmtId="0" fontId="123" fillId="0" borderId="14" xfId="0" applyFont="1" applyBorder="1" applyAlignment="1">
      <alignment horizontal="center" vertical="center"/>
    </xf>
    <xf numFmtId="0" fontId="146" fillId="0" borderId="2" xfId="0" applyFont="1" applyBorder="1" applyAlignment="1">
      <alignment horizontal="center" vertical="center"/>
    </xf>
    <xf numFmtId="0" fontId="146" fillId="0" borderId="14" xfId="0" applyFont="1" applyBorder="1" applyAlignment="1">
      <alignment horizontal="center" vertical="center"/>
    </xf>
    <xf numFmtId="0" fontId="33" fillId="0" borderId="13" xfId="0" applyFont="1" applyBorder="1" applyAlignment="1">
      <alignment horizontal="center" vertical="center"/>
    </xf>
    <xf numFmtId="0" fontId="33" fillId="0" borderId="2" xfId="0" applyFont="1" applyBorder="1" applyAlignment="1">
      <alignment horizontal="center" vertical="center"/>
    </xf>
    <xf numFmtId="0" fontId="33" fillId="0" borderId="14" xfId="0" applyFont="1" applyBorder="1" applyAlignment="1">
      <alignment horizontal="center" vertical="center"/>
    </xf>
    <xf numFmtId="0" fontId="33" fillId="2" borderId="0" xfId="0" applyFont="1" applyFill="1" applyAlignment="1">
      <alignment horizontal="center" vertical="center" wrapText="1"/>
    </xf>
    <xf numFmtId="0" fontId="10" fillId="2" borderId="0" xfId="0" applyFont="1" applyFill="1" applyBorder="1" applyAlignment="1" applyProtection="1">
      <alignment horizontal="center" vertical="center" wrapText="1"/>
    </xf>
    <xf numFmtId="0" fontId="188" fillId="0" borderId="23" xfId="0" applyFont="1" applyBorder="1" applyAlignment="1">
      <alignment horizontal="left" vertical="top"/>
    </xf>
    <xf numFmtId="0" fontId="26" fillId="0" borderId="23" xfId="0" applyFont="1" applyBorder="1" applyAlignment="1">
      <alignment horizontal="left" vertical="top"/>
    </xf>
    <xf numFmtId="0" fontId="26" fillId="0" borderId="0" xfId="0" applyFont="1" applyBorder="1" applyAlignment="1">
      <alignment horizontal="center" vertical="top"/>
    </xf>
    <xf numFmtId="0" fontId="189"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163"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175" fillId="0" borderId="0" xfId="0" applyFont="1" applyAlignment="1">
      <alignment horizontal="center"/>
    </xf>
    <xf numFmtId="0" fontId="26" fillId="0" borderId="0" xfId="0" applyFont="1" applyBorder="1" applyAlignment="1">
      <alignment horizontal="center"/>
    </xf>
    <xf numFmtId="0" fontId="81" fillId="0" borderId="0" xfId="0" applyFont="1" applyBorder="1" applyAlignment="1">
      <alignment horizontal="left" vertical="center"/>
    </xf>
    <xf numFmtId="0" fontId="168" fillId="0" borderId="0" xfId="0" applyFont="1" applyBorder="1" applyAlignment="1">
      <alignment horizontal="center"/>
    </xf>
    <xf numFmtId="0" fontId="33" fillId="0" borderId="0" xfId="0" applyFont="1" applyBorder="1" applyAlignment="1">
      <alignment horizontal="center"/>
    </xf>
    <xf numFmtId="178" fontId="160" fillId="2" borderId="0" xfId="0" applyNumberFormat="1" applyFont="1" applyFill="1" applyAlignment="1">
      <alignment horizontal="center" vertical="center" shrinkToFit="1"/>
    </xf>
    <xf numFmtId="0" fontId="104" fillId="0" borderId="0" xfId="0" applyFont="1" applyBorder="1" applyAlignment="1">
      <alignment horizontal="center"/>
    </xf>
    <xf numFmtId="0" fontId="119" fillId="0" borderId="0" xfId="0" applyFont="1" applyBorder="1" applyAlignment="1">
      <alignment horizontal="left" vertical="center"/>
    </xf>
    <xf numFmtId="0" fontId="195" fillId="0" borderId="0" xfId="0" applyFont="1" applyBorder="1" applyAlignment="1">
      <alignment horizontal="center"/>
    </xf>
    <xf numFmtId="0" fontId="116" fillId="0" borderId="0" xfId="0" applyFont="1" applyBorder="1" applyAlignment="1">
      <alignment horizontal="center"/>
    </xf>
    <xf numFmtId="0" fontId="116" fillId="0" borderId="0" xfId="0" applyFont="1" applyBorder="1" applyAlignment="1">
      <alignment horizontal="center" vertical="center"/>
    </xf>
    <xf numFmtId="0" fontId="104" fillId="0" borderId="23" xfId="0" applyFont="1" applyBorder="1" applyAlignment="1">
      <alignment horizontal="center" vertical="top"/>
    </xf>
    <xf numFmtId="0" fontId="118" fillId="0" borderId="23" xfId="0" applyFont="1" applyBorder="1" applyAlignment="1">
      <alignment horizontal="left" vertical="top"/>
    </xf>
    <xf numFmtId="0" fontId="104" fillId="0" borderId="0" xfId="0" applyFont="1" applyBorder="1" applyAlignment="1">
      <alignment horizontal="center" vertical="top"/>
    </xf>
    <xf numFmtId="0" fontId="164" fillId="2" borderId="0" xfId="0" applyFont="1" applyFill="1" applyAlignment="1">
      <alignment horizontal="left" shrinkToFit="1"/>
    </xf>
    <xf numFmtId="0" fontId="30" fillId="2" borderId="0" xfId="0" applyFont="1" applyFill="1" applyAlignment="1">
      <alignment horizontal="center" vertical="top"/>
    </xf>
    <xf numFmtId="0" fontId="30" fillId="2" borderId="0" xfId="0" applyFont="1" applyFill="1" applyAlignment="1">
      <alignment horizontal="left" vertical="top" wrapText="1"/>
    </xf>
    <xf numFmtId="0" fontId="30" fillId="2" borderId="0" xfId="0" applyFont="1" applyFill="1" applyAlignment="1">
      <alignment horizontal="justify" vertical="center" wrapText="1"/>
    </xf>
    <xf numFmtId="0" fontId="30" fillId="2" borderId="0" xfId="0" applyFont="1" applyFill="1" applyAlignment="1">
      <alignment horizontal="left"/>
    </xf>
  </cellXfs>
  <cellStyles count="2">
    <cellStyle name="Normal" xfId="0" builtinId="0"/>
    <cellStyle name="Normal 2 2" xfId="1"/>
  </cellStyles>
  <dxfs count="39">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strike val="0"/>
        <outline val="0"/>
        <shadow val="0"/>
        <u val="none"/>
        <vertAlign val="baseline"/>
        <color auto="1"/>
      </font>
      <numFmt numFmtId="0" formatCode="General"/>
      <fill>
        <patternFill patternType="solid">
          <fgColor indexed="64"/>
        </patternFill>
      </fill>
      <alignment textRotation="0" indent="0" relativeIndent="255" justifyLastLine="0" readingOrder="0"/>
      <border diagonalUp="0" diagonalDown="0" outline="0"/>
    </dxf>
    <dxf>
      <font>
        <b val="0"/>
        <i val="0"/>
        <strike val="0"/>
        <condense val="0"/>
        <extend val="0"/>
        <outline val="0"/>
        <shadow val="0"/>
        <u val="none"/>
        <vertAlign val="baseline"/>
        <sz val="12"/>
        <color auto="1"/>
        <name val="Calibri"/>
        <scheme val="minor"/>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3" formatCode="0%"/>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DevLys 010"/>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0" formatCode="General"/>
      <fill>
        <patternFill patternType="solid">
          <fgColor indexed="64"/>
          <bgColor indexed="9"/>
        </patternFill>
      </fill>
      <alignment horizontal="center" vertical="center" textRotation="0" wrapText="0" indent="0" relativeIndent="255" justifyLastLine="0" shrinkToFit="0" mergeCell="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patternFill>
      </fill>
      <alignment textRotation="0" indent="0" relativeIndent="255" justifyLastLine="0" readingOrder="0"/>
      <border diagonalUp="0" diagonalDown="0" outline="0"/>
    </dxf>
    <dxf>
      <border outline="0">
        <bottom style="thin">
          <color indexed="64"/>
        </bottom>
      </border>
    </dxf>
    <dxf>
      <font>
        <b val="0"/>
        <i val="0"/>
        <strike val="0"/>
        <condense val="0"/>
        <extend val="0"/>
        <outline val="0"/>
        <shadow val="0"/>
        <u val="none"/>
        <vertAlign val="baseline"/>
        <sz val="10"/>
        <color auto="1"/>
        <name val="Arjun Wide"/>
        <scheme val="none"/>
      </font>
      <fill>
        <patternFill patternType="solid">
          <fgColor indexed="64"/>
          <bgColor indexed="9"/>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bottom/>
      </border>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color theme="1" tint="0.34998626667073579"/>
      </font>
    </dxf>
    <dxf>
      <font>
        <condense val="0"/>
        <extend val="0"/>
        <color rgb="FF9C0006"/>
      </font>
      <fill>
        <patternFill>
          <bgColor rgb="FFFFC7CE"/>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s>
  <tableStyles count="0" defaultTableStyle="TableStyleMedium9" defaultPivotStyle="PivotStyleLight16"/>
  <colors>
    <mruColors>
      <color rgb="FF0000FF"/>
      <color rgb="FFCC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66676</xdr:colOff>
      <xdr:row>1</xdr:row>
      <xdr:rowOff>342900</xdr:rowOff>
    </xdr:from>
    <xdr:to>
      <xdr:col>7</xdr:col>
      <xdr:colOff>645112</xdr:colOff>
      <xdr:row>4</xdr:row>
      <xdr:rowOff>1362075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1306176" y="533400"/>
          <a:ext cx="1969086" cy="1847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552450</xdr:colOff>
      <xdr:row>6</xdr:row>
      <xdr:rowOff>123826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2496800" y="57150"/>
          <a:ext cx="1704975" cy="17526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318654</xdr:colOff>
      <xdr:row>6</xdr:row>
      <xdr:rowOff>138545</xdr:rowOff>
    </xdr:from>
    <xdr:to>
      <xdr:col>27</xdr:col>
      <xdr:colOff>118628</xdr:colOff>
      <xdr:row>12</xdr:row>
      <xdr:rowOff>52404</xdr:rowOff>
    </xdr:to>
    <xdr:sp macro="" textlink="">
      <xdr:nvSpPr>
        <xdr:cNvPr id="2" name="Oval Callout 1"/>
        <xdr:cNvSpPr/>
      </xdr:nvSpPr>
      <xdr:spPr>
        <a:xfrm>
          <a:off x="12043063" y="1567295"/>
          <a:ext cx="2224520" cy="1403223"/>
        </a:xfrm>
        <a:prstGeom prst="wedgeEllipseCallout">
          <a:avLst>
            <a:gd name="adj1" fmla="val -87372"/>
            <a:gd name="adj2" fmla="val 2562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7030A0"/>
              </a:solidFill>
              <a:latin typeface="DevLys 010" pitchFamily="2" charset="0"/>
            </a:rPr>
            <a:t>tks Hkh in fjDr gksxk o yky</a:t>
          </a:r>
          <a:r>
            <a:rPr lang="en-US" sz="1600" b="1" baseline="0">
              <a:solidFill>
                <a:srgbClr val="7030A0"/>
              </a:solidFill>
              <a:latin typeface="DevLys 010" pitchFamily="2" charset="0"/>
            </a:rPr>
            <a:t> dyj ds VsDl esa vyx ls 'kks djsxk A</a:t>
          </a:r>
          <a:endParaRPr lang="en-US" sz="1600" b="1">
            <a:solidFill>
              <a:srgbClr val="7030A0"/>
            </a:solidFill>
            <a:latin typeface="DevLys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14</xdr:row>
      <xdr:rowOff>190500</xdr:rowOff>
    </xdr:from>
    <xdr:to>
      <xdr:col>7</xdr:col>
      <xdr:colOff>600075</xdr:colOff>
      <xdr:row>17</xdr:row>
      <xdr:rowOff>228599</xdr:rowOff>
    </xdr:to>
    <xdr:sp macro="" textlink="">
      <xdr:nvSpPr>
        <xdr:cNvPr id="2" name="Line 1"/>
        <xdr:cNvSpPr>
          <a:spLocks noChangeShapeType="1"/>
        </xdr:cNvSpPr>
      </xdr:nvSpPr>
      <xdr:spPr bwMode="auto">
        <a:xfrm flipV="1">
          <a:off x="4886325" y="3219450"/>
          <a:ext cx="2152650" cy="685799"/>
        </a:xfrm>
        <a:prstGeom prst="line">
          <a:avLst/>
        </a:prstGeom>
        <a:noFill/>
        <a:ln w="9525">
          <a:solidFill>
            <a:srgbClr val="000000"/>
          </a:solidFill>
          <a:round/>
          <a:headEnd/>
          <a:tailEnd/>
        </a:ln>
      </xdr:spPr>
    </xdr:sp>
    <xdr:clientData/>
  </xdr:twoCellAnchor>
  <xdr:twoCellAnchor>
    <xdr:from>
      <xdr:col>5</xdr:col>
      <xdr:colOff>311150</xdr:colOff>
      <xdr:row>6</xdr:row>
      <xdr:rowOff>222250</xdr:rowOff>
    </xdr:from>
    <xdr:to>
      <xdr:col>7</xdr:col>
      <xdr:colOff>749300</xdr:colOff>
      <xdr:row>9</xdr:row>
      <xdr:rowOff>222249</xdr:rowOff>
    </xdr:to>
    <xdr:sp macro="" textlink="">
      <xdr:nvSpPr>
        <xdr:cNvPr id="3" name="Line 1"/>
        <xdr:cNvSpPr>
          <a:spLocks noChangeShapeType="1"/>
        </xdr:cNvSpPr>
      </xdr:nvSpPr>
      <xdr:spPr bwMode="auto">
        <a:xfrm flipV="1">
          <a:off x="5035550" y="1479550"/>
          <a:ext cx="2152650" cy="657224"/>
        </a:xfrm>
        <a:prstGeom prst="line">
          <a:avLst/>
        </a:prstGeom>
        <a:noFill/>
        <a:ln w="9525">
          <a:solidFill>
            <a:srgbClr val="000000"/>
          </a:solidFill>
          <a:round/>
          <a:headEnd/>
          <a:tailEnd/>
        </a:ln>
      </xdr:spPr>
    </xdr:sp>
    <xdr:clientData/>
  </xdr:twoCellAnchor>
  <xdr:twoCellAnchor>
    <xdr:from>
      <xdr:col>5</xdr:col>
      <xdr:colOff>114300</xdr:colOff>
      <xdr:row>22</xdr:row>
      <xdr:rowOff>69850</xdr:rowOff>
    </xdr:from>
    <xdr:to>
      <xdr:col>7</xdr:col>
      <xdr:colOff>685800</xdr:colOff>
      <xdr:row>24</xdr:row>
      <xdr:rowOff>0</xdr:rowOff>
    </xdr:to>
    <xdr:sp macro="" textlink="">
      <xdr:nvSpPr>
        <xdr:cNvPr id="4" name="Line 1"/>
        <xdr:cNvSpPr>
          <a:spLocks noChangeShapeType="1"/>
        </xdr:cNvSpPr>
      </xdr:nvSpPr>
      <xdr:spPr bwMode="auto">
        <a:xfrm flipV="1">
          <a:off x="4838700" y="4870450"/>
          <a:ext cx="2286000" cy="368300"/>
        </a:xfrm>
        <a:prstGeom prst="line">
          <a:avLst/>
        </a:prstGeom>
        <a:noFill/>
        <a:ln w="9525">
          <a:solidFill>
            <a:srgbClr val="000000"/>
          </a:solidFill>
          <a:round/>
          <a:headEnd/>
          <a:tailEnd/>
        </a:ln>
      </xdr:spPr>
    </xdr:sp>
    <xdr:clientData/>
  </xdr:twoCellAnchor>
  <xdr:twoCellAnchor>
    <xdr:from>
      <xdr:col>5</xdr:col>
      <xdr:colOff>114300</xdr:colOff>
      <xdr:row>28</xdr:row>
      <xdr:rowOff>69850</xdr:rowOff>
    </xdr:from>
    <xdr:to>
      <xdr:col>7</xdr:col>
      <xdr:colOff>685800</xdr:colOff>
      <xdr:row>30</xdr:row>
      <xdr:rowOff>0</xdr:rowOff>
    </xdr:to>
    <xdr:sp macro="" textlink="">
      <xdr:nvSpPr>
        <xdr:cNvPr id="5" name="Line 1"/>
        <xdr:cNvSpPr>
          <a:spLocks noChangeShapeType="1"/>
        </xdr:cNvSpPr>
      </xdr:nvSpPr>
      <xdr:spPr bwMode="auto">
        <a:xfrm flipV="1">
          <a:off x="4838700" y="6203950"/>
          <a:ext cx="2286000" cy="368300"/>
        </a:xfrm>
        <a:prstGeom prst="line">
          <a:avLst/>
        </a:prstGeom>
        <a:noFill/>
        <a:ln w="9525">
          <a:solidFill>
            <a:srgbClr val="000000"/>
          </a:solidFill>
          <a:round/>
          <a:headEnd/>
          <a:tailEnd/>
        </a:ln>
      </xdr:spPr>
    </xdr:sp>
    <xdr:clientData/>
  </xdr:twoCellAnchor>
  <xdr:twoCellAnchor>
    <xdr:from>
      <xdr:col>5</xdr:col>
      <xdr:colOff>209550</xdr:colOff>
      <xdr:row>34</xdr:row>
      <xdr:rowOff>219074</xdr:rowOff>
    </xdr:from>
    <xdr:to>
      <xdr:col>7</xdr:col>
      <xdr:colOff>590550</xdr:colOff>
      <xdr:row>35</xdr:row>
      <xdr:rowOff>628648</xdr:rowOff>
    </xdr:to>
    <xdr:sp macro="" textlink="">
      <xdr:nvSpPr>
        <xdr:cNvPr id="6" name="Line 1"/>
        <xdr:cNvSpPr>
          <a:spLocks noChangeShapeType="1"/>
        </xdr:cNvSpPr>
      </xdr:nvSpPr>
      <xdr:spPr bwMode="auto">
        <a:xfrm flipV="1">
          <a:off x="4933950" y="7686674"/>
          <a:ext cx="2095500" cy="219074"/>
        </a:xfrm>
        <a:prstGeom prst="line">
          <a:avLst/>
        </a:prstGeom>
        <a:noFill/>
        <a:ln w="9525">
          <a:solidFill>
            <a:srgbClr val="000000"/>
          </a:solidFill>
          <a:round/>
          <a:headEnd/>
          <a:tailEnd/>
        </a:ln>
      </xdr:spPr>
    </xdr:sp>
    <xdr:clientData/>
  </xdr:twoCellAnchor>
  <xdr:twoCellAnchor>
    <xdr:from>
      <xdr:col>5</xdr:col>
      <xdr:colOff>209550</xdr:colOff>
      <xdr:row>40</xdr:row>
      <xdr:rowOff>219074</xdr:rowOff>
    </xdr:from>
    <xdr:to>
      <xdr:col>7</xdr:col>
      <xdr:colOff>590550</xdr:colOff>
      <xdr:row>41</xdr:row>
      <xdr:rowOff>628648</xdr:rowOff>
    </xdr:to>
    <xdr:sp macro="" textlink="">
      <xdr:nvSpPr>
        <xdr:cNvPr id="7" name="Line 1"/>
        <xdr:cNvSpPr>
          <a:spLocks noChangeShapeType="1"/>
        </xdr:cNvSpPr>
      </xdr:nvSpPr>
      <xdr:spPr bwMode="auto">
        <a:xfrm flipV="1">
          <a:off x="4933950" y="9020174"/>
          <a:ext cx="2095500" cy="238124"/>
        </a:xfrm>
        <a:prstGeom prst="line">
          <a:avLst/>
        </a:prstGeom>
        <a:noFill/>
        <a:ln w="9525">
          <a:solidFill>
            <a:srgbClr val="000000"/>
          </a:solidFill>
          <a:round/>
          <a:headEnd/>
          <a:tailEnd/>
        </a:ln>
      </xdr:spPr>
    </xdr:sp>
    <xdr:clientData/>
  </xdr:twoCellAnchor>
  <xdr:twoCellAnchor>
    <xdr:from>
      <xdr:col>5</xdr:col>
      <xdr:colOff>133350</xdr:colOff>
      <xdr:row>46</xdr:row>
      <xdr:rowOff>190499</xdr:rowOff>
    </xdr:from>
    <xdr:to>
      <xdr:col>7</xdr:col>
      <xdr:colOff>685800</xdr:colOff>
      <xdr:row>47</xdr:row>
      <xdr:rowOff>676273</xdr:rowOff>
    </xdr:to>
    <xdr:sp macro="" textlink="">
      <xdr:nvSpPr>
        <xdr:cNvPr id="8" name="Line 1"/>
        <xdr:cNvSpPr>
          <a:spLocks noChangeShapeType="1"/>
        </xdr:cNvSpPr>
      </xdr:nvSpPr>
      <xdr:spPr bwMode="auto">
        <a:xfrm flipV="1">
          <a:off x="4857750" y="10344149"/>
          <a:ext cx="2266950" cy="266699"/>
        </a:xfrm>
        <a:prstGeom prst="line">
          <a:avLst/>
        </a:prstGeom>
        <a:noFill/>
        <a:ln w="9525">
          <a:solidFill>
            <a:srgbClr val="000000"/>
          </a:solidFill>
          <a:round/>
          <a:headEnd/>
          <a:tailEnd/>
        </a:ln>
      </xdr:spPr>
    </xdr:sp>
    <xdr:clientData/>
  </xdr:twoCellAnchor>
  <xdr:twoCellAnchor>
    <xdr:from>
      <xdr:col>5</xdr:col>
      <xdr:colOff>133350</xdr:colOff>
      <xdr:row>52</xdr:row>
      <xdr:rowOff>190499</xdr:rowOff>
    </xdr:from>
    <xdr:to>
      <xdr:col>7</xdr:col>
      <xdr:colOff>685800</xdr:colOff>
      <xdr:row>53</xdr:row>
      <xdr:rowOff>676273</xdr:rowOff>
    </xdr:to>
    <xdr:sp macro="" textlink="">
      <xdr:nvSpPr>
        <xdr:cNvPr id="9" name="Line 1"/>
        <xdr:cNvSpPr>
          <a:spLocks noChangeShapeType="1"/>
        </xdr:cNvSpPr>
      </xdr:nvSpPr>
      <xdr:spPr bwMode="auto">
        <a:xfrm flipV="1">
          <a:off x="4857750" y="11696699"/>
          <a:ext cx="2266950" cy="247649"/>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19050</xdr:colOff>
      <xdr:row>0</xdr:row>
      <xdr:rowOff>247650</xdr:rowOff>
    </xdr:from>
    <xdr:to>
      <xdr:col>16</xdr:col>
      <xdr:colOff>190500</xdr:colOff>
      <xdr:row>5</xdr:row>
      <xdr:rowOff>155448</xdr:rowOff>
    </xdr:to>
    <xdr:sp macro="" textlink="">
      <xdr:nvSpPr>
        <xdr:cNvPr id="2" name="Oval Callout 1"/>
        <xdr:cNvSpPr/>
      </xdr:nvSpPr>
      <xdr:spPr>
        <a:xfrm>
          <a:off x="7753350" y="247650"/>
          <a:ext cx="2609850" cy="1469898"/>
        </a:xfrm>
        <a:prstGeom prst="wedgeEllipseCallout">
          <a:avLst>
            <a:gd name="adj1" fmla="val -73762"/>
            <a:gd name="adj2" fmla="val 31674"/>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gkbZM dj ysosA</a:t>
          </a:r>
          <a:endParaRPr lang="en-US" sz="1600" b="1">
            <a:solidFill>
              <a:srgbClr val="FFFF00"/>
            </a:solidFill>
            <a:latin typeface="DevLys 01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432707</xdr:colOff>
      <xdr:row>7</xdr:row>
      <xdr:rowOff>168715</xdr:rowOff>
    </xdr:to>
    <xdr:sp macro="" textlink="">
      <xdr:nvSpPr>
        <xdr:cNvPr id="2" name="Oval Callout 1"/>
        <xdr:cNvSpPr/>
      </xdr:nvSpPr>
      <xdr:spPr>
        <a:xfrm>
          <a:off x="10137321" y="459241"/>
          <a:ext cx="2609850" cy="1469898"/>
        </a:xfrm>
        <a:prstGeom prst="wedgeEllipseCallout">
          <a:avLst>
            <a:gd name="adj1" fmla="val -62162"/>
            <a:gd name="adj2" fmla="val 35701"/>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Hkh gkbZM dj ysosA</a:t>
          </a:r>
          <a:endParaRPr lang="en-US" sz="1600" b="1">
            <a:solidFill>
              <a:srgbClr val="FFFF00"/>
            </a:solidFill>
            <a:latin typeface="DevLys 01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112059</xdr:colOff>
      <xdr:row>9</xdr:row>
      <xdr:rowOff>336176</xdr:rowOff>
    </xdr:from>
    <xdr:to>
      <xdr:col>3</xdr:col>
      <xdr:colOff>1019735</xdr:colOff>
      <xdr:row>11</xdr:row>
      <xdr:rowOff>44823</xdr:rowOff>
    </xdr:to>
    <xdr:cxnSp macro="">
      <xdr:nvCxnSpPr>
        <xdr:cNvPr id="2" name="Straight Connector 1">
          <a:extLst>
            <a:ext uri="{FF2B5EF4-FFF2-40B4-BE49-F238E27FC236}">
              <a16:creationId xmlns:a16="http://schemas.microsoft.com/office/drawing/2014/main" xmlns="" id="{00000000-0008-0000-0C00-000002000000}"/>
            </a:ext>
          </a:extLst>
        </xdr:cNvPr>
        <xdr:cNvCxnSpPr/>
      </xdr:nvCxnSpPr>
      <xdr:spPr>
        <a:xfrm flipV="1">
          <a:off x="112059" y="3688976"/>
          <a:ext cx="4184276" cy="66114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623047</xdr:colOff>
      <xdr:row>8</xdr:row>
      <xdr:rowOff>67235</xdr:rowOff>
    </xdr:from>
    <xdr:to>
      <xdr:col>7</xdr:col>
      <xdr:colOff>1143000</xdr:colOff>
      <xdr:row>9</xdr:row>
      <xdr:rowOff>163606</xdr:rowOff>
    </xdr:to>
    <xdr:cxnSp macro="">
      <xdr:nvCxnSpPr>
        <xdr:cNvPr id="3" name="Straight Connector 2">
          <a:extLst>
            <a:ext uri="{FF2B5EF4-FFF2-40B4-BE49-F238E27FC236}">
              <a16:creationId xmlns:a16="http://schemas.microsoft.com/office/drawing/2014/main" xmlns="" id="{00000000-0008-0000-0C00-000003000000}"/>
            </a:ext>
          </a:extLst>
        </xdr:cNvPr>
        <xdr:cNvCxnSpPr/>
      </xdr:nvCxnSpPr>
      <xdr:spPr>
        <a:xfrm flipV="1">
          <a:off x="4995022" y="2943785"/>
          <a:ext cx="3853703" cy="57262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REE\Downloads\Users\SHRI\Downloads\Budget%20Ras%20N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Data "/>
      <sheetName val="Back Increement"/>
      <sheetName val="Table"/>
      <sheetName val="Data Entry"/>
      <sheetName val="F Letter"/>
      <sheetName val="Summary"/>
      <sheetName val="(1) Format 10"/>
      <sheetName val="(1) Prapatra Kh"/>
      <sheetName val="(1) Income"/>
      <sheetName val="(2) Namankan"/>
      <sheetName val="(2) Enrollment"/>
      <sheetName val="(6) 01-Salary"/>
      <sheetName val="(3) Format 8"/>
      <sheetName val="(5) Format 9"/>
      <sheetName val="(4) Format 1(A)"/>
      <sheetName val="(4) Format 1(B)"/>
      <sheetName val="(4) Format 1(C)"/>
      <sheetName val="Format 2"/>
      <sheetName val="Format 3"/>
      <sheetName val="Format 4"/>
      <sheetName val="Format 5"/>
      <sheetName val="Format 6"/>
      <sheetName val="Format 7"/>
      <sheetName val="Format 4(A)"/>
      <sheetName val="Format 4(B)"/>
      <sheetName val="Format 9(1)"/>
      <sheetName val="Format 9(2)"/>
      <sheetName val="Scholership"/>
      <sheetName val="DA AREAR"/>
      <sheetName val="NPS"/>
      <sheetName val="(7) PL Encash"/>
      <sheetName val="(8) Pending TA-Med List"/>
      <sheetName val="(9) Liveries"/>
      <sheetName val="Form 3"/>
      <sheetName val="Praptra3"/>
      <sheetName val="Prapatra4"/>
      <sheetName val="(10) FIX PAY"/>
      <sheetName val="(11) SANVIDA"/>
    </sheetNames>
    <sheetDataSet>
      <sheetData sheetId="0"/>
      <sheetData sheetId="1"/>
      <sheetData sheetId="2"/>
      <sheetData sheetId="3">
        <row r="5">
          <cell r="C5" t="str">
            <v>NON PLAN - BOYS</v>
          </cell>
        </row>
        <row r="59">
          <cell r="BJ59">
            <v>0</v>
          </cell>
        </row>
        <row r="60">
          <cell r="BJ60">
            <v>0</v>
          </cell>
        </row>
        <row r="61">
          <cell r="BJ61">
            <v>0</v>
          </cell>
        </row>
        <row r="62">
          <cell r="BJ62">
            <v>0</v>
          </cell>
        </row>
        <row r="63">
          <cell r="BJ63">
            <v>0</v>
          </cell>
        </row>
        <row r="64">
          <cell r="BJ64">
            <v>0</v>
          </cell>
        </row>
        <row r="65">
          <cell r="BJ65">
            <v>0</v>
          </cell>
        </row>
        <row r="66">
          <cell r="BJ66">
            <v>0</v>
          </cell>
        </row>
        <row r="100">
          <cell r="CP100">
            <v>0</v>
          </cell>
        </row>
        <row r="101">
          <cell r="CP101">
            <v>0</v>
          </cell>
        </row>
        <row r="102">
          <cell r="CP102">
            <v>0</v>
          </cell>
        </row>
        <row r="103">
          <cell r="CP103">
            <v>0</v>
          </cell>
        </row>
        <row r="104">
          <cell r="CP104">
            <v>0</v>
          </cell>
        </row>
        <row r="105">
          <cell r="CP105">
            <v>0</v>
          </cell>
        </row>
        <row r="106">
          <cell r="CP106">
            <v>0</v>
          </cell>
        </row>
        <row r="107">
          <cell r="CP107">
            <v>0</v>
          </cell>
        </row>
        <row r="108">
          <cell r="CP108">
            <v>0</v>
          </cell>
        </row>
      </sheetData>
      <sheetData sheetId="4"/>
      <sheetData sheetId="5">
        <row r="1">
          <cell r="C1">
            <v>14807</v>
          </cell>
        </row>
        <row r="5">
          <cell r="A5" t="str">
            <v>BUDGET HEAD : 2202-GENERAL EDUCATION, 02-SECONDARY EDUCATION, 109-GOVT. SEC. SCHOOL, (27)-BOYS SCHOOL (01) (STATE FUND)</v>
          </cell>
        </row>
      </sheetData>
      <sheetData sheetId="6"/>
      <sheetData sheetId="7"/>
      <sheetData sheetId="8"/>
      <sheetData sheetId="9"/>
      <sheetData sheetId="10"/>
      <sheetData sheetId="11"/>
      <sheetData sheetId="12">
        <row r="116">
          <cell r="F116">
            <v>7.0000000000000007E-2</v>
          </cell>
        </row>
      </sheetData>
      <sheetData sheetId="13"/>
      <sheetData sheetId="14">
        <row r="9">
          <cell r="Q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ables/table1.xml><?xml version="1.0" encoding="utf-8"?>
<table xmlns="http://schemas.openxmlformats.org/spreadsheetml/2006/main" id="1" name="Table3" displayName="Table3" ref="B6:I65" totalsRowShown="0" headerRowDxfId="23" dataDxfId="21" headerRowBorderDxfId="22" tableBorderDxfId="20" totalsRowBorderDxfId="19">
  <tableColumns count="8">
    <tableColumn id="1" name="1" dataDxfId="18">
      <calculatedColumnFormula>IF(I7&gt;0,A7,"")</calculatedColumnFormula>
    </tableColumn>
    <tableColumn id="2" name="2" dataDxfId="17">
      <calculatedColumnFormula>'[1](3) Format 8'!C12</calculatedColumnFormula>
    </tableColumn>
    <tableColumn id="3" name="3" dataDxfId="16">
      <calculatedColumnFormula>'[1](3) Format 8'!F12</calculatedColumnFormula>
    </tableColumn>
    <tableColumn id="4" name="4" dataDxfId="15">
      <calculatedColumnFormula>('[1](3) Format 8'!I12)-ROUND(('[1](3) Format 8'!I12)*2.935%,-1)</calculatedColumnFormula>
    </tableColumn>
    <tableColumn id="5" name="5" dataDxfId="14">
      <calculatedColumnFormula>IF(AND(E7=""),"",'Formet 8'!$C$76)</calculatedColumnFormula>
    </tableColumn>
    <tableColumn id="6" name="6" dataDxfId="13">
      <calculatedColumnFormula>IF(AND(E7=""),"",ROUND((E7*F7)*2,0))</calculatedColumnFormula>
    </tableColumn>
    <tableColumn id="7" name="7" dataDxfId="12"/>
    <tableColumn id="8" name="8" dataDxfId="11">
      <calculatedColumnFormula>IF(E7="",0,1)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tabColor rgb="FFFF0000"/>
  </sheetPr>
  <dimension ref="A1:I26"/>
  <sheetViews>
    <sheetView tabSelected="1" topLeftCell="A7" workbookViewId="0">
      <selection activeCell="I8" sqref="I8"/>
    </sheetView>
  </sheetViews>
  <sheetFormatPr defaultColWidth="9.125" defaultRowHeight="15"/>
  <cols>
    <col min="1" max="1" width="3.625" style="656" customWidth="1"/>
    <col min="2" max="2" width="118.25" style="656" customWidth="1"/>
    <col min="3" max="3" width="3.875" style="656" customWidth="1"/>
    <col min="4" max="4" width="11.125" style="656" customWidth="1"/>
    <col min="5" max="5" width="10.625" style="656" customWidth="1"/>
    <col min="6" max="16384" width="9.125" style="656"/>
  </cols>
  <sheetData>
    <row r="1" spans="1:9">
      <c r="A1" s="707"/>
      <c r="B1" s="707"/>
      <c r="C1" s="707"/>
    </row>
    <row r="2" spans="1:9" s="655" customFormat="1" ht="31.5">
      <c r="A2" s="707"/>
      <c r="B2" s="653" t="s">
        <v>654</v>
      </c>
      <c r="C2" s="708"/>
      <c r="D2" s="654"/>
      <c r="E2" s="654"/>
      <c r="F2" s="654"/>
      <c r="G2" s="654"/>
      <c r="H2" s="654"/>
      <c r="I2" s="654"/>
    </row>
    <row r="3" spans="1:9" ht="15" customHeight="1">
      <c r="A3" s="707"/>
      <c r="C3" s="707"/>
    </row>
    <row r="4" spans="1:9" ht="18.75">
      <c r="A4" s="707"/>
      <c r="B4" s="657" t="s">
        <v>655</v>
      </c>
      <c r="C4" s="707"/>
    </row>
    <row r="5" spans="1:9" ht="109.5" customHeight="1">
      <c r="A5" s="707"/>
      <c r="B5" s="658" t="s">
        <v>656</v>
      </c>
      <c r="C5" s="707"/>
    </row>
    <row r="6" spans="1:9" ht="105" customHeight="1">
      <c r="A6" s="707"/>
      <c r="B6" s="659" t="s">
        <v>657</v>
      </c>
      <c r="C6" s="707"/>
      <c r="F6" s="711" t="s">
        <v>699</v>
      </c>
      <c r="G6" s="711"/>
      <c r="H6" s="711"/>
    </row>
    <row r="7" spans="1:9" ht="21.75" customHeight="1">
      <c r="A7" s="707"/>
      <c r="C7" s="707"/>
    </row>
    <row r="8" spans="1:9" ht="51.75">
      <c r="A8" s="707"/>
      <c r="B8" s="658" t="s">
        <v>658</v>
      </c>
      <c r="C8" s="707"/>
    </row>
    <row r="9" spans="1:9" ht="47.25">
      <c r="A9" s="707"/>
      <c r="B9" s="660" t="s">
        <v>660</v>
      </c>
      <c r="C9" s="707"/>
    </row>
    <row r="10" spans="1:9">
      <c r="A10" s="707"/>
      <c r="C10" s="707"/>
    </row>
    <row r="11" spans="1:9" ht="34.5">
      <c r="A11" s="707"/>
      <c r="B11" s="661" t="s">
        <v>659</v>
      </c>
      <c r="C11" s="707"/>
    </row>
    <row r="12" spans="1:9" ht="15.75">
      <c r="A12" s="707"/>
      <c r="B12" s="659" t="s">
        <v>661</v>
      </c>
      <c r="C12" s="707"/>
    </row>
    <row r="13" spans="1:9" ht="24.75" customHeight="1">
      <c r="A13" s="707"/>
      <c r="C13" s="707"/>
      <c r="D13" s="710" t="s">
        <v>665</v>
      </c>
      <c r="E13" s="710"/>
    </row>
    <row r="14" spans="1:9" ht="51.75">
      <c r="A14" s="707"/>
      <c r="B14" s="662" t="s">
        <v>663</v>
      </c>
      <c r="C14" s="707"/>
    </row>
    <row r="15" spans="1:9" ht="47.25">
      <c r="A15" s="707"/>
      <c r="B15" s="660" t="s">
        <v>662</v>
      </c>
      <c r="C15" s="707"/>
    </row>
    <row r="16" spans="1:9" ht="15.75" thickBot="1">
      <c r="A16" s="707"/>
      <c r="C16" s="707"/>
    </row>
    <row r="17" spans="1:3" ht="47.25" customHeight="1" thickBot="1">
      <c r="A17" s="707"/>
      <c r="B17" s="671" t="s">
        <v>673</v>
      </c>
      <c r="C17" s="707"/>
    </row>
    <row r="18" spans="1:3" ht="15.75" thickBot="1">
      <c r="A18" s="707"/>
      <c r="C18" s="707"/>
    </row>
    <row r="19" spans="1:3" ht="18.75">
      <c r="A19" s="707"/>
      <c r="B19" s="649" t="s">
        <v>667</v>
      </c>
      <c r="C19" s="707"/>
    </row>
    <row r="20" spans="1:3" ht="18">
      <c r="A20" s="707"/>
      <c r="B20" s="650" t="s">
        <v>668</v>
      </c>
      <c r="C20" s="707"/>
    </row>
    <row r="21" spans="1:3" ht="18.75">
      <c r="A21" s="707"/>
      <c r="B21" s="651" t="s">
        <v>669</v>
      </c>
      <c r="C21" s="707"/>
    </row>
    <row r="22" spans="1:3" ht="18">
      <c r="A22" s="707"/>
      <c r="B22" s="650" t="s">
        <v>670</v>
      </c>
      <c r="C22" s="707"/>
    </row>
    <row r="23" spans="1:3" ht="18">
      <c r="A23" s="707"/>
      <c r="B23" s="650" t="s">
        <v>671</v>
      </c>
      <c r="C23" s="707"/>
    </row>
    <row r="24" spans="1:3" ht="18.75" thickBot="1">
      <c r="A24" s="707"/>
      <c r="B24" s="652" t="s">
        <v>672</v>
      </c>
      <c r="C24" s="707"/>
    </row>
    <row r="25" spans="1:3">
      <c r="A25" s="707"/>
      <c r="C25" s="707"/>
    </row>
    <row r="26" spans="1:3">
      <c r="A26" s="707"/>
      <c r="B26" s="707"/>
      <c r="C26" s="707"/>
    </row>
  </sheetData>
  <sheetProtection password="C1FB" sheet="1" objects="1" scenarios="1" selectLockedCells="1"/>
  <mergeCells count="2">
    <mergeCell ref="D13:E13"/>
    <mergeCell ref="F6:H6"/>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sheetPr codeName="Sheet10">
    <tabColor rgb="FFFFFF00"/>
  </sheetPr>
  <dimension ref="A1:V39"/>
  <sheetViews>
    <sheetView showGridLines="0" view="pageBreakPreview" zoomScale="110" zoomScaleSheetLayoutView="110" workbookViewId="0">
      <selection activeCell="P6" sqref="P6:P7"/>
    </sheetView>
  </sheetViews>
  <sheetFormatPr defaultRowHeight="15"/>
  <cols>
    <col min="1" max="1" width="2.25" customWidth="1"/>
    <col min="2" max="2" width="6.25" style="330" customWidth="1"/>
    <col min="3" max="3" width="14.875" customWidth="1"/>
    <col min="4" max="4" width="20.875" customWidth="1"/>
    <col min="5" max="5" width="20.75" customWidth="1"/>
    <col min="6" max="6" width="8.75" customWidth="1"/>
    <col min="7" max="7" width="11" customWidth="1"/>
    <col min="8" max="8" width="9.25" customWidth="1"/>
    <col min="9" max="9" width="11" customWidth="1"/>
    <col min="10" max="10" width="10.125" customWidth="1"/>
    <col min="11" max="11" width="6.375" customWidth="1"/>
    <col min="12" max="12" width="3.25" customWidth="1"/>
    <col min="13" max="13" width="6.125" customWidth="1"/>
    <col min="14" max="14" width="7" customWidth="1"/>
    <col min="15" max="15" width="9.625" customWidth="1"/>
    <col min="16" max="16" width="9.875" customWidth="1"/>
    <col min="19" max="22" width="9.125" hidden="1" customWidth="1"/>
    <col min="23" max="23" width="0" hidden="1" customWidth="1"/>
  </cols>
  <sheetData>
    <row r="1" spans="1:22" ht="15.75">
      <c r="A1" s="198"/>
      <c r="B1" s="198"/>
      <c r="C1" s="198"/>
      <c r="D1" s="198"/>
      <c r="E1" s="198"/>
      <c r="F1" s="198"/>
      <c r="G1" s="198"/>
      <c r="H1" s="198"/>
      <c r="I1" s="198"/>
      <c r="J1" s="198"/>
      <c r="K1" s="198"/>
      <c r="L1" s="198"/>
      <c r="M1" s="198"/>
      <c r="N1" s="894">
        <f>Summary!$C$1</f>
        <v>30695</v>
      </c>
      <c r="O1" s="894"/>
      <c r="P1" s="894"/>
    </row>
    <row r="2" spans="1:22" s="204" customFormat="1" ht="16.5" customHeight="1">
      <c r="A2" s="816" t="str">
        <f>Summary!$A$2</f>
        <v>iz/kkukpk;Z egkRek xka/kh jktdh; fo|ky; ¼vaxzsth ek/;e½ cj ] ikyh</v>
      </c>
      <c r="B2" s="816"/>
      <c r="C2" s="816"/>
      <c r="D2" s="816"/>
      <c r="E2" s="816"/>
      <c r="F2" s="816"/>
      <c r="G2" s="816"/>
      <c r="H2" s="816"/>
      <c r="I2" s="816"/>
      <c r="J2" s="816"/>
      <c r="K2" s="816"/>
      <c r="L2" s="816"/>
      <c r="M2" s="816"/>
      <c r="N2" s="816"/>
      <c r="O2" s="816"/>
      <c r="P2" s="816"/>
    </row>
    <row r="3" spans="1:22" ht="13.5" customHeight="1">
      <c r="A3" s="895" t="s">
        <v>331</v>
      </c>
      <c r="B3" s="895"/>
      <c r="C3" s="895"/>
      <c r="D3" s="895"/>
      <c r="E3" s="895"/>
      <c r="F3" s="895"/>
      <c r="G3" s="895"/>
      <c r="H3" s="895"/>
      <c r="I3" s="895"/>
      <c r="J3" s="895"/>
      <c r="K3" s="895"/>
      <c r="L3" s="895"/>
      <c r="M3" s="895"/>
      <c r="N3" s="895"/>
      <c r="O3" s="895"/>
      <c r="P3" s="895"/>
    </row>
    <row r="4" spans="1:22" ht="17.25" customHeight="1">
      <c r="A4" s="896" t="s">
        <v>332</v>
      </c>
      <c r="B4" s="896"/>
      <c r="C4" s="896"/>
      <c r="D4" s="896"/>
      <c r="E4" s="896"/>
      <c r="F4" s="896"/>
      <c r="G4" s="896"/>
      <c r="H4" s="896"/>
      <c r="I4" s="896"/>
      <c r="J4" s="896"/>
      <c r="K4" s="896"/>
      <c r="L4" s="896"/>
      <c r="M4" s="896"/>
      <c r="N4" s="896"/>
      <c r="O4" s="896"/>
      <c r="P4" s="896"/>
    </row>
    <row r="5" spans="1:22">
      <c r="A5" s="890" t="str">
        <f>'Formet 8'!A7</f>
        <v>BUDGET HEAD : 2202-GENERAL EDUCATION, 02-SECONDARY EDUCATION, 109-GOVT. SEC. SCHOOL, (02)-GIRLS SCHOOL (STATE FUND)</v>
      </c>
      <c r="B5" s="890"/>
      <c r="C5" s="890"/>
      <c r="D5" s="890"/>
      <c r="E5" s="890"/>
      <c r="F5" s="890"/>
      <c r="G5" s="890"/>
      <c r="H5" s="890"/>
      <c r="I5" s="890"/>
      <c r="J5" s="890"/>
      <c r="K5" s="890"/>
      <c r="L5" s="890"/>
      <c r="M5" s="891" t="s">
        <v>288</v>
      </c>
      <c r="N5" s="891"/>
      <c r="O5" s="891"/>
      <c r="P5" s="891"/>
    </row>
    <row r="6" spans="1:22" ht="34.5" customHeight="1">
      <c r="A6" s="897" t="s">
        <v>329</v>
      </c>
      <c r="B6" s="897" t="s">
        <v>329</v>
      </c>
      <c r="C6" s="897" t="s">
        <v>333</v>
      </c>
      <c r="D6" s="897" t="s">
        <v>334</v>
      </c>
      <c r="E6" s="897" t="s">
        <v>335</v>
      </c>
      <c r="F6" s="897" t="s">
        <v>336</v>
      </c>
      <c r="G6" s="897" t="s">
        <v>750</v>
      </c>
      <c r="H6" s="897" t="s">
        <v>751</v>
      </c>
      <c r="I6" s="897" t="s">
        <v>752</v>
      </c>
      <c r="J6" s="897" t="s">
        <v>337</v>
      </c>
      <c r="K6" s="897" t="s">
        <v>338</v>
      </c>
      <c r="L6" s="897"/>
      <c r="M6" s="897"/>
      <c r="N6" s="897"/>
      <c r="O6" s="897" t="s">
        <v>753</v>
      </c>
      <c r="P6" s="897" t="s">
        <v>339</v>
      </c>
    </row>
    <row r="7" spans="1:22" ht="48" customHeight="1">
      <c r="A7" s="897"/>
      <c r="B7" s="897"/>
      <c r="C7" s="897"/>
      <c r="D7" s="897"/>
      <c r="E7" s="897"/>
      <c r="F7" s="897"/>
      <c r="G7" s="897"/>
      <c r="H7" s="897"/>
      <c r="I7" s="897"/>
      <c r="J7" s="897"/>
      <c r="K7" s="899" t="s">
        <v>340</v>
      </c>
      <c r="L7" s="900"/>
      <c r="M7" s="899" t="s">
        <v>341</v>
      </c>
      <c r="N7" s="900"/>
      <c r="O7" s="897"/>
      <c r="P7" s="897"/>
    </row>
    <row r="8" spans="1:22" ht="9.75" customHeight="1">
      <c r="A8" s="206">
        <v>1</v>
      </c>
      <c r="B8" s="206">
        <v>1</v>
      </c>
      <c r="C8" s="206">
        <v>1</v>
      </c>
      <c r="D8" s="206">
        <v>2</v>
      </c>
      <c r="E8" s="206">
        <v>3</v>
      </c>
      <c r="F8" s="206">
        <v>4</v>
      </c>
      <c r="G8" s="206">
        <v>5</v>
      </c>
      <c r="H8" s="206">
        <v>6</v>
      </c>
      <c r="I8" s="206">
        <v>7</v>
      </c>
      <c r="J8" s="206">
        <v>8</v>
      </c>
      <c r="K8" s="901">
        <v>9</v>
      </c>
      <c r="L8" s="902"/>
      <c r="M8" s="901">
        <v>10</v>
      </c>
      <c r="N8" s="902"/>
      <c r="O8" s="206">
        <v>11</v>
      </c>
      <c r="P8" s="206">
        <v>12</v>
      </c>
    </row>
    <row r="9" spans="1:22" ht="15" customHeight="1">
      <c r="A9" s="199">
        <f>IF(G9&gt;=1,1,0)</f>
        <v>1</v>
      </c>
      <c r="B9" s="492">
        <f>IF(G9&gt;0,A9,"")</f>
        <v>1</v>
      </c>
      <c r="C9" s="186" t="s">
        <v>342</v>
      </c>
      <c r="D9" s="486" t="str">
        <f>Master!$C$5</f>
        <v>PLAN - GIRLS</v>
      </c>
      <c r="E9" s="490" t="s">
        <v>54</v>
      </c>
      <c r="F9" s="497" t="s">
        <v>343</v>
      </c>
      <c r="G9" s="367">
        <f>COUNTIF(Master!C$60:C$109,'Format 1A'!E9)</f>
        <v>1</v>
      </c>
      <c r="H9" s="321" t="s">
        <v>344</v>
      </c>
      <c r="I9" s="321" t="s">
        <v>344</v>
      </c>
      <c r="J9" s="321">
        <f>SUM(G9:I9)</f>
        <v>1</v>
      </c>
      <c r="K9" s="892">
        <f>SUMIF('Formet 8'!E$12:E$104,'Format 1A'!E9,'Formet 8'!BY$12:BY$104)</f>
        <v>1</v>
      </c>
      <c r="L9" s="893"/>
      <c r="M9" s="892">
        <f>SUMIF('Formet 8'!E$12:E$104,'Format 1A'!E9,'Formet 8'!BU$12:BU$104)</f>
        <v>0</v>
      </c>
      <c r="N9" s="893"/>
      <c r="O9" s="487">
        <f>J9-(K9+M9)</f>
        <v>0</v>
      </c>
      <c r="P9" s="488"/>
      <c r="S9">
        <f>J9</f>
        <v>1</v>
      </c>
      <c r="T9">
        <f>SUMIF('Formet 8'!E$12:E$104,'Format 1A'!E9,'Formet 8'!BY$12:BY$104)</f>
        <v>1</v>
      </c>
      <c r="U9">
        <f>SUMIF('Formet 8'!E$12:E$336,'Format 1A'!E9,'Formet 8'!BU$12:BU$336)</f>
        <v>0</v>
      </c>
      <c r="V9">
        <f>S9-(T9+U9)</f>
        <v>0</v>
      </c>
    </row>
    <row r="10" spans="1:22" ht="15" customHeight="1">
      <c r="A10" s="199">
        <f>IF(G10&gt;=1,1,0)+A9</f>
        <v>1</v>
      </c>
      <c r="B10" s="492" t="str">
        <f t="shared" ref="B10:B31" si="0">IF(G10&gt;0,A10,"")</f>
        <v/>
      </c>
      <c r="C10" s="186" t="s">
        <v>342</v>
      </c>
      <c r="D10" s="486" t="str">
        <f>Master!$C$5</f>
        <v>PLAN - GIRLS</v>
      </c>
      <c r="E10" s="490" t="s">
        <v>201</v>
      </c>
      <c r="F10" s="497" t="s">
        <v>345</v>
      </c>
      <c r="G10" s="367">
        <f>COUNTIF(Master!C$60:C$109,'Format 1A'!E10)</f>
        <v>0</v>
      </c>
      <c r="H10" s="321" t="s">
        <v>344</v>
      </c>
      <c r="I10" s="321" t="s">
        <v>344</v>
      </c>
      <c r="J10" s="321">
        <f t="shared" ref="J10:J31" si="1">SUM(G10:I10)</f>
        <v>0</v>
      </c>
      <c r="K10" s="892">
        <f>SUMIF('Formet 8'!E$12:E$104,'Format 1A'!E10,'Formet 8'!BY$12:BY$104)</f>
        <v>0</v>
      </c>
      <c r="L10" s="893"/>
      <c r="M10" s="892">
        <f>SUMIF('Formet 8'!E$12:E$104,'Format 1A'!E10,'Formet 8'!BU$12:BU$104)</f>
        <v>0</v>
      </c>
      <c r="N10" s="893"/>
      <c r="O10" s="487">
        <f t="shared" ref="O10:O31" si="2">J10-(K10+M10)</f>
        <v>0</v>
      </c>
      <c r="P10" s="488"/>
      <c r="S10">
        <f t="shared" ref="S10:S31" si="3">J10</f>
        <v>0</v>
      </c>
      <c r="T10">
        <f>SUMIF('Formet 8'!E$12:E$104,'Format 1A'!E10,'Formet 8'!BY$12:BY$104)</f>
        <v>0</v>
      </c>
      <c r="U10">
        <f>SUMIF('Formet 8'!E$12:E$336,'Format 1A'!E10,'Formet 8'!BU$12:BU$336)</f>
        <v>0</v>
      </c>
      <c r="V10">
        <f t="shared" ref="V10:V31" si="4">S10-(T10+U10)</f>
        <v>0</v>
      </c>
    </row>
    <row r="11" spans="1:22" ht="15" customHeight="1">
      <c r="A11" s="199">
        <f t="shared" ref="A11:A31" si="5">IF(G11&gt;=1,1,0)+A10</f>
        <v>1</v>
      </c>
      <c r="B11" s="492" t="str">
        <f t="shared" si="0"/>
        <v/>
      </c>
      <c r="C11" s="186" t="s">
        <v>342</v>
      </c>
      <c r="D11" s="486" t="str">
        <f>Master!$C$5</f>
        <v>PLAN - GIRLS</v>
      </c>
      <c r="E11" s="490" t="s">
        <v>203</v>
      </c>
      <c r="F11" s="497" t="s">
        <v>346</v>
      </c>
      <c r="G11" s="367">
        <f>COUNTIF(Master!C$60:C$109,'Format 1A'!E11)</f>
        <v>0</v>
      </c>
      <c r="H11" s="321" t="s">
        <v>344</v>
      </c>
      <c r="I11" s="321" t="s">
        <v>344</v>
      </c>
      <c r="J11" s="321">
        <f t="shared" si="1"/>
        <v>0</v>
      </c>
      <c r="K11" s="892">
        <f>SUMIF('Formet 8'!E$12:E$104,'Format 1A'!E11,'Formet 8'!BY$12:BY$104)</f>
        <v>0</v>
      </c>
      <c r="L11" s="893"/>
      <c r="M11" s="892">
        <f>SUMIF('Formet 8'!E$12:E$104,'Format 1A'!E11,'Formet 8'!BU$12:BU$104)</f>
        <v>0</v>
      </c>
      <c r="N11" s="893"/>
      <c r="O11" s="487">
        <f t="shared" si="2"/>
        <v>0</v>
      </c>
      <c r="P11" s="488"/>
      <c r="S11">
        <f t="shared" si="3"/>
        <v>0</v>
      </c>
      <c r="T11">
        <f>SUMIF('Formet 8'!E$12:E$104,'Format 1A'!E11,'Formet 8'!BY$12:BY$104)</f>
        <v>0</v>
      </c>
      <c r="U11">
        <f>SUMIF('Formet 8'!E$12:E$336,'Format 1A'!E11,'Formet 8'!BU$12:BU$336)</f>
        <v>0</v>
      </c>
      <c r="V11">
        <f t="shared" si="4"/>
        <v>0</v>
      </c>
    </row>
    <row r="12" spans="1:22" ht="15" customHeight="1">
      <c r="A12" s="199">
        <f t="shared" si="5"/>
        <v>1</v>
      </c>
      <c r="B12" s="492" t="str">
        <f t="shared" si="0"/>
        <v/>
      </c>
      <c r="C12" s="186" t="s">
        <v>342</v>
      </c>
      <c r="D12" s="486" t="str">
        <f>Master!$C$5</f>
        <v>PLAN - GIRLS</v>
      </c>
      <c r="E12" s="490" t="s">
        <v>561</v>
      </c>
      <c r="F12" s="497" t="s">
        <v>346</v>
      </c>
      <c r="G12" s="367">
        <f>COUNTIF(Master!C$60:C$109,'Format 1A'!E12)</f>
        <v>0</v>
      </c>
      <c r="H12" s="321" t="s">
        <v>344</v>
      </c>
      <c r="I12" s="321" t="s">
        <v>344</v>
      </c>
      <c r="J12" s="321">
        <f t="shared" si="1"/>
        <v>0</v>
      </c>
      <c r="K12" s="892">
        <f>SUMIF('Formet 8'!E$12:E$104,'Format 1A'!E12,'Formet 8'!BY$12:BY$104)</f>
        <v>0</v>
      </c>
      <c r="L12" s="893"/>
      <c r="M12" s="892">
        <f>SUMIF('Formet 8'!E$12:E$104,'Format 1A'!E12,'Formet 8'!BU$12:BU$104)</f>
        <v>0</v>
      </c>
      <c r="N12" s="893"/>
      <c r="O12" s="487">
        <f t="shared" si="2"/>
        <v>0</v>
      </c>
      <c r="P12" s="488"/>
      <c r="S12">
        <f t="shared" si="3"/>
        <v>0</v>
      </c>
      <c r="T12">
        <f>SUMIF('Formet 8'!E$12:E$104,'Format 1A'!E12,'Formet 8'!BY$12:BY$104)</f>
        <v>0</v>
      </c>
      <c r="U12">
        <f>SUMIF('Formet 8'!E$12:E$336,'Format 1A'!E12,'Formet 8'!BU$12:BU$336)</f>
        <v>0</v>
      </c>
      <c r="V12">
        <f t="shared" si="4"/>
        <v>0</v>
      </c>
    </row>
    <row r="13" spans="1:22" ht="15" customHeight="1">
      <c r="A13" s="199">
        <f t="shared" si="5"/>
        <v>1</v>
      </c>
      <c r="B13" s="492" t="str">
        <f t="shared" si="0"/>
        <v/>
      </c>
      <c r="C13" s="186" t="s">
        <v>342</v>
      </c>
      <c r="D13" s="486" t="str">
        <f>Master!$C$5</f>
        <v>PLAN - GIRLS</v>
      </c>
      <c r="E13" s="490" t="s">
        <v>212</v>
      </c>
      <c r="F13" s="497" t="s">
        <v>346</v>
      </c>
      <c r="G13" s="367">
        <f>COUNTIF(Master!C$60:C$109,'Format 1A'!E13)</f>
        <v>0</v>
      </c>
      <c r="H13" s="321" t="s">
        <v>344</v>
      </c>
      <c r="I13" s="321" t="s">
        <v>344</v>
      </c>
      <c r="J13" s="321">
        <f t="shared" si="1"/>
        <v>0</v>
      </c>
      <c r="K13" s="892">
        <f>SUMIF('Formet 8'!E$12:E$104,'Format 1A'!E13,'Formet 8'!BY$12:BY$104)</f>
        <v>0</v>
      </c>
      <c r="L13" s="893"/>
      <c r="M13" s="892">
        <f>SUMIF('Formet 8'!E$12:E$104,'Format 1A'!E13,'Formet 8'!BU$12:BU$104)</f>
        <v>0</v>
      </c>
      <c r="N13" s="893"/>
      <c r="O13" s="487">
        <f t="shared" si="2"/>
        <v>0</v>
      </c>
      <c r="P13" s="488"/>
      <c r="S13">
        <f t="shared" si="3"/>
        <v>0</v>
      </c>
      <c r="T13">
        <f>SUMIF('Formet 8'!E$12:E$104,'Format 1A'!E13,'Formet 8'!BY$12:BY$104)</f>
        <v>0</v>
      </c>
      <c r="U13">
        <f>SUMIF('Formet 8'!E$12:E$336,'Format 1A'!E13,'Formet 8'!BU$12:BU$336)</f>
        <v>0</v>
      </c>
      <c r="V13">
        <f t="shared" si="4"/>
        <v>0</v>
      </c>
    </row>
    <row r="14" spans="1:22" ht="15" customHeight="1">
      <c r="A14" s="199">
        <f t="shared" si="5"/>
        <v>1</v>
      </c>
      <c r="B14" s="492" t="str">
        <f t="shared" si="0"/>
        <v/>
      </c>
      <c r="C14" s="186" t="s">
        <v>342</v>
      </c>
      <c r="D14" s="486" t="str">
        <f>Master!$C$5</f>
        <v>PLAN - GIRLS</v>
      </c>
      <c r="E14" s="490" t="s">
        <v>205</v>
      </c>
      <c r="F14" s="497" t="s">
        <v>346</v>
      </c>
      <c r="G14" s="367">
        <f>COUNTIF(Master!C$60:C$109,'Format 1A'!E14)</f>
        <v>0</v>
      </c>
      <c r="H14" s="321" t="s">
        <v>344</v>
      </c>
      <c r="I14" s="321" t="s">
        <v>344</v>
      </c>
      <c r="J14" s="321">
        <f t="shared" si="1"/>
        <v>0</v>
      </c>
      <c r="K14" s="892">
        <f>SUMIF('Formet 8'!E$12:E$104,'Format 1A'!E14,'Formet 8'!BY$12:BY$104)</f>
        <v>0</v>
      </c>
      <c r="L14" s="893"/>
      <c r="M14" s="892">
        <f>SUMIF('Formet 8'!E$12:E$104,'Format 1A'!E14,'Formet 8'!BU$12:BU$104)</f>
        <v>0</v>
      </c>
      <c r="N14" s="893"/>
      <c r="O14" s="487">
        <f t="shared" si="2"/>
        <v>0</v>
      </c>
      <c r="P14" s="488"/>
      <c r="S14">
        <f t="shared" si="3"/>
        <v>0</v>
      </c>
      <c r="T14">
        <f>SUMIF('Formet 8'!E$12:E$104,'Format 1A'!E14,'Formet 8'!BY$12:BY$104)</f>
        <v>0</v>
      </c>
      <c r="U14">
        <f>SUMIF('Formet 8'!E$12:E$336,'Format 1A'!E14,'Formet 8'!BU$12:BU$336)</f>
        <v>0</v>
      </c>
      <c r="V14">
        <f t="shared" si="4"/>
        <v>0</v>
      </c>
    </row>
    <row r="15" spans="1:22" ht="15" customHeight="1">
      <c r="A15" s="199">
        <f t="shared" si="5"/>
        <v>1</v>
      </c>
      <c r="B15" s="492" t="str">
        <f t="shared" si="0"/>
        <v/>
      </c>
      <c r="C15" s="186" t="s">
        <v>342</v>
      </c>
      <c r="D15" s="486" t="str">
        <f>Master!$C$5</f>
        <v>PLAN - GIRLS</v>
      </c>
      <c r="E15" s="490" t="s">
        <v>207</v>
      </c>
      <c r="F15" s="497" t="s">
        <v>346</v>
      </c>
      <c r="G15" s="367">
        <f>COUNTIF(Master!C$60:C$109,'Format 1A'!E15)</f>
        <v>0</v>
      </c>
      <c r="H15" s="321" t="s">
        <v>344</v>
      </c>
      <c r="I15" s="321" t="s">
        <v>344</v>
      </c>
      <c r="J15" s="321">
        <f>SUM(G15:I15)</f>
        <v>0</v>
      </c>
      <c r="K15" s="892">
        <f>SUMIF('Formet 8'!E$12:E$104,'Format 1A'!E15,'Formet 8'!BY$12:BY$104)</f>
        <v>0</v>
      </c>
      <c r="L15" s="893"/>
      <c r="M15" s="892">
        <f>SUMIF('Formet 8'!E$12:E$104,'Format 1A'!E15,'Formet 8'!BU$12:BU$104)</f>
        <v>0</v>
      </c>
      <c r="N15" s="893"/>
      <c r="O15" s="487">
        <f t="shared" si="2"/>
        <v>0</v>
      </c>
      <c r="P15" s="488"/>
      <c r="S15">
        <f t="shared" si="3"/>
        <v>0</v>
      </c>
      <c r="T15">
        <f>SUMIF('Formet 8'!E$12:E$104,'Format 1A'!E15,'Formet 8'!BY$12:BY$104)</f>
        <v>0</v>
      </c>
      <c r="U15">
        <f>SUMIF('Formet 8'!E$12:E$336,'Format 1A'!E15,'Formet 8'!BU$12:BU$336)</f>
        <v>0</v>
      </c>
      <c r="V15">
        <f t="shared" si="4"/>
        <v>0</v>
      </c>
    </row>
    <row r="16" spans="1:22" ht="15" customHeight="1">
      <c r="A16" s="199">
        <f t="shared" si="5"/>
        <v>1</v>
      </c>
      <c r="B16" s="492" t="str">
        <f t="shared" si="0"/>
        <v/>
      </c>
      <c r="C16" s="186" t="s">
        <v>342</v>
      </c>
      <c r="D16" s="486" t="str">
        <f>Master!$C$5</f>
        <v>PLAN - GIRLS</v>
      </c>
      <c r="E16" s="490" t="s">
        <v>210</v>
      </c>
      <c r="F16" s="497" t="s">
        <v>346</v>
      </c>
      <c r="G16" s="367">
        <f>COUNTIF(Master!C$60:C$109,'Format 1A'!E16)</f>
        <v>0</v>
      </c>
      <c r="H16" s="321" t="s">
        <v>344</v>
      </c>
      <c r="I16" s="321" t="s">
        <v>344</v>
      </c>
      <c r="J16" s="321">
        <f t="shared" si="1"/>
        <v>0</v>
      </c>
      <c r="K16" s="892">
        <f>SUMIF('Formet 8'!E$12:E$104,'Format 1A'!E16,'Formet 8'!BY$12:BY$104)</f>
        <v>0</v>
      </c>
      <c r="L16" s="893"/>
      <c r="M16" s="892">
        <f>SUMIF('Formet 8'!E$12:E$104,'Format 1A'!E16,'Formet 8'!BU$12:BU$104)</f>
        <v>0</v>
      </c>
      <c r="N16" s="893"/>
      <c r="O16" s="487">
        <f t="shared" si="2"/>
        <v>0</v>
      </c>
      <c r="P16" s="488"/>
      <c r="S16">
        <f t="shared" si="3"/>
        <v>0</v>
      </c>
      <c r="T16">
        <f>SUMIF('Formet 8'!E$12:E$104,'Format 1A'!E16,'Formet 8'!BY$12:BY$104)</f>
        <v>0</v>
      </c>
      <c r="U16">
        <f>SUMIF('Formet 8'!E$12:E$336,'Format 1A'!E16,'Formet 8'!BU$12:BU$336)</f>
        <v>0</v>
      </c>
      <c r="V16">
        <f t="shared" si="4"/>
        <v>0</v>
      </c>
    </row>
    <row r="17" spans="1:22" ht="15" customHeight="1">
      <c r="A17" s="199">
        <f t="shared" si="5"/>
        <v>1</v>
      </c>
      <c r="B17" s="492" t="str">
        <f t="shared" si="0"/>
        <v/>
      </c>
      <c r="C17" s="186" t="s">
        <v>342</v>
      </c>
      <c r="D17" s="486" t="str">
        <f>Master!$C$5</f>
        <v>PLAN - GIRLS</v>
      </c>
      <c r="E17" s="490" t="s">
        <v>223</v>
      </c>
      <c r="F17" s="497" t="s">
        <v>347</v>
      </c>
      <c r="G17" s="367">
        <f>COUNTIF(Master!C$60:C$109,'Format 1A'!E17)</f>
        <v>0</v>
      </c>
      <c r="H17" s="321" t="s">
        <v>344</v>
      </c>
      <c r="I17" s="321" t="s">
        <v>344</v>
      </c>
      <c r="J17" s="321">
        <f t="shared" si="1"/>
        <v>0</v>
      </c>
      <c r="K17" s="892">
        <f>SUMIF('Formet 8'!E$12:E$104,'Format 1A'!E17,'Formet 8'!BY$12:BY$104)</f>
        <v>0</v>
      </c>
      <c r="L17" s="893"/>
      <c r="M17" s="892">
        <f>SUMIF('Formet 8'!E$12:E$104,'Format 1A'!E17,'Formet 8'!BU$12:BU$104)</f>
        <v>0</v>
      </c>
      <c r="N17" s="893"/>
      <c r="O17" s="487">
        <f t="shared" si="2"/>
        <v>0</v>
      </c>
      <c r="P17" s="488"/>
      <c r="S17">
        <f t="shared" si="3"/>
        <v>0</v>
      </c>
      <c r="T17">
        <f>SUMIF('Formet 8'!E$12:E$104,'Format 1A'!E17,'Formet 8'!BY$12:BY$104)</f>
        <v>0</v>
      </c>
      <c r="U17">
        <f>SUMIF('Formet 8'!E$12:E$336,'Format 1A'!E17,'Formet 8'!BU$12:BU$336)</f>
        <v>0</v>
      </c>
      <c r="V17">
        <f t="shared" si="4"/>
        <v>0</v>
      </c>
    </row>
    <row r="18" spans="1:22" ht="15" customHeight="1">
      <c r="A18" s="199">
        <f t="shared" si="5"/>
        <v>2</v>
      </c>
      <c r="B18" s="492">
        <f t="shared" si="0"/>
        <v>2</v>
      </c>
      <c r="C18" s="186" t="s">
        <v>342</v>
      </c>
      <c r="D18" s="486" t="str">
        <f>Master!$C$5</f>
        <v>PLAN - GIRLS</v>
      </c>
      <c r="E18" s="490" t="s">
        <v>61</v>
      </c>
      <c r="F18" s="497" t="s">
        <v>348</v>
      </c>
      <c r="G18" s="367">
        <f>COUNTIF(Master!C$60:C$109,'Format 1A'!E18)</f>
        <v>6</v>
      </c>
      <c r="H18" s="321" t="s">
        <v>344</v>
      </c>
      <c r="I18" s="321" t="s">
        <v>344</v>
      </c>
      <c r="J18" s="321">
        <f t="shared" si="1"/>
        <v>6</v>
      </c>
      <c r="K18" s="892">
        <f>SUMIF('Formet 8'!E$12:E$104,'Format 1A'!E18,'Formet 8'!BY$12:BY$104)</f>
        <v>6</v>
      </c>
      <c r="L18" s="893"/>
      <c r="M18" s="892">
        <f>SUMIF('Formet 8'!E$12:E$104,'Format 1A'!E18,'Formet 8'!BU$12:BU$104)</f>
        <v>0</v>
      </c>
      <c r="N18" s="893"/>
      <c r="O18" s="487">
        <f t="shared" si="2"/>
        <v>0</v>
      </c>
      <c r="P18" s="488"/>
      <c r="S18">
        <f t="shared" si="3"/>
        <v>6</v>
      </c>
      <c r="T18">
        <f>SUMIF('Formet 8'!E$12:E$104,'Format 1A'!E18,'Formet 8'!BY$12:BY$104)</f>
        <v>6</v>
      </c>
      <c r="U18">
        <f>SUMIF('Formet 8'!E$12:E$336,'Format 1A'!E18,'Formet 8'!BU$12:BU$336)</f>
        <v>0</v>
      </c>
      <c r="V18">
        <f t="shared" si="4"/>
        <v>0</v>
      </c>
    </row>
    <row r="19" spans="1:22" ht="15" customHeight="1">
      <c r="A19" s="199">
        <f t="shared" si="5"/>
        <v>2</v>
      </c>
      <c r="B19" s="492" t="str">
        <f t="shared" si="0"/>
        <v/>
      </c>
      <c r="C19" s="186" t="s">
        <v>342</v>
      </c>
      <c r="D19" s="486" t="str">
        <f>Master!$C$5</f>
        <v>PLAN - GIRLS</v>
      </c>
      <c r="E19" s="491" t="s">
        <v>215</v>
      </c>
      <c r="F19" s="497" t="s">
        <v>348</v>
      </c>
      <c r="G19" s="367">
        <f>COUNTIF(Master!C$60:C$109,'Format 1A'!E19)</f>
        <v>0</v>
      </c>
      <c r="H19" s="321" t="s">
        <v>344</v>
      </c>
      <c r="I19" s="321" t="s">
        <v>344</v>
      </c>
      <c r="J19" s="321">
        <f t="shared" si="1"/>
        <v>0</v>
      </c>
      <c r="K19" s="892">
        <f>SUMIF('Formet 8'!E$12:E$104,'Format 1A'!E19,'Formet 8'!BY$12:BY$104)</f>
        <v>0</v>
      </c>
      <c r="L19" s="893"/>
      <c r="M19" s="892">
        <f>SUMIF('Formet 8'!E$12:E$104,'Format 1A'!E19,'Formet 8'!BU$12:BU$104)</f>
        <v>0</v>
      </c>
      <c r="N19" s="893"/>
      <c r="O19" s="487">
        <f t="shared" si="2"/>
        <v>0</v>
      </c>
      <c r="P19" s="488"/>
      <c r="S19">
        <f t="shared" si="3"/>
        <v>0</v>
      </c>
      <c r="T19">
        <f>SUMIF('Formet 8'!E$12:E$104,'Format 1A'!E19,'Formet 8'!BY$12:BY$104)</f>
        <v>0</v>
      </c>
      <c r="U19">
        <f>SUMIF('Formet 8'!E$12:E$336,'Format 1A'!E19,'Formet 8'!BU$12:BU$336)</f>
        <v>0</v>
      </c>
      <c r="V19">
        <f t="shared" si="4"/>
        <v>0</v>
      </c>
    </row>
    <row r="20" spans="1:22" ht="15" customHeight="1">
      <c r="A20" s="199">
        <f t="shared" si="5"/>
        <v>2</v>
      </c>
      <c r="B20" s="492" t="str">
        <f t="shared" si="0"/>
        <v/>
      </c>
      <c r="C20" s="186" t="s">
        <v>342</v>
      </c>
      <c r="D20" s="486" t="str">
        <f>Master!$C$5</f>
        <v>PLAN - GIRLS</v>
      </c>
      <c r="E20" s="490" t="s">
        <v>64</v>
      </c>
      <c r="F20" s="497" t="s">
        <v>348</v>
      </c>
      <c r="G20" s="367">
        <f>COUNTIF(Master!C$60:C$109,'Format 1A'!E20)</f>
        <v>0</v>
      </c>
      <c r="H20" s="321" t="s">
        <v>344</v>
      </c>
      <c r="I20" s="321" t="s">
        <v>344</v>
      </c>
      <c r="J20" s="321">
        <f t="shared" si="1"/>
        <v>0</v>
      </c>
      <c r="K20" s="892">
        <f>SUMIF('Formet 8'!E$12:E$104,'Format 1A'!E20,'Formet 8'!BY$12:BY$104)</f>
        <v>0</v>
      </c>
      <c r="L20" s="893"/>
      <c r="M20" s="892">
        <f>SUMIF('Formet 8'!E$12:E$104,'Format 1A'!E20,'Formet 8'!BU$12:BU$104)</f>
        <v>0</v>
      </c>
      <c r="N20" s="893"/>
      <c r="O20" s="487">
        <f t="shared" si="2"/>
        <v>0</v>
      </c>
      <c r="P20" s="488"/>
      <c r="S20">
        <f t="shared" si="3"/>
        <v>0</v>
      </c>
      <c r="T20">
        <f>SUMIF('Formet 8'!E$12:E$104,'Format 1A'!E20,'Formet 8'!BY$12:BY$104)</f>
        <v>0</v>
      </c>
      <c r="U20">
        <f>SUMIF('Formet 8'!E$12:E$336,'Format 1A'!E20,'Formet 8'!BU$12:BU$336)</f>
        <v>0</v>
      </c>
      <c r="V20">
        <f t="shared" si="4"/>
        <v>0</v>
      </c>
    </row>
    <row r="21" spans="1:22" ht="15" customHeight="1">
      <c r="A21" s="199">
        <f t="shared" si="5"/>
        <v>3</v>
      </c>
      <c r="B21" s="492">
        <f t="shared" si="0"/>
        <v>3</v>
      </c>
      <c r="C21" s="186" t="s">
        <v>342</v>
      </c>
      <c r="D21" s="486" t="str">
        <f>Master!$C$5</f>
        <v>PLAN - GIRLS</v>
      </c>
      <c r="E21" s="490" t="s">
        <v>225</v>
      </c>
      <c r="F21" s="497" t="s">
        <v>349</v>
      </c>
      <c r="G21" s="367">
        <f>COUNTIF(Master!C$60:C$109,'Format 1A'!E21)</f>
        <v>1</v>
      </c>
      <c r="H21" s="321" t="s">
        <v>344</v>
      </c>
      <c r="I21" s="321" t="s">
        <v>344</v>
      </c>
      <c r="J21" s="321">
        <f t="shared" si="1"/>
        <v>1</v>
      </c>
      <c r="K21" s="892">
        <f>SUMIF('Formet 8'!E$12:E$104,'Format 1A'!E21,'Formet 8'!BY$12:BY$104)</f>
        <v>1</v>
      </c>
      <c r="L21" s="893"/>
      <c r="M21" s="892">
        <f>SUMIF('Formet 8'!E$12:E$104,'Format 1A'!E21,'Formet 8'!BU$12:BU$104)</f>
        <v>0</v>
      </c>
      <c r="N21" s="893"/>
      <c r="O21" s="487">
        <f t="shared" si="2"/>
        <v>0</v>
      </c>
      <c r="P21" s="488"/>
      <c r="S21">
        <f t="shared" si="3"/>
        <v>1</v>
      </c>
      <c r="T21">
        <f>SUMIF('Formet 8'!E$12:E$104,'Format 1A'!E21,'Formet 8'!BY$12:BY$104)</f>
        <v>1</v>
      </c>
      <c r="U21">
        <f>SUMIF('Formet 8'!E$12:E$336,'Format 1A'!E21,'Formet 8'!BU$12:BU$336)</f>
        <v>0</v>
      </c>
      <c r="V21">
        <f t="shared" si="4"/>
        <v>0</v>
      </c>
    </row>
    <row r="22" spans="1:22" ht="15" customHeight="1">
      <c r="A22" s="199">
        <f t="shared" si="5"/>
        <v>3</v>
      </c>
      <c r="B22" s="492" t="str">
        <f t="shared" si="0"/>
        <v/>
      </c>
      <c r="C22" s="186" t="s">
        <v>342</v>
      </c>
      <c r="D22" s="486" t="str">
        <f>Master!$C$5</f>
        <v>PLAN - GIRLS</v>
      </c>
      <c r="E22" s="490" t="s">
        <v>227</v>
      </c>
      <c r="F22" s="497" t="s">
        <v>349</v>
      </c>
      <c r="G22" s="367">
        <f>COUNTIF(Master!C$60:C$109,'Format 1A'!E22)</f>
        <v>0</v>
      </c>
      <c r="H22" s="321" t="s">
        <v>344</v>
      </c>
      <c r="I22" s="321" t="s">
        <v>344</v>
      </c>
      <c r="J22" s="321">
        <f t="shared" si="1"/>
        <v>0</v>
      </c>
      <c r="K22" s="892">
        <f>SUMIF('Formet 8'!E$12:E$104,'Format 1A'!E22,'Formet 8'!BY$12:BY$104)</f>
        <v>0</v>
      </c>
      <c r="L22" s="893"/>
      <c r="M22" s="892">
        <f>SUMIF('Formet 8'!E$12:E$104,'Format 1A'!E22,'Formet 8'!BU$12:BU$104)</f>
        <v>0</v>
      </c>
      <c r="N22" s="893"/>
      <c r="O22" s="487">
        <f t="shared" si="2"/>
        <v>0</v>
      </c>
      <c r="P22" s="488"/>
      <c r="S22">
        <f t="shared" si="3"/>
        <v>0</v>
      </c>
      <c r="T22">
        <f>SUMIF('Formet 8'!E$12:E$104,'Format 1A'!E22,'Formet 8'!BY$12:BY$104)</f>
        <v>0</v>
      </c>
      <c r="U22">
        <f>SUMIF('Formet 8'!E$12:E$336,'Format 1A'!E22,'Formet 8'!BU$12:BU$336)</f>
        <v>0</v>
      </c>
      <c r="V22">
        <f t="shared" si="4"/>
        <v>0</v>
      </c>
    </row>
    <row r="23" spans="1:22" ht="15" customHeight="1">
      <c r="A23" s="199">
        <f t="shared" si="5"/>
        <v>4</v>
      </c>
      <c r="B23" s="492">
        <f t="shared" si="0"/>
        <v>4</v>
      </c>
      <c r="C23" s="186" t="s">
        <v>342</v>
      </c>
      <c r="D23" s="486" t="str">
        <f>Master!$C$5</f>
        <v>PLAN - GIRLS</v>
      </c>
      <c r="E23" s="490" t="s">
        <v>221</v>
      </c>
      <c r="F23" s="497" t="s">
        <v>347</v>
      </c>
      <c r="G23" s="367">
        <f>COUNTIF(Master!C$60:C$109,'Format 1A'!E23)</f>
        <v>1</v>
      </c>
      <c r="H23" s="321" t="s">
        <v>344</v>
      </c>
      <c r="I23" s="321" t="s">
        <v>344</v>
      </c>
      <c r="J23" s="321">
        <f t="shared" si="1"/>
        <v>1</v>
      </c>
      <c r="K23" s="892">
        <f>SUMIF('Formet 8'!E$12:E$104,'Format 1A'!E23,'Formet 8'!BY$12:BY$104)</f>
        <v>1</v>
      </c>
      <c r="L23" s="893"/>
      <c r="M23" s="892">
        <f>SUMIF('Formet 8'!E$12:E$104,'Format 1A'!E23,'Formet 8'!BU$12:BU$104)</f>
        <v>0</v>
      </c>
      <c r="N23" s="893"/>
      <c r="O23" s="487">
        <f t="shared" si="2"/>
        <v>0</v>
      </c>
      <c r="P23" s="488"/>
      <c r="S23">
        <f t="shared" si="3"/>
        <v>1</v>
      </c>
      <c r="T23">
        <f>SUMIF('Formet 8'!E$12:E$104,'Format 1A'!E23,'Formet 8'!BY$12:BY$104)</f>
        <v>1</v>
      </c>
      <c r="U23">
        <f>SUMIF('Formet 8'!E$12:E$336,'Format 1A'!E23,'Formet 8'!BU$12:BU$336)</f>
        <v>0</v>
      </c>
      <c r="V23">
        <f t="shared" si="4"/>
        <v>0</v>
      </c>
    </row>
    <row r="24" spans="1:22" ht="15" customHeight="1">
      <c r="A24" s="199">
        <f t="shared" si="5"/>
        <v>5</v>
      </c>
      <c r="B24" s="492">
        <f t="shared" si="0"/>
        <v>5</v>
      </c>
      <c r="C24" s="186" t="s">
        <v>342</v>
      </c>
      <c r="D24" s="486" t="str">
        <f>Master!$C$5</f>
        <v>PLAN - GIRLS</v>
      </c>
      <c r="E24" s="490" t="s">
        <v>63</v>
      </c>
      <c r="F24" s="497" t="s">
        <v>347</v>
      </c>
      <c r="G24" s="367">
        <f>COUNTIF(Master!C$60:C$109,'Format 1A'!E24)</f>
        <v>8</v>
      </c>
      <c r="H24" s="321" t="s">
        <v>344</v>
      </c>
      <c r="I24" s="321" t="s">
        <v>344</v>
      </c>
      <c r="J24" s="321">
        <f t="shared" si="1"/>
        <v>8</v>
      </c>
      <c r="K24" s="892">
        <f>SUMIF('Formet 8'!E$12:E$104,'Format 1A'!E24,'Formet 8'!BY$12:BY$104)</f>
        <v>8</v>
      </c>
      <c r="L24" s="893"/>
      <c r="M24" s="892">
        <f>SUMIF('Formet 8'!E$12:E$104,'Format 1A'!E24,'Formet 8'!BU$12:BU$104)</f>
        <v>0</v>
      </c>
      <c r="N24" s="893"/>
      <c r="O24" s="487">
        <f t="shared" si="2"/>
        <v>0</v>
      </c>
      <c r="P24" s="488"/>
      <c r="S24">
        <f t="shared" si="3"/>
        <v>8</v>
      </c>
      <c r="T24">
        <f>SUMIF('Formet 8'!E$12:E$104,'Format 1A'!E24,'Formet 8'!BY$12:BY$104)</f>
        <v>8</v>
      </c>
      <c r="U24">
        <f>SUMIF('Formet 8'!E$12:E$336,'Format 1A'!E24,'Formet 8'!BU$12:BU$336)</f>
        <v>0</v>
      </c>
      <c r="V24">
        <f t="shared" si="4"/>
        <v>0</v>
      </c>
    </row>
    <row r="25" spans="1:22" ht="15" customHeight="1">
      <c r="A25" s="199">
        <f t="shared" si="5"/>
        <v>6</v>
      </c>
      <c r="B25" s="492">
        <f t="shared" si="0"/>
        <v>6</v>
      </c>
      <c r="C25" s="186" t="s">
        <v>342</v>
      </c>
      <c r="D25" s="486" t="str">
        <f>Master!$C$5</f>
        <v>PLAN - GIRLS</v>
      </c>
      <c r="E25" s="490" t="s">
        <v>218</v>
      </c>
      <c r="F25" s="497" t="s">
        <v>347</v>
      </c>
      <c r="G25" s="367">
        <f>COUNTIF(Master!C$60:C$109,'Format 1A'!E25)</f>
        <v>1</v>
      </c>
      <c r="H25" s="321" t="s">
        <v>344</v>
      </c>
      <c r="I25" s="321" t="s">
        <v>344</v>
      </c>
      <c r="J25" s="321">
        <f t="shared" si="1"/>
        <v>1</v>
      </c>
      <c r="K25" s="892">
        <f>SUMIF('Formet 8'!E$12:E$104,'Format 1A'!E25,'Formet 8'!BY$12:BY$104)</f>
        <v>1</v>
      </c>
      <c r="L25" s="893"/>
      <c r="M25" s="892">
        <f>SUMIF('Formet 8'!E$12:E$104,'Format 1A'!E25,'Formet 8'!BU$12:BU$104)</f>
        <v>0</v>
      </c>
      <c r="N25" s="893"/>
      <c r="O25" s="487">
        <f t="shared" si="2"/>
        <v>0</v>
      </c>
      <c r="P25" s="488"/>
      <c r="S25">
        <f t="shared" si="3"/>
        <v>1</v>
      </c>
      <c r="T25">
        <f>SUMIF('Formet 8'!E$12:E$104,'Format 1A'!E25,'Formet 8'!BY$12:BY$104)</f>
        <v>1</v>
      </c>
      <c r="U25">
        <f>SUMIF('Formet 8'!E$12:E$336,'Format 1A'!E25,'Formet 8'!BU$12:BU$336)</f>
        <v>0</v>
      </c>
      <c r="V25">
        <f t="shared" si="4"/>
        <v>0</v>
      </c>
    </row>
    <row r="26" spans="1:22" ht="15" customHeight="1">
      <c r="A26" s="199">
        <f t="shared" si="5"/>
        <v>7</v>
      </c>
      <c r="B26" s="492">
        <f t="shared" si="0"/>
        <v>7</v>
      </c>
      <c r="C26" s="186" t="s">
        <v>342</v>
      </c>
      <c r="D26" s="486" t="str">
        <f>Master!$C$5</f>
        <v>PLAN - GIRLS</v>
      </c>
      <c r="E26" s="490" t="s">
        <v>225</v>
      </c>
      <c r="F26" s="497" t="s">
        <v>349</v>
      </c>
      <c r="G26" s="367">
        <f>COUNTIF(Master!C$60:C$109,'Format 1A'!E26)</f>
        <v>1</v>
      </c>
      <c r="H26" s="321" t="s">
        <v>344</v>
      </c>
      <c r="I26" s="321" t="s">
        <v>344</v>
      </c>
      <c r="J26" s="321">
        <f t="shared" si="1"/>
        <v>1</v>
      </c>
      <c r="K26" s="892">
        <f>SUMIF('Formet 8'!E$12:E$104,'Format 1A'!E26,'Formet 8'!BY$12:BY$104)</f>
        <v>1</v>
      </c>
      <c r="L26" s="893"/>
      <c r="M26" s="892">
        <f>SUMIF('Formet 8'!E$12:E$104,'Format 1A'!E26,'Formet 8'!BU$12:BU$104)</f>
        <v>0</v>
      </c>
      <c r="N26" s="893"/>
      <c r="O26" s="487">
        <f t="shared" si="2"/>
        <v>0</v>
      </c>
      <c r="P26" s="488"/>
      <c r="S26">
        <f t="shared" si="3"/>
        <v>1</v>
      </c>
      <c r="T26">
        <f>SUMIF('Formet 8'!E$12:E$104,'Format 1A'!E26,'Formet 8'!BY$12:BY$104)</f>
        <v>1</v>
      </c>
      <c r="U26">
        <f>SUMIF('Formet 8'!E$12:E$336,'Format 1A'!E26,'Formet 8'!BU$12:BU$336)</f>
        <v>0</v>
      </c>
      <c r="V26">
        <f t="shared" si="4"/>
        <v>0</v>
      </c>
    </row>
    <row r="27" spans="1:22" ht="15" customHeight="1">
      <c r="A27" s="199">
        <f t="shared" si="5"/>
        <v>8</v>
      </c>
      <c r="B27" s="492">
        <f t="shared" si="0"/>
        <v>8</v>
      </c>
      <c r="C27" s="186" t="s">
        <v>342</v>
      </c>
      <c r="D27" s="486" t="str">
        <f>Master!$C$5</f>
        <v>PLAN - GIRLS</v>
      </c>
      <c r="E27" s="490" t="s">
        <v>65</v>
      </c>
      <c r="F27" s="497" t="s">
        <v>350</v>
      </c>
      <c r="G27" s="367">
        <f>COUNTIF(Master!C$60:C$109,'Format 1A'!E27)</f>
        <v>1</v>
      </c>
      <c r="H27" s="321" t="s">
        <v>344</v>
      </c>
      <c r="I27" s="321" t="s">
        <v>344</v>
      </c>
      <c r="J27" s="321">
        <f t="shared" si="1"/>
        <v>1</v>
      </c>
      <c r="K27" s="892">
        <f>SUMIF('Formet 8'!E$12:E$104,'Format 1A'!E27,'Formet 8'!BY$12:BY$104)</f>
        <v>1</v>
      </c>
      <c r="L27" s="893"/>
      <c r="M27" s="892">
        <f>SUMIF('Formet 8'!E$12:E$104,'Format 1A'!E27,'Formet 8'!BU$12:BU$104)</f>
        <v>0</v>
      </c>
      <c r="N27" s="893"/>
      <c r="O27" s="487">
        <f t="shared" si="2"/>
        <v>0</v>
      </c>
      <c r="P27" s="488"/>
      <c r="S27">
        <f t="shared" si="3"/>
        <v>1</v>
      </c>
      <c r="T27">
        <f>SUMIF('Formet 8'!E$12:E$104,'Format 1A'!E27,'Formet 8'!BY$12:BY$104)</f>
        <v>1</v>
      </c>
      <c r="U27">
        <f>SUMIF('Formet 8'!E$12:E$336,'Format 1A'!E27,'Formet 8'!BU$12:BU$336)</f>
        <v>0</v>
      </c>
      <c r="V27">
        <f t="shared" si="4"/>
        <v>0</v>
      </c>
    </row>
    <row r="28" spans="1:22" ht="15" customHeight="1">
      <c r="A28" s="199">
        <f t="shared" si="5"/>
        <v>9</v>
      </c>
      <c r="B28" s="492">
        <f t="shared" si="0"/>
        <v>9</v>
      </c>
      <c r="C28" s="186" t="s">
        <v>342</v>
      </c>
      <c r="D28" s="486" t="str">
        <f>Master!$C$5</f>
        <v>PLAN - GIRLS</v>
      </c>
      <c r="E28" s="490" t="s">
        <v>562</v>
      </c>
      <c r="F28" s="497" t="s">
        <v>350</v>
      </c>
      <c r="G28" s="367">
        <f>COUNTIF(Master!C$60:C$109,'Format 1A'!E28)</f>
        <v>1</v>
      </c>
      <c r="H28" s="321" t="s">
        <v>344</v>
      </c>
      <c r="I28" s="321" t="s">
        <v>344</v>
      </c>
      <c r="J28" s="321">
        <f t="shared" si="1"/>
        <v>1</v>
      </c>
      <c r="K28" s="892">
        <f>SUMIF('Formet 8'!E$12:E$104,'Format 1A'!E28,'Formet 8'!BY$12:BY$104)</f>
        <v>1</v>
      </c>
      <c r="L28" s="893"/>
      <c r="M28" s="892">
        <f>SUMIF('Formet 8'!E$12:E$104,'Format 1A'!E28,'Formet 8'!BU$12:BU$104)</f>
        <v>0</v>
      </c>
      <c r="N28" s="893"/>
      <c r="O28" s="487">
        <f t="shared" si="2"/>
        <v>0</v>
      </c>
      <c r="P28" s="488"/>
      <c r="S28">
        <f t="shared" si="3"/>
        <v>1</v>
      </c>
      <c r="T28">
        <f>SUMIF('Formet 8'!E$12:E$104,'Format 1A'!E28,'Formet 8'!BY$12:BY$104)</f>
        <v>1</v>
      </c>
      <c r="U28">
        <f>SUMIF('Formet 8'!E$12:E$336,'Format 1A'!E28,'Formet 8'!BU$12:BU$336)</f>
        <v>0</v>
      </c>
      <c r="V28">
        <f t="shared" si="4"/>
        <v>0</v>
      </c>
    </row>
    <row r="29" spans="1:22" ht="15" customHeight="1">
      <c r="A29" s="199">
        <f t="shared" si="5"/>
        <v>9</v>
      </c>
      <c r="B29" s="492" t="str">
        <f t="shared" si="0"/>
        <v/>
      </c>
      <c r="C29" s="186" t="s">
        <v>342</v>
      </c>
      <c r="D29" s="486" t="str">
        <f>Master!$C$5</f>
        <v>PLAN - GIRLS</v>
      </c>
      <c r="E29" s="490" t="s">
        <v>235</v>
      </c>
      <c r="F29" s="497" t="s">
        <v>351</v>
      </c>
      <c r="G29" s="367">
        <f>COUNTIF(Master!C$60:C$109,'Format 1A'!E29)</f>
        <v>0</v>
      </c>
      <c r="H29" s="321" t="s">
        <v>344</v>
      </c>
      <c r="I29" s="321" t="s">
        <v>344</v>
      </c>
      <c r="J29" s="321">
        <f t="shared" si="1"/>
        <v>0</v>
      </c>
      <c r="K29" s="892">
        <f>SUMIF('Formet 8'!E$12:E$104,'Format 1A'!E29,'Formet 8'!BY$12:BY$104)</f>
        <v>0</v>
      </c>
      <c r="L29" s="893"/>
      <c r="M29" s="892">
        <f>SUMIF('Formet 8'!E$12:E$104,'Format 1A'!E29,'Formet 8'!BU$12:BU$104)</f>
        <v>0</v>
      </c>
      <c r="N29" s="893"/>
      <c r="O29" s="487">
        <f t="shared" si="2"/>
        <v>0</v>
      </c>
      <c r="P29" s="488"/>
      <c r="S29">
        <f t="shared" si="3"/>
        <v>0</v>
      </c>
      <c r="T29">
        <f>SUMIF('Formet 8'!E$12:E$104,'Format 1A'!E29,'Formet 8'!BY$12:BY$104)</f>
        <v>0</v>
      </c>
      <c r="U29">
        <f>SUMIF('Formet 8'!E$12:E$336,'Format 1A'!E29,'Formet 8'!BU$12:BU$336)</f>
        <v>0</v>
      </c>
      <c r="V29">
        <f t="shared" si="4"/>
        <v>0</v>
      </c>
    </row>
    <row r="30" spans="1:22" ht="15" customHeight="1">
      <c r="A30" s="199">
        <f t="shared" si="5"/>
        <v>9</v>
      </c>
      <c r="B30" s="492" t="str">
        <f t="shared" si="0"/>
        <v/>
      </c>
      <c r="C30" s="186" t="s">
        <v>342</v>
      </c>
      <c r="D30" s="486" t="str">
        <f>Master!$C$5</f>
        <v>PLAN - GIRLS</v>
      </c>
      <c r="E30" s="490" t="s">
        <v>233</v>
      </c>
      <c r="F30" s="497" t="s">
        <v>351</v>
      </c>
      <c r="G30" s="367">
        <f>COUNTIF(Master!C$60:C$109,'Format 1A'!E30)</f>
        <v>0</v>
      </c>
      <c r="H30" s="321" t="s">
        <v>344</v>
      </c>
      <c r="I30" s="321" t="s">
        <v>344</v>
      </c>
      <c r="J30" s="321">
        <f t="shared" si="1"/>
        <v>0</v>
      </c>
      <c r="K30" s="892">
        <f>SUMIF('Formet 8'!E$12:E$104,'Format 1A'!E30,'Formet 8'!BY$12:BY$104)</f>
        <v>0</v>
      </c>
      <c r="L30" s="893"/>
      <c r="M30" s="892">
        <f>SUMIF('Formet 8'!E$12:E$104,'Format 1A'!E30,'Formet 8'!BU$12:BU$104)</f>
        <v>0</v>
      </c>
      <c r="N30" s="893"/>
      <c r="O30" s="487">
        <f t="shared" si="2"/>
        <v>0</v>
      </c>
      <c r="P30" s="488"/>
      <c r="S30">
        <f t="shared" si="3"/>
        <v>0</v>
      </c>
      <c r="T30">
        <f>SUMIF('Formet 8'!E$12:E$104,'Format 1A'!E30,'Formet 8'!BY$12:BY$104)</f>
        <v>0</v>
      </c>
      <c r="U30">
        <f>SUMIF('Formet 8'!E$12:E$336,'Format 1A'!E30,'Formet 8'!BU$12:BU$336)</f>
        <v>0</v>
      </c>
      <c r="V30">
        <f t="shared" si="4"/>
        <v>0</v>
      </c>
    </row>
    <row r="31" spans="1:22" ht="15" customHeight="1">
      <c r="A31" s="199">
        <f t="shared" si="5"/>
        <v>10</v>
      </c>
      <c r="B31" s="492">
        <f t="shared" si="0"/>
        <v>10</v>
      </c>
      <c r="C31" s="186" t="s">
        <v>342</v>
      </c>
      <c r="D31" s="486" t="str">
        <f>Master!$C$5</f>
        <v>PLAN - GIRLS</v>
      </c>
      <c r="E31" s="490" t="s">
        <v>66</v>
      </c>
      <c r="F31" s="497" t="s">
        <v>351</v>
      </c>
      <c r="G31" s="367">
        <f>COUNTIF(Master!C$60:C$109,'Format 1A'!E31)</f>
        <v>3</v>
      </c>
      <c r="H31" s="321" t="s">
        <v>344</v>
      </c>
      <c r="I31" s="321" t="s">
        <v>344</v>
      </c>
      <c r="J31" s="321">
        <f t="shared" si="1"/>
        <v>3</v>
      </c>
      <c r="K31" s="892">
        <f>SUMIF('Formet 8'!E$12:E$104,'Format 1A'!E31,'Formet 8'!BY$12:BY$104)</f>
        <v>0</v>
      </c>
      <c r="L31" s="893"/>
      <c r="M31" s="892">
        <f>SUMIF('Formet 8'!E$12:E$104,'Format 1A'!E31,'Formet 8'!BU$12:BU$104)</f>
        <v>0</v>
      </c>
      <c r="N31" s="893"/>
      <c r="O31" s="487">
        <f t="shared" si="2"/>
        <v>3</v>
      </c>
      <c r="P31" s="488"/>
      <c r="S31">
        <f t="shared" si="3"/>
        <v>3</v>
      </c>
      <c r="T31">
        <f>SUMIF('Formet 8'!E$12:E$104,'Format 1A'!E31,'Formet 8'!BY$12:BY$104)</f>
        <v>0</v>
      </c>
      <c r="U31">
        <f>SUMIF('Formet 8'!E$12:E$336,'Format 1A'!E31,'Formet 8'!BU$12:BU$336)</f>
        <v>0</v>
      </c>
      <c r="V31">
        <f t="shared" si="4"/>
        <v>3</v>
      </c>
    </row>
    <row r="32" spans="1:22" ht="17.25" customHeight="1">
      <c r="A32" s="201"/>
      <c r="B32" s="201"/>
      <c r="C32" s="201"/>
      <c r="D32" s="202"/>
      <c r="E32" s="203" t="s">
        <v>352</v>
      </c>
      <c r="F32" s="489"/>
      <c r="G32" s="203">
        <f>SUM(G9:G31)</f>
        <v>24</v>
      </c>
      <c r="H32" s="203">
        <f>SUM(H9:H31)</f>
        <v>0</v>
      </c>
      <c r="I32" s="203">
        <f>SUM(I9:I31)</f>
        <v>0</v>
      </c>
      <c r="J32" s="203">
        <f>SUM(J9:J31)</f>
        <v>24</v>
      </c>
      <c r="K32" s="888">
        <f>SUM(K9:K31)</f>
        <v>21</v>
      </c>
      <c r="L32" s="889"/>
      <c r="M32" s="888">
        <f>SUM(M9:M31)</f>
        <v>0</v>
      </c>
      <c r="N32" s="889"/>
      <c r="O32" s="203">
        <f>SUM(O9:O31)</f>
        <v>3</v>
      </c>
      <c r="P32" s="203"/>
    </row>
    <row r="33" spans="1:16">
      <c r="A33" s="198"/>
      <c r="B33" s="198"/>
      <c r="C33" s="198"/>
      <c r="D33" s="198"/>
      <c r="E33" s="198"/>
      <c r="F33" s="198"/>
      <c r="G33" s="198"/>
      <c r="H33" s="198"/>
      <c r="I33" s="198"/>
      <c r="J33" s="198"/>
      <c r="K33" s="198"/>
      <c r="L33" s="198"/>
      <c r="M33" s="198"/>
      <c r="N33" s="198"/>
      <c r="O33" s="198"/>
      <c r="P33" s="198"/>
    </row>
    <row r="34" spans="1:16" s="330" customFormat="1" ht="15.75">
      <c r="A34" s="198"/>
      <c r="B34" s="526" t="s">
        <v>558</v>
      </c>
      <c r="C34" s="198"/>
      <c r="D34" s="198"/>
      <c r="E34" s="198"/>
      <c r="F34" s="198"/>
      <c r="G34" s="198"/>
      <c r="H34" s="198"/>
      <c r="I34" s="198"/>
      <c r="J34" s="198"/>
      <c r="K34" s="198"/>
      <c r="L34" s="198"/>
      <c r="M34" s="198"/>
      <c r="N34" s="198"/>
      <c r="O34" s="198"/>
      <c r="P34" s="198"/>
    </row>
    <row r="35" spans="1:16" s="330" customFormat="1">
      <c r="A35" s="198"/>
      <c r="B35" s="198"/>
      <c r="C35" s="198"/>
      <c r="D35" s="198"/>
      <c r="E35" s="198"/>
      <c r="F35" s="198"/>
      <c r="G35" s="198"/>
      <c r="H35" s="198"/>
      <c r="I35" s="198"/>
      <c r="J35" s="198"/>
      <c r="K35" s="198"/>
      <c r="L35" s="198"/>
      <c r="M35" s="898" t="str">
        <f>CONCATENATE("¼ ",Master!G3,"½")</f>
        <v>¼ m"kk ikfy;k½</v>
      </c>
      <c r="N35" s="898"/>
      <c r="O35" s="898"/>
      <c r="P35" s="898"/>
    </row>
    <row r="36" spans="1:16" ht="16.5">
      <c r="A36" s="198"/>
      <c r="B36" s="526"/>
      <c r="C36" s="526"/>
      <c r="D36" s="526"/>
      <c r="E36" s="108"/>
      <c r="F36" s="108"/>
      <c r="G36" s="108"/>
      <c r="H36" s="108"/>
      <c r="I36" s="108"/>
      <c r="J36" s="198"/>
      <c r="K36" s="198"/>
      <c r="L36" s="198"/>
      <c r="M36" s="886" t="str">
        <f>Master!C2</f>
        <v>iz/kkukpk;Z</v>
      </c>
      <c r="N36" s="886"/>
      <c r="O36" s="886"/>
      <c r="P36" s="886"/>
    </row>
    <row r="37" spans="1:16" ht="15" customHeight="1">
      <c r="A37" s="198"/>
      <c r="B37" s="198"/>
      <c r="C37" s="108"/>
      <c r="D37" s="108"/>
      <c r="E37" s="108"/>
      <c r="F37" s="108"/>
      <c r="G37" s="108"/>
      <c r="H37" s="108"/>
      <c r="I37" s="108"/>
      <c r="J37" s="198"/>
      <c r="K37" s="198"/>
      <c r="L37" s="198"/>
      <c r="M37" s="887" t="str">
        <f>Master!D2</f>
        <v>egkRek xka/kh jktdh; fo|ky; ¼vaxzsth ek/;e½ cj ] ikyh</v>
      </c>
      <c r="N37" s="887"/>
      <c r="O37" s="887"/>
      <c r="P37" s="887"/>
    </row>
    <row r="38" spans="1:16" ht="15" customHeight="1">
      <c r="A38" s="198"/>
      <c r="B38" s="198"/>
      <c r="C38" s="108"/>
      <c r="D38" s="108"/>
      <c r="E38" s="108"/>
      <c r="F38" s="108"/>
      <c r="G38" s="108"/>
      <c r="H38" s="108"/>
      <c r="I38" s="108"/>
      <c r="J38" s="198"/>
      <c r="K38" s="198"/>
      <c r="L38" s="198"/>
      <c r="M38" s="887"/>
      <c r="N38" s="887"/>
      <c r="O38" s="887"/>
      <c r="P38" s="887"/>
    </row>
    <row r="39" spans="1:16">
      <c r="M39" s="887"/>
      <c r="N39" s="887"/>
      <c r="O39" s="887"/>
      <c r="P39" s="887"/>
    </row>
  </sheetData>
  <mergeCells count="74">
    <mergeCell ref="M35:P35"/>
    <mergeCell ref="B6:B7"/>
    <mergeCell ref="P6:P7"/>
    <mergeCell ref="K7:L7"/>
    <mergeCell ref="M7:N7"/>
    <mergeCell ref="K8:L8"/>
    <mergeCell ref="M8:N8"/>
    <mergeCell ref="K9:L9"/>
    <mergeCell ref="M9:N9"/>
    <mergeCell ref="K10:L10"/>
    <mergeCell ref="M10:N10"/>
    <mergeCell ref="K11:L11"/>
    <mergeCell ref="M11:N11"/>
    <mergeCell ref="K12:L12"/>
    <mergeCell ref="M12:N12"/>
    <mergeCell ref="K13:L13"/>
    <mergeCell ref="N1:P1"/>
    <mergeCell ref="A2:P2"/>
    <mergeCell ref="A3:P3"/>
    <mergeCell ref="A4:P4"/>
    <mergeCell ref="A6:A7"/>
    <mergeCell ref="C6:C7"/>
    <mergeCell ref="D6:D7"/>
    <mergeCell ref="E6:E7"/>
    <mergeCell ref="F6:F7"/>
    <mergeCell ref="G6:G7"/>
    <mergeCell ref="H6:H7"/>
    <mergeCell ref="I6:I7"/>
    <mergeCell ref="J6:J7"/>
    <mergeCell ref="K6:N6"/>
    <mergeCell ref="O6:O7"/>
    <mergeCell ref="M13:N13"/>
    <mergeCell ref="K14:L14"/>
    <mergeCell ref="M14:N14"/>
    <mergeCell ref="K15:L15"/>
    <mergeCell ref="M15:N15"/>
    <mergeCell ref="K16:L16"/>
    <mergeCell ref="M16:N16"/>
    <mergeCell ref="K17:L17"/>
    <mergeCell ref="M17:N17"/>
    <mergeCell ref="K18:L18"/>
    <mergeCell ref="M18:N18"/>
    <mergeCell ref="K19:L19"/>
    <mergeCell ref="M19:N19"/>
    <mergeCell ref="K20:L20"/>
    <mergeCell ref="M20:N20"/>
    <mergeCell ref="K21:L21"/>
    <mergeCell ref="M21:N21"/>
    <mergeCell ref="K22:L22"/>
    <mergeCell ref="M22:N22"/>
    <mergeCell ref="K28:L28"/>
    <mergeCell ref="M28:N28"/>
    <mergeCell ref="K23:L23"/>
    <mergeCell ref="M23:N23"/>
    <mergeCell ref="K24:L24"/>
    <mergeCell ref="M24:N24"/>
    <mergeCell ref="K25:L25"/>
    <mergeCell ref="M25:N25"/>
    <mergeCell ref="M36:P36"/>
    <mergeCell ref="M37:P39"/>
    <mergeCell ref="K32:L32"/>
    <mergeCell ref="M32:N32"/>
    <mergeCell ref="A5:L5"/>
    <mergeCell ref="M5:P5"/>
    <mergeCell ref="K29:L29"/>
    <mergeCell ref="M29:N29"/>
    <mergeCell ref="K30:L30"/>
    <mergeCell ref="M30:N30"/>
    <mergeCell ref="K31:L31"/>
    <mergeCell ref="M31:N31"/>
    <mergeCell ref="K26:L26"/>
    <mergeCell ref="M26:N26"/>
    <mergeCell ref="K27:L27"/>
    <mergeCell ref="M27:N27"/>
  </mergeCells>
  <conditionalFormatting sqref="O9:O31">
    <cfRule type="cellIs" dxfId="33" priority="3" operator="greaterThan">
      <formula>0</formula>
    </cfRule>
  </conditionalFormatting>
  <conditionalFormatting sqref="G9:P31">
    <cfRule type="cellIs" dxfId="32" priority="2" operator="equal">
      <formula>0</formula>
    </cfRule>
  </conditionalFormatting>
  <pageMargins left="0.7" right="0.41" top="0.49" bottom="0.45" header="0.3" footer="0.3"/>
  <pageSetup paperSize="9" scale="85" orientation="landscape" blackAndWhite="1" horizontalDpi="300" verticalDpi="300" r:id="rId1"/>
  <drawing r:id="rId2"/>
</worksheet>
</file>

<file path=xl/worksheets/sheet11.xml><?xml version="1.0" encoding="utf-8"?>
<worksheet xmlns="http://schemas.openxmlformats.org/spreadsheetml/2006/main" xmlns:r="http://schemas.openxmlformats.org/officeDocument/2006/relationships">
  <sheetPr codeName="Sheet11">
    <tabColor rgb="FFFFFF00"/>
    <pageSetUpPr fitToPage="1"/>
  </sheetPr>
  <dimension ref="A1:S39"/>
  <sheetViews>
    <sheetView showGridLines="0" view="pageBreakPreview" topLeftCell="C1" zoomScale="110" zoomScaleSheetLayoutView="110" workbookViewId="0">
      <selection activeCell="P35" sqref="P35"/>
    </sheetView>
  </sheetViews>
  <sheetFormatPr defaultColWidth="9.125" defaultRowHeight="15"/>
  <cols>
    <col min="1" max="1" width="6" style="207" hidden="1" customWidth="1"/>
    <col min="2" max="2" width="6" style="207" customWidth="1"/>
    <col min="3" max="3" width="18.125" style="207" customWidth="1"/>
    <col min="4" max="4" width="13.875" style="207" customWidth="1"/>
    <col min="5" max="5" width="18.375" style="207" customWidth="1"/>
    <col min="6" max="6" width="7" style="207" customWidth="1"/>
    <col min="7" max="7" width="9" style="207" customWidth="1"/>
    <col min="8" max="9" width="8.25" style="207" customWidth="1"/>
    <col min="10" max="10" width="8.75" style="207" customWidth="1"/>
    <col min="11" max="14" width="8.25" style="207" customWidth="1"/>
    <col min="15" max="16" width="10.75" style="207" customWidth="1"/>
    <col min="17" max="17" width="10.375" style="207" customWidth="1"/>
    <col min="18" max="18" width="7.375" style="207" customWidth="1"/>
    <col min="19" max="19" width="11.875" style="207" customWidth="1"/>
    <col min="20" max="16384" width="9.125" style="207"/>
  </cols>
  <sheetData>
    <row r="1" spans="1:19" ht="15.75">
      <c r="A1" s="108"/>
      <c r="B1" s="108"/>
      <c r="C1" s="108"/>
      <c r="D1" s="108"/>
      <c r="E1" s="108"/>
      <c r="F1" s="108"/>
      <c r="G1" s="108"/>
      <c r="H1" s="108"/>
      <c r="I1" s="108"/>
      <c r="J1" s="108"/>
      <c r="K1" s="108"/>
      <c r="L1" s="108"/>
      <c r="M1" s="108"/>
      <c r="N1" s="108"/>
      <c r="O1" s="108"/>
      <c r="P1" s="894">
        <f>Summary!$C$1</f>
        <v>30695</v>
      </c>
      <c r="Q1" s="894"/>
      <c r="R1" s="894"/>
      <c r="S1" s="894"/>
    </row>
    <row r="2" spans="1:19" ht="20.25">
      <c r="A2" s="905" t="str">
        <f>Summary!A2</f>
        <v>iz/kkukpk;Z egkRek xka/kh jktdh; fo|ky; ¼vaxzsth ek/;e½ cj ] ikyh</v>
      </c>
      <c r="B2" s="905"/>
      <c r="C2" s="905"/>
      <c r="D2" s="905"/>
      <c r="E2" s="905"/>
      <c r="F2" s="905"/>
      <c r="G2" s="905"/>
      <c r="H2" s="905"/>
      <c r="I2" s="905"/>
      <c r="J2" s="905"/>
      <c r="K2" s="905"/>
      <c r="L2" s="905"/>
      <c r="M2" s="905"/>
      <c r="N2" s="905"/>
      <c r="O2" s="905"/>
      <c r="P2" s="905"/>
      <c r="Q2" s="905"/>
      <c r="R2" s="905"/>
      <c r="S2" s="905"/>
    </row>
    <row r="3" spans="1:19" ht="18.75">
      <c r="A3" s="906" t="s">
        <v>331</v>
      </c>
      <c r="B3" s="906"/>
      <c r="C3" s="906"/>
      <c r="D3" s="906"/>
      <c r="E3" s="906"/>
      <c r="F3" s="906"/>
      <c r="G3" s="906"/>
      <c r="H3" s="906"/>
      <c r="I3" s="906"/>
      <c r="J3" s="906"/>
      <c r="K3" s="906"/>
      <c r="L3" s="906"/>
      <c r="M3" s="906"/>
      <c r="N3" s="906"/>
      <c r="O3" s="906"/>
      <c r="P3" s="906"/>
      <c r="Q3" s="906"/>
      <c r="R3" s="906"/>
      <c r="S3" s="906"/>
    </row>
    <row r="4" spans="1:19" ht="20.25">
      <c r="A4" s="905" t="s">
        <v>367</v>
      </c>
      <c r="B4" s="905"/>
      <c r="C4" s="905"/>
      <c r="D4" s="905"/>
      <c r="E4" s="905"/>
      <c r="F4" s="905"/>
      <c r="G4" s="905"/>
      <c r="H4" s="905"/>
      <c r="I4" s="905"/>
      <c r="J4" s="905"/>
      <c r="K4" s="905"/>
      <c r="L4" s="905"/>
      <c r="M4" s="905"/>
      <c r="N4" s="905"/>
      <c r="O4" s="905"/>
      <c r="P4" s="905"/>
      <c r="Q4" s="905"/>
      <c r="R4" s="905"/>
      <c r="S4" s="905"/>
    </row>
    <row r="5" spans="1:19">
      <c r="A5" s="903" t="str">
        <f>Summary!A5</f>
        <v>BUDGET HEAD : 2202-GENERAL EDUCATION, 02-SECONDARY EDUCATION, 109-GOVT. SEC. SCHOOL, (02)-GIRLS SCHOOL (STATE FUND)</v>
      </c>
      <c r="B5" s="903"/>
      <c r="C5" s="903"/>
      <c r="D5" s="903"/>
      <c r="E5" s="903"/>
      <c r="F5" s="903"/>
      <c r="G5" s="903"/>
      <c r="H5" s="903"/>
      <c r="I5" s="903"/>
      <c r="J5" s="903"/>
      <c r="K5" s="903"/>
      <c r="L5" s="903"/>
      <c r="M5" s="903"/>
      <c r="N5" s="903"/>
      <c r="O5" s="903"/>
      <c r="P5" s="903"/>
      <c r="Q5" s="904" t="s">
        <v>288</v>
      </c>
      <c r="R5" s="904"/>
      <c r="S5" s="904"/>
    </row>
    <row r="6" spans="1:19" ht="79.5" customHeight="1">
      <c r="A6" s="213" t="s">
        <v>7</v>
      </c>
      <c r="B6" s="403" t="s">
        <v>7</v>
      </c>
      <c r="C6" s="213" t="s">
        <v>333</v>
      </c>
      <c r="D6" s="213" t="s">
        <v>368</v>
      </c>
      <c r="E6" s="213" t="s">
        <v>335</v>
      </c>
      <c r="F6" s="213" t="s">
        <v>336</v>
      </c>
      <c r="G6" s="213" t="s">
        <v>369</v>
      </c>
      <c r="H6" s="213" t="s">
        <v>370</v>
      </c>
      <c r="I6" s="213" t="s">
        <v>371</v>
      </c>
      <c r="J6" s="213" t="s">
        <v>372</v>
      </c>
      <c r="K6" s="213" t="s">
        <v>371</v>
      </c>
      <c r="L6" s="213" t="s">
        <v>373</v>
      </c>
      <c r="M6" s="213" t="s">
        <v>371</v>
      </c>
      <c r="N6" s="213" t="s">
        <v>374</v>
      </c>
      <c r="O6" s="213" t="s">
        <v>371</v>
      </c>
      <c r="P6" s="213" t="s">
        <v>375</v>
      </c>
      <c r="Q6" s="213" t="s">
        <v>371</v>
      </c>
      <c r="R6" s="213" t="s">
        <v>376</v>
      </c>
      <c r="S6" s="213" t="s">
        <v>371</v>
      </c>
    </row>
    <row r="7" spans="1:19" s="502" customFormat="1" ht="12">
      <c r="A7" s="501">
        <v>1</v>
      </c>
      <c r="B7" s="501">
        <v>1</v>
      </c>
      <c r="C7" s="501">
        <v>2</v>
      </c>
      <c r="D7" s="501">
        <v>3</v>
      </c>
      <c r="E7" s="501">
        <v>4</v>
      </c>
      <c r="F7" s="501">
        <v>5</v>
      </c>
      <c r="G7" s="501">
        <v>6</v>
      </c>
      <c r="H7" s="501">
        <v>7</v>
      </c>
      <c r="I7" s="501">
        <v>8</v>
      </c>
      <c r="J7" s="501">
        <v>9</v>
      </c>
      <c r="K7" s="501">
        <v>10</v>
      </c>
      <c r="L7" s="501">
        <v>11</v>
      </c>
      <c r="M7" s="501">
        <v>12</v>
      </c>
      <c r="N7" s="501">
        <v>13</v>
      </c>
      <c r="O7" s="501">
        <v>14</v>
      </c>
      <c r="P7" s="501">
        <v>15</v>
      </c>
      <c r="Q7" s="501">
        <v>16</v>
      </c>
      <c r="R7" s="501">
        <v>17</v>
      </c>
      <c r="S7" s="501">
        <v>18</v>
      </c>
    </row>
    <row r="8" spans="1:19" s="208" customFormat="1" ht="15" customHeight="1">
      <c r="A8" s="213">
        <f>IF(G8&gt;=1,1,0)</f>
        <v>0</v>
      </c>
      <c r="B8" s="173" t="str">
        <f>IF(G8&gt;0,A8,"")</f>
        <v/>
      </c>
      <c r="C8" s="213" t="s">
        <v>342</v>
      </c>
      <c r="D8" s="216" t="str">
        <f>'[1]Data Entry'!C$5</f>
        <v>NON PLAN - BOYS</v>
      </c>
      <c r="E8" s="499" t="s">
        <v>54</v>
      </c>
      <c r="F8" s="498" t="s">
        <v>343</v>
      </c>
      <c r="G8" s="218">
        <f>'Format 1A'!O9</f>
        <v>0</v>
      </c>
      <c r="H8" s="219" t="s">
        <v>378</v>
      </c>
      <c r="I8" s="219" t="s">
        <v>378</v>
      </c>
      <c r="J8" s="219" t="s">
        <v>378</v>
      </c>
      <c r="K8" s="219" t="s">
        <v>378</v>
      </c>
      <c r="L8" s="219" t="s">
        <v>378</v>
      </c>
      <c r="M8" s="219" t="s">
        <v>378</v>
      </c>
      <c r="N8" s="219">
        <f>SUMIF('Formet 8'!E$12:E$117,'Format 1A'!E9,'Formet 8'!BW$12:BW$117)</f>
        <v>0</v>
      </c>
      <c r="O8" s="219">
        <f>SUMIF('Formet 8'!E$12:E$117,'Format 1A'!E9,'Formet 8'!BX$12:BX$117)</f>
        <v>0</v>
      </c>
      <c r="P8" s="219" t="s">
        <v>378</v>
      </c>
      <c r="Q8" s="219" t="s">
        <v>378</v>
      </c>
      <c r="R8" s="219" t="s">
        <v>378</v>
      </c>
      <c r="S8" s="219" t="s">
        <v>378</v>
      </c>
    </row>
    <row r="9" spans="1:19" s="208" customFormat="1" ht="15.75">
      <c r="A9" s="213">
        <f>IF(G9&gt;=1,1,0)+A8</f>
        <v>0</v>
      </c>
      <c r="B9" s="173" t="str">
        <f t="shared" ref="B9:B30" si="0">IF(G9&gt;0,A9,"")</f>
        <v/>
      </c>
      <c r="C9" s="213" t="s">
        <v>342</v>
      </c>
      <c r="D9" s="216" t="str">
        <f>'[1]Data Entry'!C$5</f>
        <v>NON PLAN - BOYS</v>
      </c>
      <c r="E9" s="499" t="s">
        <v>201</v>
      </c>
      <c r="F9" s="498" t="s">
        <v>345</v>
      </c>
      <c r="G9" s="218">
        <f>'Format 1A'!O10</f>
        <v>0</v>
      </c>
      <c r="H9" s="219" t="s">
        <v>378</v>
      </c>
      <c r="I9" s="219" t="s">
        <v>378</v>
      </c>
      <c r="J9" s="219" t="s">
        <v>378</v>
      </c>
      <c r="K9" s="219" t="s">
        <v>378</v>
      </c>
      <c r="L9" s="219" t="s">
        <v>378</v>
      </c>
      <c r="M9" s="219" t="s">
        <v>378</v>
      </c>
      <c r="N9" s="219">
        <f>SUMIF('Formet 8'!E$12:E$117,'Format 1A'!E10,'Formet 8'!BW$12:BW$117)</f>
        <v>0</v>
      </c>
      <c r="O9" s="219">
        <f>SUMIF('Formet 8'!E$12:E$117,'Format 1A'!E10,'Formet 8'!BX$12:BX$117)</f>
        <v>0</v>
      </c>
      <c r="P9" s="219" t="s">
        <v>378</v>
      </c>
      <c r="Q9" s="219" t="s">
        <v>378</v>
      </c>
      <c r="R9" s="219" t="s">
        <v>378</v>
      </c>
      <c r="S9" s="219" t="s">
        <v>378</v>
      </c>
    </row>
    <row r="10" spans="1:19" s="208" customFormat="1" ht="15.75">
      <c r="A10" s="213">
        <f t="shared" ref="A10:A30" si="1">IF(G10&gt;=1,1,0)+A9</f>
        <v>0</v>
      </c>
      <c r="B10" s="173" t="str">
        <f t="shared" si="0"/>
        <v/>
      </c>
      <c r="C10" s="213" t="s">
        <v>342</v>
      </c>
      <c r="D10" s="216" t="str">
        <f>'[1]Data Entry'!C$5</f>
        <v>NON PLAN - BOYS</v>
      </c>
      <c r="E10" s="499" t="s">
        <v>203</v>
      </c>
      <c r="F10" s="498" t="s">
        <v>346</v>
      </c>
      <c r="G10" s="218">
        <f>'Format 1A'!O11</f>
        <v>0</v>
      </c>
      <c r="H10" s="219" t="s">
        <v>378</v>
      </c>
      <c r="I10" s="219" t="s">
        <v>378</v>
      </c>
      <c r="J10" s="219" t="s">
        <v>378</v>
      </c>
      <c r="K10" s="219" t="s">
        <v>378</v>
      </c>
      <c r="L10" s="219" t="s">
        <v>378</v>
      </c>
      <c r="M10" s="219" t="s">
        <v>378</v>
      </c>
      <c r="N10" s="219">
        <f>SUMIF('Formet 8'!E$12:E$117,'Format 1A'!E11,'Formet 8'!BW$12:BW$117)</f>
        <v>0</v>
      </c>
      <c r="O10" s="219">
        <f>SUMIF('Formet 8'!E$12:E$117,'Format 1A'!E11,'Formet 8'!BX$12:BX$117)</f>
        <v>0</v>
      </c>
      <c r="P10" s="219" t="s">
        <v>378</v>
      </c>
      <c r="Q10" s="219" t="s">
        <v>378</v>
      </c>
      <c r="R10" s="219" t="s">
        <v>378</v>
      </c>
      <c r="S10" s="219" t="s">
        <v>378</v>
      </c>
    </row>
    <row r="11" spans="1:19" s="208" customFormat="1" ht="15.75">
      <c r="A11" s="213">
        <f t="shared" si="1"/>
        <v>0</v>
      </c>
      <c r="B11" s="173" t="str">
        <f t="shared" si="0"/>
        <v/>
      </c>
      <c r="C11" s="213" t="s">
        <v>342</v>
      </c>
      <c r="D11" s="216" t="str">
        <f>'[1]Data Entry'!C$5</f>
        <v>NON PLAN - BOYS</v>
      </c>
      <c r="E11" s="499" t="s">
        <v>561</v>
      </c>
      <c r="F11" s="498" t="s">
        <v>346</v>
      </c>
      <c r="G11" s="218">
        <f>'Format 1A'!O12</f>
        <v>0</v>
      </c>
      <c r="H11" s="219" t="s">
        <v>378</v>
      </c>
      <c r="I11" s="219" t="s">
        <v>378</v>
      </c>
      <c r="J11" s="219" t="s">
        <v>378</v>
      </c>
      <c r="K11" s="219" t="s">
        <v>378</v>
      </c>
      <c r="L11" s="219" t="s">
        <v>378</v>
      </c>
      <c r="M11" s="219" t="s">
        <v>378</v>
      </c>
      <c r="N11" s="219">
        <f>SUMIF('Formet 8'!E$12:E$117,'Format 1A'!E12,'Formet 8'!BW$12:BW$117)</f>
        <v>0</v>
      </c>
      <c r="O11" s="219">
        <f>SUMIF('Formet 8'!E$12:E$117,'Format 1A'!E12,'Formet 8'!BX$12:BX$117)</f>
        <v>0</v>
      </c>
      <c r="P11" s="219" t="s">
        <v>378</v>
      </c>
      <c r="Q11" s="219" t="s">
        <v>378</v>
      </c>
      <c r="R11" s="219" t="s">
        <v>378</v>
      </c>
      <c r="S11" s="219" t="s">
        <v>378</v>
      </c>
    </row>
    <row r="12" spans="1:19" s="208" customFormat="1" ht="15.75">
      <c r="A12" s="213">
        <f t="shared" si="1"/>
        <v>0</v>
      </c>
      <c r="B12" s="173" t="str">
        <f t="shared" si="0"/>
        <v/>
      </c>
      <c r="C12" s="213" t="s">
        <v>342</v>
      </c>
      <c r="D12" s="216" t="str">
        <f>'[1]Data Entry'!C$5</f>
        <v>NON PLAN - BOYS</v>
      </c>
      <c r="E12" s="500" t="s">
        <v>379</v>
      </c>
      <c r="F12" s="498" t="s">
        <v>346</v>
      </c>
      <c r="G12" s="218">
        <f>'Format 1A'!O13</f>
        <v>0</v>
      </c>
      <c r="H12" s="219" t="s">
        <v>378</v>
      </c>
      <c r="I12" s="219" t="s">
        <v>378</v>
      </c>
      <c r="J12" s="219" t="s">
        <v>378</v>
      </c>
      <c r="K12" s="219" t="s">
        <v>378</v>
      </c>
      <c r="L12" s="219" t="s">
        <v>378</v>
      </c>
      <c r="M12" s="219" t="s">
        <v>378</v>
      </c>
      <c r="N12" s="219">
        <f>SUMIF('Formet 8'!E$12:E$117,'Format 1A'!E13,'Formet 8'!BW$12:BW$117)</f>
        <v>0</v>
      </c>
      <c r="O12" s="219">
        <f>SUMIF('Formet 8'!E$12:E$117,'Format 1A'!E13,'Formet 8'!BX$12:BX$117)</f>
        <v>0</v>
      </c>
      <c r="P12" s="219" t="s">
        <v>378</v>
      </c>
      <c r="Q12" s="219" t="s">
        <v>378</v>
      </c>
      <c r="R12" s="219" t="s">
        <v>378</v>
      </c>
      <c r="S12" s="219" t="s">
        <v>378</v>
      </c>
    </row>
    <row r="13" spans="1:19" s="208" customFormat="1" ht="15.75">
      <c r="A13" s="213">
        <f t="shared" si="1"/>
        <v>0</v>
      </c>
      <c r="B13" s="173" t="str">
        <f t="shared" si="0"/>
        <v/>
      </c>
      <c r="C13" s="213" t="s">
        <v>342</v>
      </c>
      <c r="D13" s="216" t="str">
        <f>'[1]Data Entry'!C$5</f>
        <v>NON PLAN - BOYS</v>
      </c>
      <c r="E13" s="499" t="s">
        <v>205</v>
      </c>
      <c r="F13" s="498" t="s">
        <v>346</v>
      </c>
      <c r="G13" s="218">
        <f>'Format 1A'!O14</f>
        <v>0</v>
      </c>
      <c r="H13" s="219" t="s">
        <v>378</v>
      </c>
      <c r="I13" s="219" t="s">
        <v>378</v>
      </c>
      <c r="J13" s="219" t="s">
        <v>378</v>
      </c>
      <c r="K13" s="219" t="s">
        <v>378</v>
      </c>
      <c r="L13" s="219" t="s">
        <v>378</v>
      </c>
      <c r="M13" s="219" t="s">
        <v>378</v>
      </c>
      <c r="N13" s="219">
        <f>SUMIF('Formet 8'!E$12:E$117,'Format 1A'!E14,'Formet 8'!BW$12:BW$117)</f>
        <v>0</v>
      </c>
      <c r="O13" s="219">
        <f>SUMIF('Formet 8'!E$12:E$117,'Format 1A'!E14,'Formet 8'!BX$12:BX$117)</f>
        <v>0</v>
      </c>
      <c r="P13" s="219" t="s">
        <v>378</v>
      </c>
      <c r="Q13" s="219" t="s">
        <v>378</v>
      </c>
      <c r="R13" s="219" t="s">
        <v>378</v>
      </c>
      <c r="S13" s="219" t="s">
        <v>378</v>
      </c>
    </row>
    <row r="14" spans="1:19" s="208" customFormat="1" ht="15.75">
      <c r="A14" s="213">
        <f t="shared" si="1"/>
        <v>0</v>
      </c>
      <c r="B14" s="173" t="str">
        <f t="shared" si="0"/>
        <v/>
      </c>
      <c r="C14" s="213" t="s">
        <v>342</v>
      </c>
      <c r="D14" s="216" t="str">
        <f>'[1]Data Entry'!C$5</f>
        <v>NON PLAN - BOYS</v>
      </c>
      <c r="E14" s="499" t="s">
        <v>207</v>
      </c>
      <c r="F14" s="498" t="s">
        <v>346</v>
      </c>
      <c r="G14" s="218">
        <f>'Format 1A'!O15</f>
        <v>0</v>
      </c>
      <c r="H14" s="219" t="s">
        <v>378</v>
      </c>
      <c r="I14" s="219" t="s">
        <v>378</v>
      </c>
      <c r="J14" s="219" t="s">
        <v>378</v>
      </c>
      <c r="K14" s="219" t="s">
        <v>378</v>
      </c>
      <c r="L14" s="219" t="s">
        <v>378</v>
      </c>
      <c r="M14" s="219" t="s">
        <v>378</v>
      </c>
      <c r="N14" s="219">
        <f>SUMIF('Formet 8'!E$12:E$117,'Format 1A'!E15,'Formet 8'!BW$12:BW$117)</f>
        <v>0</v>
      </c>
      <c r="O14" s="219">
        <f>SUMIF('Formet 8'!E$12:E$117,'Format 1A'!E15,'Formet 8'!BX$12:BX$117)</f>
        <v>0</v>
      </c>
      <c r="P14" s="219" t="s">
        <v>378</v>
      </c>
      <c r="Q14" s="219" t="s">
        <v>378</v>
      </c>
      <c r="R14" s="219" t="s">
        <v>378</v>
      </c>
      <c r="S14" s="219" t="s">
        <v>378</v>
      </c>
    </row>
    <row r="15" spans="1:19" s="208" customFormat="1" ht="15.75">
      <c r="A15" s="213">
        <f t="shared" si="1"/>
        <v>0</v>
      </c>
      <c r="B15" s="173" t="str">
        <f t="shared" si="0"/>
        <v/>
      </c>
      <c r="C15" s="213" t="s">
        <v>342</v>
      </c>
      <c r="D15" s="216" t="str">
        <f>'[1]Data Entry'!C$5</f>
        <v>NON PLAN - BOYS</v>
      </c>
      <c r="E15" s="499" t="s">
        <v>210</v>
      </c>
      <c r="F15" s="498" t="s">
        <v>346</v>
      </c>
      <c r="G15" s="218">
        <f>'Format 1A'!O16</f>
        <v>0</v>
      </c>
      <c r="H15" s="219" t="s">
        <v>378</v>
      </c>
      <c r="I15" s="219" t="s">
        <v>378</v>
      </c>
      <c r="J15" s="219" t="s">
        <v>378</v>
      </c>
      <c r="K15" s="219" t="s">
        <v>378</v>
      </c>
      <c r="L15" s="219" t="s">
        <v>378</v>
      </c>
      <c r="M15" s="219" t="s">
        <v>378</v>
      </c>
      <c r="N15" s="219">
        <f>SUMIF('Formet 8'!E$12:E$117,'Format 1A'!E16,'Formet 8'!BW$12:BW$117)</f>
        <v>0</v>
      </c>
      <c r="O15" s="219">
        <f>SUMIF('Formet 8'!E$12:E$117,'Format 1A'!E16,'Formet 8'!BX$12:BX$117)</f>
        <v>0</v>
      </c>
      <c r="P15" s="219" t="s">
        <v>378</v>
      </c>
      <c r="Q15" s="219" t="s">
        <v>378</v>
      </c>
      <c r="R15" s="219" t="s">
        <v>378</v>
      </c>
      <c r="S15" s="219" t="s">
        <v>378</v>
      </c>
    </row>
    <row r="16" spans="1:19" s="208" customFormat="1" ht="15.75">
      <c r="A16" s="213">
        <f t="shared" si="1"/>
        <v>0</v>
      </c>
      <c r="B16" s="173" t="str">
        <f t="shared" si="0"/>
        <v/>
      </c>
      <c r="C16" s="213" t="s">
        <v>342</v>
      </c>
      <c r="D16" s="216" t="str">
        <f>'[1]Data Entry'!C$5</f>
        <v>NON PLAN - BOYS</v>
      </c>
      <c r="E16" s="499" t="s">
        <v>223</v>
      </c>
      <c r="F16" s="498" t="s">
        <v>347</v>
      </c>
      <c r="G16" s="218">
        <f>'Format 1A'!O17</f>
        <v>0</v>
      </c>
      <c r="H16" s="219" t="s">
        <v>378</v>
      </c>
      <c r="I16" s="219" t="s">
        <v>378</v>
      </c>
      <c r="J16" s="219" t="s">
        <v>378</v>
      </c>
      <c r="K16" s="219" t="s">
        <v>378</v>
      </c>
      <c r="L16" s="219" t="s">
        <v>378</v>
      </c>
      <c r="M16" s="219" t="s">
        <v>378</v>
      </c>
      <c r="N16" s="219">
        <f>SUMIF('Formet 8'!E$12:E$117,'Format 1A'!E17,'Formet 8'!BW$12:BW$117)</f>
        <v>0</v>
      </c>
      <c r="O16" s="219">
        <f>SUMIF('Formet 8'!E$12:E$117,'Format 1A'!E17,'Formet 8'!BX$12:BX$117)</f>
        <v>0</v>
      </c>
      <c r="P16" s="219" t="s">
        <v>378</v>
      </c>
      <c r="Q16" s="219" t="s">
        <v>378</v>
      </c>
      <c r="R16" s="219" t="s">
        <v>378</v>
      </c>
      <c r="S16" s="219" t="s">
        <v>378</v>
      </c>
    </row>
    <row r="17" spans="1:19" s="208" customFormat="1" ht="15.75">
      <c r="A17" s="213">
        <f t="shared" si="1"/>
        <v>0</v>
      </c>
      <c r="B17" s="173" t="str">
        <f t="shared" si="0"/>
        <v/>
      </c>
      <c r="C17" s="213" t="s">
        <v>342</v>
      </c>
      <c r="D17" s="216" t="str">
        <f>'[1]Data Entry'!C$5</f>
        <v>NON PLAN - BOYS</v>
      </c>
      <c r="E17" s="499" t="s">
        <v>61</v>
      </c>
      <c r="F17" s="498" t="s">
        <v>348</v>
      </c>
      <c r="G17" s="218">
        <f>'Format 1A'!O18</f>
        <v>0</v>
      </c>
      <c r="H17" s="219" t="s">
        <v>378</v>
      </c>
      <c r="I17" s="219" t="s">
        <v>378</v>
      </c>
      <c r="J17" s="219" t="s">
        <v>378</v>
      </c>
      <c r="K17" s="219" t="s">
        <v>378</v>
      </c>
      <c r="L17" s="219" t="s">
        <v>378</v>
      </c>
      <c r="M17" s="219" t="s">
        <v>378</v>
      </c>
      <c r="N17" s="219">
        <f>SUMIF('Formet 8'!E$12:E$117,'Format 1A'!E18,'Formet 8'!BW$12:BW$117)</f>
        <v>0</v>
      </c>
      <c r="O17" s="219">
        <f>SUMIF('Formet 8'!E$12:E$117,'Format 1A'!E18,'Formet 8'!BX$12:BX$117)</f>
        <v>0</v>
      </c>
      <c r="P17" s="219" t="s">
        <v>378</v>
      </c>
      <c r="Q17" s="219" t="s">
        <v>378</v>
      </c>
      <c r="R17" s="219" t="s">
        <v>378</v>
      </c>
      <c r="S17" s="219" t="s">
        <v>378</v>
      </c>
    </row>
    <row r="18" spans="1:19" s="208" customFormat="1" ht="15.75">
      <c r="A18" s="213">
        <f t="shared" si="1"/>
        <v>0</v>
      </c>
      <c r="B18" s="173" t="str">
        <f t="shared" si="0"/>
        <v/>
      </c>
      <c r="C18" s="213" t="s">
        <v>342</v>
      </c>
      <c r="D18" s="216" t="str">
        <f>'[1]Data Entry'!C$5</f>
        <v>NON PLAN - BOYS</v>
      </c>
      <c r="E18" s="500" t="s">
        <v>215</v>
      </c>
      <c r="F18" s="498" t="s">
        <v>348</v>
      </c>
      <c r="G18" s="218">
        <f>'Format 1A'!O19</f>
        <v>0</v>
      </c>
      <c r="H18" s="219" t="s">
        <v>378</v>
      </c>
      <c r="I18" s="219" t="s">
        <v>378</v>
      </c>
      <c r="J18" s="219" t="s">
        <v>378</v>
      </c>
      <c r="K18" s="219" t="s">
        <v>378</v>
      </c>
      <c r="L18" s="219" t="s">
        <v>378</v>
      </c>
      <c r="M18" s="219" t="s">
        <v>378</v>
      </c>
      <c r="N18" s="219">
        <f>SUMIF('Formet 8'!E$12:E$117,'Format 1A'!E19,'Formet 8'!BW$12:BW$117)</f>
        <v>0</v>
      </c>
      <c r="O18" s="219">
        <f>SUMIF('Formet 8'!E$12:E$117,'Format 1A'!E19,'Formet 8'!BX$12:BX$117)</f>
        <v>0</v>
      </c>
      <c r="P18" s="219" t="s">
        <v>378</v>
      </c>
      <c r="Q18" s="219" t="s">
        <v>378</v>
      </c>
      <c r="R18" s="219" t="s">
        <v>378</v>
      </c>
      <c r="S18" s="219" t="s">
        <v>378</v>
      </c>
    </row>
    <row r="19" spans="1:19" s="208" customFormat="1" ht="15.75">
      <c r="A19" s="213">
        <f t="shared" si="1"/>
        <v>0</v>
      </c>
      <c r="B19" s="173" t="str">
        <f t="shared" si="0"/>
        <v/>
      </c>
      <c r="C19" s="213" t="s">
        <v>342</v>
      </c>
      <c r="D19" s="216" t="str">
        <f>'[1]Data Entry'!C$5</f>
        <v>NON PLAN - BOYS</v>
      </c>
      <c r="E19" s="499" t="s">
        <v>64</v>
      </c>
      <c r="F19" s="498" t="s">
        <v>348</v>
      </c>
      <c r="G19" s="218">
        <f>'Format 1A'!O20</f>
        <v>0</v>
      </c>
      <c r="H19" s="219" t="s">
        <v>378</v>
      </c>
      <c r="I19" s="219" t="s">
        <v>378</v>
      </c>
      <c r="J19" s="219" t="s">
        <v>378</v>
      </c>
      <c r="K19" s="219" t="s">
        <v>378</v>
      </c>
      <c r="L19" s="219" t="s">
        <v>378</v>
      </c>
      <c r="M19" s="219" t="s">
        <v>378</v>
      </c>
      <c r="N19" s="219">
        <f>SUMIF('Formet 8'!E$12:E$117,'Format 1A'!E20,'Formet 8'!BW$12:BW$117)</f>
        <v>0</v>
      </c>
      <c r="O19" s="219">
        <f>SUMIF('Formet 8'!E$12:E$117,'Format 1A'!E20,'Formet 8'!BX$12:BX$117)</f>
        <v>0</v>
      </c>
      <c r="P19" s="219" t="s">
        <v>378</v>
      </c>
      <c r="Q19" s="219" t="s">
        <v>378</v>
      </c>
      <c r="R19" s="219" t="s">
        <v>378</v>
      </c>
      <c r="S19" s="219" t="s">
        <v>378</v>
      </c>
    </row>
    <row r="20" spans="1:19" s="208" customFormat="1" ht="15.75">
      <c r="A20" s="213">
        <f t="shared" si="1"/>
        <v>0</v>
      </c>
      <c r="B20" s="173" t="str">
        <f t="shared" si="0"/>
        <v/>
      </c>
      <c r="C20" s="213" t="s">
        <v>342</v>
      </c>
      <c r="D20" s="216" t="str">
        <f>'[1]Data Entry'!C$5</f>
        <v>NON PLAN - BOYS</v>
      </c>
      <c r="E20" s="499" t="s">
        <v>225</v>
      </c>
      <c r="F20" s="498" t="s">
        <v>349</v>
      </c>
      <c r="G20" s="218">
        <f>'Format 1A'!O21</f>
        <v>0</v>
      </c>
      <c r="H20" s="219" t="s">
        <v>378</v>
      </c>
      <c r="I20" s="219" t="s">
        <v>378</v>
      </c>
      <c r="J20" s="219" t="s">
        <v>378</v>
      </c>
      <c r="K20" s="219" t="s">
        <v>378</v>
      </c>
      <c r="L20" s="219" t="s">
        <v>378</v>
      </c>
      <c r="M20" s="219" t="s">
        <v>378</v>
      </c>
      <c r="N20" s="219">
        <f>SUMIF('Formet 8'!E$12:E$117,'Format 1A'!E21,'Formet 8'!BW$12:BW$117)</f>
        <v>0</v>
      </c>
      <c r="O20" s="219">
        <f>SUMIF('Formet 8'!E$12:E$117,'Format 1A'!E21,'Formet 8'!BX$12:BX$117)</f>
        <v>0</v>
      </c>
      <c r="P20" s="219" t="s">
        <v>378</v>
      </c>
      <c r="Q20" s="219" t="s">
        <v>378</v>
      </c>
      <c r="R20" s="219" t="s">
        <v>378</v>
      </c>
      <c r="S20" s="219" t="s">
        <v>378</v>
      </c>
    </row>
    <row r="21" spans="1:19" s="208" customFormat="1" ht="15.75">
      <c r="A21" s="213">
        <f t="shared" si="1"/>
        <v>0</v>
      </c>
      <c r="B21" s="173" t="str">
        <f t="shared" si="0"/>
        <v/>
      </c>
      <c r="C21" s="213" t="s">
        <v>342</v>
      </c>
      <c r="D21" s="216" t="str">
        <f>'[1]Data Entry'!C$5</f>
        <v>NON PLAN - BOYS</v>
      </c>
      <c r="E21" s="499" t="s">
        <v>227</v>
      </c>
      <c r="F21" s="498" t="s">
        <v>349</v>
      </c>
      <c r="G21" s="218">
        <f>'Format 1A'!O22</f>
        <v>0</v>
      </c>
      <c r="H21" s="219" t="s">
        <v>378</v>
      </c>
      <c r="I21" s="219" t="s">
        <v>378</v>
      </c>
      <c r="J21" s="219" t="s">
        <v>378</v>
      </c>
      <c r="K21" s="219" t="s">
        <v>378</v>
      </c>
      <c r="L21" s="219" t="s">
        <v>378</v>
      </c>
      <c r="M21" s="219" t="s">
        <v>378</v>
      </c>
      <c r="N21" s="219">
        <f>SUMIF('Formet 8'!E$12:E$117,'Format 1A'!E22,'Formet 8'!BW$12:BW$117)</f>
        <v>0</v>
      </c>
      <c r="O21" s="219">
        <f>SUMIF('Formet 8'!E$12:E$117,'Format 1A'!E22,'Formet 8'!BX$12:BX$117)</f>
        <v>0</v>
      </c>
      <c r="P21" s="219" t="s">
        <v>378</v>
      </c>
      <c r="Q21" s="219" t="s">
        <v>378</v>
      </c>
      <c r="R21" s="219" t="s">
        <v>378</v>
      </c>
      <c r="S21" s="219" t="s">
        <v>378</v>
      </c>
    </row>
    <row r="22" spans="1:19" s="208" customFormat="1" ht="15.75">
      <c r="A22" s="213">
        <f t="shared" si="1"/>
        <v>0</v>
      </c>
      <c r="B22" s="173" t="str">
        <f t="shared" si="0"/>
        <v/>
      </c>
      <c r="C22" s="213" t="s">
        <v>342</v>
      </c>
      <c r="D22" s="216" t="str">
        <f>'[1]Data Entry'!C$5</f>
        <v>NON PLAN - BOYS</v>
      </c>
      <c r="E22" s="500" t="s">
        <v>380</v>
      </c>
      <c r="F22" s="498" t="s">
        <v>347</v>
      </c>
      <c r="G22" s="218">
        <f>'Format 1A'!O23</f>
        <v>0</v>
      </c>
      <c r="H22" s="219" t="s">
        <v>378</v>
      </c>
      <c r="I22" s="219" t="s">
        <v>378</v>
      </c>
      <c r="J22" s="219" t="s">
        <v>378</v>
      </c>
      <c r="K22" s="219" t="s">
        <v>378</v>
      </c>
      <c r="L22" s="219" t="s">
        <v>378</v>
      </c>
      <c r="M22" s="219" t="s">
        <v>378</v>
      </c>
      <c r="N22" s="219">
        <f>SUMIF('Formet 8'!E$12:E$117,'Format 1A'!E23,'Formet 8'!BW$12:BW$117)</f>
        <v>0</v>
      </c>
      <c r="O22" s="219">
        <f>SUMIF('Formet 8'!E$12:E$117,'Format 1A'!E23,'Formet 8'!BX$12:BX$117)</f>
        <v>0</v>
      </c>
      <c r="P22" s="219" t="s">
        <v>378</v>
      </c>
      <c r="Q22" s="219" t="s">
        <v>378</v>
      </c>
      <c r="R22" s="219" t="s">
        <v>378</v>
      </c>
      <c r="S22" s="219" t="s">
        <v>378</v>
      </c>
    </row>
    <row r="23" spans="1:19" s="208" customFormat="1" ht="15.75">
      <c r="A23" s="213">
        <f t="shared" si="1"/>
        <v>0</v>
      </c>
      <c r="B23" s="173" t="str">
        <f t="shared" si="0"/>
        <v/>
      </c>
      <c r="C23" s="213" t="s">
        <v>342</v>
      </c>
      <c r="D23" s="216" t="str">
        <f>'[1]Data Entry'!C$5</f>
        <v>NON PLAN - BOYS</v>
      </c>
      <c r="E23" s="499" t="s">
        <v>63</v>
      </c>
      <c r="F23" s="498" t="s">
        <v>347</v>
      </c>
      <c r="G23" s="218">
        <f>'Format 1A'!O24</f>
        <v>0</v>
      </c>
      <c r="H23" s="219" t="s">
        <v>378</v>
      </c>
      <c r="I23" s="219" t="s">
        <v>378</v>
      </c>
      <c r="J23" s="219" t="s">
        <v>378</v>
      </c>
      <c r="K23" s="219" t="s">
        <v>378</v>
      </c>
      <c r="L23" s="219" t="s">
        <v>378</v>
      </c>
      <c r="M23" s="219" t="s">
        <v>378</v>
      </c>
      <c r="N23" s="219">
        <f>SUMIF('Formet 8'!E$12:E$117,'Format 1A'!E24,'Formet 8'!BW$12:BW$117)</f>
        <v>0</v>
      </c>
      <c r="O23" s="219">
        <f>SUMIF('Formet 8'!E$12:E$117,'Format 1A'!E24,'Formet 8'!BX$12:BX$117)</f>
        <v>0</v>
      </c>
      <c r="P23" s="219" t="s">
        <v>378</v>
      </c>
      <c r="Q23" s="219" t="s">
        <v>378</v>
      </c>
      <c r="R23" s="219" t="s">
        <v>378</v>
      </c>
      <c r="S23" s="219" t="s">
        <v>378</v>
      </c>
    </row>
    <row r="24" spans="1:19" s="208" customFormat="1" ht="15.75">
      <c r="A24" s="213">
        <f t="shared" si="1"/>
        <v>0</v>
      </c>
      <c r="B24" s="173" t="str">
        <f t="shared" si="0"/>
        <v/>
      </c>
      <c r="C24" s="213" t="s">
        <v>342</v>
      </c>
      <c r="D24" s="216" t="str">
        <f>'[1]Data Entry'!C$5</f>
        <v>NON PLAN - BOYS</v>
      </c>
      <c r="E24" s="499" t="s">
        <v>218</v>
      </c>
      <c r="F24" s="498" t="s">
        <v>347</v>
      </c>
      <c r="G24" s="218">
        <f>'Format 1A'!O25</f>
        <v>0</v>
      </c>
      <c r="H24" s="219" t="s">
        <v>378</v>
      </c>
      <c r="I24" s="219" t="s">
        <v>378</v>
      </c>
      <c r="J24" s="219" t="s">
        <v>378</v>
      </c>
      <c r="K24" s="219" t="s">
        <v>378</v>
      </c>
      <c r="L24" s="219" t="s">
        <v>378</v>
      </c>
      <c r="M24" s="219" t="s">
        <v>378</v>
      </c>
      <c r="N24" s="219">
        <f>SUMIF('Formet 8'!E$12:E$117,'Format 1A'!E25,'Formet 8'!BW$12:BW$117)</f>
        <v>0</v>
      </c>
      <c r="O24" s="219">
        <f>SUMIF('Formet 8'!E$12:E$117,'Format 1A'!E25,'Formet 8'!BX$12:BX$117)</f>
        <v>0</v>
      </c>
      <c r="P24" s="219" t="s">
        <v>378</v>
      </c>
      <c r="Q24" s="219" t="s">
        <v>378</v>
      </c>
      <c r="R24" s="219" t="s">
        <v>378</v>
      </c>
      <c r="S24" s="219" t="s">
        <v>378</v>
      </c>
    </row>
    <row r="25" spans="1:19" s="208" customFormat="1" ht="15.75">
      <c r="A25" s="213">
        <f t="shared" si="1"/>
        <v>0</v>
      </c>
      <c r="B25" s="173" t="str">
        <f t="shared" si="0"/>
        <v/>
      </c>
      <c r="C25" s="213" t="s">
        <v>342</v>
      </c>
      <c r="D25" s="216" t="str">
        <f>'[1]Data Entry'!C$5</f>
        <v>NON PLAN - BOYS</v>
      </c>
      <c r="E25" s="499" t="s">
        <v>225</v>
      </c>
      <c r="F25" s="498" t="s">
        <v>349</v>
      </c>
      <c r="G25" s="218">
        <f>'Format 1A'!O26</f>
        <v>0</v>
      </c>
      <c r="H25" s="219" t="s">
        <v>378</v>
      </c>
      <c r="I25" s="219" t="s">
        <v>378</v>
      </c>
      <c r="J25" s="219" t="s">
        <v>378</v>
      </c>
      <c r="K25" s="219" t="s">
        <v>378</v>
      </c>
      <c r="L25" s="219" t="s">
        <v>378</v>
      </c>
      <c r="M25" s="219" t="s">
        <v>378</v>
      </c>
      <c r="N25" s="219">
        <f>SUMIF('Formet 8'!E$12:E$117,'Format 1A'!E26,'Formet 8'!BW$12:BW$117)</f>
        <v>0</v>
      </c>
      <c r="O25" s="219">
        <f>SUMIF('Formet 8'!E$12:E$117,'Format 1A'!E26,'Formet 8'!BX$12:BX$117)</f>
        <v>0</v>
      </c>
      <c r="P25" s="219" t="s">
        <v>378</v>
      </c>
      <c r="Q25" s="219" t="s">
        <v>378</v>
      </c>
      <c r="R25" s="219" t="s">
        <v>378</v>
      </c>
      <c r="S25" s="219" t="s">
        <v>378</v>
      </c>
    </row>
    <row r="26" spans="1:19" s="208" customFormat="1" ht="15.75">
      <c r="A26" s="213">
        <f t="shared" si="1"/>
        <v>0</v>
      </c>
      <c r="B26" s="173" t="str">
        <f t="shared" si="0"/>
        <v/>
      </c>
      <c r="C26" s="213" t="s">
        <v>342</v>
      </c>
      <c r="D26" s="216" t="str">
        <f>'[1]Data Entry'!C$5</f>
        <v>NON PLAN - BOYS</v>
      </c>
      <c r="E26" s="499" t="s">
        <v>65</v>
      </c>
      <c r="F26" s="498" t="s">
        <v>350</v>
      </c>
      <c r="G26" s="218">
        <f>'Format 1A'!O27</f>
        <v>0</v>
      </c>
      <c r="H26" s="219" t="s">
        <v>378</v>
      </c>
      <c r="I26" s="219" t="s">
        <v>378</v>
      </c>
      <c r="J26" s="219" t="s">
        <v>378</v>
      </c>
      <c r="K26" s="219" t="s">
        <v>378</v>
      </c>
      <c r="L26" s="219" t="s">
        <v>378</v>
      </c>
      <c r="M26" s="219" t="s">
        <v>378</v>
      </c>
      <c r="N26" s="219">
        <f>SUMIF('Formet 8'!E$12:E$117,'Format 1A'!E27,'Formet 8'!BW$12:BW$117)</f>
        <v>0</v>
      </c>
      <c r="O26" s="219">
        <f>SUMIF('Formet 8'!E$12:E$117,'Format 1A'!E27,'Formet 8'!BX$12:BX$117)</f>
        <v>0</v>
      </c>
      <c r="P26" s="219" t="s">
        <v>378</v>
      </c>
      <c r="Q26" s="219" t="s">
        <v>378</v>
      </c>
      <c r="R26" s="219" t="s">
        <v>378</v>
      </c>
      <c r="S26" s="219" t="s">
        <v>378</v>
      </c>
    </row>
    <row r="27" spans="1:19" s="208" customFormat="1" ht="15.75">
      <c r="A27" s="213">
        <f t="shared" si="1"/>
        <v>0</v>
      </c>
      <c r="B27" s="173" t="str">
        <f t="shared" si="0"/>
        <v/>
      </c>
      <c r="C27" s="213" t="s">
        <v>342</v>
      </c>
      <c r="D27" s="216" t="str">
        <f>'[1]Data Entry'!C$5</f>
        <v>NON PLAN - BOYS</v>
      </c>
      <c r="E27" s="499" t="s">
        <v>562</v>
      </c>
      <c r="F27" s="498" t="s">
        <v>350</v>
      </c>
      <c r="G27" s="218">
        <f>'Format 1A'!O28</f>
        <v>0</v>
      </c>
      <c r="H27" s="219" t="s">
        <v>378</v>
      </c>
      <c r="I27" s="219" t="s">
        <v>378</v>
      </c>
      <c r="J27" s="219" t="s">
        <v>378</v>
      </c>
      <c r="K27" s="219" t="s">
        <v>378</v>
      </c>
      <c r="L27" s="219" t="s">
        <v>378</v>
      </c>
      <c r="M27" s="219" t="s">
        <v>378</v>
      </c>
      <c r="N27" s="219">
        <f>SUMIF('Formet 8'!E$12:E$117,'Format 1A'!E28,'Formet 8'!BW$12:BW$117)</f>
        <v>0</v>
      </c>
      <c r="O27" s="219">
        <f>SUMIF('Formet 8'!E$12:E$117,'Format 1A'!E28,'Formet 8'!BX$12:BX$117)</f>
        <v>0</v>
      </c>
      <c r="P27" s="219" t="s">
        <v>378</v>
      </c>
      <c r="Q27" s="219" t="s">
        <v>378</v>
      </c>
      <c r="R27" s="219" t="s">
        <v>378</v>
      </c>
      <c r="S27" s="219" t="s">
        <v>378</v>
      </c>
    </row>
    <row r="28" spans="1:19" s="208" customFormat="1" ht="15.75">
      <c r="A28" s="213">
        <f t="shared" si="1"/>
        <v>0</v>
      </c>
      <c r="B28" s="173" t="str">
        <f t="shared" si="0"/>
        <v/>
      </c>
      <c r="C28" s="213" t="s">
        <v>342</v>
      </c>
      <c r="D28" s="216" t="str">
        <f>'[1]Data Entry'!C$5</f>
        <v>NON PLAN - BOYS</v>
      </c>
      <c r="E28" s="499" t="s">
        <v>235</v>
      </c>
      <c r="F28" s="498" t="s">
        <v>351</v>
      </c>
      <c r="G28" s="218">
        <f>'Format 1A'!O29</f>
        <v>0</v>
      </c>
      <c r="H28" s="219" t="s">
        <v>378</v>
      </c>
      <c r="I28" s="219" t="s">
        <v>378</v>
      </c>
      <c r="J28" s="219" t="s">
        <v>378</v>
      </c>
      <c r="K28" s="219" t="s">
        <v>378</v>
      </c>
      <c r="L28" s="219" t="s">
        <v>378</v>
      </c>
      <c r="M28" s="219" t="s">
        <v>378</v>
      </c>
      <c r="N28" s="219">
        <f>SUMIF('Formet 8'!E$12:E$117,'Format 1A'!E29,'Formet 8'!BW$12:BW$117)</f>
        <v>0</v>
      </c>
      <c r="O28" s="219">
        <f>SUMIF('Formet 8'!E$12:E$117,'Format 1A'!E29,'Formet 8'!BX$12:BX$117)</f>
        <v>0</v>
      </c>
      <c r="P28" s="219" t="s">
        <v>378</v>
      </c>
      <c r="Q28" s="219" t="s">
        <v>378</v>
      </c>
      <c r="R28" s="219" t="s">
        <v>378</v>
      </c>
      <c r="S28" s="219" t="s">
        <v>378</v>
      </c>
    </row>
    <row r="29" spans="1:19" s="208" customFormat="1" ht="15.75">
      <c r="A29" s="213">
        <f t="shared" si="1"/>
        <v>0</v>
      </c>
      <c r="B29" s="173" t="str">
        <f t="shared" si="0"/>
        <v/>
      </c>
      <c r="C29" s="213" t="s">
        <v>342</v>
      </c>
      <c r="D29" s="216" t="str">
        <f>'[1]Data Entry'!C$5</f>
        <v>NON PLAN - BOYS</v>
      </c>
      <c r="E29" s="499" t="s">
        <v>233</v>
      </c>
      <c r="F29" s="498" t="s">
        <v>351</v>
      </c>
      <c r="G29" s="218">
        <f>'Format 1A'!O30</f>
        <v>0</v>
      </c>
      <c r="H29" s="219" t="s">
        <v>378</v>
      </c>
      <c r="I29" s="219" t="s">
        <v>378</v>
      </c>
      <c r="J29" s="219" t="s">
        <v>378</v>
      </c>
      <c r="K29" s="219" t="s">
        <v>378</v>
      </c>
      <c r="L29" s="219" t="s">
        <v>378</v>
      </c>
      <c r="M29" s="219" t="s">
        <v>378</v>
      </c>
      <c r="N29" s="219">
        <f>SUMIF('Formet 8'!E$12:E$117,'Format 1A'!E30,'Formet 8'!BW$12:BW$117)</f>
        <v>0</v>
      </c>
      <c r="O29" s="219">
        <f>SUMIF('Formet 8'!E$12:E$117,'Format 1A'!E30,'Formet 8'!BX$12:BX$117)</f>
        <v>0</v>
      </c>
      <c r="P29" s="219" t="s">
        <v>378</v>
      </c>
      <c r="Q29" s="219" t="s">
        <v>378</v>
      </c>
      <c r="R29" s="219" t="s">
        <v>378</v>
      </c>
      <c r="S29" s="219" t="s">
        <v>378</v>
      </c>
    </row>
    <row r="30" spans="1:19" s="208" customFormat="1" ht="15.75">
      <c r="A30" s="213">
        <f t="shared" si="1"/>
        <v>1</v>
      </c>
      <c r="B30" s="173">
        <f t="shared" si="0"/>
        <v>1</v>
      </c>
      <c r="C30" s="213" t="s">
        <v>342</v>
      </c>
      <c r="D30" s="205"/>
      <c r="E30" s="499"/>
      <c r="F30" s="217"/>
      <c r="G30" s="218">
        <f>'Format 1A'!O31</f>
        <v>3</v>
      </c>
      <c r="H30" s="219" t="s">
        <v>378</v>
      </c>
      <c r="I30" s="219" t="s">
        <v>378</v>
      </c>
      <c r="J30" s="219" t="s">
        <v>378</v>
      </c>
      <c r="K30" s="219" t="s">
        <v>378</v>
      </c>
      <c r="L30" s="219" t="s">
        <v>378</v>
      </c>
      <c r="M30" s="219" t="s">
        <v>378</v>
      </c>
      <c r="N30" s="219">
        <f>SUMIF('Formet 8'!E$12:E$117,'Format 1A'!E31,'Formet 8'!BW$12:BW$117)</f>
        <v>0</v>
      </c>
      <c r="O30" s="219">
        <f>SUMIF('Formet 8'!E$12:E$117,'Format 1A'!E31,'Formet 8'!BX$12:BX$117)</f>
        <v>0</v>
      </c>
      <c r="P30" s="219" t="s">
        <v>378</v>
      </c>
      <c r="Q30" s="219" t="s">
        <v>378</v>
      </c>
      <c r="R30" s="219" t="s">
        <v>378</v>
      </c>
      <c r="S30" s="219" t="s">
        <v>378</v>
      </c>
    </row>
    <row r="31" spans="1:19" s="209" customFormat="1" ht="15.75">
      <c r="A31" s="907" t="s">
        <v>352</v>
      </c>
      <c r="B31" s="908"/>
      <c r="C31" s="908"/>
      <c r="D31" s="908"/>
      <c r="E31" s="909"/>
      <c r="F31" s="220"/>
      <c r="G31" s="221">
        <f>SUM(G8:G30)</f>
        <v>3</v>
      </c>
      <c r="H31" s="222" t="s">
        <v>378</v>
      </c>
      <c r="I31" s="222" t="s">
        <v>378</v>
      </c>
      <c r="J31" s="222" t="s">
        <v>378</v>
      </c>
      <c r="K31" s="222" t="s">
        <v>378</v>
      </c>
      <c r="L31" s="222" t="s">
        <v>378</v>
      </c>
      <c r="M31" s="222" t="s">
        <v>378</v>
      </c>
      <c r="N31" s="221">
        <f t="shared" ref="N31:O31" si="2">SUM(N8:N30)</f>
        <v>0</v>
      </c>
      <c r="O31" s="221">
        <f t="shared" si="2"/>
        <v>0</v>
      </c>
      <c r="P31" s="222" t="s">
        <v>378</v>
      </c>
      <c r="Q31" s="222" t="s">
        <v>378</v>
      </c>
      <c r="R31" s="222" t="s">
        <v>378</v>
      </c>
      <c r="S31" s="222" t="s">
        <v>378</v>
      </c>
    </row>
    <row r="32" spans="1:19">
      <c r="A32" s="108"/>
      <c r="B32" s="108"/>
      <c r="C32" s="108"/>
      <c r="D32" s="108"/>
      <c r="E32" s="108"/>
      <c r="F32" s="108"/>
      <c r="G32" s="108"/>
      <c r="H32" s="108"/>
      <c r="I32" s="108"/>
      <c r="J32" s="108"/>
      <c r="K32" s="108"/>
      <c r="L32" s="108"/>
      <c r="M32" s="108"/>
      <c r="N32" s="108"/>
      <c r="O32" s="108"/>
      <c r="P32" s="108"/>
      <c r="Q32" s="108"/>
      <c r="R32" s="108"/>
      <c r="S32" s="108"/>
    </row>
    <row r="33" spans="1:19" ht="16.5">
      <c r="A33" s="108"/>
      <c r="B33" s="527" t="s">
        <v>558</v>
      </c>
      <c r="C33" s="108"/>
      <c r="D33" s="108"/>
      <c r="E33" s="108"/>
      <c r="F33" s="108"/>
      <c r="G33" s="108"/>
      <c r="H33" s="108"/>
      <c r="I33" s="108"/>
      <c r="J33" s="108"/>
      <c r="K33" s="108"/>
      <c r="L33" s="108"/>
      <c r="M33" s="108"/>
      <c r="N33" s="108"/>
      <c r="O33" s="108"/>
      <c r="P33" s="108"/>
      <c r="Q33" s="108"/>
      <c r="R33" s="108"/>
      <c r="S33" s="108"/>
    </row>
    <row r="34" spans="1:19" ht="16.5">
      <c r="A34" s="108"/>
      <c r="B34" s="527"/>
      <c r="C34" s="108"/>
      <c r="D34" s="108"/>
      <c r="E34" s="108"/>
      <c r="F34" s="108"/>
      <c r="G34" s="108"/>
      <c r="H34" s="108"/>
      <c r="I34" s="108"/>
      <c r="J34" s="108"/>
      <c r="K34" s="108"/>
      <c r="L34" s="108"/>
      <c r="M34" s="108"/>
      <c r="N34" s="108"/>
      <c r="O34" s="108"/>
      <c r="P34" s="108"/>
      <c r="Q34" s="898" t="str">
        <f>CONCATENATE("¼ ",Master!G3,"½")</f>
        <v>¼ m"kk ikfy;k½</v>
      </c>
      <c r="R34" s="898"/>
      <c r="S34" s="898"/>
    </row>
    <row r="35" spans="1:19" ht="16.5">
      <c r="A35" s="108"/>
      <c r="B35" s="108"/>
      <c r="C35" s="108"/>
      <c r="D35" s="108"/>
      <c r="E35" s="108"/>
      <c r="F35" s="108"/>
      <c r="G35" s="108"/>
      <c r="H35" s="108"/>
      <c r="I35" s="108"/>
      <c r="J35" s="108"/>
      <c r="K35" s="108"/>
      <c r="L35" s="108"/>
      <c r="M35" s="108"/>
      <c r="N35" s="108"/>
      <c r="O35" s="108"/>
      <c r="P35" s="108"/>
      <c r="Q35" s="886" t="str">
        <f>Master!C2</f>
        <v>iz/kkukpk;Z</v>
      </c>
      <c r="R35" s="886"/>
      <c r="S35" s="886"/>
    </row>
    <row r="36" spans="1:19">
      <c r="A36" s="108"/>
      <c r="B36" s="108"/>
      <c r="C36" s="108"/>
      <c r="D36" s="108"/>
      <c r="E36" s="108"/>
      <c r="F36" s="108"/>
      <c r="G36" s="108"/>
      <c r="H36" s="108"/>
      <c r="I36" s="108"/>
      <c r="J36" s="108"/>
      <c r="K36" s="108"/>
      <c r="L36" s="108"/>
      <c r="M36" s="108"/>
      <c r="N36" s="108"/>
      <c r="O36" s="108"/>
      <c r="P36" s="108"/>
      <c r="Q36" s="887" t="str">
        <f>Master!D2</f>
        <v>egkRek xka/kh jktdh; fo|ky; ¼vaxzsth ek/;e½ cj ] ikyh</v>
      </c>
      <c r="R36" s="887"/>
      <c r="S36" s="887"/>
    </row>
    <row r="37" spans="1:19">
      <c r="A37" s="108"/>
      <c r="B37" s="108"/>
      <c r="C37" s="108"/>
      <c r="D37" s="108"/>
      <c r="E37" s="108"/>
      <c r="F37" s="108"/>
      <c r="G37" s="108"/>
      <c r="H37" s="108"/>
      <c r="I37" s="108"/>
      <c r="J37" s="108"/>
      <c r="K37" s="108"/>
      <c r="L37" s="108"/>
      <c r="M37" s="108"/>
      <c r="N37" s="108"/>
      <c r="O37" s="108"/>
      <c r="P37" s="108"/>
      <c r="Q37" s="887"/>
      <c r="R37" s="887"/>
      <c r="S37" s="887"/>
    </row>
    <row r="38" spans="1:19">
      <c r="A38" s="108"/>
      <c r="B38" s="108"/>
      <c r="C38" s="108"/>
      <c r="D38" s="108"/>
      <c r="E38" s="108"/>
      <c r="F38" s="108"/>
      <c r="G38" s="108"/>
      <c r="H38" s="108"/>
      <c r="I38" s="108"/>
      <c r="J38" s="108"/>
      <c r="K38" s="108"/>
      <c r="L38" s="108"/>
      <c r="M38" s="108"/>
      <c r="N38" s="108"/>
      <c r="O38" s="108"/>
      <c r="P38" s="108"/>
      <c r="Q38" s="887"/>
      <c r="R38" s="887"/>
      <c r="S38" s="887"/>
    </row>
    <row r="39" spans="1:19">
      <c r="A39" s="215"/>
      <c r="B39" s="215"/>
      <c r="C39" s="215"/>
      <c r="D39" s="215"/>
      <c r="E39" s="215"/>
      <c r="F39" s="215"/>
      <c r="G39" s="215"/>
      <c r="H39" s="215"/>
      <c r="I39" s="215"/>
      <c r="J39" s="215"/>
      <c r="K39" s="215"/>
      <c r="L39" s="215"/>
      <c r="M39" s="215"/>
      <c r="N39" s="215"/>
      <c r="O39" s="215"/>
      <c r="P39" s="215"/>
      <c r="Q39" s="215"/>
      <c r="R39" s="215"/>
      <c r="S39" s="215"/>
    </row>
  </sheetData>
  <mergeCells count="10">
    <mergeCell ref="Q36:S38"/>
    <mergeCell ref="A5:P5"/>
    <mergeCell ref="Q5:S5"/>
    <mergeCell ref="P1:S1"/>
    <mergeCell ref="A2:S2"/>
    <mergeCell ref="A3:S3"/>
    <mergeCell ref="A4:S4"/>
    <mergeCell ref="Q35:S35"/>
    <mergeCell ref="A31:E31"/>
    <mergeCell ref="Q34:S34"/>
  </mergeCells>
  <conditionalFormatting sqref="B33:B34">
    <cfRule type="containsText" dxfId="31" priority="1" operator="containsText" text="in fjDr">
      <formula>NOT(ISERROR(SEARCH("in fjDr",B33)))</formula>
    </cfRule>
  </conditionalFormatting>
  <pageMargins left="0.5" right="0.3" top="0.28000000000000003" bottom="0.34" header="0.2" footer="0.22"/>
  <pageSetup paperSize="9" scale="76" orientation="landscape" blackAndWhite="1" r:id="rId1"/>
</worksheet>
</file>

<file path=xl/worksheets/sheet12.xml><?xml version="1.0" encoding="utf-8"?>
<worksheet xmlns="http://schemas.openxmlformats.org/spreadsheetml/2006/main" xmlns:r="http://schemas.openxmlformats.org/officeDocument/2006/relationships">
  <sheetPr codeName="Sheet12">
    <tabColor rgb="FFFFFF00"/>
    <pageSetUpPr fitToPage="1"/>
  </sheetPr>
  <dimension ref="A1:L37"/>
  <sheetViews>
    <sheetView showGridLines="0" view="pageBreakPreview" zoomScale="110" zoomScaleSheetLayoutView="110" workbookViewId="0">
      <selection activeCell="J29" sqref="J29"/>
    </sheetView>
  </sheetViews>
  <sheetFormatPr defaultColWidth="9.125" defaultRowHeight="15"/>
  <cols>
    <col min="1" max="1" width="7.25" style="49" customWidth="1"/>
    <col min="2" max="2" width="27.625" style="49" customWidth="1"/>
    <col min="3" max="3" width="25" style="49" customWidth="1"/>
    <col min="4" max="4" width="24.625" style="49" customWidth="1"/>
    <col min="5" max="5" width="15.375" style="49" customWidth="1"/>
    <col min="6" max="6" width="17.625" style="49" customWidth="1"/>
    <col min="7" max="7" width="18" style="49" customWidth="1"/>
    <col min="8" max="10" width="9.125" style="49"/>
    <col min="11" max="11" width="9.125" style="49" customWidth="1"/>
    <col min="12" max="16384" width="9.125" style="49"/>
  </cols>
  <sheetData>
    <row r="1" spans="1:12" ht="15.75">
      <c r="A1" s="108"/>
      <c r="B1" s="108"/>
      <c r="C1" s="108"/>
      <c r="D1" s="108"/>
      <c r="E1" s="215"/>
      <c r="F1" s="894">
        <f>Summary!$C$1</f>
        <v>30695</v>
      </c>
      <c r="G1" s="894"/>
    </row>
    <row r="2" spans="1:12" ht="20.25" customHeight="1">
      <c r="A2" s="912" t="str">
        <f>Summary!A2</f>
        <v>iz/kkukpk;Z egkRek xka/kh jktdh; fo|ky; ¼vaxzsth ek/;e½ cj ] ikyh</v>
      </c>
      <c r="B2" s="912"/>
      <c r="C2" s="912"/>
      <c r="D2" s="912"/>
      <c r="E2" s="912"/>
      <c r="F2" s="912"/>
      <c r="G2" s="912"/>
      <c r="H2" s="180"/>
      <c r="I2" s="180"/>
      <c r="J2" s="180"/>
      <c r="K2" s="180"/>
      <c r="L2" s="180"/>
    </row>
    <row r="3" spans="1:12" ht="15.75" customHeight="1">
      <c r="A3" s="856" t="s">
        <v>381</v>
      </c>
      <c r="B3" s="856"/>
      <c r="C3" s="856"/>
      <c r="D3" s="856"/>
      <c r="E3" s="856"/>
      <c r="F3" s="856"/>
      <c r="G3" s="856"/>
      <c r="H3" s="180"/>
      <c r="I3" s="180"/>
      <c r="J3" s="180"/>
      <c r="K3" s="180"/>
      <c r="L3" s="180"/>
    </row>
    <row r="4" spans="1:12" ht="15.75" customHeight="1">
      <c r="A4" s="910" t="str">
        <f>Summary!A5</f>
        <v>BUDGET HEAD : 2202-GENERAL EDUCATION, 02-SECONDARY EDUCATION, 109-GOVT. SEC. SCHOOL, (02)-GIRLS SCHOOL (STATE FUND)</v>
      </c>
      <c r="B4" s="910"/>
      <c r="C4" s="910"/>
      <c r="D4" s="910"/>
      <c r="E4" s="910"/>
      <c r="F4" s="911" t="s">
        <v>275</v>
      </c>
      <c r="G4" s="911"/>
      <c r="I4" s="180"/>
      <c r="J4" s="180"/>
      <c r="K4" s="180"/>
      <c r="L4" s="180"/>
    </row>
    <row r="5" spans="1:12" s="223" customFormat="1" ht="34.5" customHeight="1">
      <c r="A5" s="213" t="s">
        <v>7</v>
      </c>
      <c r="B5" s="213" t="s">
        <v>80</v>
      </c>
      <c r="C5" s="224" t="s">
        <v>382</v>
      </c>
      <c r="D5" s="913" t="s">
        <v>382</v>
      </c>
      <c r="E5" s="914"/>
      <c r="F5" s="213" t="s">
        <v>383</v>
      </c>
      <c r="G5" s="213" t="s">
        <v>384</v>
      </c>
      <c r="H5" s="179"/>
      <c r="I5" s="179"/>
      <c r="J5" s="179"/>
      <c r="K5" s="179"/>
      <c r="L5" s="179"/>
    </row>
    <row r="6" spans="1:12" ht="12" customHeight="1">
      <c r="A6" s="501">
        <v>1</v>
      </c>
      <c r="B6" s="225">
        <v>2</v>
      </c>
      <c r="C6" s="226"/>
      <c r="D6" s="915">
        <v>3</v>
      </c>
      <c r="E6" s="916"/>
      <c r="F6" s="225">
        <v>5</v>
      </c>
      <c r="G6" s="225">
        <v>6</v>
      </c>
      <c r="H6" s="180"/>
      <c r="I6" s="180"/>
      <c r="J6" s="180"/>
      <c r="K6" s="180"/>
      <c r="L6" s="180"/>
    </row>
    <row r="7" spans="1:12" ht="14.1" customHeight="1">
      <c r="A7" s="565">
        <f>'Format 1A'!B9</f>
        <v>1</v>
      </c>
      <c r="B7" s="917" t="str">
        <f>A4</f>
        <v>BUDGET HEAD : 2202-GENERAL EDUCATION, 02-SECONDARY EDUCATION, 109-GOVT. SEC. SCHOOL, (02)-GIRLS SCHOOL (STATE FUND)</v>
      </c>
      <c r="C7" s="486" t="str">
        <f>Master!C$5</f>
        <v>PLAN - GIRLS</v>
      </c>
      <c r="D7" s="562" t="s">
        <v>54</v>
      </c>
      <c r="E7" s="563" t="str">
        <f>'Format 1A'!F9</f>
        <v>L-16</v>
      </c>
      <c r="F7" s="320">
        <v>0</v>
      </c>
      <c r="G7" s="320">
        <v>0</v>
      </c>
      <c r="H7" s="180"/>
      <c r="I7" s="180"/>
      <c r="J7" s="180"/>
      <c r="K7" s="180"/>
      <c r="L7" s="180"/>
    </row>
    <row r="8" spans="1:12" ht="14.1" customHeight="1">
      <c r="A8" s="565" t="str">
        <f>'Format 1A'!B10</f>
        <v/>
      </c>
      <c r="B8" s="918"/>
      <c r="C8" s="486" t="str">
        <f>Master!C$5</f>
        <v>PLAN - GIRLS</v>
      </c>
      <c r="D8" s="562" t="s">
        <v>201</v>
      </c>
      <c r="E8" s="563" t="str">
        <f>'Format 1A'!F10</f>
        <v>L-13</v>
      </c>
      <c r="F8" s="320">
        <v>0</v>
      </c>
      <c r="G8" s="320">
        <v>0</v>
      </c>
      <c r="H8" s="180"/>
      <c r="I8" s="180"/>
      <c r="J8" s="180"/>
      <c r="K8" s="180"/>
      <c r="L8" s="180"/>
    </row>
    <row r="9" spans="1:12" ht="14.1" customHeight="1">
      <c r="A9" s="565" t="str">
        <f>'Format 1A'!B11</f>
        <v/>
      </c>
      <c r="B9" s="918"/>
      <c r="C9" s="486" t="str">
        <f>Master!C$5</f>
        <v>PLAN - GIRLS</v>
      </c>
      <c r="D9" s="562" t="s">
        <v>203</v>
      </c>
      <c r="E9" s="563" t="str">
        <f>'Format 1A'!F11</f>
        <v>L-12</v>
      </c>
      <c r="F9" s="320">
        <v>0</v>
      </c>
      <c r="G9" s="320">
        <v>0</v>
      </c>
      <c r="H9" s="180"/>
      <c r="I9" s="180"/>
      <c r="J9" s="180"/>
      <c r="K9" s="180"/>
      <c r="L9" s="180"/>
    </row>
    <row r="10" spans="1:12" ht="14.1" customHeight="1">
      <c r="A10" s="565" t="str">
        <f>'Format 1A'!B12</f>
        <v/>
      </c>
      <c r="B10" s="918"/>
      <c r="C10" s="486" t="str">
        <f>Master!C$5</f>
        <v>PLAN - GIRLS</v>
      </c>
      <c r="D10" s="562" t="s">
        <v>561</v>
      </c>
      <c r="E10" s="563" t="str">
        <f>'Format 1A'!F12</f>
        <v>L-12</v>
      </c>
      <c r="F10" s="320">
        <v>0</v>
      </c>
      <c r="G10" s="320">
        <v>0</v>
      </c>
      <c r="H10" s="180"/>
      <c r="I10" s="180"/>
      <c r="J10" s="180"/>
      <c r="K10" s="180"/>
      <c r="L10" s="180"/>
    </row>
    <row r="11" spans="1:12" ht="14.1" customHeight="1">
      <c r="A11" s="565" t="str">
        <f>'Format 1A'!B13</f>
        <v/>
      </c>
      <c r="B11" s="918"/>
      <c r="C11" s="486" t="str">
        <f>Master!C$5</f>
        <v>PLAN - GIRLS</v>
      </c>
      <c r="D11" s="562" t="s">
        <v>212</v>
      </c>
      <c r="E11" s="563" t="str">
        <f>'Format 1A'!F13</f>
        <v>L-12</v>
      </c>
      <c r="F11" s="320">
        <v>0</v>
      </c>
      <c r="G11" s="320">
        <v>0</v>
      </c>
      <c r="H11" s="180"/>
      <c r="I11" s="180"/>
      <c r="J11" s="180"/>
      <c r="K11" s="180"/>
      <c r="L11" s="180"/>
    </row>
    <row r="12" spans="1:12" ht="14.1" customHeight="1">
      <c r="A12" s="565" t="str">
        <f>'Format 1A'!B14</f>
        <v/>
      </c>
      <c r="B12" s="918"/>
      <c r="C12" s="486" t="str">
        <f>Master!C$5</f>
        <v>PLAN - GIRLS</v>
      </c>
      <c r="D12" s="562" t="s">
        <v>205</v>
      </c>
      <c r="E12" s="563" t="str">
        <f>'Format 1A'!F14</f>
        <v>L-12</v>
      </c>
      <c r="F12" s="320">
        <v>0</v>
      </c>
      <c r="G12" s="320">
        <v>0</v>
      </c>
      <c r="H12" s="180"/>
      <c r="I12" s="180"/>
      <c r="J12" s="180"/>
      <c r="K12" s="180"/>
      <c r="L12" s="180"/>
    </row>
    <row r="13" spans="1:12" ht="14.1" customHeight="1">
      <c r="A13" s="565" t="str">
        <f>'Format 1A'!B15</f>
        <v/>
      </c>
      <c r="B13" s="918"/>
      <c r="C13" s="486" t="str">
        <f>Master!C$5</f>
        <v>PLAN - GIRLS</v>
      </c>
      <c r="D13" s="562" t="s">
        <v>207</v>
      </c>
      <c r="E13" s="563" t="str">
        <f>'Format 1A'!F15</f>
        <v>L-12</v>
      </c>
      <c r="F13" s="320">
        <v>0</v>
      </c>
      <c r="G13" s="320">
        <v>0</v>
      </c>
      <c r="H13" s="180"/>
      <c r="I13" s="180"/>
      <c r="J13" s="180"/>
      <c r="K13" s="180"/>
      <c r="L13" s="180"/>
    </row>
    <row r="14" spans="1:12" ht="14.1" customHeight="1">
      <c r="A14" s="565" t="str">
        <f>'Format 1A'!B16</f>
        <v/>
      </c>
      <c r="B14" s="918"/>
      <c r="C14" s="486" t="str">
        <f>Master!C$5</f>
        <v>PLAN - GIRLS</v>
      </c>
      <c r="D14" s="562" t="s">
        <v>210</v>
      </c>
      <c r="E14" s="563" t="str">
        <f>'Format 1A'!F16</f>
        <v>L-12</v>
      </c>
      <c r="F14" s="320">
        <v>0</v>
      </c>
      <c r="G14" s="320">
        <v>0</v>
      </c>
    </row>
    <row r="15" spans="1:12" ht="14.1" customHeight="1">
      <c r="A15" s="565" t="str">
        <f>'Format 1A'!B17</f>
        <v/>
      </c>
      <c r="B15" s="918"/>
      <c r="C15" s="486" t="str">
        <f>Master!C$5</f>
        <v>PLAN - GIRLS</v>
      </c>
      <c r="D15" s="562" t="s">
        <v>223</v>
      </c>
      <c r="E15" s="563" t="str">
        <f>'Format 1A'!F17</f>
        <v>L-10</v>
      </c>
      <c r="F15" s="320">
        <v>0</v>
      </c>
      <c r="G15" s="320">
        <v>0</v>
      </c>
    </row>
    <row r="16" spans="1:12" ht="14.1" customHeight="1">
      <c r="A16" s="565">
        <f>'Format 1A'!B18</f>
        <v>2</v>
      </c>
      <c r="B16" s="918"/>
      <c r="C16" s="486" t="str">
        <f>Master!C$5</f>
        <v>PLAN - GIRLS</v>
      </c>
      <c r="D16" s="562" t="s">
        <v>61</v>
      </c>
      <c r="E16" s="563" t="str">
        <f>'Format 1A'!F18</f>
        <v>L-11</v>
      </c>
      <c r="F16" s="320">
        <v>0</v>
      </c>
      <c r="G16" s="320">
        <v>0</v>
      </c>
    </row>
    <row r="17" spans="1:7" ht="14.1" customHeight="1">
      <c r="A17" s="565" t="str">
        <f>'Format 1A'!B19</f>
        <v/>
      </c>
      <c r="B17" s="918"/>
      <c r="C17" s="486" t="str">
        <f>Master!C$5</f>
        <v>PLAN - GIRLS</v>
      </c>
      <c r="D17" s="564" t="s">
        <v>215</v>
      </c>
      <c r="E17" s="563" t="str">
        <f>'Format 1A'!F19</f>
        <v>L-11</v>
      </c>
      <c r="F17" s="320">
        <v>0</v>
      </c>
      <c r="G17" s="320">
        <v>0</v>
      </c>
    </row>
    <row r="18" spans="1:7" ht="14.1" customHeight="1">
      <c r="A18" s="565" t="str">
        <f>'Format 1A'!B20</f>
        <v/>
      </c>
      <c r="B18" s="918"/>
      <c r="C18" s="486" t="str">
        <f>Master!C$5</f>
        <v>PLAN - GIRLS</v>
      </c>
      <c r="D18" s="562" t="s">
        <v>64</v>
      </c>
      <c r="E18" s="563" t="str">
        <f>'Format 1A'!F20</f>
        <v>L-11</v>
      </c>
      <c r="F18" s="320">
        <v>0</v>
      </c>
      <c r="G18" s="320">
        <v>0</v>
      </c>
    </row>
    <row r="19" spans="1:7" ht="14.1" customHeight="1">
      <c r="A19" s="565">
        <f>'Format 1A'!B21</f>
        <v>3</v>
      </c>
      <c r="B19" s="918"/>
      <c r="C19" s="486" t="str">
        <f>Master!C$5</f>
        <v>PLAN - GIRLS</v>
      </c>
      <c r="D19" s="562" t="s">
        <v>225</v>
      </c>
      <c r="E19" s="563" t="str">
        <f>'Format 1A'!F21</f>
        <v>L-9</v>
      </c>
      <c r="F19" s="320">
        <v>0</v>
      </c>
      <c r="G19" s="320">
        <v>0</v>
      </c>
    </row>
    <row r="20" spans="1:7" ht="14.1" customHeight="1">
      <c r="A20" s="565" t="str">
        <f>'Format 1A'!B22</f>
        <v/>
      </c>
      <c r="B20" s="918"/>
      <c r="C20" s="486" t="str">
        <f>Master!C$5</f>
        <v>PLAN - GIRLS</v>
      </c>
      <c r="D20" s="562" t="s">
        <v>227</v>
      </c>
      <c r="E20" s="563" t="str">
        <f>'Format 1A'!F22</f>
        <v>L-9</v>
      </c>
      <c r="F20" s="320">
        <v>0</v>
      </c>
      <c r="G20" s="320">
        <v>0</v>
      </c>
    </row>
    <row r="21" spans="1:7" ht="14.1" customHeight="1">
      <c r="A21" s="565">
        <f>'Format 1A'!B23</f>
        <v>4</v>
      </c>
      <c r="B21" s="918"/>
      <c r="C21" s="486" t="str">
        <f>Master!C$5</f>
        <v>PLAN - GIRLS</v>
      </c>
      <c r="D21" s="562" t="s">
        <v>221</v>
      </c>
      <c r="E21" s="563" t="str">
        <f>'Format 1A'!F23</f>
        <v>L-10</v>
      </c>
      <c r="F21" s="320">
        <v>0</v>
      </c>
      <c r="G21" s="320">
        <v>0</v>
      </c>
    </row>
    <row r="22" spans="1:7" ht="14.1" customHeight="1">
      <c r="A22" s="565">
        <f>'Format 1A'!B24</f>
        <v>5</v>
      </c>
      <c r="B22" s="918"/>
      <c r="C22" s="486" t="str">
        <f>Master!C$5</f>
        <v>PLAN - GIRLS</v>
      </c>
      <c r="D22" s="562" t="s">
        <v>63</v>
      </c>
      <c r="E22" s="563" t="str">
        <f>'Format 1A'!F24</f>
        <v>L-10</v>
      </c>
      <c r="F22" s="320">
        <v>0</v>
      </c>
      <c r="G22" s="320">
        <v>0</v>
      </c>
    </row>
    <row r="23" spans="1:7" ht="14.1" customHeight="1">
      <c r="A23" s="565">
        <f>'Format 1A'!B25</f>
        <v>6</v>
      </c>
      <c r="B23" s="918"/>
      <c r="C23" s="486" t="str">
        <f>Master!C$5</f>
        <v>PLAN - GIRLS</v>
      </c>
      <c r="D23" s="562" t="s">
        <v>218</v>
      </c>
      <c r="E23" s="563" t="str">
        <f>'Format 1A'!F25</f>
        <v>L-10</v>
      </c>
      <c r="F23" s="320">
        <v>0</v>
      </c>
      <c r="G23" s="320">
        <v>0</v>
      </c>
    </row>
    <row r="24" spans="1:7" ht="14.1" customHeight="1">
      <c r="A24" s="565">
        <f>'Format 1A'!B26</f>
        <v>7</v>
      </c>
      <c r="B24" s="918"/>
      <c r="C24" s="486" t="str">
        <f>Master!C$5</f>
        <v>PLAN - GIRLS</v>
      </c>
      <c r="D24" s="562" t="s">
        <v>225</v>
      </c>
      <c r="E24" s="563" t="str">
        <f>'Format 1A'!F26</f>
        <v>L-9</v>
      </c>
      <c r="F24" s="320">
        <v>0</v>
      </c>
      <c r="G24" s="320">
        <v>0</v>
      </c>
    </row>
    <row r="25" spans="1:7" ht="14.1" customHeight="1">
      <c r="A25" s="565">
        <f>'Format 1A'!B27</f>
        <v>8</v>
      </c>
      <c r="B25" s="918"/>
      <c r="C25" s="486" t="str">
        <f>Master!C$5</f>
        <v>PLAN - GIRLS</v>
      </c>
      <c r="D25" s="562" t="s">
        <v>65</v>
      </c>
      <c r="E25" s="563" t="str">
        <f>'Format 1A'!F27</f>
        <v>L-5</v>
      </c>
      <c r="F25" s="320">
        <v>0</v>
      </c>
      <c r="G25" s="320">
        <v>0</v>
      </c>
    </row>
    <row r="26" spans="1:7" ht="14.1" customHeight="1">
      <c r="A26" s="565">
        <f>'Format 1A'!B28</f>
        <v>9</v>
      </c>
      <c r="B26" s="918"/>
      <c r="C26" s="486" t="str">
        <f>Master!C$5</f>
        <v>PLAN - GIRLS</v>
      </c>
      <c r="D26" s="562" t="s">
        <v>562</v>
      </c>
      <c r="E26" s="563" t="str">
        <f>'Format 1A'!F28</f>
        <v>L-5</v>
      </c>
      <c r="F26" s="320">
        <v>0</v>
      </c>
      <c r="G26" s="320">
        <v>0</v>
      </c>
    </row>
    <row r="27" spans="1:7" ht="14.1" customHeight="1">
      <c r="A27" s="565" t="str">
        <f>'Format 1A'!B29</f>
        <v/>
      </c>
      <c r="B27" s="918"/>
      <c r="C27" s="486" t="str">
        <f>Master!C$5</f>
        <v>PLAN - GIRLS</v>
      </c>
      <c r="D27" s="562" t="s">
        <v>235</v>
      </c>
      <c r="E27" s="563" t="str">
        <f>'Format 1A'!F29</f>
        <v>L-1</v>
      </c>
      <c r="F27" s="320">
        <v>0</v>
      </c>
      <c r="G27" s="320">
        <v>0</v>
      </c>
    </row>
    <row r="28" spans="1:7" ht="14.1" customHeight="1">
      <c r="A28" s="565" t="str">
        <f>'Format 1A'!B30</f>
        <v/>
      </c>
      <c r="B28" s="918"/>
      <c r="C28" s="486" t="str">
        <f>Master!C$5</f>
        <v>PLAN - GIRLS</v>
      </c>
      <c r="D28" s="562" t="s">
        <v>233</v>
      </c>
      <c r="E28" s="563" t="str">
        <f>'Format 1A'!F30</f>
        <v>L-1</v>
      </c>
      <c r="F28" s="320">
        <v>0</v>
      </c>
      <c r="G28" s="320">
        <v>0</v>
      </c>
    </row>
    <row r="29" spans="1:7" ht="14.1" customHeight="1">
      <c r="A29" s="565">
        <f>'Format 1A'!B31</f>
        <v>10</v>
      </c>
      <c r="B29" s="919"/>
      <c r="C29" s="486" t="str">
        <f>Master!C$5</f>
        <v>PLAN - GIRLS</v>
      </c>
      <c r="D29" s="562" t="s">
        <v>66</v>
      </c>
      <c r="E29" s="563" t="str">
        <f>'Format 1A'!F31</f>
        <v>L-1</v>
      </c>
      <c r="F29" s="320">
        <v>0</v>
      </c>
      <c r="G29" s="320">
        <v>0</v>
      </c>
    </row>
    <row r="30" spans="1:7" ht="15.75">
      <c r="A30" s="920" t="s">
        <v>352</v>
      </c>
      <c r="B30" s="921"/>
      <c r="C30" s="921"/>
      <c r="D30" s="922"/>
      <c r="E30" s="227"/>
      <c r="F30" s="321">
        <f>SUM(F7:F29)</f>
        <v>0</v>
      </c>
      <c r="G30" s="321">
        <f>SUM(G7:G29)</f>
        <v>0</v>
      </c>
    </row>
    <row r="31" spans="1:7" ht="15.75">
      <c r="A31" s="526" t="s">
        <v>558</v>
      </c>
      <c r="B31" s="108"/>
      <c r="C31" s="108"/>
      <c r="D31" s="108"/>
      <c r="E31" s="108"/>
      <c r="F31" s="108"/>
      <c r="G31" s="108"/>
    </row>
    <row r="32" spans="1:7" ht="15.75">
      <c r="A32" s="526"/>
      <c r="B32" s="108"/>
      <c r="C32" s="108"/>
      <c r="D32" s="108"/>
      <c r="E32" s="108"/>
      <c r="F32" s="108"/>
      <c r="G32" s="108"/>
    </row>
    <row r="33" spans="1:7" ht="14.1" customHeight="1">
      <c r="A33" s="526"/>
      <c r="B33" s="108"/>
      <c r="C33" s="108"/>
      <c r="D33" s="108"/>
      <c r="E33" s="108"/>
      <c r="F33" s="898" t="str">
        <f>CONCATENATE("¼ ",Master!G3,"½")</f>
        <v>¼ m"kk ikfy;k½</v>
      </c>
      <c r="G33" s="898"/>
    </row>
    <row r="34" spans="1:7" ht="14.1" customHeight="1">
      <c r="A34" s="108"/>
      <c r="B34" s="108"/>
      <c r="C34" s="108"/>
      <c r="D34" s="108"/>
      <c r="E34" s="210"/>
      <c r="F34" s="822" t="str">
        <f>Master!C2</f>
        <v>iz/kkukpk;Z</v>
      </c>
      <c r="G34" s="822"/>
    </row>
    <row r="35" spans="1:7" ht="14.1" customHeight="1">
      <c r="A35" s="108"/>
      <c r="B35" s="108"/>
      <c r="C35" s="108"/>
      <c r="D35" s="108"/>
      <c r="E35" s="211"/>
      <c r="F35" s="823" t="str">
        <f>Master!D2</f>
        <v>egkRek xka/kh jktdh; fo|ky; ¼vaxzsth ek/;e½ cj ] ikyh</v>
      </c>
      <c r="G35" s="823"/>
    </row>
    <row r="36" spans="1:7" ht="22.5" customHeight="1">
      <c r="A36" s="108"/>
      <c r="B36" s="108"/>
      <c r="C36" s="108"/>
      <c r="D36" s="108"/>
      <c r="E36" s="211"/>
      <c r="F36" s="823"/>
      <c r="G36" s="823"/>
    </row>
    <row r="37" spans="1:7" ht="18.75">
      <c r="A37" s="108"/>
      <c r="B37" s="108"/>
      <c r="C37" s="108"/>
      <c r="D37" s="108"/>
      <c r="E37" s="211"/>
      <c r="F37" s="109"/>
      <c r="G37" s="109"/>
    </row>
  </sheetData>
  <mergeCells count="12">
    <mergeCell ref="F34:G34"/>
    <mergeCell ref="A4:E4"/>
    <mergeCell ref="F4:G4"/>
    <mergeCell ref="F35:G36"/>
    <mergeCell ref="F1:G1"/>
    <mergeCell ref="A2:G2"/>
    <mergeCell ref="A3:G3"/>
    <mergeCell ref="D5:E5"/>
    <mergeCell ref="D6:E6"/>
    <mergeCell ref="B7:B29"/>
    <mergeCell ref="A30:D30"/>
    <mergeCell ref="F33:G33"/>
  </mergeCells>
  <conditionalFormatting sqref="A31:A33">
    <cfRule type="containsText" dxfId="30" priority="1" operator="containsText" text="in fjDr">
      <formula>NOT(ISERROR(SEARCH("in fjDr",A31)))</formula>
    </cfRule>
  </conditionalFormatting>
  <pageMargins left="0.7" right="0.45" top="0.4" bottom="0.4" header="0.3" footer="0.3"/>
  <pageSetup paperSize="9" scale="99" orientation="landscape" blackAndWhite="1" horizontalDpi="300" verticalDpi="300" r:id="rId1"/>
</worksheet>
</file>

<file path=xl/worksheets/sheet13.xml><?xml version="1.0" encoding="utf-8"?>
<worksheet xmlns="http://schemas.openxmlformats.org/spreadsheetml/2006/main" xmlns:r="http://schemas.openxmlformats.org/officeDocument/2006/relationships">
  <sheetPr codeName="Sheet13">
    <tabColor rgb="FFFFFF00"/>
  </sheetPr>
  <dimension ref="A1:R39"/>
  <sheetViews>
    <sheetView showGridLines="0" view="pageBreakPreview" zoomScale="110" zoomScaleSheetLayoutView="110" workbookViewId="0">
      <selection activeCell="G19" sqref="G19"/>
    </sheetView>
  </sheetViews>
  <sheetFormatPr defaultColWidth="9.125" defaultRowHeight="15"/>
  <cols>
    <col min="1" max="1" width="5.875" style="188" bestFit="1" customWidth="1"/>
    <col min="2" max="2" width="20" style="188" customWidth="1"/>
    <col min="3" max="9" width="8.75" style="188" customWidth="1"/>
    <col min="10" max="10" width="5.875" style="188" bestFit="1" customWidth="1"/>
    <col min="11" max="11" width="19" style="188" customWidth="1"/>
    <col min="12" max="18" width="8.75" style="188" customWidth="1"/>
    <col min="19" max="16384" width="9.125" style="188"/>
  </cols>
  <sheetData>
    <row r="1" spans="1:18" ht="15.75">
      <c r="A1" s="137"/>
      <c r="B1" s="137"/>
      <c r="C1" s="137"/>
      <c r="D1" s="137"/>
      <c r="E1" s="137"/>
      <c r="F1" s="137"/>
      <c r="G1" s="894">
        <f>Summary!$C$1</f>
        <v>30695</v>
      </c>
      <c r="H1" s="894"/>
      <c r="I1" s="894"/>
      <c r="J1" s="137"/>
      <c r="K1" s="137"/>
      <c r="L1" s="137"/>
      <c r="M1" s="137"/>
      <c r="N1" s="137"/>
      <c r="O1" s="137"/>
      <c r="P1" s="894">
        <f>Summary!$C$1</f>
        <v>30695</v>
      </c>
      <c r="Q1" s="894"/>
      <c r="R1" s="894"/>
    </row>
    <row r="2" spans="1:18">
      <c r="A2" s="932" t="s">
        <v>358</v>
      </c>
      <c r="B2" s="932"/>
      <c r="C2" s="932"/>
      <c r="D2" s="932"/>
      <c r="E2" s="932"/>
      <c r="F2" s="932"/>
      <c r="G2" s="932"/>
      <c r="H2" s="932"/>
      <c r="I2" s="932"/>
      <c r="J2" s="932" t="s">
        <v>358</v>
      </c>
      <c r="K2" s="932"/>
      <c r="L2" s="932"/>
      <c r="M2" s="932"/>
      <c r="N2" s="932"/>
      <c r="O2" s="932"/>
      <c r="P2" s="932"/>
      <c r="Q2" s="932"/>
      <c r="R2" s="932"/>
    </row>
    <row r="3" spans="1:18">
      <c r="A3" s="923" t="str">
        <f>Summary!$A$3</f>
        <v>Principal Mahatma Gandhi Government School (English Medium) Bar, PALI</v>
      </c>
      <c r="B3" s="923"/>
      <c r="C3" s="923"/>
      <c r="D3" s="923"/>
      <c r="E3" s="923"/>
      <c r="F3" s="923"/>
      <c r="G3" s="923"/>
      <c r="H3" s="923"/>
      <c r="I3" s="923"/>
      <c r="J3" s="923" t="str">
        <f>Summary!$A$3</f>
        <v>Principal Mahatma Gandhi Government School (English Medium) Bar, PALI</v>
      </c>
      <c r="K3" s="923"/>
      <c r="L3" s="923"/>
      <c r="M3" s="923"/>
      <c r="N3" s="923"/>
      <c r="O3" s="923"/>
      <c r="P3" s="923"/>
      <c r="Q3" s="923"/>
      <c r="R3" s="923"/>
    </row>
    <row r="4" spans="1:18">
      <c r="A4" s="923" t="s">
        <v>754</v>
      </c>
      <c r="B4" s="923"/>
      <c r="C4" s="923"/>
      <c r="D4" s="923"/>
      <c r="E4" s="923"/>
      <c r="F4" s="923"/>
      <c r="G4" s="923"/>
      <c r="H4" s="923"/>
      <c r="I4" s="923"/>
      <c r="J4" s="924" t="s">
        <v>755</v>
      </c>
      <c r="K4" s="924"/>
      <c r="L4" s="924"/>
      <c r="M4" s="924"/>
      <c r="N4" s="924"/>
      <c r="O4" s="924"/>
      <c r="P4" s="924"/>
      <c r="Q4" s="924"/>
      <c r="R4" s="924"/>
    </row>
    <row r="5" spans="1:18" ht="15" customHeight="1" thickBot="1">
      <c r="A5" s="925" t="str">
        <f>Summary!A5</f>
        <v>BUDGET HEAD : 2202-GENERAL EDUCATION, 02-SECONDARY EDUCATION, 109-GOVT. SEC. SCHOOL, (02)-GIRLS SCHOOL (STATE FUND)</v>
      </c>
      <c r="B5" s="925"/>
      <c r="C5" s="925"/>
      <c r="D5" s="925"/>
      <c r="E5" s="925"/>
      <c r="F5" s="925"/>
      <c r="G5" s="925"/>
      <c r="H5" s="925"/>
      <c r="I5" s="925"/>
      <c r="J5" s="925" t="str">
        <f>Summary!A5</f>
        <v>BUDGET HEAD : 2202-GENERAL EDUCATION, 02-SECONDARY EDUCATION, 109-GOVT. SEC. SCHOOL, (02)-GIRLS SCHOOL (STATE FUND)</v>
      </c>
      <c r="K5" s="925"/>
      <c r="L5" s="925"/>
      <c r="M5" s="925"/>
      <c r="N5" s="925"/>
      <c r="O5" s="925"/>
      <c r="P5" s="925"/>
      <c r="Q5" s="925"/>
      <c r="R5" s="925"/>
    </row>
    <row r="6" spans="1:18" s="191" customFormat="1" ht="21" customHeight="1">
      <c r="A6" s="926" t="s">
        <v>359</v>
      </c>
      <c r="B6" s="928" t="s">
        <v>360</v>
      </c>
      <c r="C6" s="503" t="s">
        <v>69</v>
      </c>
      <c r="D6" s="503" t="s">
        <v>70</v>
      </c>
      <c r="E6" s="503" t="s">
        <v>70</v>
      </c>
      <c r="F6" s="503" t="s">
        <v>70</v>
      </c>
      <c r="G6" s="503" t="s">
        <v>70</v>
      </c>
      <c r="H6" s="503" t="s">
        <v>70</v>
      </c>
      <c r="I6" s="930" t="s">
        <v>71</v>
      </c>
      <c r="J6" s="926" t="s">
        <v>359</v>
      </c>
      <c r="K6" s="928" t="s">
        <v>360</v>
      </c>
      <c r="L6" s="503" t="s">
        <v>69</v>
      </c>
      <c r="M6" s="503" t="s">
        <v>70</v>
      </c>
      <c r="N6" s="503" t="s">
        <v>70</v>
      </c>
      <c r="O6" s="503" t="s">
        <v>70</v>
      </c>
      <c r="P6" s="503" t="s">
        <v>70</v>
      </c>
      <c r="Q6" s="503" t="s">
        <v>70</v>
      </c>
      <c r="R6" s="930" t="s">
        <v>71</v>
      </c>
    </row>
    <row r="7" spans="1:18" s="192" customFormat="1" ht="21" customHeight="1">
      <c r="A7" s="927"/>
      <c r="B7" s="929"/>
      <c r="C7" s="504">
        <f>Master!E112</f>
        <v>42825</v>
      </c>
      <c r="D7" s="504" t="str">
        <f>Master!F112</f>
        <v>2017-18</v>
      </c>
      <c r="E7" s="504" t="str">
        <f>Master!G112</f>
        <v>2018-19</v>
      </c>
      <c r="F7" s="504" t="str">
        <f>Master!H112</f>
        <v>2019-20</v>
      </c>
      <c r="G7" s="504" t="str">
        <f>Master!I112</f>
        <v>2020-21</v>
      </c>
      <c r="H7" s="504" t="str">
        <f>Master!J112</f>
        <v>2021-22</v>
      </c>
      <c r="I7" s="931"/>
      <c r="J7" s="927"/>
      <c r="K7" s="929"/>
      <c r="L7" s="504">
        <f>Master!E156</f>
        <v>42825</v>
      </c>
      <c r="M7" s="504" t="str">
        <f>Master!F156</f>
        <v>2017-18</v>
      </c>
      <c r="N7" s="504" t="str">
        <f>Master!G156</f>
        <v>2018-19</v>
      </c>
      <c r="O7" s="504" t="str">
        <f>Master!H156</f>
        <v>2019-20</v>
      </c>
      <c r="P7" s="504" t="str">
        <f>Master!I156</f>
        <v>2020-21</v>
      </c>
      <c r="Q7" s="504" t="str">
        <f>Master!J156</f>
        <v>2021-22</v>
      </c>
      <c r="R7" s="931"/>
    </row>
    <row r="8" spans="1:18" s="192" customFormat="1" ht="15.95" customHeight="1">
      <c r="A8" s="194">
        <v>1</v>
      </c>
      <c r="B8" s="195" t="str">
        <f>IF(AND(Master!B113=""),"",Master!B113)</f>
        <v>Jherh m"kk ikfy;k</v>
      </c>
      <c r="C8" s="505">
        <f>IF(AND(Master!E113=""),"",Master!E113)</f>
        <v>0</v>
      </c>
      <c r="D8" s="505">
        <f>IF(AND(Master!F113=""),"",Master!F113)</f>
        <v>0</v>
      </c>
      <c r="E8" s="505">
        <f>IF(AND(Master!G113=""),"",Master!G113)</f>
        <v>0</v>
      </c>
      <c r="F8" s="505">
        <f>IF(AND(Master!H113=""),"",Master!H113)</f>
        <v>0</v>
      </c>
      <c r="G8" s="505">
        <f>IF(AND(Master!I113=""),"",Master!I113)</f>
        <v>4000</v>
      </c>
      <c r="H8" s="505">
        <f>IF(AND(Master!J113=""),"",Master!J113)</f>
        <v>0</v>
      </c>
      <c r="I8" s="506">
        <f>IF(AND(B8=""),"",SUM(C8:H8))</f>
        <v>4000</v>
      </c>
      <c r="J8" s="194">
        <v>1</v>
      </c>
      <c r="K8" s="195" t="str">
        <f>IF(AND(Master!B157=""),"",Master!B157)</f>
        <v>Jherh m"kk ikfy;k</v>
      </c>
      <c r="L8" s="505">
        <f>IF(AND(Master!E157=""),"",Master!E157)</f>
        <v>0</v>
      </c>
      <c r="M8" s="505">
        <f>IF(AND(Master!F157=""),"",Master!F157)</f>
        <v>0</v>
      </c>
      <c r="N8" s="505">
        <f>IF(AND(Master!G157=""),"",Master!G157)</f>
        <v>0</v>
      </c>
      <c r="O8" s="505">
        <f>IF(AND(Master!H157=""),"",Master!H157)</f>
        <v>0</v>
      </c>
      <c r="P8" s="505">
        <f>IF(AND(Master!I157=""),"",Master!I157)</f>
        <v>0</v>
      </c>
      <c r="Q8" s="505">
        <f>IF(AND(Master!J157=""),"",Master!J157)</f>
        <v>0</v>
      </c>
      <c r="R8" s="506">
        <f>IF(AND(K8=""),"",SUM(L8:Q8))</f>
        <v>0</v>
      </c>
    </row>
    <row r="9" spans="1:18" s="192" customFormat="1" ht="15.95" customHeight="1">
      <c r="A9" s="194">
        <v>2</v>
      </c>
      <c r="B9" s="195" t="str">
        <f>IF(AND(Master!B114=""),"",Master!B114)</f>
        <v>Jh ;ksxsUnz</v>
      </c>
      <c r="C9" s="505">
        <f>IF(AND(Master!E114=""),"",Master!E114)</f>
        <v>0</v>
      </c>
      <c r="D9" s="505">
        <f>IF(AND(Master!F114=""),"",Master!F114)</f>
        <v>0</v>
      </c>
      <c r="E9" s="505">
        <f>IF(AND(Master!G114=""),"",Master!G114)</f>
        <v>0</v>
      </c>
      <c r="F9" s="505">
        <f>IF(AND(Master!H114=""),"",Master!H114)</f>
        <v>0</v>
      </c>
      <c r="G9" s="505">
        <f>IF(AND(Master!I114=""),"",Master!I114)</f>
        <v>500</v>
      </c>
      <c r="H9" s="505">
        <f>IF(AND(Master!J114=""),"",Master!J114)</f>
        <v>0</v>
      </c>
      <c r="I9" s="506">
        <f t="shared" ref="I9:I28" si="0">IF(AND(B9=""),"",SUM(C9:H9))</f>
        <v>500</v>
      </c>
      <c r="J9" s="194">
        <v>2</v>
      </c>
      <c r="K9" s="195" t="str">
        <f>IF(AND(Master!B158=""),"",Master!B158)</f>
        <v>Jh ;ksxsUnz</v>
      </c>
      <c r="L9" s="505">
        <f>IF(AND(Master!E158=""),"",Master!E158)</f>
        <v>0</v>
      </c>
      <c r="M9" s="505">
        <f>IF(AND(Master!F158=""),"",Master!F158)</f>
        <v>0</v>
      </c>
      <c r="N9" s="505">
        <f>IF(AND(Master!G158=""),"",Master!G158)</f>
        <v>0</v>
      </c>
      <c r="O9" s="505">
        <f>IF(AND(Master!H158=""),"",Master!H158)</f>
        <v>0</v>
      </c>
      <c r="P9" s="505">
        <f>IF(AND(Master!I158=""),"",Master!I158)</f>
        <v>1000</v>
      </c>
      <c r="Q9" s="505">
        <f>IF(AND(Master!J158=""),"",Master!J158)</f>
        <v>0</v>
      </c>
      <c r="R9" s="506">
        <f t="shared" ref="R9:R28" si="1">IF(AND(K9=""),"",SUM(L9:Q9))</f>
        <v>1000</v>
      </c>
    </row>
    <row r="10" spans="1:18" s="192" customFormat="1" ht="15.95" customHeight="1">
      <c r="A10" s="194">
        <v>3</v>
      </c>
      <c r="B10" s="195" t="str">
        <f>IF(AND(Master!B115=""),"",Master!B115)</f>
        <v/>
      </c>
      <c r="C10" s="505" t="str">
        <f>IF(AND(Master!E115=""),"",Master!E115)</f>
        <v/>
      </c>
      <c r="D10" s="505" t="str">
        <f>IF(AND(Master!F115=""),"",Master!F115)</f>
        <v/>
      </c>
      <c r="E10" s="505" t="str">
        <f>IF(AND(Master!G115=""),"",Master!G115)</f>
        <v/>
      </c>
      <c r="F10" s="505" t="str">
        <f>IF(AND(Master!H115=""),"",Master!H115)</f>
        <v/>
      </c>
      <c r="G10" s="505" t="str">
        <f>IF(AND(Master!I115=""),"",Master!I115)</f>
        <v/>
      </c>
      <c r="H10" s="505" t="str">
        <f>IF(AND(Master!J115=""),"",Master!J115)</f>
        <v/>
      </c>
      <c r="I10" s="506" t="str">
        <f t="shared" si="0"/>
        <v/>
      </c>
      <c r="J10" s="194">
        <v>3</v>
      </c>
      <c r="K10" s="195" t="str">
        <f>IF(AND(Master!B159=""),"",Master!B159)</f>
        <v/>
      </c>
      <c r="L10" s="505" t="str">
        <f>IF(AND(Master!E159=""),"",Master!E159)</f>
        <v/>
      </c>
      <c r="M10" s="505" t="str">
        <f>IF(AND(Master!F159=""),"",Master!F159)</f>
        <v/>
      </c>
      <c r="N10" s="505" t="str">
        <f>IF(AND(Master!G159=""),"",Master!G159)</f>
        <v/>
      </c>
      <c r="O10" s="505" t="str">
        <f>IF(AND(Master!H159=""),"",Master!H159)</f>
        <v/>
      </c>
      <c r="P10" s="505" t="str">
        <f>IF(AND(Master!I159=""),"",Master!I159)</f>
        <v/>
      </c>
      <c r="Q10" s="505" t="str">
        <f>IF(AND(Master!J159=""),"",Master!J159)</f>
        <v/>
      </c>
      <c r="R10" s="506" t="str">
        <f t="shared" si="1"/>
        <v/>
      </c>
    </row>
    <row r="11" spans="1:18" s="192" customFormat="1" ht="15.95" customHeight="1">
      <c r="A11" s="194">
        <v>4</v>
      </c>
      <c r="B11" s="195" t="str">
        <f>IF(AND(Master!B116=""),"",Master!B116)</f>
        <v/>
      </c>
      <c r="C11" s="505" t="str">
        <f>IF(AND(Master!E116=""),"",Master!E116)</f>
        <v/>
      </c>
      <c r="D11" s="505" t="str">
        <f>IF(AND(Master!F116=""),"",Master!F116)</f>
        <v/>
      </c>
      <c r="E11" s="505" t="str">
        <f>IF(AND(Master!G116=""),"",Master!G116)</f>
        <v/>
      </c>
      <c r="F11" s="505" t="str">
        <f>IF(AND(Master!H116=""),"",Master!H116)</f>
        <v/>
      </c>
      <c r="G11" s="505" t="str">
        <f>IF(AND(Master!I116=""),"",Master!I116)</f>
        <v/>
      </c>
      <c r="H11" s="505" t="str">
        <f>IF(AND(Master!J116=""),"",Master!J116)</f>
        <v/>
      </c>
      <c r="I11" s="506" t="str">
        <f t="shared" si="0"/>
        <v/>
      </c>
      <c r="J11" s="194">
        <v>4</v>
      </c>
      <c r="K11" s="195" t="str">
        <f>IF(AND(Master!B160=""),"",Master!B160)</f>
        <v/>
      </c>
      <c r="L11" s="505" t="str">
        <f>IF(AND(Master!E160=""),"",Master!E160)</f>
        <v/>
      </c>
      <c r="M11" s="505" t="str">
        <f>IF(AND(Master!F160=""),"",Master!F160)</f>
        <v/>
      </c>
      <c r="N11" s="505" t="str">
        <f>IF(AND(Master!G160=""),"",Master!G160)</f>
        <v/>
      </c>
      <c r="O11" s="505" t="str">
        <f>IF(AND(Master!H160=""),"",Master!H160)</f>
        <v/>
      </c>
      <c r="P11" s="505" t="str">
        <f>IF(AND(Master!I160=""),"",Master!I160)</f>
        <v/>
      </c>
      <c r="Q11" s="505" t="str">
        <f>IF(AND(Master!J160=""),"",Master!J160)</f>
        <v/>
      </c>
      <c r="R11" s="506" t="str">
        <f t="shared" si="1"/>
        <v/>
      </c>
    </row>
    <row r="12" spans="1:18" s="192" customFormat="1" ht="15.95" customHeight="1">
      <c r="A12" s="194">
        <v>5</v>
      </c>
      <c r="B12" s="195" t="str">
        <f>IF(AND(Master!B117=""),"",Master!B117)</f>
        <v/>
      </c>
      <c r="C12" s="505" t="str">
        <f>IF(AND(Master!E117=""),"",Master!E117)</f>
        <v/>
      </c>
      <c r="D12" s="505" t="str">
        <f>IF(AND(Master!F117=""),"",Master!F117)</f>
        <v/>
      </c>
      <c r="E12" s="505" t="str">
        <f>IF(AND(Master!G117=""),"",Master!G117)</f>
        <v/>
      </c>
      <c r="F12" s="505" t="str">
        <f>IF(AND(Master!H117=""),"",Master!H117)</f>
        <v/>
      </c>
      <c r="G12" s="505" t="str">
        <f>IF(AND(Master!I117=""),"",Master!I117)</f>
        <v/>
      </c>
      <c r="H12" s="505" t="str">
        <f>IF(AND(Master!J117=""),"",Master!J117)</f>
        <v/>
      </c>
      <c r="I12" s="506" t="str">
        <f t="shared" si="0"/>
        <v/>
      </c>
      <c r="J12" s="194">
        <v>5</v>
      </c>
      <c r="K12" s="195" t="str">
        <f>IF(AND(Master!B161=""),"",Master!B161)</f>
        <v/>
      </c>
      <c r="L12" s="505" t="str">
        <f>IF(AND(Master!E161=""),"",Master!E161)</f>
        <v/>
      </c>
      <c r="M12" s="505" t="str">
        <f>IF(AND(Master!F161=""),"",Master!F161)</f>
        <v/>
      </c>
      <c r="N12" s="505" t="str">
        <f>IF(AND(Master!G161=""),"",Master!G161)</f>
        <v/>
      </c>
      <c r="O12" s="505" t="str">
        <f>IF(AND(Master!H161=""),"",Master!H161)</f>
        <v/>
      </c>
      <c r="P12" s="505" t="str">
        <f>IF(AND(Master!I161=""),"",Master!I161)</f>
        <v/>
      </c>
      <c r="Q12" s="505" t="str">
        <f>IF(AND(Master!J161=""),"",Master!J161)</f>
        <v/>
      </c>
      <c r="R12" s="506" t="str">
        <f t="shared" si="1"/>
        <v/>
      </c>
    </row>
    <row r="13" spans="1:18" s="192" customFormat="1" ht="15.95" customHeight="1">
      <c r="A13" s="194">
        <v>6</v>
      </c>
      <c r="B13" s="195" t="str">
        <f>IF(AND(Master!B118=""),"",Master!B118)</f>
        <v/>
      </c>
      <c r="C13" s="505" t="str">
        <f>IF(AND(Master!E118=""),"",Master!E118)</f>
        <v/>
      </c>
      <c r="D13" s="505" t="str">
        <f>IF(AND(Master!F118=""),"",Master!F118)</f>
        <v/>
      </c>
      <c r="E13" s="505" t="str">
        <f>IF(AND(Master!G118=""),"",Master!G118)</f>
        <v/>
      </c>
      <c r="F13" s="505" t="str">
        <f>IF(AND(Master!H118=""),"",Master!H118)</f>
        <v/>
      </c>
      <c r="G13" s="505" t="str">
        <f>IF(AND(Master!I118=""),"",Master!I118)</f>
        <v/>
      </c>
      <c r="H13" s="505" t="str">
        <f>IF(AND(Master!J118=""),"",Master!J118)</f>
        <v/>
      </c>
      <c r="I13" s="506" t="str">
        <f t="shared" si="0"/>
        <v/>
      </c>
      <c r="J13" s="194">
        <v>6</v>
      </c>
      <c r="K13" s="195" t="str">
        <f>IF(AND(Master!B162=""),"",Master!B162)</f>
        <v/>
      </c>
      <c r="L13" s="505" t="str">
        <f>IF(AND(Master!E162=""),"",Master!E162)</f>
        <v/>
      </c>
      <c r="M13" s="505" t="str">
        <f>IF(AND(Master!F162=""),"",Master!F162)</f>
        <v/>
      </c>
      <c r="N13" s="505" t="str">
        <f>IF(AND(Master!G162=""),"",Master!G162)</f>
        <v/>
      </c>
      <c r="O13" s="505" t="str">
        <f>IF(AND(Master!H162=""),"",Master!H162)</f>
        <v/>
      </c>
      <c r="P13" s="505" t="str">
        <f>IF(AND(Master!I162=""),"",Master!I162)</f>
        <v/>
      </c>
      <c r="Q13" s="505" t="str">
        <f>IF(AND(Master!J162=""),"",Master!J162)</f>
        <v/>
      </c>
      <c r="R13" s="506" t="str">
        <f t="shared" si="1"/>
        <v/>
      </c>
    </row>
    <row r="14" spans="1:18" s="192" customFormat="1" ht="15.95" customHeight="1">
      <c r="A14" s="194">
        <v>7</v>
      </c>
      <c r="B14" s="195" t="str">
        <f>IF(AND(Master!B119=""),"",Master!B119)</f>
        <v/>
      </c>
      <c r="C14" s="505" t="str">
        <f>IF(AND(Master!E119=""),"",Master!E119)</f>
        <v/>
      </c>
      <c r="D14" s="505" t="str">
        <f>IF(AND(Master!F119=""),"",Master!F119)</f>
        <v/>
      </c>
      <c r="E14" s="505" t="str">
        <f>IF(AND(Master!G119=""),"",Master!G119)</f>
        <v/>
      </c>
      <c r="F14" s="505" t="str">
        <f>IF(AND(Master!H119=""),"",Master!H119)</f>
        <v/>
      </c>
      <c r="G14" s="505" t="str">
        <f>IF(AND(Master!I119=""),"",Master!I119)</f>
        <v/>
      </c>
      <c r="H14" s="505" t="str">
        <f>IF(AND(Master!J119=""),"",Master!J119)</f>
        <v/>
      </c>
      <c r="I14" s="506" t="str">
        <f t="shared" si="0"/>
        <v/>
      </c>
      <c r="J14" s="194">
        <v>7</v>
      </c>
      <c r="K14" s="195" t="str">
        <f>IF(AND(Master!B163=""),"",Master!B163)</f>
        <v/>
      </c>
      <c r="L14" s="505" t="str">
        <f>IF(AND(Master!E163=""),"",Master!E163)</f>
        <v/>
      </c>
      <c r="M14" s="505" t="str">
        <f>IF(AND(Master!F163=""),"",Master!F163)</f>
        <v/>
      </c>
      <c r="N14" s="505" t="str">
        <f>IF(AND(Master!G163=""),"",Master!G163)</f>
        <v/>
      </c>
      <c r="O14" s="505" t="str">
        <f>IF(AND(Master!H163=""),"",Master!H163)</f>
        <v/>
      </c>
      <c r="P14" s="505" t="str">
        <f>IF(AND(Master!I163=""),"",Master!I163)</f>
        <v/>
      </c>
      <c r="Q14" s="505" t="str">
        <f>IF(AND(Master!J163=""),"",Master!J163)</f>
        <v/>
      </c>
      <c r="R14" s="506" t="str">
        <f t="shared" si="1"/>
        <v/>
      </c>
    </row>
    <row r="15" spans="1:18" s="192" customFormat="1" ht="15.95" customHeight="1">
      <c r="A15" s="194">
        <v>8</v>
      </c>
      <c r="B15" s="195" t="str">
        <f>IF(AND(Master!B120=""),"",Master!B120)</f>
        <v/>
      </c>
      <c r="C15" s="505" t="str">
        <f>IF(AND(Master!E120=""),"",Master!E120)</f>
        <v/>
      </c>
      <c r="D15" s="505" t="str">
        <f>IF(AND(Master!F120=""),"",Master!F120)</f>
        <v/>
      </c>
      <c r="E15" s="505" t="str">
        <f>IF(AND(Master!G120=""),"",Master!G120)</f>
        <v/>
      </c>
      <c r="F15" s="505" t="str">
        <f>IF(AND(Master!H120=""),"",Master!H120)</f>
        <v/>
      </c>
      <c r="G15" s="505" t="str">
        <f>IF(AND(Master!I120=""),"",Master!I120)</f>
        <v/>
      </c>
      <c r="H15" s="505" t="str">
        <f>IF(AND(Master!J120=""),"",Master!J120)</f>
        <v/>
      </c>
      <c r="I15" s="506" t="str">
        <f t="shared" si="0"/>
        <v/>
      </c>
      <c r="J15" s="194">
        <v>8</v>
      </c>
      <c r="K15" s="195" t="str">
        <f>IF(AND(Master!B164=""),"",Master!B164)</f>
        <v/>
      </c>
      <c r="L15" s="505" t="str">
        <f>IF(AND(Master!E164=""),"",Master!E164)</f>
        <v/>
      </c>
      <c r="M15" s="505" t="str">
        <f>IF(AND(Master!F164=""),"",Master!F164)</f>
        <v/>
      </c>
      <c r="N15" s="505" t="str">
        <f>IF(AND(Master!G164=""),"",Master!G164)</f>
        <v/>
      </c>
      <c r="O15" s="505" t="str">
        <f>IF(AND(Master!H164=""),"",Master!H164)</f>
        <v/>
      </c>
      <c r="P15" s="505" t="str">
        <f>IF(AND(Master!I164=""),"",Master!I164)</f>
        <v/>
      </c>
      <c r="Q15" s="505" t="str">
        <f>IF(AND(Master!J164=""),"",Master!J164)</f>
        <v/>
      </c>
      <c r="R15" s="506" t="str">
        <f t="shared" si="1"/>
        <v/>
      </c>
    </row>
    <row r="16" spans="1:18" s="192" customFormat="1" ht="15.95" customHeight="1">
      <c r="A16" s="194">
        <v>9</v>
      </c>
      <c r="B16" s="195" t="str">
        <f>IF(AND(Master!B121=""),"",Master!B121)</f>
        <v/>
      </c>
      <c r="C16" s="505" t="str">
        <f>IF(AND(Master!E121=""),"",Master!E121)</f>
        <v/>
      </c>
      <c r="D16" s="505" t="str">
        <f>IF(AND(Master!F121=""),"",Master!F121)</f>
        <v/>
      </c>
      <c r="E16" s="505" t="str">
        <f>IF(AND(Master!G121=""),"",Master!G121)</f>
        <v/>
      </c>
      <c r="F16" s="505" t="str">
        <f>IF(AND(Master!H121=""),"",Master!H121)</f>
        <v/>
      </c>
      <c r="G16" s="505" t="str">
        <f>IF(AND(Master!I121=""),"",Master!I121)</f>
        <v/>
      </c>
      <c r="H16" s="505" t="str">
        <f>IF(AND(Master!J121=""),"",Master!J121)</f>
        <v/>
      </c>
      <c r="I16" s="506" t="str">
        <f t="shared" si="0"/>
        <v/>
      </c>
      <c r="J16" s="194">
        <v>9</v>
      </c>
      <c r="K16" s="195" t="str">
        <f>IF(AND(Master!B165=""),"",Master!B165)</f>
        <v/>
      </c>
      <c r="L16" s="505" t="str">
        <f>IF(AND(Master!E165=""),"",Master!E165)</f>
        <v/>
      </c>
      <c r="M16" s="505" t="str">
        <f>IF(AND(Master!F165=""),"",Master!F165)</f>
        <v/>
      </c>
      <c r="N16" s="505" t="str">
        <f>IF(AND(Master!G165=""),"",Master!G165)</f>
        <v/>
      </c>
      <c r="O16" s="505" t="str">
        <f>IF(AND(Master!H165=""),"",Master!H165)</f>
        <v/>
      </c>
      <c r="P16" s="505" t="str">
        <f>IF(AND(Master!I165=""),"",Master!I165)</f>
        <v/>
      </c>
      <c r="Q16" s="505" t="str">
        <f>IF(AND(Master!J165=""),"",Master!J165)</f>
        <v/>
      </c>
      <c r="R16" s="506" t="str">
        <f t="shared" si="1"/>
        <v/>
      </c>
    </row>
    <row r="17" spans="1:18" s="192" customFormat="1" ht="15.95" customHeight="1">
      <c r="A17" s="194">
        <v>10</v>
      </c>
      <c r="B17" s="195" t="str">
        <f>IF(AND(Master!B122=""),"",Master!B122)</f>
        <v/>
      </c>
      <c r="C17" s="505" t="str">
        <f>IF(AND(Master!E122=""),"",Master!E122)</f>
        <v/>
      </c>
      <c r="D17" s="505" t="str">
        <f>IF(AND(Master!F122=""),"",Master!F122)</f>
        <v/>
      </c>
      <c r="E17" s="505" t="str">
        <f>IF(AND(Master!G122=""),"",Master!G122)</f>
        <v/>
      </c>
      <c r="F17" s="505" t="str">
        <f>IF(AND(Master!H122=""),"",Master!H122)</f>
        <v/>
      </c>
      <c r="G17" s="505" t="str">
        <f>IF(AND(Master!I122=""),"",Master!I122)</f>
        <v/>
      </c>
      <c r="H17" s="505" t="str">
        <f>IF(AND(Master!J122=""),"",Master!J122)</f>
        <v/>
      </c>
      <c r="I17" s="506" t="str">
        <f t="shared" si="0"/>
        <v/>
      </c>
      <c r="J17" s="194">
        <v>10</v>
      </c>
      <c r="K17" s="195" t="str">
        <f>IF(AND(Master!B166=""),"",Master!B166)</f>
        <v/>
      </c>
      <c r="L17" s="505" t="str">
        <f>IF(AND(Master!E166=""),"",Master!E166)</f>
        <v/>
      </c>
      <c r="M17" s="505" t="str">
        <f>IF(AND(Master!F166=""),"",Master!F166)</f>
        <v/>
      </c>
      <c r="N17" s="505" t="str">
        <f>IF(AND(Master!G166=""),"",Master!G166)</f>
        <v/>
      </c>
      <c r="O17" s="505" t="str">
        <f>IF(AND(Master!H166=""),"",Master!H166)</f>
        <v/>
      </c>
      <c r="P17" s="505" t="str">
        <f>IF(AND(Master!I166=""),"",Master!I166)</f>
        <v/>
      </c>
      <c r="Q17" s="505" t="str">
        <f>IF(AND(Master!J166=""),"",Master!J166)</f>
        <v/>
      </c>
      <c r="R17" s="506" t="str">
        <f t="shared" si="1"/>
        <v/>
      </c>
    </row>
    <row r="18" spans="1:18" s="192" customFormat="1" ht="15.95" customHeight="1">
      <c r="A18" s="194">
        <v>11</v>
      </c>
      <c r="B18" s="195" t="str">
        <f>IF(AND(Master!B123=""),"",Master!B123)</f>
        <v/>
      </c>
      <c r="C18" s="505" t="str">
        <f>IF(AND(Master!E123=""),"",Master!E123)</f>
        <v/>
      </c>
      <c r="D18" s="505" t="str">
        <f>IF(AND(Master!F123=""),"",Master!F123)</f>
        <v/>
      </c>
      <c r="E18" s="505" t="str">
        <f>IF(AND(Master!G123=""),"",Master!G123)</f>
        <v/>
      </c>
      <c r="F18" s="505" t="str">
        <f>IF(AND(Master!H123=""),"",Master!H123)</f>
        <v/>
      </c>
      <c r="G18" s="505" t="str">
        <f>IF(AND(Master!I123=""),"",Master!I123)</f>
        <v/>
      </c>
      <c r="H18" s="505" t="str">
        <f>IF(AND(Master!J123=""),"",Master!J123)</f>
        <v/>
      </c>
      <c r="I18" s="506" t="str">
        <f t="shared" si="0"/>
        <v/>
      </c>
      <c r="J18" s="194">
        <v>11</v>
      </c>
      <c r="K18" s="195" t="str">
        <f>IF(AND(Master!B167=""),"",Master!B167)</f>
        <v/>
      </c>
      <c r="L18" s="505" t="str">
        <f>IF(AND(Master!E167=""),"",Master!E167)</f>
        <v/>
      </c>
      <c r="M18" s="505" t="str">
        <f>IF(AND(Master!F167=""),"",Master!F167)</f>
        <v/>
      </c>
      <c r="N18" s="505" t="str">
        <f>IF(AND(Master!G167=""),"",Master!G167)</f>
        <v/>
      </c>
      <c r="O18" s="505" t="str">
        <f>IF(AND(Master!H167=""),"",Master!H167)</f>
        <v/>
      </c>
      <c r="P18" s="505" t="str">
        <f>IF(AND(Master!I167=""),"",Master!I167)</f>
        <v/>
      </c>
      <c r="Q18" s="505" t="str">
        <f>IF(AND(Master!J167=""),"",Master!J167)</f>
        <v/>
      </c>
      <c r="R18" s="506" t="str">
        <f t="shared" si="1"/>
        <v/>
      </c>
    </row>
    <row r="19" spans="1:18" s="192" customFormat="1" ht="15.95" customHeight="1">
      <c r="A19" s="194">
        <v>12</v>
      </c>
      <c r="B19" s="195" t="str">
        <f>IF(AND(Master!B124=""),"",Master!B124)</f>
        <v/>
      </c>
      <c r="C19" s="505" t="str">
        <f>IF(AND(Master!E124=""),"",Master!E124)</f>
        <v/>
      </c>
      <c r="D19" s="505" t="str">
        <f>IF(AND(Master!F124=""),"",Master!F124)</f>
        <v/>
      </c>
      <c r="E19" s="505" t="str">
        <f>IF(AND(Master!G124=""),"",Master!G124)</f>
        <v/>
      </c>
      <c r="F19" s="505" t="str">
        <f>IF(AND(Master!H124=""),"",Master!H124)</f>
        <v/>
      </c>
      <c r="G19" s="505" t="str">
        <f>IF(AND(Master!I124=""),"",Master!I124)</f>
        <v/>
      </c>
      <c r="H19" s="505" t="str">
        <f>IF(AND(Master!J124=""),"",Master!J124)</f>
        <v/>
      </c>
      <c r="I19" s="506" t="str">
        <f t="shared" si="0"/>
        <v/>
      </c>
      <c r="J19" s="194">
        <v>12</v>
      </c>
      <c r="K19" s="195" t="str">
        <f>IF(AND(Master!B168=""),"",Master!B168)</f>
        <v/>
      </c>
      <c r="L19" s="505" t="str">
        <f>IF(AND(Master!E168=""),"",Master!E168)</f>
        <v/>
      </c>
      <c r="M19" s="505" t="str">
        <f>IF(AND(Master!F168=""),"",Master!F168)</f>
        <v/>
      </c>
      <c r="N19" s="505" t="str">
        <f>IF(AND(Master!G168=""),"",Master!G168)</f>
        <v/>
      </c>
      <c r="O19" s="505" t="str">
        <f>IF(AND(Master!H168=""),"",Master!H168)</f>
        <v/>
      </c>
      <c r="P19" s="505" t="str">
        <f>IF(AND(Master!I168=""),"",Master!I168)</f>
        <v/>
      </c>
      <c r="Q19" s="505" t="str">
        <f>IF(AND(Master!J168=""),"",Master!J168)</f>
        <v/>
      </c>
      <c r="R19" s="506" t="str">
        <f t="shared" si="1"/>
        <v/>
      </c>
    </row>
    <row r="20" spans="1:18" s="192" customFormat="1" ht="15.95" customHeight="1">
      <c r="A20" s="194">
        <v>13</v>
      </c>
      <c r="B20" s="195" t="str">
        <f>IF(AND(Master!B125=""),"",Master!B125)</f>
        <v/>
      </c>
      <c r="C20" s="505" t="str">
        <f>IF(AND(Master!E125=""),"",Master!E125)</f>
        <v/>
      </c>
      <c r="D20" s="505" t="str">
        <f>IF(AND(Master!F125=""),"",Master!F125)</f>
        <v/>
      </c>
      <c r="E20" s="505" t="str">
        <f>IF(AND(Master!G125=""),"",Master!G125)</f>
        <v/>
      </c>
      <c r="F20" s="505" t="str">
        <f>IF(AND(Master!H125=""),"",Master!H125)</f>
        <v/>
      </c>
      <c r="G20" s="505" t="str">
        <f>IF(AND(Master!I125=""),"",Master!I125)</f>
        <v/>
      </c>
      <c r="H20" s="505" t="str">
        <f>IF(AND(Master!J125=""),"",Master!J125)</f>
        <v/>
      </c>
      <c r="I20" s="506" t="str">
        <f t="shared" si="0"/>
        <v/>
      </c>
      <c r="J20" s="194">
        <v>13</v>
      </c>
      <c r="K20" s="195" t="str">
        <f>IF(AND(Master!B169=""),"",Master!B169)</f>
        <v/>
      </c>
      <c r="L20" s="505" t="str">
        <f>IF(AND(Master!E169=""),"",Master!E169)</f>
        <v/>
      </c>
      <c r="M20" s="505" t="str">
        <f>IF(AND(Master!F169=""),"",Master!F169)</f>
        <v/>
      </c>
      <c r="N20" s="505" t="str">
        <f>IF(AND(Master!G169=""),"",Master!G169)</f>
        <v/>
      </c>
      <c r="O20" s="505" t="str">
        <f>IF(AND(Master!H169=""),"",Master!H169)</f>
        <v/>
      </c>
      <c r="P20" s="505" t="str">
        <f>IF(AND(Master!I169=""),"",Master!I169)</f>
        <v/>
      </c>
      <c r="Q20" s="505" t="str">
        <f>IF(AND(Master!J169=""),"",Master!J169)</f>
        <v/>
      </c>
      <c r="R20" s="506" t="str">
        <f t="shared" si="1"/>
        <v/>
      </c>
    </row>
    <row r="21" spans="1:18" s="192" customFormat="1" ht="15.95" customHeight="1">
      <c r="A21" s="194">
        <v>14</v>
      </c>
      <c r="B21" s="195" t="str">
        <f>IF(AND(Master!B126=""),"",Master!B126)</f>
        <v/>
      </c>
      <c r="C21" s="505" t="str">
        <f>IF(AND(Master!E126=""),"",Master!E126)</f>
        <v/>
      </c>
      <c r="D21" s="505" t="str">
        <f>IF(AND(Master!F126=""),"",Master!F126)</f>
        <v/>
      </c>
      <c r="E21" s="505" t="str">
        <f>IF(AND(Master!G126=""),"",Master!G126)</f>
        <v/>
      </c>
      <c r="F21" s="505" t="str">
        <f>IF(AND(Master!H126=""),"",Master!H126)</f>
        <v/>
      </c>
      <c r="G21" s="505" t="str">
        <f>IF(AND(Master!I126=""),"",Master!I126)</f>
        <v/>
      </c>
      <c r="H21" s="505" t="str">
        <f>IF(AND(Master!J126=""),"",Master!J126)</f>
        <v/>
      </c>
      <c r="I21" s="506" t="str">
        <f t="shared" si="0"/>
        <v/>
      </c>
      <c r="J21" s="194">
        <v>14</v>
      </c>
      <c r="K21" s="195" t="str">
        <f>IF(AND(Master!B170=""),"",Master!B170)</f>
        <v/>
      </c>
      <c r="L21" s="505" t="str">
        <f>IF(AND(Master!E170=""),"",Master!E170)</f>
        <v/>
      </c>
      <c r="M21" s="505" t="str">
        <f>IF(AND(Master!F170=""),"",Master!F170)</f>
        <v/>
      </c>
      <c r="N21" s="505" t="str">
        <f>IF(AND(Master!G170=""),"",Master!G170)</f>
        <v/>
      </c>
      <c r="O21" s="505" t="str">
        <f>IF(AND(Master!H170=""),"",Master!H170)</f>
        <v/>
      </c>
      <c r="P21" s="505" t="str">
        <f>IF(AND(Master!I170=""),"",Master!I170)</f>
        <v/>
      </c>
      <c r="Q21" s="505" t="str">
        <f>IF(AND(Master!J170=""),"",Master!J170)</f>
        <v/>
      </c>
      <c r="R21" s="506" t="str">
        <f t="shared" si="1"/>
        <v/>
      </c>
    </row>
    <row r="22" spans="1:18" s="192" customFormat="1" ht="15.95" customHeight="1">
      <c r="A22" s="194">
        <v>15</v>
      </c>
      <c r="B22" s="195" t="str">
        <f>IF(AND(Master!B127=""),"",Master!B127)</f>
        <v/>
      </c>
      <c r="C22" s="505" t="str">
        <f>IF(AND(Master!E127=""),"",Master!E127)</f>
        <v/>
      </c>
      <c r="D22" s="505" t="str">
        <f>IF(AND(Master!F127=""),"",Master!F127)</f>
        <v/>
      </c>
      <c r="E22" s="505" t="str">
        <f>IF(AND(Master!G127=""),"",Master!G127)</f>
        <v/>
      </c>
      <c r="F22" s="505" t="str">
        <f>IF(AND(Master!H127=""),"",Master!H127)</f>
        <v/>
      </c>
      <c r="G22" s="505" t="str">
        <f>IF(AND(Master!I127=""),"",Master!I127)</f>
        <v/>
      </c>
      <c r="H22" s="505" t="str">
        <f>IF(AND(Master!J127=""),"",Master!J127)</f>
        <v/>
      </c>
      <c r="I22" s="506" t="str">
        <f t="shared" si="0"/>
        <v/>
      </c>
      <c r="J22" s="194">
        <v>15</v>
      </c>
      <c r="K22" s="195" t="str">
        <f>IF(AND(Master!B171=""),"",Master!B171)</f>
        <v/>
      </c>
      <c r="L22" s="505" t="str">
        <f>IF(AND(Master!E171=""),"",Master!E171)</f>
        <v/>
      </c>
      <c r="M22" s="505" t="str">
        <f>IF(AND(Master!F171=""),"",Master!F171)</f>
        <v/>
      </c>
      <c r="N22" s="505" t="str">
        <f>IF(AND(Master!G171=""),"",Master!G171)</f>
        <v/>
      </c>
      <c r="O22" s="505" t="str">
        <f>IF(AND(Master!H171=""),"",Master!H171)</f>
        <v/>
      </c>
      <c r="P22" s="505" t="str">
        <f>IF(AND(Master!I171=""),"",Master!I171)</f>
        <v/>
      </c>
      <c r="Q22" s="505" t="str">
        <f>IF(AND(Master!J171=""),"",Master!J171)</f>
        <v/>
      </c>
      <c r="R22" s="506" t="str">
        <f t="shared" si="1"/>
        <v/>
      </c>
    </row>
    <row r="23" spans="1:18" s="192" customFormat="1" ht="15.95" customHeight="1">
      <c r="A23" s="194">
        <v>16</v>
      </c>
      <c r="B23" s="195" t="str">
        <f>IF(AND(Master!B128=""),"",Master!B128)</f>
        <v/>
      </c>
      <c r="C23" s="505" t="str">
        <f>IF(AND(Master!E128=""),"",Master!E128)</f>
        <v/>
      </c>
      <c r="D23" s="505" t="str">
        <f>IF(AND(Master!F128=""),"",Master!F128)</f>
        <v/>
      </c>
      <c r="E23" s="505" t="str">
        <f>IF(AND(Master!G128=""),"",Master!G128)</f>
        <v/>
      </c>
      <c r="F23" s="505" t="str">
        <f>IF(AND(Master!H128=""),"",Master!H128)</f>
        <v/>
      </c>
      <c r="G23" s="505" t="str">
        <f>IF(AND(Master!I128=""),"",Master!I128)</f>
        <v/>
      </c>
      <c r="H23" s="505" t="str">
        <f>IF(AND(Master!J128=""),"",Master!J128)</f>
        <v/>
      </c>
      <c r="I23" s="506" t="str">
        <f t="shared" si="0"/>
        <v/>
      </c>
      <c r="J23" s="194">
        <v>16</v>
      </c>
      <c r="K23" s="195" t="str">
        <f>IF(AND(Master!B172=""),"",Master!B172)</f>
        <v/>
      </c>
      <c r="L23" s="505" t="str">
        <f>IF(AND(Master!E172=""),"",Master!E172)</f>
        <v/>
      </c>
      <c r="M23" s="505" t="str">
        <f>IF(AND(Master!F172=""),"",Master!F172)</f>
        <v/>
      </c>
      <c r="N23" s="505" t="str">
        <f>IF(AND(Master!G172=""),"",Master!G172)</f>
        <v/>
      </c>
      <c r="O23" s="505" t="str">
        <f>IF(AND(Master!H172=""),"",Master!H172)</f>
        <v/>
      </c>
      <c r="P23" s="505" t="str">
        <f>IF(AND(Master!I172=""),"",Master!I172)</f>
        <v/>
      </c>
      <c r="Q23" s="505" t="str">
        <f>IF(AND(Master!J172=""),"",Master!J172)</f>
        <v/>
      </c>
      <c r="R23" s="506" t="str">
        <f t="shared" si="1"/>
        <v/>
      </c>
    </row>
    <row r="24" spans="1:18" s="192" customFormat="1" ht="15.95" customHeight="1">
      <c r="A24" s="194">
        <v>17</v>
      </c>
      <c r="B24" s="195" t="str">
        <f>IF(AND(Master!B129=""),"",Master!B129)</f>
        <v/>
      </c>
      <c r="C24" s="505" t="str">
        <f>IF(AND(Master!E129=""),"",Master!E129)</f>
        <v/>
      </c>
      <c r="D24" s="505" t="str">
        <f>IF(AND(Master!F129=""),"",Master!F129)</f>
        <v/>
      </c>
      <c r="E24" s="505" t="str">
        <f>IF(AND(Master!G129=""),"",Master!G129)</f>
        <v/>
      </c>
      <c r="F24" s="505" t="str">
        <f>IF(AND(Master!H129=""),"",Master!H129)</f>
        <v/>
      </c>
      <c r="G24" s="505" t="str">
        <f>IF(AND(Master!I129=""),"",Master!I129)</f>
        <v/>
      </c>
      <c r="H24" s="505" t="str">
        <f>IF(AND(Master!J129=""),"",Master!J129)</f>
        <v/>
      </c>
      <c r="I24" s="506" t="str">
        <f t="shared" si="0"/>
        <v/>
      </c>
      <c r="J24" s="194">
        <v>17</v>
      </c>
      <c r="K24" s="195" t="str">
        <f>IF(AND(Master!B173=""),"",Master!B173)</f>
        <v/>
      </c>
      <c r="L24" s="505" t="str">
        <f>IF(AND(Master!E173=""),"",Master!E173)</f>
        <v/>
      </c>
      <c r="M24" s="505" t="str">
        <f>IF(AND(Master!F173=""),"",Master!F173)</f>
        <v/>
      </c>
      <c r="N24" s="505" t="str">
        <f>IF(AND(Master!G173=""),"",Master!G173)</f>
        <v/>
      </c>
      <c r="O24" s="505" t="str">
        <f>IF(AND(Master!H173=""),"",Master!H173)</f>
        <v/>
      </c>
      <c r="P24" s="505" t="str">
        <f>IF(AND(Master!I173=""),"",Master!I173)</f>
        <v/>
      </c>
      <c r="Q24" s="505" t="str">
        <f>IF(AND(Master!J173=""),"",Master!J173)</f>
        <v/>
      </c>
      <c r="R24" s="506" t="str">
        <f t="shared" si="1"/>
        <v/>
      </c>
    </row>
    <row r="25" spans="1:18" s="192" customFormat="1" ht="15.95" customHeight="1">
      <c r="A25" s="194">
        <v>18</v>
      </c>
      <c r="B25" s="195" t="str">
        <f>IF(AND(Master!B130=""),"",Master!B130)</f>
        <v/>
      </c>
      <c r="C25" s="505" t="str">
        <f>IF(AND(Master!E130=""),"",Master!E130)</f>
        <v/>
      </c>
      <c r="D25" s="505" t="str">
        <f>IF(AND(Master!F130=""),"",Master!F130)</f>
        <v/>
      </c>
      <c r="E25" s="505" t="str">
        <f>IF(AND(Master!G130=""),"",Master!G130)</f>
        <v/>
      </c>
      <c r="F25" s="505" t="str">
        <f>IF(AND(Master!H130=""),"",Master!H130)</f>
        <v/>
      </c>
      <c r="G25" s="505" t="str">
        <f>IF(AND(Master!I130=""),"",Master!I130)</f>
        <v/>
      </c>
      <c r="H25" s="505" t="str">
        <f>IF(AND(Master!J130=""),"",Master!J130)</f>
        <v/>
      </c>
      <c r="I25" s="506" t="str">
        <f t="shared" si="0"/>
        <v/>
      </c>
      <c r="J25" s="194">
        <v>18</v>
      </c>
      <c r="K25" s="195" t="str">
        <f>IF(AND(Master!B174=""),"",Master!B174)</f>
        <v/>
      </c>
      <c r="L25" s="505" t="str">
        <f>IF(AND(Master!E174=""),"",Master!E174)</f>
        <v/>
      </c>
      <c r="M25" s="505" t="str">
        <f>IF(AND(Master!F174=""),"",Master!F174)</f>
        <v/>
      </c>
      <c r="N25" s="505" t="str">
        <f>IF(AND(Master!G174=""),"",Master!G174)</f>
        <v/>
      </c>
      <c r="O25" s="505" t="str">
        <f>IF(AND(Master!H174=""),"",Master!H174)</f>
        <v/>
      </c>
      <c r="P25" s="505" t="str">
        <f>IF(AND(Master!I174=""),"",Master!I174)</f>
        <v/>
      </c>
      <c r="Q25" s="505" t="str">
        <f>IF(AND(Master!J174=""),"",Master!J174)</f>
        <v/>
      </c>
      <c r="R25" s="506" t="str">
        <f t="shared" si="1"/>
        <v/>
      </c>
    </row>
    <row r="26" spans="1:18" s="192" customFormat="1" ht="15.95" customHeight="1">
      <c r="A26" s="194">
        <v>19</v>
      </c>
      <c r="B26" s="195" t="str">
        <f>IF(AND(Master!B131=""),"",Master!B131)</f>
        <v/>
      </c>
      <c r="C26" s="505" t="str">
        <f>IF(AND(Master!E131=""),"",Master!E131)</f>
        <v/>
      </c>
      <c r="D26" s="505" t="str">
        <f>IF(AND(Master!F131=""),"",Master!F131)</f>
        <v/>
      </c>
      <c r="E26" s="505" t="str">
        <f>IF(AND(Master!G131=""),"",Master!G131)</f>
        <v/>
      </c>
      <c r="F26" s="505" t="str">
        <f>IF(AND(Master!H131=""),"",Master!H131)</f>
        <v/>
      </c>
      <c r="G26" s="505" t="str">
        <f>IF(AND(Master!I131=""),"",Master!I131)</f>
        <v/>
      </c>
      <c r="H26" s="505" t="str">
        <f>IF(AND(Master!J131=""),"",Master!J131)</f>
        <v/>
      </c>
      <c r="I26" s="506" t="str">
        <f t="shared" si="0"/>
        <v/>
      </c>
      <c r="J26" s="194">
        <v>19</v>
      </c>
      <c r="K26" s="195" t="str">
        <f>IF(AND(Master!B175=""),"",Master!B175)</f>
        <v/>
      </c>
      <c r="L26" s="505" t="str">
        <f>IF(AND(Master!E175=""),"",Master!E175)</f>
        <v/>
      </c>
      <c r="M26" s="505" t="str">
        <f>IF(AND(Master!F175=""),"",Master!F175)</f>
        <v/>
      </c>
      <c r="N26" s="505" t="str">
        <f>IF(AND(Master!G175=""),"",Master!G175)</f>
        <v/>
      </c>
      <c r="O26" s="505" t="str">
        <f>IF(AND(Master!H175=""),"",Master!H175)</f>
        <v/>
      </c>
      <c r="P26" s="505" t="str">
        <f>IF(AND(Master!I175=""),"",Master!I175)</f>
        <v/>
      </c>
      <c r="Q26" s="505" t="str">
        <f>IF(AND(Master!J175=""),"",Master!J175)</f>
        <v/>
      </c>
      <c r="R26" s="506" t="str">
        <f t="shared" si="1"/>
        <v/>
      </c>
    </row>
    <row r="27" spans="1:18" s="192" customFormat="1" ht="15.95" customHeight="1">
      <c r="A27" s="194">
        <v>20</v>
      </c>
      <c r="B27" s="195" t="str">
        <f>IF(AND(Master!B132=""),"",Master!B132)</f>
        <v/>
      </c>
      <c r="C27" s="505" t="str">
        <f>IF(AND(Master!E132=""),"",Master!E132)</f>
        <v/>
      </c>
      <c r="D27" s="505" t="str">
        <f>IF(AND(Master!F132=""),"",Master!F132)</f>
        <v/>
      </c>
      <c r="E27" s="505" t="str">
        <f>IF(AND(Master!G132=""),"",Master!G132)</f>
        <v/>
      </c>
      <c r="F27" s="505" t="str">
        <f>IF(AND(Master!H132=""),"",Master!H132)</f>
        <v/>
      </c>
      <c r="G27" s="505" t="str">
        <f>IF(AND(Master!I132=""),"",Master!I132)</f>
        <v/>
      </c>
      <c r="H27" s="505" t="str">
        <f>IF(AND(Master!J132=""),"",Master!J132)</f>
        <v/>
      </c>
      <c r="I27" s="506" t="str">
        <f t="shared" si="0"/>
        <v/>
      </c>
      <c r="J27" s="194">
        <v>20</v>
      </c>
      <c r="K27" s="195" t="str">
        <f>IF(AND(Master!B176=""),"",Master!B176)</f>
        <v/>
      </c>
      <c r="L27" s="505" t="str">
        <f>IF(AND(Master!E176=""),"",Master!E176)</f>
        <v/>
      </c>
      <c r="M27" s="505" t="str">
        <f>IF(AND(Master!F176=""),"",Master!F176)</f>
        <v/>
      </c>
      <c r="N27" s="505" t="str">
        <f>IF(AND(Master!G176=""),"",Master!G176)</f>
        <v/>
      </c>
      <c r="O27" s="505" t="str">
        <f>IF(AND(Master!H176=""),"",Master!H176)</f>
        <v/>
      </c>
      <c r="P27" s="505" t="str">
        <f>IF(AND(Master!I176=""),"",Master!I176)</f>
        <v/>
      </c>
      <c r="Q27" s="505" t="str">
        <f>IF(AND(Master!J176=""),"",Master!J176)</f>
        <v/>
      </c>
      <c r="R27" s="506" t="str">
        <f t="shared" si="1"/>
        <v/>
      </c>
    </row>
    <row r="28" spans="1:18" s="192" customFormat="1" ht="15.95" customHeight="1">
      <c r="A28" s="194">
        <v>21</v>
      </c>
      <c r="B28" s="195" t="str">
        <f>IF(AND(Master!B133=""),"",Master!B133)</f>
        <v/>
      </c>
      <c r="C28" s="505" t="str">
        <f>IF(AND(Master!E133=""),"",Master!E133)</f>
        <v/>
      </c>
      <c r="D28" s="505" t="str">
        <f>IF(AND(Master!F133=""),"",Master!F133)</f>
        <v/>
      </c>
      <c r="E28" s="505" t="str">
        <f>IF(AND(Master!G133=""),"",Master!G133)</f>
        <v/>
      </c>
      <c r="F28" s="505" t="str">
        <f>IF(AND(Master!H133=""),"",Master!H133)</f>
        <v/>
      </c>
      <c r="G28" s="505" t="str">
        <f>IF(AND(Master!I133=""),"",Master!I133)</f>
        <v/>
      </c>
      <c r="H28" s="505" t="str">
        <f>IF(AND(Master!J133=""),"",Master!J133)</f>
        <v/>
      </c>
      <c r="I28" s="506" t="str">
        <f t="shared" si="0"/>
        <v/>
      </c>
      <c r="J28" s="194">
        <v>21</v>
      </c>
      <c r="K28" s="195" t="str">
        <f>IF(AND(Master!B177=""),"",Master!B177)</f>
        <v/>
      </c>
      <c r="L28" s="505" t="str">
        <f>IF(AND(Master!E177=""),"",Master!E177)</f>
        <v/>
      </c>
      <c r="M28" s="505" t="str">
        <f>IF(AND(Master!F177=""),"",Master!F177)</f>
        <v/>
      </c>
      <c r="N28" s="505" t="str">
        <f>IF(AND(Master!G177=""),"",Master!G177)</f>
        <v/>
      </c>
      <c r="O28" s="505" t="str">
        <f>IF(AND(Master!H177=""),"",Master!H177)</f>
        <v/>
      </c>
      <c r="P28" s="505" t="str">
        <f>IF(AND(Master!I177=""),"",Master!I177)</f>
        <v/>
      </c>
      <c r="Q28" s="505" t="str">
        <f>IF(AND(Master!J177=""),"",Master!J177)</f>
        <v/>
      </c>
      <c r="R28" s="506" t="str">
        <f t="shared" si="1"/>
        <v/>
      </c>
    </row>
    <row r="29" spans="1:18" ht="21.95" customHeight="1" thickBot="1">
      <c r="A29" s="189"/>
      <c r="B29" s="196" t="s">
        <v>361</v>
      </c>
      <c r="C29" s="193">
        <f>SUM(C8:C23)</f>
        <v>0</v>
      </c>
      <c r="D29" s="193">
        <f t="shared" ref="D29:I29" si="2">SUM(D8:D23)</f>
        <v>0</v>
      </c>
      <c r="E29" s="193">
        <f t="shared" si="2"/>
        <v>0</v>
      </c>
      <c r="F29" s="193">
        <f t="shared" si="2"/>
        <v>0</v>
      </c>
      <c r="G29" s="193">
        <f>SUM(G8:G23)</f>
        <v>4500</v>
      </c>
      <c r="H29" s="193">
        <f t="shared" si="2"/>
        <v>0</v>
      </c>
      <c r="I29" s="193">
        <f t="shared" si="2"/>
        <v>4500</v>
      </c>
      <c r="J29" s="189"/>
      <c r="K29" s="196" t="s">
        <v>361</v>
      </c>
      <c r="L29" s="193">
        <f>SUM(L8:L23)</f>
        <v>0</v>
      </c>
      <c r="M29" s="193">
        <f t="shared" ref="M29:O29" si="3">SUM(M8:M23)</f>
        <v>0</v>
      </c>
      <c r="N29" s="193">
        <f t="shared" si="3"/>
        <v>0</v>
      </c>
      <c r="O29" s="193">
        <f t="shared" si="3"/>
        <v>0</v>
      </c>
      <c r="P29" s="193">
        <f>SUM(P8:P23)</f>
        <v>1000</v>
      </c>
      <c r="Q29" s="193">
        <f t="shared" ref="Q29:R29" si="4">SUM(Q8:Q23)</f>
        <v>0</v>
      </c>
      <c r="R29" s="193">
        <f t="shared" si="4"/>
        <v>1000</v>
      </c>
    </row>
    <row r="30" spans="1:18" ht="21.95" customHeight="1" thickBot="1">
      <c r="A30" s="189"/>
      <c r="B30" s="196" t="s">
        <v>362</v>
      </c>
      <c r="C30" s="193">
        <f t="shared" ref="C30:I30" si="5">ROUNDUP(C29,-2)</f>
        <v>0</v>
      </c>
      <c r="D30" s="193">
        <f t="shared" si="5"/>
        <v>0</v>
      </c>
      <c r="E30" s="193">
        <f t="shared" si="5"/>
        <v>0</v>
      </c>
      <c r="F30" s="193">
        <f t="shared" si="5"/>
        <v>0</v>
      </c>
      <c r="G30" s="193">
        <f t="shared" si="5"/>
        <v>4500</v>
      </c>
      <c r="H30" s="193">
        <f t="shared" si="5"/>
        <v>0</v>
      </c>
      <c r="I30" s="193">
        <f t="shared" si="5"/>
        <v>4500</v>
      </c>
      <c r="J30" s="189"/>
      <c r="K30" s="196" t="s">
        <v>363</v>
      </c>
      <c r="L30" s="193">
        <f t="shared" ref="L30:R30" si="6">ROUNDUP(L29,-2)</f>
        <v>0</v>
      </c>
      <c r="M30" s="193">
        <f t="shared" si="6"/>
        <v>0</v>
      </c>
      <c r="N30" s="193">
        <f t="shared" si="6"/>
        <v>0</v>
      </c>
      <c r="O30" s="193">
        <f t="shared" si="6"/>
        <v>0</v>
      </c>
      <c r="P30" s="193">
        <f t="shared" si="6"/>
        <v>1000</v>
      </c>
      <c r="Q30" s="193">
        <f t="shared" si="6"/>
        <v>0</v>
      </c>
      <c r="R30" s="193">
        <f t="shared" si="6"/>
        <v>1000</v>
      </c>
    </row>
    <row r="31" spans="1:18">
      <c r="A31" s="528" t="s">
        <v>558</v>
      </c>
      <c r="B31" s="190"/>
      <c r="C31" s="187"/>
      <c r="D31" s="187"/>
      <c r="E31" s="187"/>
      <c r="F31" s="187"/>
      <c r="G31" s="187"/>
      <c r="H31" s="187"/>
      <c r="I31" s="187"/>
      <c r="J31" s="528" t="s">
        <v>558</v>
      </c>
      <c r="K31" s="187"/>
      <c r="L31" s="187"/>
      <c r="M31" s="187"/>
      <c r="N31" s="187"/>
      <c r="O31" s="187"/>
      <c r="P31" s="187"/>
      <c r="Q31" s="187"/>
      <c r="R31" s="187"/>
    </row>
    <row r="32" spans="1:18">
      <c r="A32" s="528"/>
      <c r="B32" s="190"/>
      <c r="C32" s="187"/>
      <c r="D32" s="187"/>
      <c r="E32" s="187"/>
      <c r="F32" s="187"/>
      <c r="G32" s="187"/>
      <c r="H32" s="187"/>
      <c r="I32" s="187"/>
      <c r="J32" s="528"/>
      <c r="K32" s="187"/>
      <c r="L32" s="187"/>
      <c r="M32" s="187"/>
      <c r="N32" s="187"/>
      <c r="O32" s="187"/>
      <c r="P32" s="187"/>
      <c r="Q32" s="187"/>
      <c r="R32" s="187"/>
    </row>
    <row r="33" spans="1:18">
      <c r="A33" s="528"/>
      <c r="B33" s="190"/>
      <c r="C33" s="187"/>
      <c r="D33" s="187"/>
      <c r="E33" s="187"/>
      <c r="F33" s="187"/>
      <c r="G33" s="187"/>
      <c r="H33" s="187"/>
      <c r="I33" s="187"/>
      <c r="J33" s="528"/>
      <c r="K33" s="187"/>
      <c r="L33" s="187"/>
      <c r="M33" s="187"/>
      <c r="N33" s="187"/>
      <c r="O33" s="187"/>
      <c r="P33" s="187"/>
      <c r="Q33" s="187"/>
      <c r="R33" s="187"/>
    </row>
    <row r="34" spans="1:18">
      <c r="A34" s="187"/>
      <c r="B34" s="187"/>
      <c r="C34" s="187"/>
      <c r="D34" s="187"/>
      <c r="E34" s="187"/>
      <c r="F34" s="898" t="str">
        <f>CONCATENATE("¼ ",Master!G3,"½")</f>
        <v>¼ m"kk ikfy;k½</v>
      </c>
      <c r="G34" s="898"/>
      <c r="H34" s="898"/>
      <c r="I34" s="898"/>
      <c r="J34" s="137"/>
      <c r="K34" s="137"/>
      <c r="L34" s="137"/>
      <c r="M34" s="137"/>
      <c r="N34" s="137"/>
      <c r="O34" s="898" t="str">
        <f>CONCATENATE("¼ ",Master!G3,"½")</f>
        <v>¼ m"kk ikfy;k½</v>
      </c>
      <c r="P34" s="898"/>
      <c r="Q34" s="898"/>
      <c r="R34" s="898"/>
    </row>
    <row r="35" spans="1:18" ht="16.5">
      <c r="A35" s="187"/>
      <c r="B35" s="187"/>
      <c r="C35" s="187"/>
      <c r="D35" s="187"/>
      <c r="E35" s="187"/>
      <c r="F35" s="886" t="str">
        <f>Master!C2</f>
        <v>iz/kkukpk;Z</v>
      </c>
      <c r="G35" s="886"/>
      <c r="H35" s="886"/>
      <c r="I35" s="886"/>
      <c r="J35" s="137"/>
      <c r="K35" s="137"/>
      <c r="L35" s="137"/>
      <c r="M35" s="137"/>
      <c r="N35" s="137"/>
      <c r="O35" s="886" t="str">
        <f>F35</f>
        <v>iz/kkukpk;Z</v>
      </c>
      <c r="P35" s="886"/>
      <c r="Q35" s="886"/>
      <c r="R35" s="886"/>
    </row>
    <row r="36" spans="1:18" ht="15" customHeight="1">
      <c r="A36" s="187"/>
      <c r="B36" s="187"/>
      <c r="C36" s="187"/>
      <c r="D36" s="187"/>
      <c r="E36" s="187"/>
      <c r="F36" s="887" t="str">
        <f>Master!D2</f>
        <v>egkRek xka/kh jktdh; fo|ky; ¼vaxzsth ek/;e½ cj ] ikyh</v>
      </c>
      <c r="G36" s="887"/>
      <c r="H36" s="887"/>
      <c r="I36" s="887"/>
      <c r="J36" s="137"/>
      <c r="K36" s="137"/>
      <c r="L36" s="137"/>
      <c r="M36" s="137"/>
      <c r="N36" s="137"/>
      <c r="O36" s="887" t="str">
        <f>Master!D2</f>
        <v>egkRek xka/kh jktdh; fo|ky; ¼vaxzsth ek/;e½ cj ] ikyh</v>
      </c>
      <c r="P36" s="887"/>
      <c r="Q36" s="887"/>
      <c r="R36" s="887"/>
    </row>
    <row r="37" spans="1:18" ht="15" customHeight="1">
      <c r="A37" s="187"/>
      <c r="B37" s="187"/>
      <c r="C37" s="187"/>
      <c r="D37" s="187"/>
      <c r="E37" s="187"/>
      <c r="F37" s="887"/>
      <c r="G37" s="887"/>
      <c r="H37" s="887"/>
      <c r="I37" s="887"/>
      <c r="J37" s="137"/>
      <c r="K37" s="137"/>
      <c r="L37" s="137"/>
      <c r="M37" s="137"/>
      <c r="N37" s="137"/>
      <c r="O37" s="887"/>
      <c r="P37" s="887"/>
      <c r="Q37" s="887"/>
      <c r="R37" s="887"/>
    </row>
    <row r="38" spans="1:18" ht="15" customHeight="1">
      <c r="A38" s="187"/>
      <c r="B38" s="187"/>
      <c r="C38" s="187"/>
      <c r="D38" s="187"/>
      <c r="E38" s="187"/>
      <c r="F38" s="887"/>
      <c r="G38" s="887"/>
      <c r="H38" s="887"/>
      <c r="I38" s="887"/>
      <c r="J38" s="137"/>
      <c r="K38" s="137"/>
      <c r="L38" s="137"/>
      <c r="M38" s="137"/>
      <c r="N38" s="137"/>
      <c r="O38" s="887"/>
      <c r="P38" s="887"/>
      <c r="Q38" s="887"/>
      <c r="R38" s="887"/>
    </row>
    <row r="39" spans="1:18">
      <c r="F39" s="197"/>
      <c r="G39" s="197"/>
      <c r="H39" s="197"/>
      <c r="I39" s="197"/>
      <c r="J39" s="197"/>
      <c r="K39" s="197"/>
      <c r="L39" s="197"/>
      <c r="M39" s="197"/>
      <c r="N39" s="197"/>
      <c r="O39" s="197"/>
      <c r="P39" s="197"/>
      <c r="Q39" s="197"/>
      <c r="R39" s="197"/>
    </row>
  </sheetData>
  <protectedRanges>
    <protectedRange sqref="C8:H28 L8:Q28" name="Range1_1"/>
  </protectedRanges>
  <mergeCells count="22">
    <mergeCell ref="G1:I1"/>
    <mergeCell ref="P1:R1"/>
    <mergeCell ref="A2:I2"/>
    <mergeCell ref="J2:R2"/>
    <mergeCell ref="A3:I3"/>
    <mergeCell ref="J3:R3"/>
    <mergeCell ref="F35:I35"/>
    <mergeCell ref="O35:R35"/>
    <mergeCell ref="F36:I38"/>
    <mergeCell ref="O36:R38"/>
    <mergeCell ref="A4:I4"/>
    <mergeCell ref="J4:R4"/>
    <mergeCell ref="A5:I5"/>
    <mergeCell ref="J5:R5"/>
    <mergeCell ref="A6:A7"/>
    <mergeCell ref="B6:B7"/>
    <mergeCell ref="I6:I7"/>
    <mergeCell ref="J6:J7"/>
    <mergeCell ref="K6:K7"/>
    <mergeCell ref="R6:R7"/>
    <mergeCell ref="F34:I34"/>
    <mergeCell ref="O34:R34"/>
  </mergeCells>
  <conditionalFormatting sqref="A31:A33">
    <cfRule type="containsText" dxfId="29" priority="2" operator="containsText" text="in fjDr">
      <formula>NOT(ISERROR(SEARCH("in fjDr",A31)))</formula>
    </cfRule>
  </conditionalFormatting>
  <conditionalFormatting sqref="J31:J33">
    <cfRule type="containsText" dxfId="28" priority="1" operator="containsText" text="in fjDr">
      <formula>NOT(ISERROR(SEARCH("in fjDr",J31)))</formula>
    </cfRule>
  </conditionalFormatting>
  <pageMargins left="0.7" right="0.7" top="0.75" bottom="0.75" header="0.3" footer="0.3"/>
  <pageSetup paperSize="9" orientation="portrait" blackAndWhite="1" horizontalDpi="300" verticalDpi="300" r:id="rId1"/>
</worksheet>
</file>

<file path=xl/worksheets/sheet14.xml><?xml version="1.0" encoding="utf-8"?>
<worksheet xmlns="http://schemas.openxmlformats.org/spreadsheetml/2006/main" xmlns:r="http://schemas.openxmlformats.org/officeDocument/2006/relationships">
  <sheetPr codeName="Sheet14">
    <tabColor rgb="FFFFFF00"/>
    <pageSetUpPr fitToPage="1"/>
  </sheetPr>
  <dimension ref="A1:U46"/>
  <sheetViews>
    <sheetView showGridLines="0" view="pageBreakPreview" zoomScale="110" zoomScaleSheetLayoutView="110" workbookViewId="0">
      <selection activeCell="S30" sqref="S30:U30"/>
    </sheetView>
  </sheetViews>
  <sheetFormatPr defaultRowHeight="15"/>
  <cols>
    <col min="1" max="1" width="10.625" customWidth="1"/>
    <col min="2" max="2" width="7.125" customWidth="1"/>
    <col min="3" max="3" width="5.875" customWidth="1"/>
    <col min="4" max="4" width="6.125" customWidth="1"/>
    <col min="5" max="5" width="3.75" customWidth="1"/>
    <col min="6" max="6" width="2.75" customWidth="1"/>
    <col min="7" max="7" width="4.75" bestFit="1" customWidth="1"/>
    <col min="8" max="8" width="3" customWidth="1"/>
    <col min="9" max="9" width="3.75" customWidth="1"/>
    <col min="10" max="10" width="2.375" customWidth="1"/>
    <col min="11" max="11" width="7.125" customWidth="1"/>
    <col min="12" max="12" width="3.75" customWidth="1"/>
    <col min="13" max="13" width="2.75" customWidth="1"/>
    <col min="14" max="14" width="4.75" bestFit="1" customWidth="1"/>
    <col min="15" max="15" width="3" customWidth="1"/>
    <col min="16" max="16" width="3.75" customWidth="1"/>
    <col min="17" max="17" width="2.375" customWidth="1"/>
    <col min="18" max="18" width="7.125" customWidth="1"/>
    <col min="19" max="19" width="7.875" customWidth="1"/>
    <col min="20" max="20" width="7.25" customWidth="1"/>
    <col min="21" max="21" width="9.875" customWidth="1"/>
  </cols>
  <sheetData>
    <row r="1" spans="1:21" ht="20.25">
      <c r="A1" s="946" t="str">
        <f>Summary!$A$2</f>
        <v>iz/kkukpk;Z egkRek xka/kh jktdh; fo|ky; ¼vaxzsth ek/;e½ cj ] ikyh</v>
      </c>
      <c r="B1" s="946"/>
      <c r="C1" s="946"/>
      <c r="D1" s="946"/>
      <c r="E1" s="946"/>
      <c r="F1" s="946"/>
      <c r="G1" s="946"/>
      <c r="H1" s="946"/>
      <c r="I1" s="946"/>
      <c r="J1" s="946"/>
      <c r="K1" s="946"/>
      <c r="L1" s="946"/>
      <c r="M1" s="946"/>
      <c r="N1" s="946"/>
      <c r="O1" s="946"/>
      <c r="P1" s="946"/>
      <c r="Q1" s="946"/>
      <c r="R1" s="946"/>
      <c r="S1" s="946"/>
      <c r="T1" s="946"/>
      <c r="U1" s="946"/>
    </row>
    <row r="2" spans="1:21" ht="18.75">
      <c r="A2" s="530"/>
      <c r="B2" s="530"/>
      <c r="C2" s="530"/>
      <c r="D2" s="530"/>
      <c r="E2" s="530"/>
      <c r="F2" s="530"/>
      <c r="G2" s="530"/>
      <c r="H2" s="843" t="s">
        <v>398</v>
      </c>
      <c r="I2" s="843"/>
      <c r="J2" s="843"/>
      <c r="K2" s="843"/>
      <c r="L2" s="843"/>
      <c r="M2" s="843"/>
      <c r="N2" s="843"/>
      <c r="O2" s="843"/>
      <c r="P2" s="843"/>
      <c r="Q2" s="530"/>
      <c r="R2" s="530"/>
      <c r="S2" s="894">
        <f>Summary!$C$1</f>
        <v>30695</v>
      </c>
      <c r="T2" s="894"/>
      <c r="U2" s="894"/>
    </row>
    <row r="3" spans="1:21" ht="19.5" thickBot="1">
      <c r="A3" s="960" t="s">
        <v>635</v>
      </c>
      <c r="B3" s="960"/>
      <c r="C3" s="960"/>
      <c r="D3" s="960"/>
      <c r="E3" s="960"/>
      <c r="F3" s="960"/>
      <c r="G3" s="960"/>
      <c r="H3" s="960"/>
      <c r="I3" s="960"/>
      <c r="J3" s="960"/>
      <c r="K3" s="960"/>
      <c r="L3" s="960"/>
      <c r="M3" s="960"/>
      <c r="N3" s="960"/>
      <c r="O3" s="960"/>
      <c r="P3" s="960"/>
      <c r="Q3" s="960"/>
      <c r="R3" s="960"/>
      <c r="S3" s="960"/>
      <c r="T3" s="960"/>
      <c r="U3" s="960"/>
    </row>
    <row r="4" spans="1:21" ht="26.25" customHeight="1">
      <c r="A4" s="949" t="s">
        <v>386</v>
      </c>
      <c r="B4" s="950" t="s">
        <v>397</v>
      </c>
      <c r="C4" s="950"/>
      <c r="D4" s="950" t="s">
        <v>387</v>
      </c>
      <c r="E4" s="952" t="s">
        <v>756</v>
      </c>
      <c r="F4" s="953"/>
      <c r="G4" s="953"/>
      <c r="H4" s="953"/>
      <c r="I4" s="953"/>
      <c r="J4" s="953"/>
      <c r="K4" s="954"/>
      <c r="L4" s="952" t="s">
        <v>757</v>
      </c>
      <c r="M4" s="953"/>
      <c r="N4" s="953"/>
      <c r="O4" s="953"/>
      <c r="P4" s="953"/>
      <c r="Q4" s="953"/>
      <c r="R4" s="954"/>
      <c r="S4" s="950" t="s">
        <v>388</v>
      </c>
      <c r="T4" s="950"/>
      <c r="U4" s="958"/>
    </row>
    <row r="5" spans="1:21" ht="21" customHeight="1">
      <c r="A5" s="944"/>
      <c r="B5" s="951"/>
      <c r="C5" s="951"/>
      <c r="D5" s="951"/>
      <c r="E5" s="955"/>
      <c r="F5" s="956"/>
      <c r="G5" s="956"/>
      <c r="H5" s="956"/>
      <c r="I5" s="956"/>
      <c r="J5" s="956"/>
      <c r="K5" s="957"/>
      <c r="L5" s="955"/>
      <c r="M5" s="956"/>
      <c r="N5" s="956"/>
      <c r="O5" s="956"/>
      <c r="P5" s="956"/>
      <c r="Q5" s="956"/>
      <c r="R5" s="957"/>
      <c r="S5" s="253" t="s">
        <v>389</v>
      </c>
      <c r="T5" s="253" t="s">
        <v>41</v>
      </c>
      <c r="U5" s="254" t="s">
        <v>390</v>
      </c>
    </row>
    <row r="6" spans="1:21">
      <c r="A6" s="229">
        <v>1</v>
      </c>
      <c r="B6" s="937">
        <v>2</v>
      </c>
      <c r="C6" s="937"/>
      <c r="D6" s="230">
        <v>3</v>
      </c>
      <c r="E6" s="938">
        <v>4</v>
      </c>
      <c r="F6" s="939"/>
      <c r="G6" s="939"/>
      <c r="H6" s="939"/>
      <c r="I6" s="939"/>
      <c r="J6" s="939"/>
      <c r="K6" s="940"/>
      <c r="L6" s="941">
        <v>5</v>
      </c>
      <c r="M6" s="942"/>
      <c r="N6" s="942"/>
      <c r="O6" s="942"/>
      <c r="P6" s="942"/>
      <c r="Q6" s="942"/>
      <c r="R6" s="943"/>
      <c r="S6" s="230">
        <v>6</v>
      </c>
      <c r="T6" s="230">
        <v>7</v>
      </c>
      <c r="U6" s="231">
        <v>8</v>
      </c>
    </row>
    <row r="7" spans="1:21" ht="15.75">
      <c r="A7" s="944" t="s">
        <v>391</v>
      </c>
      <c r="B7" s="253" t="s">
        <v>396</v>
      </c>
      <c r="C7" s="232">
        <f>Namankan!I12+Namankan!I13+Namankan!I14</f>
        <v>8</v>
      </c>
      <c r="D7" s="233">
        <v>75</v>
      </c>
      <c r="E7" s="234">
        <f t="shared" ref="E7:E12" si="0">C7</f>
        <v>8</v>
      </c>
      <c r="F7" s="235" t="s">
        <v>315</v>
      </c>
      <c r="G7" s="235">
        <f t="shared" ref="G7:G12" si="1">D7</f>
        <v>75</v>
      </c>
      <c r="H7" s="235" t="s">
        <v>315</v>
      </c>
      <c r="I7" s="235">
        <v>10</v>
      </c>
      <c r="J7" s="235" t="s">
        <v>392</v>
      </c>
      <c r="K7" s="508">
        <f>E7*G7*I7</f>
        <v>6000</v>
      </c>
      <c r="L7" s="234">
        <f>IF(C7&lt;=0,0,(E7+5))</f>
        <v>13</v>
      </c>
      <c r="M7" s="235" t="s">
        <v>315</v>
      </c>
      <c r="N7" s="235">
        <f>D7</f>
        <v>75</v>
      </c>
      <c r="O7" s="235" t="s">
        <v>315</v>
      </c>
      <c r="P7" s="235">
        <v>10</v>
      </c>
      <c r="Q7" s="235" t="s">
        <v>392</v>
      </c>
      <c r="R7" s="508">
        <f t="shared" ref="R7:R12" si="2">L7*N7*P7</f>
        <v>9750</v>
      </c>
      <c r="S7" s="236"/>
      <c r="T7" s="236"/>
      <c r="U7" s="237"/>
    </row>
    <row r="8" spans="1:21" ht="15.75">
      <c r="A8" s="944"/>
      <c r="B8" s="253" t="s">
        <v>395</v>
      </c>
      <c r="C8" s="232">
        <f>Namankan!J12+Namankan!J13+Namankan!J14</f>
        <v>5</v>
      </c>
      <c r="D8" s="232">
        <v>125</v>
      </c>
      <c r="E8" s="234">
        <f t="shared" si="0"/>
        <v>5</v>
      </c>
      <c r="F8" s="235" t="s">
        <v>315</v>
      </c>
      <c r="G8" s="235">
        <f t="shared" si="1"/>
        <v>125</v>
      </c>
      <c r="H8" s="235" t="s">
        <v>315</v>
      </c>
      <c r="I8" s="235">
        <v>10</v>
      </c>
      <c r="J8" s="235" t="s">
        <v>392</v>
      </c>
      <c r="K8" s="508">
        <f t="shared" ref="K8:K12" si="3">E8*G8*I8</f>
        <v>6250</v>
      </c>
      <c r="L8" s="234">
        <f t="shared" ref="L8:L12" si="4">IF(C8&lt;=0,0,(E8+5))</f>
        <v>10</v>
      </c>
      <c r="M8" s="235" t="s">
        <v>315</v>
      </c>
      <c r="N8" s="235">
        <f>D8</f>
        <v>125</v>
      </c>
      <c r="O8" s="235" t="s">
        <v>315</v>
      </c>
      <c r="P8" s="235">
        <v>10</v>
      </c>
      <c r="Q8" s="235" t="s">
        <v>392</v>
      </c>
      <c r="R8" s="508">
        <f t="shared" si="2"/>
        <v>12500</v>
      </c>
      <c r="S8" s="236"/>
      <c r="T8" s="236"/>
      <c r="U8" s="237"/>
    </row>
    <row r="9" spans="1:21" ht="15.75">
      <c r="A9" s="944" t="s">
        <v>393</v>
      </c>
      <c r="B9" s="253" t="s">
        <v>396</v>
      </c>
      <c r="C9" s="232">
        <f>Namankan!I15+Namankan!I16</f>
        <v>10</v>
      </c>
      <c r="D9" s="232">
        <v>225</v>
      </c>
      <c r="E9" s="234">
        <f t="shared" si="0"/>
        <v>10</v>
      </c>
      <c r="F9" s="235" t="s">
        <v>315</v>
      </c>
      <c r="G9" s="235">
        <f t="shared" si="1"/>
        <v>225</v>
      </c>
      <c r="H9" s="235" t="s">
        <v>315</v>
      </c>
      <c r="I9" s="235">
        <v>10</v>
      </c>
      <c r="J9" s="235" t="s">
        <v>392</v>
      </c>
      <c r="K9" s="508">
        <f t="shared" si="3"/>
        <v>22500</v>
      </c>
      <c r="L9" s="234">
        <f t="shared" si="4"/>
        <v>15</v>
      </c>
      <c r="M9" s="235" t="s">
        <v>315</v>
      </c>
      <c r="N9" s="235">
        <f>D9</f>
        <v>225</v>
      </c>
      <c r="O9" s="235" t="s">
        <v>315</v>
      </c>
      <c r="P9" s="235">
        <v>10</v>
      </c>
      <c r="Q9" s="235" t="s">
        <v>392</v>
      </c>
      <c r="R9" s="508">
        <f t="shared" si="2"/>
        <v>33750</v>
      </c>
      <c r="S9" s="236"/>
      <c r="T9" s="236"/>
      <c r="U9" s="237"/>
    </row>
    <row r="10" spans="1:21" ht="15.75">
      <c r="A10" s="945"/>
      <c r="B10" s="255" t="s">
        <v>395</v>
      </c>
      <c r="C10" s="238">
        <f>Namankan!J15+Namankan!J16</f>
        <v>3</v>
      </c>
      <c r="D10" s="238">
        <v>225</v>
      </c>
      <c r="E10" s="234">
        <f t="shared" si="0"/>
        <v>3</v>
      </c>
      <c r="F10" s="235" t="s">
        <v>315</v>
      </c>
      <c r="G10" s="235">
        <f t="shared" si="1"/>
        <v>225</v>
      </c>
      <c r="H10" s="235" t="s">
        <v>315</v>
      </c>
      <c r="I10" s="235">
        <v>10</v>
      </c>
      <c r="J10" s="235" t="s">
        <v>392</v>
      </c>
      <c r="K10" s="508">
        <f t="shared" si="3"/>
        <v>6750</v>
      </c>
      <c r="L10" s="234">
        <f t="shared" si="4"/>
        <v>8</v>
      </c>
      <c r="M10" s="235" t="s">
        <v>315</v>
      </c>
      <c r="N10" s="235">
        <v>100</v>
      </c>
      <c r="O10" s="235" t="s">
        <v>315</v>
      </c>
      <c r="P10" s="235">
        <v>10</v>
      </c>
      <c r="Q10" s="235" t="s">
        <v>392</v>
      </c>
      <c r="R10" s="508">
        <f t="shared" si="2"/>
        <v>8000</v>
      </c>
      <c r="S10" s="239"/>
      <c r="T10" s="239"/>
      <c r="U10" s="240"/>
    </row>
    <row r="11" spans="1:21" ht="15.75">
      <c r="A11" s="944" t="s">
        <v>394</v>
      </c>
      <c r="B11" s="253" t="s">
        <v>396</v>
      </c>
      <c r="C11" s="232">
        <f>Namankan!I17+Namankan!I18</f>
        <v>2</v>
      </c>
      <c r="D11" s="232">
        <v>230</v>
      </c>
      <c r="E11" s="234">
        <f t="shared" si="0"/>
        <v>2</v>
      </c>
      <c r="F11" s="235" t="s">
        <v>315</v>
      </c>
      <c r="G11" s="235">
        <f t="shared" si="1"/>
        <v>230</v>
      </c>
      <c r="H11" s="235" t="s">
        <v>315</v>
      </c>
      <c r="I11" s="235">
        <v>10</v>
      </c>
      <c r="J11" s="235" t="s">
        <v>392</v>
      </c>
      <c r="K11" s="508">
        <f t="shared" si="3"/>
        <v>4600</v>
      </c>
      <c r="L11" s="234">
        <f t="shared" si="4"/>
        <v>7</v>
      </c>
      <c r="M11" s="235" t="s">
        <v>315</v>
      </c>
      <c r="N11" s="235">
        <f>D11</f>
        <v>230</v>
      </c>
      <c r="O11" s="235" t="s">
        <v>315</v>
      </c>
      <c r="P11" s="235">
        <v>10</v>
      </c>
      <c r="Q11" s="235" t="s">
        <v>392</v>
      </c>
      <c r="R11" s="508">
        <f t="shared" si="2"/>
        <v>16100</v>
      </c>
      <c r="S11" s="236"/>
      <c r="T11" s="236"/>
      <c r="U11" s="237"/>
    </row>
    <row r="12" spans="1:21" ht="16.5" thickBot="1">
      <c r="A12" s="945"/>
      <c r="B12" s="255" t="s">
        <v>395</v>
      </c>
      <c r="C12" s="238">
        <f>Namankan!J17+Namankan!J18</f>
        <v>4</v>
      </c>
      <c r="D12" s="238">
        <v>230</v>
      </c>
      <c r="E12" s="234">
        <f t="shared" si="0"/>
        <v>4</v>
      </c>
      <c r="F12" s="235" t="s">
        <v>315</v>
      </c>
      <c r="G12" s="235">
        <f t="shared" si="1"/>
        <v>230</v>
      </c>
      <c r="H12" s="235" t="s">
        <v>315</v>
      </c>
      <c r="I12" s="235">
        <v>10</v>
      </c>
      <c r="J12" s="235" t="s">
        <v>392</v>
      </c>
      <c r="K12" s="508">
        <f t="shared" si="3"/>
        <v>9200</v>
      </c>
      <c r="L12" s="234">
        <f t="shared" si="4"/>
        <v>9</v>
      </c>
      <c r="M12" s="235" t="s">
        <v>315</v>
      </c>
      <c r="N12" s="235">
        <v>100</v>
      </c>
      <c r="O12" s="235" t="s">
        <v>315</v>
      </c>
      <c r="P12" s="235">
        <v>10</v>
      </c>
      <c r="Q12" s="235" t="s">
        <v>392</v>
      </c>
      <c r="R12" s="508">
        <f t="shared" si="2"/>
        <v>9000</v>
      </c>
      <c r="S12" s="239"/>
      <c r="T12" s="239"/>
      <c r="U12" s="240"/>
    </row>
    <row r="13" spans="1:21" ht="16.5" thickBot="1">
      <c r="A13" s="933" t="s">
        <v>38</v>
      </c>
      <c r="B13" s="934"/>
      <c r="C13" s="934"/>
      <c r="D13" s="935"/>
      <c r="E13" s="241"/>
      <c r="F13" s="242"/>
      <c r="G13" s="242"/>
      <c r="H13" s="242"/>
      <c r="I13" s="243"/>
      <c r="J13" s="243"/>
      <c r="K13" s="244">
        <f>SUM(K7:K12)</f>
        <v>55300</v>
      </c>
      <c r="L13" s="245"/>
      <c r="M13" s="243"/>
      <c r="N13" s="243"/>
      <c r="O13" s="243"/>
      <c r="P13" s="243"/>
      <c r="Q13" s="243"/>
      <c r="R13" s="244">
        <f>SUM(R7:R12)</f>
        <v>89100</v>
      </c>
      <c r="S13" s="246"/>
      <c r="T13" s="246"/>
      <c r="U13" s="247"/>
    </row>
    <row r="14" spans="1:21" ht="20.25">
      <c r="A14" s="946" t="str">
        <f>Summary!$A$2</f>
        <v>iz/kkukpk;Z egkRek xka/kh jktdh; fo|ky; ¼vaxzsth ek/;e½ cj ] ikyh</v>
      </c>
      <c r="B14" s="946"/>
      <c r="C14" s="946"/>
      <c r="D14" s="946"/>
      <c r="E14" s="946"/>
      <c r="F14" s="946"/>
      <c r="G14" s="946"/>
      <c r="H14" s="946"/>
      <c r="I14" s="946"/>
      <c r="J14" s="946"/>
      <c r="K14" s="946"/>
      <c r="L14" s="946"/>
      <c r="M14" s="946"/>
      <c r="N14" s="946"/>
      <c r="O14" s="946"/>
      <c r="P14" s="946"/>
      <c r="Q14" s="946"/>
      <c r="R14" s="946"/>
      <c r="S14" s="946"/>
      <c r="T14" s="946"/>
      <c r="U14" s="946"/>
    </row>
    <row r="15" spans="1:21" ht="20.25">
      <c r="A15" s="947" t="s">
        <v>398</v>
      </c>
      <c r="B15" s="947"/>
      <c r="C15" s="947"/>
      <c r="D15" s="947"/>
      <c r="E15" s="947"/>
      <c r="F15" s="947"/>
      <c r="G15" s="947"/>
      <c r="H15" s="947"/>
      <c r="I15" s="947"/>
      <c r="J15" s="947"/>
      <c r="K15" s="947"/>
      <c r="L15" s="947"/>
      <c r="M15" s="947"/>
      <c r="N15" s="947"/>
      <c r="O15" s="947"/>
      <c r="P15" s="947"/>
      <c r="Q15" s="947"/>
      <c r="R15" s="947"/>
      <c r="S15" s="947"/>
      <c r="T15" s="947"/>
      <c r="U15" s="947"/>
    </row>
    <row r="16" spans="1:21" ht="21" thickBot="1">
      <c r="A16" s="948" t="s">
        <v>399</v>
      </c>
      <c r="B16" s="948"/>
      <c r="C16" s="948"/>
      <c r="D16" s="948"/>
      <c r="E16" s="948"/>
      <c r="F16" s="948"/>
      <c r="G16" s="948"/>
      <c r="H16" s="948"/>
      <c r="I16" s="948"/>
      <c r="J16" s="948"/>
      <c r="K16" s="948"/>
      <c r="L16" s="948"/>
      <c r="M16" s="948"/>
      <c r="N16" s="948"/>
      <c r="O16" s="948"/>
      <c r="P16" s="948"/>
      <c r="Q16" s="948"/>
      <c r="R16" s="948"/>
      <c r="S16" s="948"/>
      <c r="T16" s="948"/>
      <c r="U16" s="948"/>
    </row>
    <row r="17" spans="1:21" ht="25.5" customHeight="1">
      <c r="A17" s="949" t="s">
        <v>386</v>
      </c>
      <c r="B17" s="950" t="s">
        <v>397</v>
      </c>
      <c r="C17" s="950"/>
      <c r="D17" s="950" t="s">
        <v>387</v>
      </c>
      <c r="E17" s="952" t="str">
        <f>E4</f>
        <v>o"kZ 2021&amp;22 ds fy, 
la'kksf/kr vuqeku
10 ekg ds fy,</v>
      </c>
      <c r="F17" s="953"/>
      <c r="G17" s="953"/>
      <c r="H17" s="953"/>
      <c r="I17" s="953"/>
      <c r="J17" s="953"/>
      <c r="K17" s="954"/>
      <c r="L17" s="952" t="str">
        <f>L4</f>
        <v>o"kZ 2022&amp;23 ds fy, 
vuqekfur jkf'k 
10 ekg ds fy,</v>
      </c>
      <c r="M17" s="953"/>
      <c r="N17" s="953"/>
      <c r="O17" s="953"/>
      <c r="P17" s="953"/>
      <c r="Q17" s="953"/>
      <c r="R17" s="954"/>
      <c r="S17" s="950" t="s">
        <v>388</v>
      </c>
      <c r="T17" s="950"/>
      <c r="U17" s="958"/>
    </row>
    <row r="18" spans="1:21" ht="23.25" customHeight="1">
      <c r="A18" s="944"/>
      <c r="B18" s="951"/>
      <c r="C18" s="951"/>
      <c r="D18" s="951"/>
      <c r="E18" s="955"/>
      <c r="F18" s="956"/>
      <c r="G18" s="956"/>
      <c r="H18" s="956"/>
      <c r="I18" s="956"/>
      <c r="J18" s="956"/>
      <c r="K18" s="957"/>
      <c r="L18" s="955"/>
      <c r="M18" s="956"/>
      <c r="N18" s="956"/>
      <c r="O18" s="956"/>
      <c r="P18" s="956"/>
      <c r="Q18" s="956"/>
      <c r="R18" s="957"/>
      <c r="S18" s="253" t="s">
        <v>389</v>
      </c>
      <c r="T18" s="253" t="s">
        <v>41</v>
      </c>
      <c r="U18" s="254" t="s">
        <v>390</v>
      </c>
    </row>
    <row r="19" spans="1:21">
      <c r="A19" s="229">
        <v>1</v>
      </c>
      <c r="B19" s="937">
        <v>2</v>
      </c>
      <c r="C19" s="937"/>
      <c r="D19" s="230">
        <v>3</v>
      </c>
      <c r="E19" s="938">
        <v>4</v>
      </c>
      <c r="F19" s="939"/>
      <c r="G19" s="939"/>
      <c r="H19" s="939"/>
      <c r="I19" s="939"/>
      <c r="J19" s="939"/>
      <c r="K19" s="940"/>
      <c r="L19" s="941">
        <v>5</v>
      </c>
      <c r="M19" s="942"/>
      <c r="N19" s="942"/>
      <c r="O19" s="942"/>
      <c r="P19" s="942"/>
      <c r="Q19" s="942"/>
      <c r="R19" s="943"/>
      <c r="S19" s="230">
        <v>6</v>
      </c>
      <c r="T19" s="230">
        <v>7</v>
      </c>
      <c r="U19" s="231">
        <v>8</v>
      </c>
    </row>
    <row r="20" spans="1:21" ht="15.75">
      <c r="A20" s="944" t="s">
        <v>391</v>
      </c>
      <c r="B20" s="253" t="s">
        <v>396</v>
      </c>
      <c r="C20" s="232">
        <f>Namankan!F12+Namankan!F13+Namankan!F14</f>
        <v>0</v>
      </c>
      <c r="D20" s="233">
        <v>75</v>
      </c>
      <c r="E20" s="234">
        <f t="shared" ref="E20:E25" si="5">C20</f>
        <v>0</v>
      </c>
      <c r="F20" s="235" t="s">
        <v>315</v>
      </c>
      <c r="G20" s="235">
        <f t="shared" ref="G20:G25" si="6">D20</f>
        <v>75</v>
      </c>
      <c r="H20" s="235" t="s">
        <v>315</v>
      </c>
      <c r="I20" s="235">
        <v>10</v>
      </c>
      <c r="J20" s="235" t="s">
        <v>392</v>
      </c>
      <c r="K20" s="508">
        <f t="shared" ref="K20:K25" si="7">E20*G20*I20</f>
        <v>0</v>
      </c>
      <c r="L20" s="234">
        <f t="shared" ref="L20:L25" si="8">IF(C20&lt;=0,0,(E20+5))</f>
        <v>0</v>
      </c>
      <c r="M20" s="235" t="s">
        <v>315</v>
      </c>
      <c r="N20" s="235">
        <f>D20</f>
        <v>75</v>
      </c>
      <c r="O20" s="235" t="s">
        <v>315</v>
      </c>
      <c r="P20" s="235">
        <v>10</v>
      </c>
      <c r="Q20" s="235" t="s">
        <v>392</v>
      </c>
      <c r="R20" s="508">
        <f t="shared" ref="R20:R25" si="9">L20*N20*P20</f>
        <v>0</v>
      </c>
      <c r="S20" s="236"/>
      <c r="T20" s="236"/>
      <c r="U20" s="237"/>
    </row>
    <row r="21" spans="1:21" ht="15.75">
      <c r="A21" s="944"/>
      <c r="B21" s="253" t="s">
        <v>395</v>
      </c>
      <c r="C21" s="232">
        <f>Namankan!G12+Namankan!G13+Namankan!G14</f>
        <v>0</v>
      </c>
      <c r="D21" s="232">
        <v>125</v>
      </c>
      <c r="E21" s="234">
        <f t="shared" si="5"/>
        <v>0</v>
      </c>
      <c r="F21" s="235" t="s">
        <v>315</v>
      </c>
      <c r="G21" s="235">
        <f t="shared" si="6"/>
        <v>125</v>
      </c>
      <c r="H21" s="235" t="s">
        <v>315</v>
      </c>
      <c r="I21" s="235">
        <v>10</v>
      </c>
      <c r="J21" s="235" t="s">
        <v>392</v>
      </c>
      <c r="K21" s="508">
        <f t="shared" si="7"/>
        <v>0</v>
      </c>
      <c r="L21" s="234">
        <f t="shared" si="8"/>
        <v>0</v>
      </c>
      <c r="M21" s="235" t="s">
        <v>315</v>
      </c>
      <c r="N21" s="235">
        <f>D21</f>
        <v>125</v>
      </c>
      <c r="O21" s="235" t="s">
        <v>315</v>
      </c>
      <c r="P21" s="235">
        <v>10</v>
      </c>
      <c r="Q21" s="235" t="s">
        <v>392</v>
      </c>
      <c r="R21" s="508">
        <f t="shared" si="9"/>
        <v>0</v>
      </c>
      <c r="S21" s="236"/>
      <c r="T21" s="236"/>
      <c r="U21" s="237"/>
    </row>
    <row r="22" spans="1:21" ht="15.75">
      <c r="A22" s="944" t="s">
        <v>393</v>
      </c>
      <c r="B22" s="253" t="s">
        <v>396</v>
      </c>
      <c r="C22" s="232">
        <f>Namankan!F15+Namankan!F16</f>
        <v>0</v>
      </c>
      <c r="D22" s="232">
        <v>225</v>
      </c>
      <c r="E22" s="234">
        <f t="shared" si="5"/>
        <v>0</v>
      </c>
      <c r="F22" s="235" t="s">
        <v>315</v>
      </c>
      <c r="G22" s="235">
        <f t="shared" si="6"/>
        <v>225</v>
      </c>
      <c r="H22" s="235" t="s">
        <v>315</v>
      </c>
      <c r="I22" s="235">
        <v>10</v>
      </c>
      <c r="J22" s="235" t="s">
        <v>392</v>
      </c>
      <c r="K22" s="508">
        <f t="shared" si="7"/>
        <v>0</v>
      </c>
      <c r="L22" s="234">
        <f t="shared" si="8"/>
        <v>0</v>
      </c>
      <c r="M22" s="235" t="s">
        <v>315</v>
      </c>
      <c r="N22" s="235">
        <f>D22</f>
        <v>225</v>
      </c>
      <c r="O22" s="235" t="s">
        <v>315</v>
      </c>
      <c r="P22" s="235">
        <v>10</v>
      </c>
      <c r="Q22" s="235" t="s">
        <v>392</v>
      </c>
      <c r="R22" s="508">
        <f t="shared" si="9"/>
        <v>0</v>
      </c>
      <c r="S22" s="236"/>
      <c r="T22" s="236"/>
      <c r="U22" s="237"/>
    </row>
    <row r="23" spans="1:21" ht="15.75">
      <c r="A23" s="945"/>
      <c r="B23" s="255" t="s">
        <v>395</v>
      </c>
      <c r="C23" s="238">
        <f>Namankan!G15+Namankan!G16</f>
        <v>0</v>
      </c>
      <c r="D23" s="238">
        <v>225</v>
      </c>
      <c r="E23" s="234">
        <f t="shared" si="5"/>
        <v>0</v>
      </c>
      <c r="F23" s="235" t="s">
        <v>315</v>
      </c>
      <c r="G23" s="235">
        <f t="shared" si="6"/>
        <v>225</v>
      </c>
      <c r="H23" s="235" t="s">
        <v>315</v>
      </c>
      <c r="I23" s="235">
        <v>10</v>
      </c>
      <c r="J23" s="235" t="s">
        <v>392</v>
      </c>
      <c r="K23" s="508">
        <f t="shared" si="7"/>
        <v>0</v>
      </c>
      <c r="L23" s="234">
        <f t="shared" si="8"/>
        <v>0</v>
      </c>
      <c r="M23" s="235" t="s">
        <v>315</v>
      </c>
      <c r="N23" s="235">
        <v>100</v>
      </c>
      <c r="O23" s="235" t="s">
        <v>315</v>
      </c>
      <c r="P23" s="235">
        <v>10</v>
      </c>
      <c r="Q23" s="235" t="s">
        <v>392</v>
      </c>
      <c r="R23" s="508">
        <f t="shared" si="9"/>
        <v>0</v>
      </c>
      <c r="S23" s="239"/>
      <c r="T23" s="239"/>
      <c r="U23" s="240"/>
    </row>
    <row r="24" spans="1:21" ht="15.75">
      <c r="A24" s="944" t="s">
        <v>394</v>
      </c>
      <c r="B24" s="253" t="s">
        <v>396</v>
      </c>
      <c r="C24" s="232">
        <f>Namankan!F17+Namankan!F18</f>
        <v>0</v>
      </c>
      <c r="D24" s="232">
        <v>230</v>
      </c>
      <c r="E24" s="234">
        <f t="shared" si="5"/>
        <v>0</v>
      </c>
      <c r="F24" s="235" t="s">
        <v>315</v>
      </c>
      <c r="G24" s="235">
        <f t="shared" si="6"/>
        <v>230</v>
      </c>
      <c r="H24" s="235" t="s">
        <v>315</v>
      </c>
      <c r="I24" s="235">
        <v>10</v>
      </c>
      <c r="J24" s="235" t="s">
        <v>392</v>
      </c>
      <c r="K24" s="508">
        <f t="shared" si="7"/>
        <v>0</v>
      </c>
      <c r="L24" s="234">
        <f t="shared" si="8"/>
        <v>0</v>
      </c>
      <c r="M24" s="235" t="s">
        <v>315</v>
      </c>
      <c r="N24" s="235">
        <f>D24</f>
        <v>230</v>
      </c>
      <c r="O24" s="235" t="s">
        <v>315</v>
      </c>
      <c r="P24" s="235">
        <v>10</v>
      </c>
      <c r="Q24" s="235" t="s">
        <v>392</v>
      </c>
      <c r="R24" s="508">
        <f t="shared" si="9"/>
        <v>0</v>
      </c>
      <c r="S24" s="236"/>
      <c r="T24" s="236"/>
      <c r="U24" s="237"/>
    </row>
    <row r="25" spans="1:21" ht="16.5" thickBot="1">
      <c r="A25" s="945"/>
      <c r="B25" s="255" t="s">
        <v>395</v>
      </c>
      <c r="C25" s="238">
        <f>Namankan!G17+Namankan!G18</f>
        <v>1</v>
      </c>
      <c r="D25" s="238">
        <v>230</v>
      </c>
      <c r="E25" s="234">
        <f t="shared" si="5"/>
        <v>1</v>
      </c>
      <c r="F25" s="235" t="s">
        <v>315</v>
      </c>
      <c r="G25" s="235">
        <f t="shared" si="6"/>
        <v>230</v>
      </c>
      <c r="H25" s="235" t="s">
        <v>315</v>
      </c>
      <c r="I25" s="235">
        <v>10</v>
      </c>
      <c r="J25" s="235" t="s">
        <v>392</v>
      </c>
      <c r="K25" s="508">
        <f t="shared" si="7"/>
        <v>2300</v>
      </c>
      <c r="L25" s="234">
        <f t="shared" si="8"/>
        <v>6</v>
      </c>
      <c r="M25" s="235" t="s">
        <v>315</v>
      </c>
      <c r="N25" s="235">
        <v>100</v>
      </c>
      <c r="O25" s="235" t="s">
        <v>315</v>
      </c>
      <c r="P25" s="235">
        <v>10</v>
      </c>
      <c r="Q25" s="235" t="s">
        <v>392</v>
      </c>
      <c r="R25" s="508">
        <f t="shared" si="9"/>
        <v>6000</v>
      </c>
      <c r="S25" s="239"/>
      <c r="T25" s="239"/>
      <c r="U25" s="240"/>
    </row>
    <row r="26" spans="1:21" ht="16.5" thickBot="1">
      <c r="A26" s="933" t="s">
        <v>38</v>
      </c>
      <c r="B26" s="934"/>
      <c r="C26" s="934"/>
      <c r="D26" s="935"/>
      <c r="E26" s="248"/>
      <c r="F26" s="249"/>
      <c r="G26" s="249"/>
      <c r="H26" s="249"/>
      <c r="I26" s="250"/>
      <c r="J26" s="250"/>
      <c r="K26" s="251">
        <f>SUM(K20:K25)</f>
        <v>2300</v>
      </c>
      <c r="L26" s="252"/>
      <c r="M26" s="250"/>
      <c r="N26" s="250"/>
      <c r="O26" s="250"/>
      <c r="P26" s="250"/>
      <c r="Q26" s="250"/>
      <c r="R26" s="251">
        <f>SUM(R20:R25)</f>
        <v>6000</v>
      </c>
      <c r="S26" s="246"/>
      <c r="T26" s="246"/>
      <c r="U26" s="247"/>
    </row>
    <row r="27" spans="1:21" ht="20.25">
      <c r="A27" s="946" t="str">
        <f>Summary!$A$2</f>
        <v>iz/kkukpk;Z egkRek xka/kh jktdh; fo|ky; ¼vaxzsth ek/;e½ cj ] ikyh</v>
      </c>
      <c r="B27" s="946"/>
      <c r="C27" s="946"/>
      <c r="D27" s="946"/>
      <c r="E27" s="946"/>
      <c r="F27" s="946"/>
      <c r="G27" s="946"/>
      <c r="H27" s="946"/>
      <c r="I27" s="946"/>
      <c r="J27" s="946"/>
      <c r="K27" s="946"/>
      <c r="L27" s="946"/>
      <c r="M27" s="946"/>
      <c r="N27" s="946"/>
      <c r="O27" s="946"/>
      <c r="P27" s="946"/>
      <c r="Q27" s="946"/>
      <c r="R27" s="946"/>
      <c r="S27" s="946"/>
      <c r="T27" s="946"/>
      <c r="U27" s="946"/>
    </row>
    <row r="28" spans="1:21" ht="20.25">
      <c r="A28" s="947" t="s">
        <v>385</v>
      </c>
      <c r="B28" s="947"/>
      <c r="C28" s="947"/>
      <c r="D28" s="947"/>
      <c r="E28" s="947"/>
      <c r="F28" s="947"/>
      <c r="G28" s="947"/>
      <c r="H28" s="947"/>
      <c r="I28" s="947"/>
      <c r="J28" s="947"/>
      <c r="K28" s="947"/>
      <c r="L28" s="947"/>
      <c r="M28" s="947"/>
      <c r="N28" s="947"/>
      <c r="O28" s="947"/>
      <c r="P28" s="947"/>
      <c r="Q28" s="947"/>
      <c r="R28" s="947"/>
      <c r="S28" s="947"/>
      <c r="T28" s="947"/>
      <c r="U28" s="947"/>
    </row>
    <row r="29" spans="1:21" ht="21" thickBot="1">
      <c r="A29" s="948" t="s">
        <v>400</v>
      </c>
      <c r="B29" s="948"/>
      <c r="C29" s="948"/>
      <c r="D29" s="948"/>
      <c r="E29" s="948"/>
      <c r="F29" s="948"/>
      <c r="G29" s="948"/>
      <c r="H29" s="948"/>
      <c r="I29" s="948"/>
      <c r="J29" s="948"/>
      <c r="K29" s="948"/>
      <c r="L29" s="948"/>
      <c r="M29" s="948"/>
      <c r="N29" s="948"/>
      <c r="O29" s="948"/>
      <c r="P29" s="948"/>
      <c r="Q29" s="948"/>
      <c r="R29" s="948"/>
      <c r="S29" s="948"/>
      <c r="T29" s="948"/>
      <c r="U29" s="948"/>
    </row>
    <row r="30" spans="1:21" ht="27" customHeight="1">
      <c r="A30" s="949" t="s">
        <v>386</v>
      </c>
      <c r="B30" s="950" t="s">
        <v>397</v>
      </c>
      <c r="C30" s="950"/>
      <c r="D30" s="950" t="s">
        <v>387</v>
      </c>
      <c r="E30" s="952" t="str">
        <f>E17</f>
        <v>o"kZ 2021&amp;22 ds fy, 
la'kksf/kr vuqeku
10 ekg ds fy,</v>
      </c>
      <c r="F30" s="953"/>
      <c r="G30" s="953"/>
      <c r="H30" s="953"/>
      <c r="I30" s="953"/>
      <c r="J30" s="953"/>
      <c r="K30" s="954"/>
      <c r="L30" s="952" t="str">
        <f>L17</f>
        <v>o"kZ 2022&amp;23 ds fy, 
vuqekfur jkf'k 
10 ekg ds fy,</v>
      </c>
      <c r="M30" s="953"/>
      <c r="N30" s="953"/>
      <c r="O30" s="953"/>
      <c r="P30" s="953"/>
      <c r="Q30" s="953"/>
      <c r="R30" s="954"/>
      <c r="S30" s="950" t="s">
        <v>388</v>
      </c>
      <c r="T30" s="950"/>
      <c r="U30" s="958"/>
    </row>
    <row r="31" spans="1:21" ht="25.5" customHeight="1">
      <c r="A31" s="944"/>
      <c r="B31" s="951"/>
      <c r="C31" s="951"/>
      <c r="D31" s="951"/>
      <c r="E31" s="955"/>
      <c r="F31" s="956"/>
      <c r="G31" s="956"/>
      <c r="H31" s="956"/>
      <c r="I31" s="956"/>
      <c r="J31" s="956"/>
      <c r="K31" s="957"/>
      <c r="L31" s="955"/>
      <c r="M31" s="956"/>
      <c r="N31" s="956"/>
      <c r="O31" s="956"/>
      <c r="P31" s="956"/>
      <c r="Q31" s="956"/>
      <c r="R31" s="957"/>
      <c r="S31" s="253" t="s">
        <v>389</v>
      </c>
      <c r="T31" s="253" t="s">
        <v>41</v>
      </c>
      <c r="U31" s="254" t="s">
        <v>390</v>
      </c>
    </row>
    <row r="32" spans="1:21">
      <c r="A32" s="229">
        <v>1</v>
      </c>
      <c r="B32" s="937">
        <v>2</v>
      </c>
      <c r="C32" s="937"/>
      <c r="D32" s="230">
        <v>3</v>
      </c>
      <c r="E32" s="938">
        <v>4</v>
      </c>
      <c r="F32" s="939"/>
      <c r="G32" s="939"/>
      <c r="H32" s="939"/>
      <c r="I32" s="939"/>
      <c r="J32" s="939"/>
      <c r="K32" s="940"/>
      <c r="L32" s="941">
        <v>5</v>
      </c>
      <c r="M32" s="942"/>
      <c r="N32" s="942"/>
      <c r="O32" s="942"/>
      <c r="P32" s="942"/>
      <c r="Q32" s="942"/>
      <c r="R32" s="943"/>
      <c r="S32" s="230">
        <v>6</v>
      </c>
      <c r="T32" s="230">
        <v>7</v>
      </c>
      <c r="U32" s="231">
        <v>8</v>
      </c>
    </row>
    <row r="33" spans="1:21" ht="15.75">
      <c r="A33" s="944" t="s">
        <v>391</v>
      </c>
      <c r="B33" s="253" t="s">
        <v>396</v>
      </c>
      <c r="C33" s="232">
        <f>Namankan!L12+Namankan!L13+Namankan!L14+Namankan!O12+Namankan!O13+Namankan!O14</f>
        <v>50</v>
      </c>
      <c r="D33" s="233">
        <v>40</v>
      </c>
      <c r="E33" s="234">
        <f t="shared" ref="E33:E38" si="10">C33</f>
        <v>50</v>
      </c>
      <c r="F33" s="235" t="s">
        <v>315</v>
      </c>
      <c r="G33" s="235">
        <f t="shared" ref="G33:G38" si="11">D33</f>
        <v>40</v>
      </c>
      <c r="H33" s="235" t="s">
        <v>315</v>
      </c>
      <c r="I33" s="235">
        <v>10</v>
      </c>
      <c r="J33" s="235" t="s">
        <v>392</v>
      </c>
      <c r="K33" s="507">
        <f t="shared" ref="K33:K38" si="12">E33*G33*I33</f>
        <v>20000</v>
      </c>
      <c r="L33" s="234">
        <f t="shared" ref="L33:L38" si="13">IF(C33&lt;=0,0,(E33+5))</f>
        <v>55</v>
      </c>
      <c r="M33" s="235" t="s">
        <v>315</v>
      </c>
      <c r="N33" s="235">
        <f t="shared" ref="N33:N38" si="14">D33</f>
        <v>40</v>
      </c>
      <c r="O33" s="235" t="s">
        <v>315</v>
      </c>
      <c r="P33" s="235">
        <v>10</v>
      </c>
      <c r="Q33" s="235" t="s">
        <v>392</v>
      </c>
      <c r="R33" s="508">
        <f t="shared" ref="R33:R38" si="15">L33*N33*P33</f>
        <v>22000</v>
      </c>
      <c r="S33" s="236"/>
      <c r="T33" s="236"/>
      <c r="U33" s="237"/>
    </row>
    <row r="34" spans="1:21" ht="15.75">
      <c r="A34" s="944"/>
      <c r="B34" s="253" t="s">
        <v>395</v>
      </c>
      <c r="C34" s="232">
        <f>Namankan!M12+Namankan!M13+Namankan!M14+Namankan!P12+Namankan!P13+Namankan!P14</f>
        <v>39</v>
      </c>
      <c r="D34" s="232">
        <v>40</v>
      </c>
      <c r="E34" s="234">
        <f t="shared" si="10"/>
        <v>39</v>
      </c>
      <c r="F34" s="235" t="s">
        <v>315</v>
      </c>
      <c r="G34" s="235">
        <f t="shared" si="11"/>
        <v>40</v>
      </c>
      <c r="H34" s="235" t="s">
        <v>315</v>
      </c>
      <c r="I34" s="235">
        <v>10</v>
      </c>
      <c r="J34" s="235" t="s">
        <v>392</v>
      </c>
      <c r="K34" s="507">
        <f t="shared" si="12"/>
        <v>15600</v>
      </c>
      <c r="L34" s="234">
        <f t="shared" si="13"/>
        <v>44</v>
      </c>
      <c r="M34" s="235" t="s">
        <v>315</v>
      </c>
      <c r="N34" s="235">
        <f t="shared" si="14"/>
        <v>40</v>
      </c>
      <c r="O34" s="235" t="s">
        <v>315</v>
      </c>
      <c r="P34" s="235">
        <v>10</v>
      </c>
      <c r="Q34" s="235" t="s">
        <v>392</v>
      </c>
      <c r="R34" s="508">
        <f t="shared" si="15"/>
        <v>17600</v>
      </c>
      <c r="S34" s="236"/>
      <c r="T34" s="236"/>
      <c r="U34" s="237"/>
    </row>
    <row r="35" spans="1:21" ht="15.75">
      <c r="A35" s="944" t="s">
        <v>393</v>
      </c>
      <c r="B35" s="253" t="s">
        <v>396</v>
      </c>
      <c r="C35" s="232">
        <f>Namankan!L15+Namankan!L16+Namankan!O15+Namankan!O16</f>
        <v>160</v>
      </c>
      <c r="D35" s="232">
        <v>50</v>
      </c>
      <c r="E35" s="234">
        <f t="shared" si="10"/>
        <v>160</v>
      </c>
      <c r="F35" s="235" t="s">
        <v>315</v>
      </c>
      <c r="G35" s="235">
        <f t="shared" si="11"/>
        <v>50</v>
      </c>
      <c r="H35" s="235" t="s">
        <v>315</v>
      </c>
      <c r="I35" s="235">
        <v>10</v>
      </c>
      <c r="J35" s="235" t="s">
        <v>392</v>
      </c>
      <c r="K35" s="507">
        <f t="shared" si="12"/>
        <v>80000</v>
      </c>
      <c r="L35" s="234">
        <f t="shared" si="13"/>
        <v>165</v>
      </c>
      <c r="M35" s="235" t="s">
        <v>315</v>
      </c>
      <c r="N35" s="235">
        <f t="shared" si="14"/>
        <v>50</v>
      </c>
      <c r="O35" s="235" t="s">
        <v>315</v>
      </c>
      <c r="P35" s="235">
        <v>10</v>
      </c>
      <c r="Q35" s="235" t="s">
        <v>392</v>
      </c>
      <c r="R35" s="508">
        <f t="shared" si="15"/>
        <v>82500</v>
      </c>
      <c r="S35" s="236"/>
      <c r="T35" s="236"/>
      <c r="U35" s="237"/>
    </row>
    <row r="36" spans="1:21" ht="15.75">
      <c r="A36" s="945"/>
      <c r="B36" s="255" t="s">
        <v>395</v>
      </c>
      <c r="C36" s="238">
        <f>Namankan!M15+Namankan!M16+Namankan!P15+Namankan!P16</f>
        <v>119</v>
      </c>
      <c r="D36" s="238">
        <v>50</v>
      </c>
      <c r="E36" s="234">
        <f t="shared" si="10"/>
        <v>119</v>
      </c>
      <c r="F36" s="235" t="s">
        <v>315</v>
      </c>
      <c r="G36" s="235">
        <f t="shared" si="11"/>
        <v>50</v>
      </c>
      <c r="H36" s="235" t="s">
        <v>315</v>
      </c>
      <c r="I36" s="235">
        <v>10</v>
      </c>
      <c r="J36" s="235" t="s">
        <v>392</v>
      </c>
      <c r="K36" s="507">
        <f t="shared" si="12"/>
        <v>59500</v>
      </c>
      <c r="L36" s="234">
        <f t="shared" si="13"/>
        <v>124</v>
      </c>
      <c r="M36" s="235" t="s">
        <v>315</v>
      </c>
      <c r="N36" s="235">
        <f t="shared" si="14"/>
        <v>50</v>
      </c>
      <c r="O36" s="235" t="s">
        <v>315</v>
      </c>
      <c r="P36" s="235">
        <v>10</v>
      </c>
      <c r="Q36" s="235" t="s">
        <v>392</v>
      </c>
      <c r="R36" s="508">
        <f t="shared" si="15"/>
        <v>62000</v>
      </c>
      <c r="S36" s="239"/>
      <c r="T36" s="239"/>
      <c r="U36" s="240"/>
    </row>
    <row r="37" spans="1:21" ht="15.75">
      <c r="A37" s="944" t="s">
        <v>394</v>
      </c>
      <c r="B37" s="253" t="s">
        <v>396</v>
      </c>
      <c r="C37" s="232">
        <f>Namankan!L17+Namankan!L18+Namankan!O17+Namankan!O18</f>
        <v>49</v>
      </c>
      <c r="D37" s="232">
        <v>90</v>
      </c>
      <c r="E37" s="234">
        <f t="shared" si="10"/>
        <v>49</v>
      </c>
      <c r="F37" s="235" t="s">
        <v>315</v>
      </c>
      <c r="G37" s="235">
        <f t="shared" si="11"/>
        <v>90</v>
      </c>
      <c r="H37" s="235" t="s">
        <v>315</v>
      </c>
      <c r="I37" s="235">
        <v>10</v>
      </c>
      <c r="J37" s="235" t="s">
        <v>392</v>
      </c>
      <c r="K37" s="507">
        <f t="shared" si="12"/>
        <v>44100</v>
      </c>
      <c r="L37" s="234">
        <f t="shared" si="13"/>
        <v>54</v>
      </c>
      <c r="M37" s="235" t="s">
        <v>315</v>
      </c>
      <c r="N37" s="235">
        <f t="shared" si="14"/>
        <v>90</v>
      </c>
      <c r="O37" s="235" t="s">
        <v>315</v>
      </c>
      <c r="P37" s="235">
        <v>10</v>
      </c>
      <c r="Q37" s="235" t="s">
        <v>392</v>
      </c>
      <c r="R37" s="508">
        <f t="shared" si="15"/>
        <v>48600</v>
      </c>
      <c r="S37" s="236"/>
      <c r="T37" s="236"/>
      <c r="U37" s="237"/>
    </row>
    <row r="38" spans="1:21" ht="16.5" thickBot="1">
      <c r="A38" s="945"/>
      <c r="B38" s="255" t="s">
        <v>395</v>
      </c>
      <c r="C38" s="238">
        <f>Namankan!M17+Namankan!M18+Namankan!P17+Namankan!P18</f>
        <v>56</v>
      </c>
      <c r="D38" s="238">
        <v>90</v>
      </c>
      <c r="E38" s="234">
        <f t="shared" si="10"/>
        <v>56</v>
      </c>
      <c r="F38" s="235" t="s">
        <v>315</v>
      </c>
      <c r="G38" s="235">
        <f t="shared" si="11"/>
        <v>90</v>
      </c>
      <c r="H38" s="235" t="s">
        <v>315</v>
      </c>
      <c r="I38" s="235">
        <v>10</v>
      </c>
      <c r="J38" s="235" t="s">
        <v>392</v>
      </c>
      <c r="K38" s="507">
        <f t="shared" si="12"/>
        <v>50400</v>
      </c>
      <c r="L38" s="234">
        <f t="shared" si="13"/>
        <v>61</v>
      </c>
      <c r="M38" s="235" t="s">
        <v>315</v>
      </c>
      <c r="N38" s="235">
        <f t="shared" si="14"/>
        <v>90</v>
      </c>
      <c r="O38" s="235" t="s">
        <v>315</v>
      </c>
      <c r="P38" s="235">
        <v>10</v>
      </c>
      <c r="Q38" s="235" t="s">
        <v>392</v>
      </c>
      <c r="R38" s="508">
        <f t="shared" si="15"/>
        <v>54900</v>
      </c>
      <c r="S38" s="239"/>
      <c r="T38" s="239"/>
      <c r="U38" s="240"/>
    </row>
    <row r="39" spans="1:21" ht="16.5" thickBot="1">
      <c r="A39" s="933" t="s">
        <v>38</v>
      </c>
      <c r="B39" s="934"/>
      <c r="C39" s="934"/>
      <c r="D39" s="935"/>
      <c r="E39" s="241"/>
      <c r="F39" s="242"/>
      <c r="G39" s="242"/>
      <c r="H39" s="242"/>
      <c r="I39" s="243"/>
      <c r="J39" s="243"/>
      <c r="K39" s="244">
        <f>SUM(K33:K38)</f>
        <v>269600</v>
      </c>
      <c r="L39" s="245"/>
      <c r="M39" s="243"/>
      <c r="N39" s="243"/>
      <c r="O39" s="243"/>
      <c r="P39" s="243"/>
      <c r="Q39" s="243"/>
      <c r="R39" s="244">
        <f>SUM(R33:R38)</f>
        <v>287600</v>
      </c>
      <c r="S39" s="246"/>
      <c r="T39" s="246"/>
      <c r="U39" s="247"/>
    </row>
    <row r="40" spans="1:21">
      <c r="A40" s="566" t="s">
        <v>558</v>
      </c>
    </row>
    <row r="41" spans="1:21" s="330" customFormat="1">
      <c r="A41" s="528"/>
    </row>
    <row r="42" spans="1:21" s="330" customFormat="1">
      <c r="A42" s="528"/>
    </row>
    <row r="43" spans="1:21" s="330" customFormat="1">
      <c r="A43" s="528"/>
      <c r="R43" s="959" t="str">
        <f>CONCATENATE("¼ ",Master!G3,"½")</f>
        <v>¼ m"kk ikfy;k½</v>
      </c>
      <c r="S43" s="959"/>
      <c r="T43" s="959"/>
      <c r="U43" s="959"/>
    </row>
    <row r="44" spans="1:21" ht="18.75">
      <c r="R44" s="936" t="str">
        <f>Master!C2</f>
        <v>iz/kkukpk;Z</v>
      </c>
      <c r="S44" s="936"/>
      <c r="T44" s="936"/>
      <c r="U44" s="936"/>
    </row>
    <row r="45" spans="1:21" ht="15" customHeight="1">
      <c r="R45" s="849" t="str">
        <f>Master!D2</f>
        <v>egkRek xka/kh jktdh; fo|ky; ¼vaxzsth ek/;e½ cj ] ikyh</v>
      </c>
      <c r="S45" s="849"/>
      <c r="T45" s="849"/>
      <c r="U45" s="849"/>
    </row>
    <row r="46" spans="1:21" ht="34.5" customHeight="1">
      <c r="R46" s="849"/>
      <c r="S46" s="849"/>
      <c r="T46" s="849"/>
      <c r="U46" s="849"/>
    </row>
  </sheetData>
  <mergeCells count="52">
    <mergeCell ref="R43:U43"/>
    <mergeCell ref="A11:A12"/>
    <mergeCell ref="A1:U1"/>
    <mergeCell ref="A3:U3"/>
    <mergeCell ref="A4:A5"/>
    <mergeCell ref="B4:C5"/>
    <mergeCell ref="D4:D5"/>
    <mergeCell ref="E4:K5"/>
    <mergeCell ref="L4:R5"/>
    <mergeCell ref="S4:U4"/>
    <mergeCell ref="B6:C6"/>
    <mergeCell ref="E6:K6"/>
    <mergeCell ref="L6:R6"/>
    <mergeCell ref="A7:A8"/>
    <mergeCell ref="A9:A10"/>
    <mergeCell ref="H2:P2"/>
    <mergeCell ref="B19:C19"/>
    <mergeCell ref="E19:K19"/>
    <mergeCell ref="L19:R19"/>
    <mergeCell ref="A20:A21"/>
    <mergeCell ref="A22:A23"/>
    <mergeCell ref="A13:D13"/>
    <mergeCell ref="A14:U14"/>
    <mergeCell ref="A15:U15"/>
    <mergeCell ref="A16:U16"/>
    <mergeCell ref="A17:A18"/>
    <mergeCell ref="B17:C18"/>
    <mergeCell ref="D17:D18"/>
    <mergeCell ref="E17:K18"/>
    <mergeCell ref="L17:R18"/>
    <mergeCell ref="S17:U17"/>
    <mergeCell ref="D30:D31"/>
    <mergeCell ref="E30:K31"/>
    <mergeCell ref="L30:R31"/>
    <mergeCell ref="S30:U30"/>
    <mergeCell ref="A24:A25"/>
    <mergeCell ref="S2:U2"/>
    <mergeCell ref="A39:D39"/>
    <mergeCell ref="R44:U44"/>
    <mergeCell ref="R45:U46"/>
    <mergeCell ref="B32:C32"/>
    <mergeCell ref="E32:K32"/>
    <mergeCell ref="L32:R32"/>
    <mergeCell ref="A33:A34"/>
    <mergeCell ref="A35:A36"/>
    <mergeCell ref="A37:A38"/>
    <mergeCell ref="A26:D26"/>
    <mergeCell ref="A27:U27"/>
    <mergeCell ref="A28:U28"/>
    <mergeCell ref="A29:U29"/>
    <mergeCell ref="A30:A31"/>
    <mergeCell ref="B30:C31"/>
  </mergeCells>
  <conditionalFormatting sqref="A40:A43">
    <cfRule type="containsText" dxfId="27" priority="1" operator="containsText" text="in fjDr">
      <formula>NOT(ISERROR(SEARCH("in fjDr",A40)))</formula>
    </cfRule>
  </conditionalFormatting>
  <pageMargins left="0.49" right="0.2" top="0.75" bottom="0.5" header="0.3" footer="0.3"/>
  <pageSetup paperSize="9" scale="87" orientation="portrait" blackAndWhite="1" horizontalDpi="300" verticalDpi="300" r:id="rId1"/>
</worksheet>
</file>

<file path=xl/worksheets/sheet15.xml><?xml version="1.0" encoding="utf-8"?>
<worksheet xmlns="http://schemas.openxmlformats.org/spreadsheetml/2006/main" xmlns:r="http://schemas.openxmlformats.org/officeDocument/2006/relationships">
  <sheetPr codeName="Sheet15">
    <tabColor rgb="FF00B050"/>
  </sheetPr>
  <dimension ref="A1:H62"/>
  <sheetViews>
    <sheetView view="pageBreakPreview" zoomScale="110" zoomScaleSheetLayoutView="110" workbookViewId="0">
      <selection activeCell="F51" sqref="F51:H51"/>
    </sheetView>
  </sheetViews>
  <sheetFormatPr defaultColWidth="9.125" defaultRowHeight="15"/>
  <cols>
    <col min="1" max="1" width="17.75" style="330" customWidth="1"/>
    <col min="2" max="3" width="13.75" style="330" customWidth="1"/>
    <col min="4" max="8" width="12.875" style="330" customWidth="1"/>
    <col min="9" max="9" width="11.25" style="330" customWidth="1"/>
    <col min="10" max="16384" width="9.125" style="330"/>
  </cols>
  <sheetData>
    <row r="1" spans="1:8" ht="15.75">
      <c r="F1" s="894">
        <f>Summary!$C$1</f>
        <v>30695</v>
      </c>
      <c r="G1" s="894"/>
      <c r="H1" s="894"/>
    </row>
    <row r="2" spans="1:8" ht="23.25">
      <c r="A2" s="961" t="str">
        <f>Scholership!A1</f>
        <v>iz/kkukpk;Z egkRek xka/kh jktdh; fo|ky; ¼vaxzsth ek/;e½ cj ] ikyh</v>
      </c>
      <c r="B2" s="961"/>
      <c r="C2" s="961"/>
      <c r="D2" s="961"/>
      <c r="E2" s="961"/>
      <c r="F2" s="961"/>
      <c r="G2" s="961"/>
      <c r="H2" s="961"/>
    </row>
    <row r="3" spans="1:8" ht="19.5">
      <c r="A3" s="962" t="s">
        <v>674</v>
      </c>
      <c r="B3" s="962"/>
      <c r="C3" s="962"/>
      <c r="D3" s="962"/>
      <c r="E3" s="962"/>
      <c r="F3" s="962"/>
      <c r="G3" s="962"/>
      <c r="H3" s="962"/>
    </row>
    <row r="4" spans="1:8" ht="18.75">
      <c r="A4" s="963" t="s">
        <v>693</v>
      </c>
      <c r="B4" s="963"/>
      <c r="C4" s="963"/>
      <c r="D4" s="963"/>
      <c r="E4" s="963"/>
      <c r="F4" s="963"/>
      <c r="G4" s="963"/>
      <c r="H4" s="963"/>
    </row>
    <row r="5" spans="1:8" ht="18.95" customHeight="1">
      <c r="A5" s="964" t="s">
        <v>386</v>
      </c>
      <c r="B5" s="966" t="s">
        <v>40</v>
      </c>
      <c r="C5" s="966" t="s">
        <v>675</v>
      </c>
      <c r="D5" s="966" t="s">
        <v>676</v>
      </c>
      <c r="E5" s="966" t="s">
        <v>758</v>
      </c>
      <c r="F5" s="967" t="s">
        <v>677</v>
      </c>
      <c r="G5" s="968"/>
      <c r="H5" s="969"/>
    </row>
    <row r="6" spans="1:8" ht="18.95" customHeight="1">
      <c r="A6" s="965"/>
      <c r="B6" s="966"/>
      <c r="C6" s="966"/>
      <c r="D6" s="966"/>
      <c r="E6" s="966"/>
      <c r="F6" s="331" t="s">
        <v>389</v>
      </c>
      <c r="G6" s="331" t="s">
        <v>41</v>
      </c>
      <c r="H6" s="331" t="s">
        <v>429</v>
      </c>
    </row>
    <row r="7" spans="1:8" ht="15" customHeight="1">
      <c r="A7" s="679" t="s">
        <v>678</v>
      </c>
      <c r="B7" s="648">
        <f>Scholership!C7</f>
        <v>8</v>
      </c>
      <c r="C7" s="648">
        <v>75</v>
      </c>
      <c r="D7" s="648">
        <f>B7*C7*10</f>
        <v>6000</v>
      </c>
      <c r="E7" s="648">
        <f>(B7+3)*C7*10</f>
        <v>8250</v>
      </c>
      <c r="F7" s="634" t="s">
        <v>72</v>
      </c>
      <c r="G7" s="634"/>
      <c r="H7" s="634"/>
    </row>
    <row r="8" spans="1:8" ht="15" customHeight="1">
      <c r="A8" s="679" t="s">
        <v>679</v>
      </c>
      <c r="B8" s="648">
        <f>Scholership!C8</f>
        <v>5</v>
      </c>
      <c r="C8" s="648">
        <v>125</v>
      </c>
      <c r="D8" s="648">
        <f>B8*C8*10</f>
        <v>6250</v>
      </c>
      <c r="E8" s="648">
        <f t="shared" ref="E8:E10" si="0">(B8+3)*C8*10</f>
        <v>10000</v>
      </c>
      <c r="F8" s="634" t="s">
        <v>4</v>
      </c>
      <c r="G8" s="634"/>
      <c r="H8" s="634"/>
    </row>
    <row r="9" spans="1:8" ht="15" customHeight="1">
      <c r="A9" s="679" t="s">
        <v>680</v>
      </c>
      <c r="B9" s="648">
        <f>Scholership!C9</f>
        <v>10</v>
      </c>
      <c r="C9" s="648">
        <v>300</v>
      </c>
      <c r="D9" s="648">
        <f>B9*C9*10</f>
        <v>30000</v>
      </c>
      <c r="E9" s="648">
        <f t="shared" si="0"/>
        <v>39000</v>
      </c>
      <c r="F9" s="634" t="s">
        <v>547</v>
      </c>
      <c r="G9" s="634"/>
      <c r="H9" s="634"/>
    </row>
    <row r="10" spans="1:8" ht="15" customHeight="1">
      <c r="A10" s="679" t="s">
        <v>681</v>
      </c>
      <c r="B10" s="648">
        <f>Scholership!C10</f>
        <v>3</v>
      </c>
      <c r="C10" s="648">
        <v>300</v>
      </c>
      <c r="D10" s="648">
        <f>B10*C10*10</f>
        <v>9000</v>
      </c>
      <c r="E10" s="648">
        <f t="shared" si="0"/>
        <v>18000</v>
      </c>
      <c r="F10" s="634"/>
      <c r="G10" s="634"/>
      <c r="H10" s="634"/>
    </row>
    <row r="11" spans="1:8" ht="15" customHeight="1">
      <c r="A11" s="677" t="s">
        <v>352</v>
      </c>
      <c r="B11" s="637">
        <f>SUM(B7:B10)</f>
        <v>26</v>
      </c>
      <c r="C11" s="637"/>
      <c r="D11" s="637">
        <v>0</v>
      </c>
      <c r="E11" s="637">
        <v>0</v>
      </c>
      <c r="F11" s="637"/>
      <c r="G11" s="637"/>
      <c r="H11" s="637"/>
    </row>
    <row r="12" spans="1:8" ht="18.75">
      <c r="A12" s="970" t="s">
        <v>682</v>
      </c>
      <c r="B12" s="970"/>
      <c r="C12" s="970"/>
      <c r="D12" s="970"/>
      <c r="E12" s="970"/>
      <c r="F12" s="970"/>
      <c r="G12" s="970"/>
      <c r="H12" s="970"/>
    </row>
    <row r="13" spans="1:8" ht="18" customHeight="1">
      <c r="A13" s="964" t="s">
        <v>386</v>
      </c>
      <c r="B13" s="966" t="s">
        <v>40</v>
      </c>
      <c r="C13" s="966" t="s">
        <v>675</v>
      </c>
      <c r="D13" s="966" t="str">
        <f>D5</f>
        <v>2021&amp;22 ds fy,</v>
      </c>
      <c r="E13" s="966" t="str">
        <f>E5</f>
        <v>2022&amp;23 ds fy,</v>
      </c>
      <c r="F13" s="967" t="s">
        <v>677</v>
      </c>
      <c r="G13" s="968"/>
      <c r="H13" s="969"/>
    </row>
    <row r="14" spans="1:8" ht="18.75">
      <c r="A14" s="965"/>
      <c r="B14" s="966"/>
      <c r="C14" s="966"/>
      <c r="D14" s="966"/>
      <c r="E14" s="966"/>
      <c r="F14" s="331" t="s">
        <v>389</v>
      </c>
      <c r="G14" s="331" t="s">
        <v>41</v>
      </c>
      <c r="H14" s="331" t="s">
        <v>429</v>
      </c>
    </row>
    <row r="15" spans="1:8" ht="15" customHeight="1">
      <c r="A15" s="679" t="s">
        <v>678</v>
      </c>
      <c r="B15" s="634">
        <f>Scholership!C20</f>
        <v>0</v>
      </c>
      <c r="C15" s="634">
        <v>75</v>
      </c>
      <c r="D15" s="634">
        <f>B15*C15*10</f>
        <v>0</v>
      </c>
      <c r="E15" s="634">
        <f>D15</f>
        <v>0</v>
      </c>
      <c r="F15" s="634" t="s">
        <v>72</v>
      </c>
      <c r="G15" s="634"/>
      <c r="H15" s="634"/>
    </row>
    <row r="16" spans="1:8" ht="15" customHeight="1">
      <c r="A16" s="679" t="s">
        <v>679</v>
      </c>
      <c r="B16" s="634">
        <f>Scholership!C21</f>
        <v>0</v>
      </c>
      <c r="C16" s="634">
        <v>125</v>
      </c>
      <c r="D16" s="634">
        <f t="shared" ref="D16:D18" si="1">B16*C16*10</f>
        <v>0</v>
      </c>
      <c r="E16" s="634">
        <f t="shared" ref="E16:E18" si="2">D16</f>
        <v>0</v>
      </c>
      <c r="F16" s="634" t="s">
        <v>4</v>
      </c>
      <c r="G16" s="634"/>
      <c r="H16" s="634"/>
    </row>
    <row r="17" spans="1:8" ht="15" customHeight="1">
      <c r="A17" s="679" t="s">
        <v>680</v>
      </c>
      <c r="B17" s="634">
        <f>Scholership!C22</f>
        <v>0</v>
      </c>
      <c r="C17" s="634">
        <v>300</v>
      </c>
      <c r="D17" s="634">
        <f t="shared" si="1"/>
        <v>0</v>
      </c>
      <c r="E17" s="634">
        <f t="shared" si="2"/>
        <v>0</v>
      </c>
      <c r="F17" s="634" t="s">
        <v>547</v>
      </c>
      <c r="G17" s="634"/>
      <c r="H17" s="634"/>
    </row>
    <row r="18" spans="1:8" ht="15" customHeight="1">
      <c r="A18" s="679" t="s">
        <v>681</v>
      </c>
      <c r="B18" s="634">
        <f>Scholership!C23</f>
        <v>0</v>
      </c>
      <c r="C18" s="634">
        <v>300</v>
      </c>
      <c r="D18" s="634">
        <f t="shared" si="1"/>
        <v>0</v>
      </c>
      <c r="E18" s="634">
        <f t="shared" si="2"/>
        <v>0</v>
      </c>
      <c r="F18" s="634"/>
      <c r="G18" s="634"/>
      <c r="H18" s="634"/>
    </row>
    <row r="19" spans="1:8" ht="15" customHeight="1">
      <c r="A19" s="677" t="s">
        <v>352</v>
      </c>
      <c r="B19" s="637">
        <v>0</v>
      </c>
      <c r="C19" s="637"/>
      <c r="D19" s="637">
        <v>0</v>
      </c>
      <c r="E19" s="637">
        <v>0</v>
      </c>
      <c r="F19" s="637"/>
      <c r="G19" s="637"/>
      <c r="H19" s="637"/>
    </row>
    <row r="20" spans="1:8" ht="18.75">
      <c r="A20" s="971" t="s">
        <v>683</v>
      </c>
      <c r="B20" s="971"/>
      <c r="C20" s="971"/>
      <c r="D20" s="971"/>
      <c r="E20" s="971"/>
      <c r="F20" s="971"/>
      <c r="G20" s="971"/>
      <c r="H20" s="971"/>
    </row>
    <row r="21" spans="1:8" ht="18" customHeight="1">
      <c r="A21" s="964" t="s">
        <v>386</v>
      </c>
      <c r="B21" s="966" t="s">
        <v>40</v>
      </c>
      <c r="C21" s="966" t="s">
        <v>675</v>
      </c>
      <c r="D21" s="966" t="str">
        <f>D13</f>
        <v>2021&amp;22 ds fy,</v>
      </c>
      <c r="E21" s="966" t="str">
        <f>E13</f>
        <v>2022&amp;23 ds fy,</v>
      </c>
      <c r="F21" s="967" t="s">
        <v>677</v>
      </c>
      <c r="G21" s="968"/>
      <c r="H21" s="969"/>
    </row>
    <row r="22" spans="1:8" ht="18.75">
      <c r="A22" s="965"/>
      <c r="B22" s="966"/>
      <c r="C22" s="966"/>
      <c r="D22" s="966"/>
      <c r="E22" s="966"/>
      <c r="F22" s="331" t="s">
        <v>389</v>
      </c>
      <c r="G22" s="331" t="s">
        <v>41</v>
      </c>
      <c r="H22" s="331" t="s">
        <v>429</v>
      </c>
    </row>
    <row r="23" spans="1:8" ht="15" customHeight="1">
      <c r="A23" s="679" t="s">
        <v>684</v>
      </c>
      <c r="B23" s="648">
        <f>Namankan!L15+Namankan!L16</f>
        <v>158</v>
      </c>
      <c r="C23" s="648">
        <v>100</v>
      </c>
      <c r="D23" s="648">
        <f>B23*C23*10</f>
        <v>158000</v>
      </c>
      <c r="E23" s="648">
        <f>(B23+3)*C23*10</f>
        <v>161000</v>
      </c>
      <c r="F23" s="634"/>
      <c r="G23" s="634"/>
      <c r="H23" s="634"/>
    </row>
    <row r="24" spans="1:8" ht="15" customHeight="1">
      <c r="A24" s="679" t="s">
        <v>685</v>
      </c>
      <c r="B24" s="648">
        <f>Namankan!M15+Namankan!M16</f>
        <v>116</v>
      </c>
      <c r="C24" s="648">
        <v>100</v>
      </c>
      <c r="D24" s="648">
        <f>B24*C24*10</f>
        <v>116000</v>
      </c>
      <c r="E24" s="648">
        <f>(B24+3)*C24*10</f>
        <v>119000</v>
      </c>
      <c r="F24" s="634"/>
      <c r="G24" s="634"/>
      <c r="H24" s="634"/>
    </row>
    <row r="25" spans="1:8" ht="15" customHeight="1">
      <c r="A25" s="677" t="s">
        <v>352</v>
      </c>
      <c r="B25" s="637">
        <f>SUM(B23:B24)</f>
        <v>274</v>
      </c>
      <c r="C25" s="637"/>
      <c r="D25" s="637">
        <f>SUM(D23:D24)</f>
        <v>274000</v>
      </c>
      <c r="E25" s="637">
        <f>SUM(E23:E24)</f>
        <v>280000</v>
      </c>
      <c r="F25" s="634"/>
      <c r="G25" s="634"/>
      <c r="H25" s="637"/>
    </row>
    <row r="26" spans="1:8" ht="18.75">
      <c r="A26" s="971" t="s">
        <v>686</v>
      </c>
      <c r="B26" s="971"/>
      <c r="C26" s="971"/>
      <c r="D26" s="971"/>
      <c r="E26" s="971"/>
      <c r="F26" s="971"/>
      <c r="G26" s="971"/>
      <c r="H26" s="971"/>
    </row>
    <row r="27" spans="1:8" ht="18" customHeight="1">
      <c r="A27" s="964" t="s">
        <v>386</v>
      </c>
      <c r="B27" s="966" t="s">
        <v>40</v>
      </c>
      <c r="C27" s="966" t="s">
        <v>675</v>
      </c>
      <c r="D27" s="966" t="str">
        <f>D21</f>
        <v>2021&amp;22 ds fy,</v>
      </c>
      <c r="E27" s="966" t="str">
        <f>E21</f>
        <v>2022&amp;23 ds fy,</v>
      </c>
      <c r="F27" s="967" t="s">
        <v>677</v>
      </c>
      <c r="G27" s="968"/>
      <c r="H27" s="969"/>
    </row>
    <row r="28" spans="1:8" ht="18.75">
      <c r="A28" s="965"/>
      <c r="B28" s="966"/>
      <c r="C28" s="966"/>
      <c r="D28" s="966"/>
      <c r="E28" s="966"/>
      <c r="F28" s="331" t="s">
        <v>389</v>
      </c>
      <c r="G28" s="331" t="s">
        <v>41</v>
      </c>
      <c r="H28" s="331" t="s">
        <v>429</v>
      </c>
    </row>
    <row r="29" spans="1:8" ht="15" customHeight="1">
      <c r="A29" s="679" t="s">
        <v>684</v>
      </c>
      <c r="B29" s="648">
        <f>Namankan!O15+Namankan!O16</f>
        <v>2</v>
      </c>
      <c r="C29" s="648">
        <v>100</v>
      </c>
      <c r="D29" s="648">
        <f>B29*C29*10</f>
        <v>2000</v>
      </c>
      <c r="E29" s="648">
        <f>(B29+3)*C29*10</f>
        <v>5000</v>
      </c>
      <c r="F29" s="634"/>
      <c r="G29" s="634"/>
      <c r="H29" s="634"/>
    </row>
    <row r="30" spans="1:8" ht="15" customHeight="1">
      <c r="A30" s="679" t="s">
        <v>685</v>
      </c>
      <c r="B30" s="648">
        <f>Namankan!P15+Namankan!P16</f>
        <v>3</v>
      </c>
      <c r="C30" s="648">
        <v>100</v>
      </c>
      <c r="D30" s="648">
        <f>B30*C30*10</f>
        <v>3000</v>
      </c>
      <c r="E30" s="648">
        <f>(B30+3)*C30*10</f>
        <v>6000</v>
      </c>
      <c r="F30" s="634"/>
      <c r="G30" s="634"/>
      <c r="H30" s="634"/>
    </row>
    <row r="31" spans="1:8" ht="15" customHeight="1">
      <c r="A31" s="677" t="s">
        <v>352</v>
      </c>
      <c r="B31" s="637">
        <f>SUM(B29:B30)</f>
        <v>5</v>
      </c>
      <c r="C31" s="637"/>
      <c r="D31" s="637">
        <f>SUM(D29:D30)</f>
        <v>5000</v>
      </c>
      <c r="E31" s="637">
        <f>SUM(E29:E30)</f>
        <v>11000</v>
      </c>
      <c r="F31" s="634"/>
      <c r="G31" s="634"/>
      <c r="H31" s="637"/>
    </row>
    <row r="32" spans="1:8" ht="18.75">
      <c r="A32" s="971" t="s">
        <v>687</v>
      </c>
      <c r="B32" s="971"/>
      <c r="C32" s="971"/>
      <c r="D32" s="971"/>
      <c r="E32" s="971"/>
      <c r="F32" s="971"/>
      <c r="G32" s="971"/>
      <c r="H32" s="971"/>
    </row>
    <row r="33" spans="1:8" ht="18" customHeight="1">
      <c r="A33" s="964" t="s">
        <v>386</v>
      </c>
      <c r="B33" s="966" t="s">
        <v>40</v>
      </c>
      <c r="C33" s="966" t="s">
        <v>675</v>
      </c>
      <c r="D33" s="966" t="str">
        <f>D27</f>
        <v>2021&amp;22 ds fy,</v>
      </c>
      <c r="E33" s="966" t="str">
        <f>E27</f>
        <v>2022&amp;23 ds fy,</v>
      </c>
      <c r="F33" s="967" t="s">
        <v>677</v>
      </c>
      <c r="G33" s="968"/>
      <c r="H33" s="969"/>
    </row>
    <row r="34" spans="1:8" ht="18.75">
      <c r="A34" s="965"/>
      <c r="B34" s="966"/>
      <c r="C34" s="966"/>
      <c r="D34" s="966"/>
      <c r="E34" s="966"/>
      <c r="F34" s="331" t="s">
        <v>389</v>
      </c>
      <c r="G34" s="331" t="s">
        <v>41</v>
      </c>
      <c r="H34" s="331" t="s">
        <v>429</v>
      </c>
    </row>
    <row r="35" spans="1:8" ht="15" customHeight="1">
      <c r="A35" s="679" t="s">
        <v>688</v>
      </c>
      <c r="B35" s="634">
        <f>Namankan!I17+Namankan!I18</f>
        <v>2</v>
      </c>
      <c r="C35" s="634">
        <v>300</v>
      </c>
      <c r="D35" s="634">
        <f>B35*C35*10</f>
        <v>6000</v>
      </c>
      <c r="E35" s="634">
        <f>(B35+3)*C35*10</f>
        <v>15000</v>
      </c>
      <c r="F35" s="634"/>
      <c r="G35" s="634"/>
      <c r="H35" s="634"/>
    </row>
    <row r="36" spans="1:8" ht="15" customHeight="1">
      <c r="A36" s="679" t="s">
        <v>689</v>
      </c>
      <c r="B36" s="634">
        <f>Namankan!J17+Namankan!J18</f>
        <v>4</v>
      </c>
      <c r="C36" s="634">
        <v>300</v>
      </c>
      <c r="D36" s="634">
        <f>B36*C36*10</f>
        <v>12000</v>
      </c>
      <c r="E36" s="634">
        <f>(B36+3)*C36*10</f>
        <v>21000</v>
      </c>
      <c r="F36" s="634"/>
      <c r="G36" s="634"/>
      <c r="H36" s="634"/>
    </row>
    <row r="37" spans="1:8" ht="15" customHeight="1">
      <c r="A37" s="677" t="s">
        <v>352</v>
      </c>
      <c r="B37" s="637">
        <f>SUM(B35:B36)</f>
        <v>6</v>
      </c>
      <c r="C37" s="637"/>
      <c r="D37" s="637">
        <f>SUM(D35:D36)</f>
        <v>18000</v>
      </c>
      <c r="E37" s="637">
        <f>SUM(E35:E36)</f>
        <v>36000</v>
      </c>
      <c r="F37" s="637"/>
      <c r="G37" s="637"/>
      <c r="H37" s="637"/>
    </row>
    <row r="38" spans="1:8" ht="18.75">
      <c r="A38" s="971" t="s">
        <v>690</v>
      </c>
      <c r="B38" s="971"/>
      <c r="C38" s="971"/>
      <c r="D38" s="971"/>
      <c r="E38" s="971"/>
      <c r="F38" s="971"/>
      <c r="G38" s="971"/>
      <c r="H38" s="971"/>
    </row>
    <row r="39" spans="1:8" ht="18" customHeight="1">
      <c r="A39" s="964" t="s">
        <v>386</v>
      </c>
      <c r="B39" s="966" t="s">
        <v>40</v>
      </c>
      <c r="C39" s="966" t="s">
        <v>675</v>
      </c>
      <c r="D39" s="966" t="str">
        <f>D27</f>
        <v>2021&amp;22 ds fy,</v>
      </c>
      <c r="E39" s="966" t="str">
        <f>E27</f>
        <v>2022&amp;23 ds fy,</v>
      </c>
      <c r="F39" s="967" t="s">
        <v>677</v>
      </c>
      <c r="G39" s="968"/>
      <c r="H39" s="969"/>
    </row>
    <row r="40" spans="1:8" ht="18.75">
      <c r="A40" s="965"/>
      <c r="B40" s="966"/>
      <c r="C40" s="966"/>
      <c r="D40" s="966"/>
      <c r="E40" s="966"/>
      <c r="F40" s="331" t="s">
        <v>389</v>
      </c>
      <c r="G40" s="331" t="s">
        <v>41</v>
      </c>
      <c r="H40" s="331" t="s">
        <v>429</v>
      </c>
    </row>
    <row r="41" spans="1:8" ht="15" customHeight="1">
      <c r="A41" s="679" t="s">
        <v>688</v>
      </c>
      <c r="B41" s="634">
        <f>Namankan!F17+Namankan!F18</f>
        <v>0</v>
      </c>
      <c r="C41" s="634">
        <v>300</v>
      </c>
      <c r="D41" s="634"/>
      <c r="E41" s="634"/>
      <c r="F41" s="634"/>
      <c r="G41" s="634"/>
      <c r="H41" s="634"/>
    </row>
    <row r="42" spans="1:8" ht="15" customHeight="1">
      <c r="A42" s="679" t="s">
        <v>689</v>
      </c>
      <c r="B42" s="634">
        <f>Namankan!G17+Namankan!G18</f>
        <v>1</v>
      </c>
      <c r="C42" s="634">
        <v>300</v>
      </c>
      <c r="D42" s="634"/>
      <c r="E42" s="634"/>
      <c r="F42" s="634"/>
      <c r="G42" s="634"/>
      <c r="H42" s="634"/>
    </row>
    <row r="43" spans="1:8" ht="15" customHeight="1">
      <c r="A43" s="677" t="s">
        <v>352</v>
      </c>
      <c r="B43" s="637">
        <f>SUM(B41:B42)</f>
        <v>1</v>
      </c>
      <c r="C43" s="637"/>
      <c r="D43" s="637">
        <f t="shared" ref="D43:E43" si="3">SUM(D41:D42)</f>
        <v>0</v>
      </c>
      <c r="E43" s="637">
        <f t="shared" si="3"/>
        <v>0</v>
      </c>
      <c r="F43" s="637"/>
      <c r="G43" s="637"/>
      <c r="H43" s="637"/>
    </row>
    <row r="44" spans="1:8" ht="18.75">
      <c r="A44" s="971" t="s">
        <v>691</v>
      </c>
      <c r="B44" s="971"/>
      <c r="C44" s="971"/>
      <c r="D44" s="971"/>
      <c r="E44" s="971"/>
      <c r="F44" s="971"/>
      <c r="G44" s="971"/>
      <c r="H44" s="971"/>
    </row>
    <row r="45" spans="1:8" ht="18" customHeight="1">
      <c r="A45" s="964" t="s">
        <v>386</v>
      </c>
      <c r="B45" s="966" t="s">
        <v>40</v>
      </c>
      <c r="C45" s="966" t="s">
        <v>675</v>
      </c>
      <c r="D45" s="966" t="str">
        <f>D39</f>
        <v>2021&amp;22 ds fy,</v>
      </c>
      <c r="E45" s="966" t="str">
        <f>E39</f>
        <v>2022&amp;23 ds fy,</v>
      </c>
      <c r="F45" s="967" t="s">
        <v>677</v>
      </c>
      <c r="G45" s="968"/>
      <c r="H45" s="969"/>
    </row>
    <row r="46" spans="1:8" ht="18.75">
      <c r="A46" s="965"/>
      <c r="B46" s="966"/>
      <c r="C46" s="966"/>
      <c r="D46" s="966"/>
      <c r="E46" s="966"/>
      <c r="F46" s="331" t="s">
        <v>389</v>
      </c>
      <c r="G46" s="331" t="s">
        <v>41</v>
      </c>
      <c r="H46" s="331" t="s">
        <v>429</v>
      </c>
    </row>
    <row r="47" spans="1:8" ht="15" customHeight="1">
      <c r="A47" s="679" t="s">
        <v>688</v>
      </c>
      <c r="B47" s="648">
        <f>Namankan!L17+Namankan!L18</f>
        <v>48</v>
      </c>
      <c r="C47" s="648">
        <v>160</v>
      </c>
      <c r="D47" s="648">
        <f>B47*C47*10</f>
        <v>76800</v>
      </c>
      <c r="E47" s="648">
        <f>(B47+3)*C47*10</f>
        <v>81600</v>
      </c>
      <c r="F47" s="634"/>
      <c r="G47" s="634"/>
      <c r="H47" s="634"/>
    </row>
    <row r="48" spans="1:8" ht="15" customHeight="1">
      <c r="A48" s="679" t="s">
        <v>689</v>
      </c>
      <c r="B48" s="648">
        <f>Namankan!M17+Namankan!M18</f>
        <v>55</v>
      </c>
      <c r="C48" s="648">
        <v>160</v>
      </c>
      <c r="D48" s="648">
        <f>B48*C48*10</f>
        <v>88000</v>
      </c>
      <c r="E48" s="648">
        <f>(B48+3)*C48*10</f>
        <v>92800</v>
      </c>
      <c r="F48" s="634"/>
      <c r="G48" s="634"/>
      <c r="H48" s="634"/>
    </row>
    <row r="49" spans="1:8" ht="15" customHeight="1">
      <c r="A49" s="677" t="s">
        <v>352</v>
      </c>
      <c r="B49" s="637">
        <f>SUM(B47:B48)</f>
        <v>103</v>
      </c>
      <c r="C49" s="637"/>
      <c r="D49" s="637">
        <f>SUM(D47:D48)</f>
        <v>164800</v>
      </c>
      <c r="E49" s="637">
        <f>SUM(E47:E48)</f>
        <v>174400</v>
      </c>
      <c r="F49" s="634"/>
      <c r="G49" s="634"/>
      <c r="H49" s="637"/>
    </row>
    <row r="50" spans="1:8" ht="18.75">
      <c r="A50" s="971" t="s">
        <v>692</v>
      </c>
      <c r="B50" s="971"/>
      <c r="C50" s="971"/>
      <c r="D50" s="971"/>
      <c r="E50" s="971"/>
      <c r="F50" s="971"/>
      <c r="G50" s="971"/>
      <c r="H50" s="971"/>
    </row>
    <row r="51" spans="1:8" ht="18" customHeight="1">
      <c r="A51" s="964" t="s">
        <v>386</v>
      </c>
      <c r="B51" s="966" t="s">
        <v>40</v>
      </c>
      <c r="C51" s="966" t="s">
        <v>675</v>
      </c>
      <c r="D51" s="966" t="str">
        <f>D45</f>
        <v>2021&amp;22 ds fy,</v>
      </c>
      <c r="E51" s="966" t="str">
        <f>E45</f>
        <v>2022&amp;23 ds fy,</v>
      </c>
      <c r="F51" s="967" t="s">
        <v>677</v>
      </c>
      <c r="G51" s="968"/>
      <c r="H51" s="969"/>
    </row>
    <row r="52" spans="1:8" ht="18.75">
      <c r="A52" s="965"/>
      <c r="B52" s="966"/>
      <c r="C52" s="966"/>
      <c r="D52" s="966"/>
      <c r="E52" s="966"/>
      <c r="F52" s="331" t="s">
        <v>389</v>
      </c>
      <c r="G52" s="331" t="s">
        <v>41</v>
      </c>
      <c r="H52" s="331" t="s">
        <v>429</v>
      </c>
    </row>
    <row r="53" spans="1:8" ht="15" customHeight="1">
      <c r="A53" s="679" t="s">
        <v>688</v>
      </c>
      <c r="B53" s="648">
        <f>Namankan!O17+Namankan!O18</f>
        <v>1</v>
      </c>
      <c r="C53" s="648">
        <v>160</v>
      </c>
      <c r="D53" s="648">
        <f>B53*C53*10</f>
        <v>1600</v>
      </c>
      <c r="E53" s="648">
        <f>(B53+3)*C53*10</f>
        <v>6400</v>
      </c>
      <c r="F53" s="634"/>
      <c r="G53" s="634"/>
      <c r="H53" s="634"/>
    </row>
    <row r="54" spans="1:8" ht="15" customHeight="1">
      <c r="A54" s="679" t="s">
        <v>689</v>
      </c>
      <c r="B54" s="648">
        <f>Namankan!P17+Namankan!P18</f>
        <v>1</v>
      </c>
      <c r="C54" s="648">
        <v>160</v>
      </c>
      <c r="D54" s="648">
        <f>B54*C54*10</f>
        <v>1600</v>
      </c>
      <c r="E54" s="648">
        <f>(B54+3)*C54*10</f>
        <v>6400</v>
      </c>
      <c r="F54" s="634"/>
      <c r="G54" s="634"/>
      <c r="H54" s="634"/>
    </row>
    <row r="55" spans="1:8" ht="15" customHeight="1">
      <c r="A55" s="677" t="s">
        <v>352</v>
      </c>
      <c r="B55" s="637">
        <f>SUM(B53:B54)</f>
        <v>2</v>
      </c>
      <c r="C55" s="637"/>
      <c r="D55" s="637">
        <f>SUM(D53:D54)</f>
        <v>3200</v>
      </c>
      <c r="E55" s="637">
        <f>SUM(E53:E54)</f>
        <v>12800</v>
      </c>
      <c r="F55" s="634"/>
      <c r="G55" s="634"/>
      <c r="H55" s="637"/>
    </row>
    <row r="56" spans="1:8">
      <c r="A56" s="678" t="s">
        <v>558</v>
      </c>
    </row>
    <row r="59" spans="1:8">
      <c r="E59" s="959" t="str">
        <f>CONCATENATE("¼ ",Master!G3,"½")</f>
        <v>¼ m"kk ikfy;k½</v>
      </c>
      <c r="F59" s="959"/>
      <c r="G59" s="959"/>
      <c r="H59" s="959"/>
    </row>
    <row r="60" spans="1:8" ht="18.75">
      <c r="E60" s="936" t="str">
        <f>Master!C2</f>
        <v>iz/kkukpk;Z</v>
      </c>
      <c r="F60" s="936"/>
      <c r="G60" s="936"/>
      <c r="H60" s="936"/>
    </row>
    <row r="61" spans="1:8">
      <c r="E61" s="849" t="str">
        <f>Master!D2</f>
        <v>egkRek xka/kh jktdh; fo|ky; ¼vaxzsth ek/;e½ cj ] ikyh</v>
      </c>
      <c r="F61" s="849"/>
      <c r="G61" s="849"/>
      <c r="H61" s="849"/>
    </row>
    <row r="62" spans="1:8">
      <c r="E62" s="849"/>
      <c r="F62" s="849"/>
      <c r="G62" s="849"/>
      <c r="H62" s="849"/>
    </row>
  </sheetData>
  <mergeCells count="62">
    <mergeCell ref="F1:H1"/>
    <mergeCell ref="E59:H59"/>
    <mergeCell ref="E60:H60"/>
    <mergeCell ref="E61:H62"/>
    <mergeCell ref="A50:H50"/>
    <mergeCell ref="A51:A52"/>
    <mergeCell ref="B51:B52"/>
    <mergeCell ref="C51:C52"/>
    <mergeCell ref="D51:D52"/>
    <mergeCell ref="E51:E52"/>
    <mergeCell ref="F51:H51"/>
    <mergeCell ref="A44:H44"/>
    <mergeCell ref="A45:A46"/>
    <mergeCell ref="B45:B46"/>
    <mergeCell ref="C45:C46"/>
    <mergeCell ref="D45:D46"/>
    <mergeCell ref="E45:E46"/>
    <mergeCell ref="F45:H45"/>
    <mergeCell ref="A38:H38"/>
    <mergeCell ref="A39:A40"/>
    <mergeCell ref="B39:B40"/>
    <mergeCell ref="C39:C40"/>
    <mergeCell ref="D39:D40"/>
    <mergeCell ref="E39:E40"/>
    <mergeCell ref="F39:H39"/>
    <mergeCell ref="A32:H32"/>
    <mergeCell ref="A33:A34"/>
    <mergeCell ref="B33:B34"/>
    <mergeCell ref="C33:C34"/>
    <mergeCell ref="D33:D34"/>
    <mergeCell ref="E33:E34"/>
    <mergeCell ref="F33:H33"/>
    <mergeCell ref="A26:H26"/>
    <mergeCell ref="A27:A28"/>
    <mergeCell ref="B27:B28"/>
    <mergeCell ref="C27:C28"/>
    <mergeCell ref="D27:D28"/>
    <mergeCell ref="E27:E28"/>
    <mergeCell ref="F27:H27"/>
    <mergeCell ref="A20:H20"/>
    <mergeCell ref="A21:A22"/>
    <mergeCell ref="B21:B22"/>
    <mergeCell ref="C21:C22"/>
    <mergeCell ref="D21:D22"/>
    <mergeCell ref="E21:E22"/>
    <mergeCell ref="F21:H21"/>
    <mergeCell ref="A12:H12"/>
    <mergeCell ref="A13:A14"/>
    <mergeCell ref="B13:B14"/>
    <mergeCell ref="C13:C14"/>
    <mergeCell ref="D13:D14"/>
    <mergeCell ref="E13:E14"/>
    <mergeCell ref="F13:H13"/>
    <mergeCell ref="A2:H2"/>
    <mergeCell ref="A3:H3"/>
    <mergeCell ref="A4:H4"/>
    <mergeCell ref="A5:A6"/>
    <mergeCell ref="B5:B6"/>
    <mergeCell ref="C5:C6"/>
    <mergeCell ref="D5:D6"/>
    <mergeCell ref="E5:E6"/>
    <mergeCell ref="F5:H5"/>
  </mergeCells>
  <conditionalFormatting sqref="A56">
    <cfRule type="containsText" dxfId="26" priority="1" operator="containsText" text="in fjDr">
      <formula>NOT(ISERROR(SEARCH("in fjDr",A56)))</formula>
    </cfRule>
  </conditionalFormatting>
  <pageMargins left="0.5" right="0.28000000000000003" top="0.25" bottom="0.25" header="0.3" footer="0.3"/>
  <pageSetup paperSize="9" scale="80" orientation="portrait" blackAndWhite="1" horizontalDpi="300" verticalDpi="300" r:id="rId1"/>
  <drawing r:id="rId2"/>
</worksheet>
</file>

<file path=xl/worksheets/sheet16.xml><?xml version="1.0" encoding="utf-8"?>
<worksheet xmlns="http://schemas.openxmlformats.org/spreadsheetml/2006/main" xmlns:r="http://schemas.openxmlformats.org/officeDocument/2006/relationships">
  <sheetPr codeName="Sheet16">
    <tabColor rgb="FF00B050"/>
  </sheetPr>
  <dimension ref="A1:H19"/>
  <sheetViews>
    <sheetView view="pageBreakPreview" zoomScale="110" zoomScaleSheetLayoutView="110" workbookViewId="0">
      <selection activeCell="E14" sqref="E14"/>
    </sheetView>
  </sheetViews>
  <sheetFormatPr defaultColWidth="9.125" defaultRowHeight="15"/>
  <cols>
    <col min="1" max="1" width="6.625" style="56" customWidth="1"/>
    <col min="2" max="3" width="19.625" style="56" customWidth="1"/>
    <col min="4" max="4" width="14.75" style="56" customWidth="1"/>
    <col min="5" max="5" width="15.125" style="56" customWidth="1"/>
    <col min="6" max="6" width="16.25" style="56" customWidth="1"/>
    <col min="7" max="7" width="15.25" style="56" customWidth="1"/>
    <col min="8" max="8" width="15" style="51" customWidth="1"/>
    <col min="9" max="16384" width="9.125" style="51"/>
  </cols>
  <sheetData>
    <row r="1" spans="1:8" ht="15.75">
      <c r="A1" s="198"/>
      <c r="B1" s="198"/>
      <c r="C1" s="198"/>
      <c r="D1" s="198"/>
      <c r="E1" s="198"/>
      <c r="F1" s="894">
        <f>Summary!$C$1</f>
        <v>30695</v>
      </c>
      <c r="G1" s="894"/>
      <c r="H1" s="147"/>
    </row>
    <row r="2" spans="1:8" ht="20.25">
      <c r="A2" s="972" t="str">
        <f>Summary!$A$2</f>
        <v>iz/kkukpk;Z egkRek xka/kh jktdh; fo|ky; ¼vaxzsth ek/;e½ cj ] ikyh</v>
      </c>
      <c r="B2" s="972"/>
      <c r="C2" s="972"/>
      <c r="D2" s="972"/>
      <c r="E2" s="972"/>
      <c r="F2" s="972"/>
      <c r="G2" s="972"/>
      <c r="H2" s="147"/>
    </row>
    <row r="3" spans="1:8" ht="20.25">
      <c r="A3" s="972" t="s">
        <v>414</v>
      </c>
      <c r="B3" s="972"/>
      <c r="C3" s="972"/>
      <c r="D3" s="972"/>
      <c r="E3" s="972"/>
      <c r="F3" s="972"/>
      <c r="G3" s="972"/>
      <c r="H3" s="147"/>
    </row>
    <row r="4" spans="1:8" ht="16.5" customHeight="1">
      <c r="A4" s="973" t="s">
        <v>415</v>
      </c>
      <c r="B4" s="973"/>
      <c r="C4" s="973"/>
      <c r="D4" s="973"/>
      <c r="E4" s="973"/>
      <c r="F4" s="973"/>
      <c r="G4" s="973"/>
      <c r="H4" s="147"/>
    </row>
    <row r="5" spans="1:8" ht="37.5">
      <c r="A5" s="214" t="s">
        <v>329</v>
      </c>
      <c r="B5" s="214" t="s">
        <v>46</v>
      </c>
      <c r="C5" s="214" t="s">
        <v>67</v>
      </c>
      <c r="D5" s="214" t="s">
        <v>416</v>
      </c>
      <c r="E5" s="214" t="s">
        <v>417</v>
      </c>
      <c r="F5" s="214" t="s">
        <v>418</v>
      </c>
      <c r="G5" s="214" t="s">
        <v>419</v>
      </c>
      <c r="H5" s="268">
        <f>'Formet 8'!E75</f>
        <v>0.28000000000000003</v>
      </c>
    </row>
    <row r="6" spans="1:8" ht="15.75">
      <c r="A6" s="213">
        <v>1</v>
      </c>
      <c r="B6" s="213">
        <v>2</v>
      </c>
      <c r="C6" s="213">
        <v>3</v>
      </c>
      <c r="D6" s="213">
        <v>4</v>
      </c>
      <c r="E6" s="213">
        <v>5</v>
      </c>
      <c r="F6" s="213">
        <v>6</v>
      </c>
      <c r="G6" s="213">
        <v>7</v>
      </c>
      <c r="H6" s="269"/>
    </row>
    <row r="7" spans="1:8" ht="64.5" customHeight="1">
      <c r="A7" s="270">
        <v>1</v>
      </c>
      <c r="B7" s="271" t="s">
        <v>420</v>
      </c>
      <c r="C7" s="271" t="s">
        <v>420</v>
      </c>
      <c r="D7" s="272" t="s">
        <v>378</v>
      </c>
      <c r="E7" s="273">
        <v>0</v>
      </c>
      <c r="F7" s="274">
        <v>0</v>
      </c>
      <c r="G7" s="274">
        <f>ROUND(E7/30*F7,0)+ROUND(E7/30*H7,0)</f>
        <v>0</v>
      </c>
      <c r="H7" s="275">
        <f>ROUND(F7*H5,0)</f>
        <v>0</v>
      </c>
    </row>
    <row r="8" spans="1:8">
      <c r="A8" s="198"/>
      <c r="B8" s="198"/>
      <c r="C8" s="198"/>
      <c r="D8" s="198"/>
      <c r="E8" s="198"/>
      <c r="F8" s="198"/>
      <c r="G8" s="198"/>
      <c r="H8" s="147"/>
    </row>
    <row r="9" spans="1:8">
      <c r="A9" s="566" t="s">
        <v>558</v>
      </c>
      <c r="B9" s="198"/>
      <c r="C9" s="198"/>
      <c r="D9" s="198"/>
      <c r="E9" s="198"/>
      <c r="F9" s="198"/>
      <c r="G9" s="198"/>
      <c r="H9" s="147"/>
    </row>
    <row r="10" spans="1:8">
      <c r="A10" s="566"/>
      <c r="B10" s="198"/>
      <c r="C10" s="198"/>
      <c r="D10" s="198"/>
      <c r="E10" s="198"/>
      <c r="F10" s="198"/>
      <c r="G10" s="198"/>
      <c r="H10" s="147"/>
    </row>
    <row r="11" spans="1:8">
      <c r="A11" s="198"/>
      <c r="B11" s="198"/>
      <c r="C11" s="198"/>
      <c r="D11" s="198"/>
      <c r="E11" s="198"/>
      <c r="F11" s="567"/>
      <c r="G11" s="567"/>
      <c r="H11" s="147"/>
    </row>
    <row r="12" spans="1:8">
      <c r="A12" s="198"/>
      <c r="B12" s="198"/>
      <c r="C12" s="198"/>
      <c r="D12" s="198"/>
      <c r="E12" s="198"/>
      <c r="F12" s="898" t="str">
        <f>CONCATENATE("¼ ",Master!G3,"½")</f>
        <v>¼ m"kk ikfy;k½</v>
      </c>
      <c r="G12" s="898"/>
      <c r="H12" s="147"/>
    </row>
    <row r="13" spans="1:8" ht="18.75">
      <c r="A13" s="198"/>
      <c r="B13" s="198"/>
      <c r="C13" s="198"/>
      <c r="D13" s="198"/>
      <c r="E13" s="198"/>
      <c r="F13" s="856" t="str">
        <f>Master!C2</f>
        <v>iz/kkukpk;Z</v>
      </c>
      <c r="G13" s="856"/>
      <c r="H13" s="210"/>
    </row>
    <row r="14" spans="1:8" ht="15" customHeight="1">
      <c r="A14" s="198"/>
      <c r="B14" s="198"/>
      <c r="C14" s="198"/>
      <c r="D14" s="198"/>
      <c r="E14" s="276"/>
      <c r="F14" s="849" t="str">
        <f>Master!D2</f>
        <v>egkRek xka/kh jktdh; fo|ky; ¼vaxzsth ek/;e½ cj ] ikyh</v>
      </c>
      <c r="G14" s="849"/>
      <c r="H14" s="211"/>
    </row>
    <row r="15" spans="1:8" ht="15" customHeight="1">
      <c r="A15" s="198"/>
      <c r="B15" s="198"/>
      <c r="C15" s="198"/>
      <c r="D15" s="198"/>
      <c r="E15" s="211"/>
      <c r="F15" s="849"/>
      <c r="G15" s="849"/>
      <c r="H15" s="211"/>
    </row>
    <row r="16" spans="1:8" ht="15" customHeight="1">
      <c r="A16" s="198"/>
      <c r="B16" s="198"/>
      <c r="C16" s="198"/>
      <c r="D16" s="198"/>
      <c r="E16" s="211"/>
      <c r="F16" s="849"/>
      <c r="G16" s="849"/>
      <c r="H16" s="211"/>
    </row>
    <row r="17" spans="1:8" ht="15" customHeight="1">
      <c r="A17" s="276"/>
      <c r="B17" s="276"/>
      <c r="C17" s="276"/>
      <c r="D17" s="276"/>
      <c r="E17" s="276"/>
      <c r="F17" s="211"/>
      <c r="G17" s="211"/>
      <c r="H17" s="211"/>
    </row>
    <row r="18" spans="1:8">
      <c r="A18" s="276"/>
      <c r="B18" s="276"/>
      <c r="C18" s="276"/>
      <c r="D18" s="276"/>
      <c r="E18" s="276"/>
      <c r="F18" s="276"/>
      <c r="G18" s="276"/>
      <c r="H18" s="147"/>
    </row>
    <row r="19" spans="1:8">
      <c r="A19" s="276"/>
      <c r="B19" s="276"/>
      <c r="C19" s="276"/>
      <c r="D19" s="276"/>
      <c r="E19" s="276"/>
      <c r="F19" s="276"/>
      <c r="G19" s="276"/>
      <c r="H19" s="147"/>
    </row>
  </sheetData>
  <mergeCells count="7">
    <mergeCell ref="F1:G1"/>
    <mergeCell ref="A2:G2"/>
    <mergeCell ref="A3:G3"/>
    <mergeCell ref="F13:G13"/>
    <mergeCell ref="F14:G16"/>
    <mergeCell ref="A4:G4"/>
    <mergeCell ref="F12:G12"/>
  </mergeCells>
  <conditionalFormatting sqref="A9:A10">
    <cfRule type="containsText" dxfId="25" priority="1" operator="containsText" text="in fjDr">
      <formula>NOT(ISERROR(SEARCH("in fjDr",A9)))</formula>
    </cfRule>
  </conditionalFormatting>
  <pageMargins left="1.2" right="0.7" top="0.75" bottom="0.75" header="0.3" footer="0.3"/>
  <pageSetup paperSize="9" orientation="landscape" blackAndWhite="1" horizontalDpi="300" verticalDpi="300" r:id="rId1"/>
</worksheet>
</file>

<file path=xl/worksheets/sheet17.xml><?xml version="1.0" encoding="utf-8"?>
<worksheet xmlns="http://schemas.openxmlformats.org/spreadsheetml/2006/main" xmlns:r="http://schemas.openxmlformats.org/officeDocument/2006/relationships">
  <sheetPr codeName="Sheet17">
    <tabColor rgb="FF00B050"/>
  </sheetPr>
  <dimension ref="A1:K72"/>
  <sheetViews>
    <sheetView showGridLines="0" view="pageBreakPreview" topLeftCell="B1" zoomScaleSheetLayoutView="100" workbookViewId="0">
      <selection activeCell="M24" sqref="M24"/>
    </sheetView>
  </sheetViews>
  <sheetFormatPr defaultColWidth="9.125" defaultRowHeight="15"/>
  <cols>
    <col min="1" max="1" width="0" style="256" hidden="1" customWidth="1"/>
    <col min="2" max="2" width="6.375" style="256" customWidth="1"/>
    <col min="3" max="3" width="18" style="256" bestFit="1" customWidth="1"/>
    <col min="4" max="4" width="17.375" style="256" customWidth="1"/>
    <col min="5" max="5" width="11" style="256" customWidth="1"/>
    <col min="6" max="6" width="9" style="256" customWidth="1"/>
    <col min="7" max="7" width="13.125" style="256" customWidth="1"/>
    <col min="8" max="8" width="13.625" style="256" customWidth="1"/>
    <col min="9" max="9" width="0" style="256" hidden="1" customWidth="1"/>
    <col min="10" max="16384" width="9.125" style="256"/>
  </cols>
  <sheetData>
    <row r="1" spans="1:11" ht="20.25">
      <c r="B1" s="946" t="str">
        <f>Summary!$A$2</f>
        <v>iz/kkukpk;Z egkRek xka/kh jktdh; fo|ky; ¼vaxzsth ek/;e½ cj ] ikyh</v>
      </c>
      <c r="C1" s="946"/>
      <c r="D1" s="946"/>
      <c r="E1" s="946"/>
      <c r="F1" s="946"/>
      <c r="G1" s="946"/>
      <c r="H1" s="946"/>
    </row>
    <row r="2" spans="1:11" ht="20.25">
      <c r="B2" s="532"/>
      <c r="C2" s="532"/>
      <c r="D2" s="979" t="s">
        <v>327</v>
      </c>
      <c r="E2" s="979"/>
      <c r="F2" s="979"/>
      <c r="G2" s="894">
        <f>Summary!$C$1</f>
        <v>30695</v>
      </c>
      <c r="H2" s="894"/>
    </row>
    <row r="3" spans="1:11" ht="20.25">
      <c r="B3" s="974" t="s">
        <v>401</v>
      </c>
      <c r="C3" s="974"/>
      <c r="D3" s="974"/>
      <c r="E3" s="974"/>
      <c r="F3" s="974"/>
      <c r="G3" s="974"/>
      <c r="H3" s="974"/>
    </row>
    <row r="4" spans="1:11">
      <c r="B4" s="975" t="str">
        <f>'Formet 9'!A7</f>
        <v>BUDGET HEAD : 2202-GENERAL EDUCATION, 02-SECONDARY EDUCATION, 109-GOVT. SEC. SCHOOL, (02)-GIRLS SCHOOL (STATE FUND)</v>
      </c>
      <c r="C4" s="975"/>
      <c r="D4" s="975"/>
      <c r="E4" s="975"/>
      <c r="F4" s="975"/>
      <c r="G4" s="975"/>
      <c r="H4" s="975"/>
    </row>
    <row r="5" spans="1:11" s="257" customFormat="1" ht="47.25" customHeight="1">
      <c r="B5" s="253" t="s">
        <v>7</v>
      </c>
      <c r="C5" s="253" t="s">
        <v>402</v>
      </c>
      <c r="D5" s="253" t="s">
        <v>403</v>
      </c>
      <c r="E5" s="253" t="s">
        <v>404</v>
      </c>
      <c r="F5" s="253" t="s">
        <v>405</v>
      </c>
      <c r="G5" s="212" t="s">
        <v>573</v>
      </c>
      <c r="H5" s="212" t="s">
        <v>574</v>
      </c>
    </row>
    <row r="6" spans="1:11">
      <c r="B6" s="258" t="s">
        <v>406</v>
      </c>
      <c r="C6" s="259" t="s">
        <v>407</v>
      </c>
      <c r="D6" s="259" t="s">
        <v>408</v>
      </c>
      <c r="E6" s="259" t="s">
        <v>409</v>
      </c>
      <c r="F6" s="259" t="s">
        <v>410</v>
      </c>
      <c r="G6" s="212" t="s">
        <v>411</v>
      </c>
      <c r="H6" s="212" t="s">
        <v>412</v>
      </c>
      <c r="I6" s="259" t="s">
        <v>572</v>
      </c>
    </row>
    <row r="7" spans="1:11" ht="16.5">
      <c r="A7" s="256">
        <f>IF(I7&gt;=1,1,0)</f>
        <v>1</v>
      </c>
      <c r="B7" s="509">
        <f t="shared" ref="B7:B38" si="0">IF(I7&gt;0,A7,"")</f>
        <v>1</v>
      </c>
      <c r="C7" s="511" t="str">
        <f>'Formet 8'!B12</f>
        <v>Jherh m"kk ikfy;k</v>
      </c>
      <c r="D7" s="260" t="str">
        <f>'Formet 8'!E12</f>
        <v>PRINCIPAL</v>
      </c>
      <c r="E7" s="261">
        <f>'Formet 8'!H12</f>
        <v>855600</v>
      </c>
      <c r="F7" s="262">
        <f>IF(AND(E7=""),"",'Formet 8'!$C$76)</f>
        <v>0.05</v>
      </c>
      <c r="G7" s="512">
        <f t="shared" ref="G7:G38" si="1">IF(AND(E7=""),"",ROUND((E7*F7)*2,0))</f>
        <v>85560</v>
      </c>
      <c r="H7" s="513">
        <v>0</v>
      </c>
      <c r="I7" s="529">
        <f t="shared" ref="I7:I38" si="2">IF(E7="",0,1)</f>
        <v>1</v>
      </c>
      <c r="K7" s="256" t="str">
        <f>IF(I7&gt;1,SUBTOTAL(3,$I$7:I7),"")</f>
        <v/>
      </c>
    </row>
    <row r="8" spans="1:11" ht="16.5">
      <c r="A8" s="256">
        <f>IF(I8&gt;=1,1,0)+A7</f>
        <v>1</v>
      </c>
      <c r="B8" s="509" t="str">
        <f t="shared" si="0"/>
        <v/>
      </c>
      <c r="C8" s="511" t="str">
        <f>'Formet 8'!B13</f>
        <v/>
      </c>
      <c r="D8" s="260" t="str">
        <f>'Formet 8'!E13</f>
        <v/>
      </c>
      <c r="E8" s="261" t="str">
        <f>'Formet 8'!H13</f>
        <v/>
      </c>
      <c r="F8" s="262" t="str">
        <f>IF(AND(E8=""),"",'Formet 8'!$C$76)</f>
        <v/>
      </c>
      <c r="G8" s="512" t="str">
        <f t="shared" si="1"/>
        <v/>
      </c>
      <c r="H8" s="513">
        <v>0</v>
      </c>
      <c r="I8" s="529">
        <f t="shared" si="2"/>
        <v>0</v>
      </c>
    </row>
    <row r="9" spans="1:11" ht="16.5">
      <c r="A9" s="256">
        <f t="shared" ref="A9:A66" si="3">IF(I9&gt;=1,1,0)+A8</f>
        <v>1</v>
      </c>
      <c r="B9" s="509" t="str">
        <f t="shared" si="0"/>
        <v/>
      </c>
      <c r="C9" s="511" t="str">
        <f>'Formet 8'!B14</f>
        <v/>
      </c>
      <c r="D9" s="260" t="str">
        <f>'Formet 8'!E14</f>
        <v/>
      </c>
      <c r="E9" s="261" t="str">
        <f>'Formet 8'!H14</f>
        <v/>
      </c>
      <c r="F9" s="262" t="str">
        <f>IF(AND(E9=""),"",'Formet 8'!$C$76)</f>
        <v/>
      </c>
      <c r="G9" s="512" t="str">
        <f t="shared" si="1"/>
        <v/>
      </c>
      <c r="H9" s="513">
        <v>0</v>
      </c>
      <c r="I9" s="529">
        <f t="shared" si="2"/>
        <v>0</v>
      </c>
    </row>
    <row r="10" spans="1:11" ht="16.5">
      <c r="A10" s="256">
        <f t="shared" si="3"/>
        <v>1</v>
      </c>
      <c r="B10" s="509" t="str">
        <f t="shared" si="0"/>
        <v/>
      </c>
      <c r="C10" s="511" t="str">
        <f>'Formet 8'!B15</f>
        <v/>
      </c>
      <c r="D10" s="260" t="str">
        <f>'Formet 8'!E15</f>
        <v/>
      </c>
      <c r="E10" s="261" t="str">
        <f>'Formet 8'!H15</f>
        <v/>
      </c>
      <c r="F10" s="262" t="str">
        <f>IF(AND(E10=""),"",'Formet 8'!$C$76)</f>
        <v/>
      </c>
      <c r="G10" s="512" t="str">
        <f t="shared" si="1"/>
        <v/>
      </c>
      <c r="H10" s="513">
        <v>0</v>
      </c>
      <c r="I10" s="529">
        <f t="shared" si="2"/>
        <v>0</v>
      </c>
    </row>
    <row r="11" spans="1:11" ht="16.5">
      <c r="A11" s="256">
        <f t="shared" si="3"/>
        <v>1</v>
      </c>
      <c r="B11" s="509" t="str">
        <f t="shared" si="0"/>
        <v/>
      </c>
      <c r="C11" s="511" t="str">
        <f>'Formet 8'!B16</f>
        <v/>
      </c>
      <c r="D11" s="260" t="str">
        <f>'Formet 8'!E16</f>
        <v/>
      </c>
      <c r="E11" s="261" t="str">
        <f>'Formet 8'!H16</f>
        <v/>
      </c>
      <c r="F11" s="262" t="str">
        <f>IF(AND(E11=""),"",'Formet 8'!$C$76)</f>
        <v/>
      </c>
      <c r="G11" s="512" t="str">
        <f t="shared" si="1"/>
        <v/>
      </c>
      <c r="H11" s="513">
        <v>0</v>
      </c>
      <c r="I11" s="529">
        <f t="shared" si="2"/>
        <v>0</v>
      </c>
    </row>
    <row r="12" spans="1:11" ht="16.5">
      <c r="A12" s="256">
        <f t="shared" si="3"/>
        <v>1</v>
      </c>
      <c r="B12" s="509" t="str">
        <f t="shared" si="0"/>
        <v/>
      </c>
      <c r="C12" s="511" t="str">
        <f>'Formet 8'!B17</f>
        <v/>
      </c>
      <c r="D12" s="260" t="str">
        <f>'Formet 8'!E17</f>
        <v/>
      </c>
      <c r="E12" s="261" t="str">
        <f>'Formet 8'!H17</f>
        <v/>
      </c>
      <c r="F12" s="262" t="str">
        <f>IF(AND(E12=""),"",'Formet 8'!$C$76)</f>
        <v/>
      </c>
      <c r="G12" s="512" t="str">
        <f t="shared" si="1"/>
        <v/>
      </c>
      <c r="H12" s="513">
        <v>0</v>
      </c>
      <c r="I12" s="529">
        <f t="shared" si="2"/>
        <v>0</v>
      </c>
    </row>
    <row r="13" spans="1:11" ht="16.5">
      <c r="A13" s="256">
        <f t="shared" si="3"/>
        <v>1</v>
      </c>
      <c r="B13" s="509" t="str">
        <f t="shared" si="0"/>
        <v/>
      </c>
      <c r="C13" s="511" t="str">
        <f>'Formet 8'!B18</f>
        <v/>
      </c>
      <c r="D13" s="260" t="str">
        <f>'Formet 8'!E18</f>
        <v/>
      </c>
      <c r="E13" s="261" t="str">
        <f>'Formet 8'!H18</f>
        <v/>
      </c>
      <c r="F13" s="262" t="str">
        <f>IF(AND(E13=""),"",'Formet 8'!$C$76)</f>
        <v/>
      </c>
      <c r="G13" s="512" t="str">
        <f t="shared" si="1"/>
        <v/>
      </c>
      <c r="H13" s="513">
        <v>0</v>
      </c>
      <c r="I13" s="529">
        <f t="shared" si="2"/>
        <v>0</v>
      </c>
    </row>
    <row r="14" spans="1:11" ht="16.5">
      <c r="A14" s="256">
        <f t="shared" si="3"/>
        <v>1</v>
      </c>
      <c r="B14" s="509" t="str">
        <f t="shared" si="0"/>
        <v/>
      </c>
      <c r="C14" s="511" t="str">
        <f>'Formet 8'!B19</f>
        <v/>
      </c>
      <c r="D14" s="260" t="str">
        <f>'Formet 8'!E19</f>
        <v/>
      </c>
      <c r="E14" s="261" t="str">
        <f>'Formet 8'!H19</f>
        <v/>
      </c>
      <c r="F14" s="262" t="str">
        <f>IF(AND(E14=""),"",'Formet 8'!$C$76)</f>
        <v/>
      </c>
      <c r="G14" s="512" t="str">
        <f t="shared" si="1"/>
        <v/>
      </c>
      <c r="H14" s="513">
        <v>0</v>
      </c>
      <c r="I14" s="529">
        <f t="shared" si="2"/>
        <v>0</v>
      </c>
    </row>
    <row r="15" spans="1:11" ht="16.5">
      <c r="A15" s="256">
        <f t="shared" si="3"/>
        <v>1</v>
      </c>
      <c r="B15" s="509" t="str">
        <f t="shared" si="0"/>
        <v/>
      </c>
      <c r="C15" s="511" t="str">
        <f>'Formet 8'!B20</f>
        <v/>
      </c>
      <c r="D15" s="260" t="str">
        <f>'Formet 8'!E20</f>
        <v/>
      </c>
      <c r="E15" s="261" t="str">
        <f>'Formet 8'!H20</f>
        <v/>
      </c>
      <c r="F15" s="262" t="str">
        <f>IF(AND(E15=""),"",'Formet 8'!$C$76)</f>
        <v/>
      </c>
      <c r="G15" s="512" t="str">
        <f t="shared" si="1"/>
        <v/>
      </c>
      <c r="H15" s="513">
        <v>0</v>
      </c>
      <c r="I15" s="529">
        <f t="shared" si="2"/>
        <v>0</v>
      </c>
    </row>
    <row r="16" spans="1:11" ht="16.5">
      <c r="A16" s="256">
        <f t="shared" si="3"/>
        <v>1</v>
      </c>
      <c r="B16" s="509" t="str">
        <f t="shared" si="0"/>
        <v/>
      </c>
      <c r="C16" s="511" t="str">
        <f>'Formet 8'!B21</f>
        <v/>
      </c>
      <c r="D16" s="260" t="str">
        <f>'Formet 8'!E21</f>
        <v/>
      </c>
      <c r="E16" s="261" t="str">
        <f>'Formet 8'!H21</f>
        <v/>
      </c>
      <c r="F16" s="262" t="str">
        <f>IF(AND(E16=""),"",'Formet 8'!$C$76)</f>
        <v/>
      </c>
      <c r="G16" s="512" t="str">
        <f t="shared" si="1"/>
        <v/>
      </c>
      <c r="H16" s="513">
        <v>0</v>
      </c>
      <c r="I16" s="529">
        <f t="shared" si="2"/>
        <v>0</v>
      </c>
    </row>
    <row r="17" spans="1:9" ht="16.5">
      <c r="A17" s="256">
        <f t="shared" si="3"/>
        <v>1</v>
      </c>
      <c r="B17" s="509" t="str">
        <f t="shared" si="0"/>
        <v/>
      </c>
      <c r="C17" s="511" t="str">
        <f>'Formet 8'!B22</f>
        <v/>
      </c>
      <c r="D17" s="260" t="str">
        <f>'Formet 8'!E22</f>
        <v/>
      </c>
      <c r="E17" s="261" t="str">
        <f>'Formet 8'!H22</f>
        <v/>
      </c>
      <c r="F17" s="262" t="str">
        <f>IF(AND(E17=""),"",'Formet 8'!$C$76)</f>
        <v/>
      </c>
      <c r="G17" s="512" t="str">
        <f t="shared" si="1"/>
        <v/>
      </c>
      <c r="H17" s="513">
        <v>0</v>
      </c>
      <c r="I17" s="529">
        <f t="shared" si="2"/>
        <v>0</v>
      </c>
    </row>
    <row r="18" spans="1:9" ht="16.5">
      <c r="A18" s="256">
        <f t="shared" si="3"/>
        <v>1</v>
      </c>
      <c r="B18" s="509" t="str">
        <f t="shared" si="0"/>
        <v/>
      </c>
      <c r="C18" s="511" t="str">
        <f>'Formet 8'!B23</f>
        <v/>
      </c>
      <c r="D18" s="260" t="str">
        <f>'Formet 8'!E23</f>
        <v/>
      </c>
      <c r="E18" s="261" t="str">
        <f>'Formet 8'!H23</f>
        <v/>
      </c>
      <c r="F18" s="262" t="str">
        <f>IF(AND(E18=""),"",'Formet 8'!$C$76)</f>
        <v/>
      </c>
      <c r="G18" s="512" t="str">
        <f t="shared" si="1"/>
        <v/>
      </c>
      <c r="H18" s="513">
        <v>0</v>
      </c>
      <c r="I18" s="529">
        <f t="shared" si="2"/>
        <v>0</v>
      </c>
    </row>
    <row r="19" spans="1:9" ht="16.5">
      <c r="A19" s="256">
        <f t="shared" si="3"/>
        <v>1</v>
      </c>
      <c r="B19" s="509" t="str">
        <f t="shared" si="0"/>
        <v/>
      </c>
      <c r="C19" s="511" t="str">
        <f>'Formet 8'!B24</f>
        <v/>
      </c>
      <c r="D19" s="260" t="str">
        <f>'Formet 8'!E24</f>
        <v/>
      </c>
      <c r="E19" s="261" t="str">
        <f>'Formet 8'!H24</f>
        <v/>
      </c>
      <c r="F19" s="262" t="str">
        <f>IF(AND(E19=""),"",'Formet 8'!$C$76)</f>
        <v/>
      </c>
      <c r="G19" s="512" t="str">
        <f t="shared" si="1"/>
        <v/>
      </c>
      <c r="H19" s="513">
        <v>0</v>
      </c>
      <c r="I19" s="529">
        <f t="shared" si="2"/>
        <v>0</v>
      </c>
    </row>
    <row r="20" spans="1:9" ht="16.5">
      <c r="A20" s="256">
        <f t="shared" si="3"/>
        <v>1</v>
      </c>
      <c r="B20" s="509" t="str">
        <f t="shared" si="0"/>
        <v/>
      </c>
      <c r="C20" s="511" t="str">
        <f>'Formet 8'!B25</f>
        <v/>
      </c>
      <c r="D20" s="260" t="str">
        <f>'Formet 8'!E25</f>
        <v/>
      </c>
      <c r="E20" s="261" t="str">
        <f>'Formet 8'!H25</f>
        <v/>
      </c>
      <c r="F20" s="262" t="str">
        <f>IF(AND(E20=""),"",'Formet 8'!$C$76)</f>
        <v/>
      </c>
      <c r="G20" s="512" t="str">
        <f t="shared" si="1"/>
        <v/>
      </c>
      <c r="H20" s="513">
        <v>0</v>
      </c>
      <c r="I20" s="529">
        <f t="shared" si="2"/>
        <v>0</v>
      </c>
    </row>
    <row r="21" spans="1:9" ht="16.5">
      <c r="A21" s="256">
        <f t="shared" si="3"/>
        <v>1</v>
      </c>
      <c r="B21" s="509" t="str">
        <f t="shared" si="0"/>
        <v/>
      </c>
      <c r="C21" s="511"/>
      <c r="D21" s="260"/>
      <c r="E21" s="261"/>
      <c r="F21" s="262" t="str">
        <f>IF(AND(E21=""),"",'Formet 8'!$C$76)</f>
        <v/>
      </c>
      <c r="G21" s="512" t="str">
        <f t="shared" si="1"/>
        <v/>
      </c>
      <c r="H21" s="513">
        <v>0</v>
      </c>
      <c r="I21" s="529">
        <f t="shared" si="2"/>
        <v>0</v>
      </c>
    </row>
    <row r="22" spans="1:9" ht="16.5">
      <c r="A22" s="256">
        <f t="shared" si="3"/>
        <v>2</v>
      </c>
      <c r="B22" s="509">
        <f t="shared" si="0"/>
        <v>2</v>
      </c>
      <c r="C22" s="511" t="str">
        <f>'Formet 8'!B28</f>
        <v>Jh ;ksxsUnz</v>
      </c>
      <c r="D22" s="260" t="str">
        <f>'Formet 8'!E28</f>
        <v>TEACHER-II</v>
      </c>
      <c r="E22" s="261">
        <f>'Formet 8'!H28</f>
        <v>547200</v>
      </c>
      <c r="F22" s="262">
        <f>IF(AND(E22=""),"",'Formet 8'!$C$76)</f>
        <v>0.05</v>
      </c>
      <c r="G22" s="512">
        <f>IF(AND(E22=""),"",ROUND((E22*F22)*2,0))</f>
        <v>54720</v>
      </c>
      <c r="H22" s="513">
        <v>0</v>
      </c>
      <c r="I22" s="529">
        <f t="shared" si="2"/>
        <v>1</v>
      </c>
    </row>
    <row r="23" spans="1:9" ht="16.5">
      <c r="A23" s="256">
        <f t="shared" si="3"/>
        <v>3</v>
      </c>
      <c r="B23" s="509">
        <f t="shared" si="0"/>
        <v>3</v>
      </c>
      <c r="C23" s="511" t="str">
        <f>'Formet 8'!B29</f>
        <v>Jh lqjs'k pUn flaxkfM+;k</v>
      </c>
      <c r="D23" s="260" t="str">
        <f>'Formet 8'!E29</f>
        <v>TEACHER-II</v>
      </c>
      <c r="E23" s="261">
        <f>'Formet 8'!H29</f>
        <v>646800</v>
      </c>
      <c r="F23" s="262">
        <f>IF(AND(E23=""),"",'Formet 8'!$C$76)</f>
        <v>0.05</v>
      </c>
      <c r="G23" s="512">
        <f t="shared" si="1"/>
        <v>64680</v>
      </c>
      <c r="H23" s="513">
        <v>0</v>
      </c>
      <c r="I23" s="529">
        <f t="shared" si="2"/>
        <v>1</v>
      </c>
    </row>
    <row r="24" spans="1:9" ht="16.5">
      <c r="A24" s="256">
        <f t="shared" si="3"/>
        <v>4</v>
      </c>
      <c r="B24" s="509">
        <f t="shared" si="0"/>
        <v>4</v>
      </c>
      <c r="C24" s="511" t="str">
        <f>'Formet 8'!B30</f>
        <v>Jh jkds'k dqekj 'kekZ</v>
      </c>
      <c r="D24" s="260" t="str">
        <f>'Formet 8'!E30</f>
        <v>TEACHER-II</v>
      </c>
      <c r="E24" s="261">
        <f>'Formet 8'!H30</f>
        <v>547200</v>
      </c>
      <c r="F24" s="262">
        <f>IF(AND(E24=""),"",'Formet 8'!$C$76)</f>
        <v>0.05</v>
      </c>
      <c r="G24" s="512">
        <f t="shared" si="1"/>
        <v>54720</v>
      </c>
      <c r="H24" s="513">
        <v>0</v>
      </c>
      <c r="I24" s="529">
        <f t="shared" si="2"/>
        <v>1</v>
      </c>
    </row>
    <row r="25" spans="1:9" ht="16.5">
      <c r="A25" s="256">
        <f t="shared" si="3"/>
        <v>5</v>
      </c>
      <c r="B25" s="509">
        <f t="shared" si="0"/>
        <v>5</v>
      </c>
      <c r="C25" s="511" t="str">
        <f>'Formet 8'!B31</f>
        <v>Jh ghjkyky tkV</v>
      </c>
      <c r="D25" s="260" t="str">
        <f>'Formet 8'!E31</f>
        <v>TEACHER-II</v>
      </c>
      <c r="E25" s="261">
        <f>'Formet 8'!H31</f>
        <v>627600</v>
      </c>
      <c r="F25" s="262">
        <f>IF(AND(E25=""),"",'Formet 8'!$C$76)</f>
        <v>0.05</v>
      </c>
      <c r="G25" s="512">
        <f t="shared" si="1"/>
        <v>62760</v>
      </c>
      <c r="H25" s="513">
        <v>0</v>
      </c>
      <c r="I25" s="529">
        <f t="shared" si="2"/>
        <v>1</v>
      </c>
    </row>
    <row r="26" spans="1:9" ht="16.5">
      <c r="A26" s="256">
        <f t="shared" si="3"/>
        <v>6</v>
      </c>
      <c r="B26" s="509">
        <f t="shared" si="0"/>
        <v>6</v>
      </c>
      <c r="C26" s="511" t="str">
        <f>'Formet 8'!B32</f>
        <v>Jh 'kjn 'kekZ</v>
      </c>
      <c r="D26" s="260" t="str">
        <f>'Formet 8'!E32</f>
        <v>TEACHER-II</v>
      </c>
      <c r="E26" s="261">
        <f>'Formet 8'!H32</f>
        <v>495600</v>
      </c>
      <c r="F26" s="262">
        <f>IF(AND(E26=""),"",'Formet 8'!$C$76)</f>
        <v>0.05</v>
      </c>
      <c r="G26" s="512">
        <f t="shared" si="1"/>
        <v>49560</v>
      </c>
      <c r="H26" s="513">
        <v>0</v>
      </c>
      <c r="I26" s="529">
        <f t="shared" si="2"/>
        <v>1</v>
      </c>
    </row>
    <row r="27" spans="1:9" ht="16.5">
      <c r="A27" s="256">
        <f t="shared" si="3"/>
        <v>7</v>
      </c>
      <c r="B27" s="509">
        <f t="shared" si="0"/>
        <v>7</v>
      </c>
      <c r="C27" s="511" t="str">
        <f>'Formet 8'!B33</f>
        <v>Jh jk/ks';ke</v>
      </c>
      <c r="D27" s="260" t="str">
        <f>'Formet 8'!E33</f>
        <v>TEACHER-II</v>
      </c>
      <c r="E27" s="261">
        <f>'Formet 8'!H33</f>
        <v>831600</v>
      </c>
      <c r="F27" s="262">
        <f>IF(AND(E27=""),"",'Formet 8'!$C$76)</f>
        <v>0.05</v>
      </c>
      <c r="G27" s="512">
        <f t="shared" si="1"/>
        <v>83160</v>
      </c>
      <c r="H27" s="513">
        <v>0</v>
      </c>
      <c r="I27" s="529">
        <f t="shared" si="2"/>
        <v>1</v>
      </c>
    </row>
    <row r="28" spans="1:9" ht="16.5">
      <c r="A28" s="256">
        <f t="shared" si="3"/>
        <v>8</v>
      </c>
      <c r="B28" s="509">
        <f t="shared" si="0"/>
        <v>8</v>
      </c>
      <c r="C28" s="511" t="str">
        <f>'Formet 8'!B34</f>
        <v>Jh izdk'k pUn</v>
      </c>
      <c r="D28" s="260" t="str">
        <f>'Formet 8'!E34</f>
        <v>TEACHER-III</v>
      </c>
      <c r="E28" s="261">
        <f>'Formet 8'!H34</f>
        <v>493200</v>
      </c>
      <c r="F28" s="262">
        <f>IF(AND(E28=""),"",'Formet 8'!$C$76)</f>
        <v>0.05</v>
      </c>
      <c r="G28" s="512">
        <f t="shared" si="1"/>
        <v>49320</v>
      </c>
      <c r="H28" s="513">
        <v>0</v>
      </c>
      <c r="I28" s="529">
        <f t="shared" si="2"/>
        <v>1</v>
      </c>
    </row>
    <row r="29" spans="1:9" ht="16.5">
      <c r="A29" s="256">
        <f t="shared" si="3"/>
        <v>9</v>
      </c>
      <c r="B29" s="509">
        <f t="shared" si="0"/>
        <v>9</v>
      </c>
      <c r="C29" s="511" t="str">
        <f>'Formet 8'!B35</f>
        <v>Jherh eerk yokfu;k</v>
      </c>
      <c r="D29" s="260" t="str">
        <f>'Formet 8'!E35</f>
        <v>TEACHER-III</v>
      </c>
      <c r="E29" s="261">
        <f>'Formet 8'!H35</f>
        <v>493200</v>
      </c>
      <c r="F29" s="262">
        <f>IF(AND(E29=""),"",'Formet 8'!$C$76)</f>
        <v>0.05</v>
      </c>
      <c r="G29" s="512">
        <f t="shared" si="1"/>
        <v>49320</v>
      </c>
      <c r="H29" s="513">
        <v>0</v>
      </c>
      <c r="I29" s="529">
        <f t="shared" si="2"/>
        <v>1</v>
      </c>
    </row>
    <row r="30" spans="1:9" ht="16.5">
      <c r="A30" s="256">
        <f t="shared" si="3"/>
        <v>10</v>
      </c>
      <c r="B30" s="509">
        <f t="shared" si="0"/>
        <v>10</v>
      </c>
      <c r="C30" s="511" t="str">
        <f>'Formet 8'!B36</f>
        <v>Jh lEirjkt</v>
      </c>
      <c r="D30" s="260" t="str">
        <f>'Formet 8'!E36</f>
        <v>TEACHER-III</v>
      </c>
      <c r="E30" s="261">
        <f>'Formet 8'!H36</f>
        <v>493200</v>
      </c>
      <c r="F30" s="262">
        <f>IF(AND(E30=""),"",'Formet 8'!$C$76)</f>
        <v>0.05</v>
      </c>
      <c r="G30" s="512">
        <f t="shared" si="1"/>
        <v>49320</v>
      </c>
      <c r="H30" s="513">
        <v>0</v>
      </c>
      <c r="I30" s="529">
        <f t="shared" si="2"/>
        <v>1</v>
      </c>
    </row>
    <row r="31" spans="1:9" ht="16.5">
      <c r="A31" s="256">
        <f t="shared" si="3"/>
        <v>11</v>
      </c>
      <c r="B31" s="509">
        <f t="shared" si="0"/>
        <v>11</v>
      </c>
      <c r="C31" s="511" t="str">
        <f>'Formet 8'!B37</f>
        <v>Jh eukst ikpksjh</v>
      </c>
      <c r="D31" s="260" t="str">
        <f>'Formet 8'!E37</f>
        <v>TEACHER-III</v>
      </c>
      <c r="E31" s="261">
        <f>'Formet 8'!H37</f>
        <v>493200</v>
      </c>
      <c r="F31" s="262">
        <f>IF(AND(E31=""),"",'Formet 8'!$C$76)</f>
        <v>0.05</v>
      </c>
      <c r="G31" s="512">
        <f t="shared" si="1"/>
        <v>49320</v>
      </c>
      <c r="H31" s="513">
        <v>0</v>
      </c>
      <c r="I31" s="529">
        <f t="shared" si="2"/>
        <v>1</v>
      </c>
    </row>
    <row r="32" spans="1:9" ht="16.5">
      <c r="A32" s="256">
        <f t="shared" si="3"/>
        <v>12</v>
      </c>
      <c r="B32" s="509">
        <f t="shared" si="0"/>
        <v>12</v>
      </c>
      <c r="C32" s="511" t="str">
        <f>'Formet 8'!B38</f>
        <v>Jh iznhiflag</v>
      </c>
      <c r="D32" s="260" t="str">
        <f>'Formet 8'!E38</f>
        <v>TEACHER-III</v>
      </c>
      <c r="E32" s="261">
        <f>'Formet 8'!H38</f>
        <v>493200</v>
      </c>
      <c r="F32" s="262">
        <f>IF(AND(E32=""),"",'Formet 8'!$C$76)</f>
        <v>0.05</v>
      </c>
      <c r="G32" s="512">
        <f t="shared" si="1"/>
        <v>49320</v>
      </c>
      <c r="H32" s="513">
        <v>0</v>
      </c>
      <c r="I32" s="529">
        <f t="shared" si="2"/>
        <v>1</v>
      </c>
    </row>
    <row r="33" spans="1:9" ht="16.5">
      <c r="A33" s="256">
        <f t="shared" si="3"/>
        <v>13</v>
      </c>
      <c r="B33" s="509">
        <f t="shared" si="0"/>
        <v>13</v>
      </c>
      <c r="C33" s="511" t="str">
        <f>'Formet 8'!B39</f>
        <v>Jh vfHkeU;q flag</v>
      </c>
      <c r="D33" s="260" t="str">
        <f>'Formet 8'!E39</f>
        <v>TEACHER-III</v>
      </c>
      <c r="E33" s="261">
        <f>'Formet 8'!H39</f>
        <v>493200</v>
      </c>
      <c r="F33" s="262">
        <f>IF(AND(E33=""),"",'Formet 8'!$C$76)</f>
        <v>0.05</v>
      </c>
      <c r="G33" s="512">
        <f t="shared" si="1"/>
        <v>49320</v>
      </c>
      <c r="H33" s="513">
        <v>0</v>
      </c>
      <c r="I33" s="529">
        <f t="shared" si="2"/>
        <v>1</v>
      </c>
    </row>
    <row r="34" spans="1:9" ht="16.5">
      <c r="A34" s="256">
        <f t="shared" si="3"/>
        <v>14</v>
      </c>
      <c r="B34" s="509">
        <f t="shared" si="0"/>
        <v>14</v>
      </c>
      <c r="C34" s="511" t="str">
        <f>'Formet 8'!B40</f>
        <v>Jh iq"isUn toM+k</v>
      </c>
      <c r="D34" s="260" t="str">
        <f>'Formet 8'!E40</f>
        <v>TEACHER-III</v>
      </c>
      <c r="E34" s="261">
        <f>'Formet 8'!H40</f>
        <v>493200</v>
      </c>
      <c r="F34" s="262">
        <f>IF(AND(E34=""),"",'Formet 8'!$C$76)</f>
        <v>0.05</v>
      </c>
      <c r="G34" s="512">
        <f t="shared" si="1"/>
        <v>49320</v>
      </c>
      <c r="H34" s="513">
        <v>0</v>
      </c>
      <c r="I34" s="529">
        <f t="shared" si="2"/>
        <v>1</v>
      </c>
    </row>
    <row r="35" spans="1:9" ht="16.5">
      <c r="A35" s="256">
        <f t="shared" si="3"/>
        <v>15</v>
      </c>
      <c r="B35" s="509">
        <f t="shared" si="0"/>
        <v>15</v>
      </c>
      <c r="C35" s="511" t="str">
        <f>'Formet 8'!B41</f>
        <v>Jh lq[kohjflag</v>
      </c>
      <c r="D35" s="260" t="str">
        <f>'Formet 8'!E41</f>
        <v>TEACHER-III</v>
      </c>
      <c r="E35" s="261">
        <f>'Formet 8'!H41</f>
        <v>415200</v>
      </c>
      <c r="F35" s="262">
        <f>IF(AND(E35=""),"",'Formet 8'!$C$76)</f>
        <v>0.05</v>
      </c>
      <c r="G35" s="512">
        <f t="shared" si="1"/>
        <v>41520</v>
      </c>
      <c r="H35" s="513">
        <v>0</v>
      </c>
      <c r="I35" s="529">
        <f t="shared" si="2"/>
        <v>1</v>
      </c>
    </row>
    <row r="36" spans="1:9" ht="16.5">
      <c r="A36" s="256">
        <f t="shared" si="3"/>
        <v>16</v>
      </c>
      <c r="B36" s="509">
        <f t="shared" si="0"/>
        <v>16</v>
      </c>
      <c r="C36" s="511" t="str">
        <f>'Formet 8'!B42</f>
        <v>Jh izoh.k lksyadh</v>
      </c>
      <c r="D36" s="260" t="str">
        <f>'Formet 8'!E42</f>
        <v>LIBRARIAN III</v>
      </c>
      <c r="E36" s="261">
        <f>'Formet 8'!H42</f>
        <v>415200</v>
      </c>
      <c r="F36" s="262">
        <f>IF(AND(E36=""),"",'Formet 8'!$C$76)</f>
        <v>0.05</v>
      </c>
      <c r="G36" s="512">
        <f t="shared" si="1"/>
        <v>41520</v>
      </c>
      <c r="H36" s="513">
        <v>0</v>
      </c>
      <c r="I36" s="529">
        <f t="shared" si="2"/>
        <v>1</v>
      </c>
    </row>
    <row r="37" spans="1:9" ht="16.5">
      <c r="A37" s="256">
        <f t="shared" si="3"/>
        <v>17</v>
      </c>
      <c r="B37" s="509">
        <f t="shared" si="0"/>
        <v>17</v>
      </c>
      <c r="C37" s="511" t="str">
        <f>'Formet 8'!B43</f>
        <v>Jherh 'kkjnk pkS/kjh</v>
      </c>
      <c r="D37" s="260" t="str">
        <f>'Formet 8'!E43</f>
        <v>PTI  III</v>
      </c>
      <c r="E37" s="261">
        <f>'Formet 8'!H43</f>
        <v>415200</v>
      </c>
      <c r="F37" s="262">
        <f>IF(AND(E37=""),"",'Formet 8'!$C$76)</f>
        <v>0.05</v>
      </c>
      <c r="G37" s="512">
        <f t="shared" si="1"/>
        <v>41520</v>
      </c>
      <c r="H37" s="513">
        <v>0</v>
      </c>
      <c r="I37" s="529">
        <f t="shared" si="2"/>
        <v>1</v>
      </c>
    </row>
    <row r="38" spans="1:9" ht="16.5">
      <c r="A38" s="256">
        <f t="shared" si="3"/>
        <v>18</v>
      </c>
      <c r="B38" s="509">
        <f t="shared" si="0"/>
        <v>18</v>
      </c>
      <c r="C38" s="511" t="str">
        <f>'Formet 8'!B44</f>
        <v>Jh eqds'k dqekj</v>
      </c>
      <c r="D38" s="260" t="str">
        <f>'Formet 8'!E44</f>
        <v>LAB ASST</v>
      </c>
      <c r="E38" s="261">
        <f>'Formet 8'!H44</f>
        <v>415200</v>
      </c>
      <c r="F38" s="262">
        <f>IF(AND(E38=""),"",'Formet 8'!$C$76)</f>
        <v>0.05</v>
      </c>
      <c r="G38" s="512">
        <f t="shared" si="1"/>
        <v>41520</v>
      </c>
      <c r="H38" s="513">
        <v>0</v>
      </c>
      <c r="I38" s="529">
        <f t="shared" si="2"/>
        <v>1</v>
      </c>
    </row>
    <row r="39" spans="1:9" ht="16.5">
      <c r="A39" s="256">
        <f t="shared" si="3"/>
        <v>19</v>
      </c>
      <c r="B39" s="509">
        <f t="shared" ref="B39:B65" si="4">IF(I39&gt;0,A39,"")</f>
        <v>19</v>
      </c>
      <c r="C39" s="511" t="str">
        <f>'Formet 8'!B45</f>
        <v xml:space="preserve">Jh jkds'k dqekj </v>
      </c>
      <c r="D39" s="260" t="str">
        <f>'Formet 8'!E45</f>
        <v>CLERK GRADE II</v>
      </c>
      <c r="E39" s="261">
        <f>'Formet 8'!H45</f>
        <v>415200</v>
      </c>
      <c r="F39" s="262">
        <f>IF(AND(E39=""),"",'Formet 8'!$C$76)</f>
        <v>0.05</v>
      </c>
      <c r="G39" s="512">
        <f t="shared" ref="G39:G65" si="5">IF(AND(E39=""),"",ROUND((E39*F39)*2,0))</f>
        <v>41520</v>
      </c>
      <c r="H39" s="513">
        <v>0</v>
      </c>
      <c r="I39" s="529">
        <f t="shared" ref="I39:I65" si="6">IF(E39="",0,1)</f>
        <v>1</v>
      </c>
    </row>
    <row r="40" spans="1:9" ht="16.5">
      <c r="A40" s="256">
        <f t="shared" si="3"/>
        <v>20</v>
      </c>
      <c r="B40" s="509">
        <f t="shared" si="4"/>
        <v>20</v>
      </c>
      <c r="C40" s="511" t="str">
        <f>'Formet 8'!B46</f>
        <v xml:space="preserve">Jh fueZy dqekj </v>
      </c>
      <c r="D40" s="260" t="str">
        <f>'Formet 8'!E46</f>
        <v>CLERK GRADE III</v>
      </c>
      <c r="E40" s="261">
        <f>'Formet 8'!H46</f>
        <v>415200</v>
      </c>
      <c r="F40" s="262">
        <f>IF(AND(E40=""),"",'Formet 8'!$C$76)</f>
        <v>0.05</v>
      </c>
      <c r="G40" s="512">
        <f t="shared" si="5"/>
        <v>41520</v>
      </c>
      <c r="H40" s="513">
        <v>0</v>
      </c>
      <c r="I40" s="529">
        <f t="shared" si="6"/>
        <v>1</v>
      </c>
    </row>
    <row r="41" spans="1:9" ht="16.5">
      <c r="A41" s="256">
        <f t="shared" si="3"/>
        <v>20</v>
      </c>
      <c r="B41" s="509" t="str">
        <f t="shared" si="4"/>
        <v/>
      </c>
      <c r="C41" s="511" t="str">
        <f>'Formet 8'!B47</f>
        <v/>
      </c>
      <c r="D41" s="260" t="str">
        <f>'Formet 8'!E47</f>
        <v/>
      </c>
      <c r="E41" s="261" t="str">
        <f>'Formet 8'!H47</f>
        <v/>
      </c>
      <c r="F41" s="262" t="str">
        <f>IF(AND(E41=""),"",'Formet 8'!$C$76)</f>
        <v/>
      </c>
      <c r="G41" s="512" t="str">
        <f t="shared" si="5"/>
        <v/>
      </c>
      <c r="H41" s="513">
        <v>0</v>
      </c>
      <c r="I41" s="529">
        <f t="shared" si="6"/>
        <v>0</v>
      </c>
    </row>
    <row r="42" spans="1:9" ht="16.5">
      <c r="A42" s="256">
        <f t="shared" si="3"/>
        <v>20</v>
      </c>
      <c r="B42" s="509" t="str">
        <f t="shared" si="4"/>
        <v/>
      </c>
      <c r="C42" s="511" t="str">
        <f>'Formet 8'!B48</f>
        <v/>
      </c>
      <c r="D42" s="260" t="str">
        <f>'Formet 8'!E48</f>
        <v/>
      </c>
      <c r="E42" s="261" t="str">
        <f>'Formet 8'!H48</f>
        <v/>
      </c>
      <c r="F42" s="262" t="str">
        <f>IF(AND(E42=""),"",'Formet 8'!$C$76)</f>
        <v/>
      </c>
      <c r="G42" s="512" t="str">
        <f t="shared" si="5"/>
        <v/>
      </c>
      <c r="H42" s="513">
        <v>0</v>
      </c>
      <c r="I42" s="529">
        <f t="shared" si="6"/>
        <v>0</v>
      </c>
    </row>
    <row r="43" spans="1:9" ht="16.5">
      <c r="A43" s="256">
        <f t="shared" si="3"/>
        <v>20</v>
      </c>
      <c r="B43" s="509" t="str">
        <f t="shared" si="4"/>
        <v/>
      </c>
      <c r="C43" s="511" t="str">
        <f>'Formet 8'!B49</f>
        <v/>
      </c>
      <c r="D43" s="260" t="str">
        <f>'Formet 8'!E49</f>
        <v/>
      </c>
      <c r="E43" s="261" t="str">
        <f>'Formet 8'!H49</f>
        <v/>
      </c>
      <c r="F43" s="262" t="str">
        <f>IF(AND(E43=""),"",'Formet 8'!$C$76)</f>
        <v/>
      </c>
      <c r="G43" s="512" t="str">
        <f t="shared" si="5"/>
        <v/>
      </c>
      <c r="H43" s="513">
        <v>0</v>
      </c>
      <c r="I43" s="529">
        <f t="shared" si="6"/>
        <v>0</v>
      </c>
    </row>
    <row r="44" spans="1:9" ht="16.5">
      <c r="A44" s="256">
        <f t="shared" si="3"/>
        <v>20</v>
      </c>
      <c r="B44" s="509" t="str">
        <f t="shared" si="4"/>
        <v/>
      </c>
      <c r="C44" s="511" t="str">
        <f>'Formet 8'!B50</f>
        <v/>
      </c>
      <c r="D44" s="260" t="str">
        <f>'Formet 8'!E50</f>
        <v/>
      </c>
      <c r="E44" s="261" t="str">
        <f>'Formet 8'!H50</f>
        <v/>
      </c>
      <c r="F44" s="262" t="str">
        <f>IF(AND(E44=""),"",'Formet 8'!$C$76)</f>
        <v/>
      </c>
      <c r="G44" s="512" t="str">
        <f t="shared" si="5"/>
        <v/>
      </c>
      <c r="H44" s="513">
        <v>0</v>
      </c>
      <c r="I44" s="529">
        <f t="shared" si="6"/>
        <v>0</v>
      </c>
    </row>
    <row r="45" spans="1:9" ht="16.5">
      <c r="A45" s="256">
        <f t="shared" si="3"/>
        <v>20</v>
      </c>
      <c r="B45" s="509" t="str">
        <f t="shared" si="4"/>
        <v/>
      </c>
      <c r="C45" s="511" t="str">
        <f>'Formet 8'!B51</f>
        <v/>
      </c>
      <c r="D45" s="260" t="str">
        <f>'Formet 8'!E51</f>
        <v/>
      </c>
      <c r="E45" s="261" t="str">
        <f>'Formet 8'!H51</f>
        <v/>
      </c>
      <c r="F45" s="262" t="str">
        <f>IF(AND(E45=""),"",'Formet 8'!$C$76)</f>
        <v/>
      </c>
      <c r="G45" s="512" t="str">
        <f t="shared" si="5"/>
        <v/>
      </c>
      <c r="H45" s="513">
        <v>0</v>
      </c>
      <c r="I45" s="529">
        <f t="shared" si="6"/>
        <v>0</v>
      </c>
    </row>
    <row r="46" spans="1:9" ht="16.5">
      <c r="A46" s="256">
        <f t="shared" si="3"/>
        <v>20</v>
      </c>
      <c r="B46" s="509" t="str">
        <f t="shared" si="4"/>
        <v/>
      </c>
      <c r="C46" s="511" t="str">
        <f>'Formet 8'!B52</f>
        <v/>
      </c>
      <c r="D46" s="260" t="str">
        <f>'Formet 8'!E52</f>
        <v/>
      </c>
      <c r="E46" s="261" t="str">
        <f>'Formet 8'!H52</f>
        <v/>
      </c>
      <c r="F46" s="262" t="str">
        <f>IF(AND(E46=""),"",'Formet 8'!$C$76)</f>
        <v/>
      </c>
      <c r="G46" s="512" t="str">
        <f t="shared" si="5"/>
        <v/>
      </c>
      <c r="H46" s="513">
        <v>0</v>
      </c>
      <c r="I46" s="529">
        <f t="shared" si="6"/>
        <v>0</v>
      </c>
    </row>
    <row r="47" spans="1:9" ht="16.5">
      <c r="A47" s="256">
        <f t="shared" si="3"/>
        <v>20</v>
      </c>
      <c r="B47" s="509" t="str">
        <f t="shared" si="4"/>
        <v/>
      </c>
      <c r="C47" s="511" t="str">
        <f>'Formet 8'!B53</f>
        <v/>
      </c>
      <c r="D47" s="260" t="str">
        <f>'Formet 8'!E53</f>
        <v/>
      </c>
      <c r="E47" s="261" t="str">
        <f>'Formet 8'!H53</f>
        <v/>
      </c>
      <c r="F47" s="262" t="str">
        <f>IF(AND(E47=""),"",'Formet 8'!$C$76)</f>
        <v/>
      </c>
      <c r="G47" s="512" t="str">
        <f t="shared" si="5"/>
        <v/>
      </c>
      <c r="H47" s="513">
        <v>0</v>
      </c>
      <c r="I47" s="529">
        <f t="shared" si="6"/>
        <v>0</v>
      </c>
    </row>
    <row r="48" spans="1:9" ht="16.5">
      <c r="A48" s="256">
        <f t="shared" si="3"/>
        <v>20</v>
      </c>
      <c r="B48" s="509" t="str">
        <f t="shared" si="4"/>
        <v/>
      </c>
      <c r="C48" s="511" t="str">
        <f>'Formet 8'!B54</f>
        <v/>
      </c>
      <c r="D48" s="260" t="str">
        <f>'Formet 8'!E54</f>
        <v/>
      </c>
      <c r="E48" s="261" t="str">
        <f>'Formet 8'!H54</f>
        <v/>
      </c>
      <c r="F48" s="262" t="str">
        <f>IF(AND(E48=""),"",'Formet 8'!$C$76)</f>
        <v/>
      </c>
      <c r="G48" s="512" t="str">
        <f t="shared" si="5"/>
        <v/>
      </c>
      <c r="H48" s="513">
        <v>0</v>
      </c>
      <c r="I48" s="529">
        <f t="shared" si="6"/>
        <v>0</v>
      </c>
    </row>
    <row r="49" spans="1:9" ht="16.5">
      <c r="A49" s="256">
        <f t="shared" si="3"/>
        <v>20</v>
      </c>
      <c r="B49" s="509" t="str">
        <f t="shared" si="4"/>
        <v/>
      </c>
      <c r="C49" s="511" t="str">
        <f>'Formet 8'!B55</f>
        <v/>
      </c>
      <c r="D49" s="260" t="str">
        <f>'Formet 8'!E55</f>
        <v/>
      </c>
      <c r="E49" s="261" t="str">
        <f>'Formet 8'!H55</f>
        <v/>
      </c>
      <c r="F49" s="262" t="str">
        <f>IF(AND(E49=""),"",'Formet 8'!$C$76)</f>
        <v/>
      </c>
      <c r="G49" s="512" t="str">
        <f t="shared" si="5"/>
        <v/>
      </c>
      <c r="H49" s="513">
        <v>0</v>
      </c>
      <c r="I49" s="529">
        <f t="shared" si="6"/>
        <v>0</v>
      </c>
    </row>
    <row r="50" spans="1:9" ht="16.5">
      <c r="A50" s="256">
        <f t="shared" si="3"/>
        <v>20</v>
      </c>
      <c r="B50" s="509" t="str">
        <f t="shared" si="4"/>
        <v/>
      </c>
      <c r="C50" s="511" t="str">
        <f>'Formet 8'!B56</f>
        <v/>
      </c>
      <c r="D50" s="260" t="str">
        <f>'Formet 8'!E56</f>
        <v/>
      </c>
      <c r="E50" s="261" t="str">
        <f>'Formet 8'!H56</f>
        <v/>
      </c>
      <c r="F50" s="262" t="str">
        <f>IF(AND(E50=""),"",'Formet 8'!$C$76)</f>
        <v/>
      </c>
      <c r="G50" s="512" t="str">
        <f t="shared" si="5"/>
        <v/>
      </c>
      <c r="H50" s="513">
        <v>0</v>
      </c>
      <c r="I50" s="529">
        <f t="shared" si="6"/>
        <v>0</v>
      </c>
    </row>
    <row r="51" spans="1:9" ht="16.5">
      <c r="A51" s="256">
        <f t="shared" si="3"/>
        <v>20</v>
      </c>
      <c r="B51" s="509" t="str">
        <f t="shared" si="4"/>
        <v/>
      </c>
      <c r="C51" s="511" t="str">
        <f>'Formet 8'!B57</f>
        <v/>
      </c>
      <c r="D51" s="260" t="str">
        <f>'Formet 8'!E57</f>
        <v/>
      </c>
      <c r="E51" s="261" t="str">
        <f>'Formet 8'!H57</f>
        <v/>
      </c>
      <c r="F51" s="262" t="str">
        <f>IF(AND(E51=""),"",'Formet 8'!$C$76)</f>
        <v/>
      </c>
      <c r="G51" s="512" t="str">
        <f t="shared" si="5"/>
        <v/>
      </c>
      <c r="H51" s="513">
        <v>0</v>
      </c>
      <c r="I51" s="529">
        <f t="shared" si="6"/>
        <v>0</v>
      </c>
    </row>
    <row r="52" spans="1:9" ht="16.5">
      <c r="A52" s="256">
        <f t="shared" si="3"/>
        <v>20</v>
      </c>
      <c r="B52" s="509" t="str">
        <f t="shared" si="4"/>
        <v/>
      </c>
      <c r="C52" s="511" t="str">
        <f>'Formet 8'!B58</f>
        <v/>
      </c>
      <c r="D52" s="260" t="str">
        <f>'Formet 8'!E58</f>
        <v/>
      </c>
      <c r="E52" s="261" t="str">
        <f>'Formet 8'!H58</f>
        <v/>
      </c>
      <c r="F52" s="262" t="str">
        <f>IF(AND(E52=""),"",'Formet 8'!$C$76)</f>
        <v/>
      </c>
      <c r="G52" s="512" t="str">
        <f t="shared" si="5"/>
        <v/>
      </c>
      <c r="H52" s="513">
        <v>0</v>
      </c>
      <c r="I52" s="529">
        <f t="shared" si="6"/>
        <v>0</v>
      </c>
    </row>
    <row r="53" spans="1:9" ht="16.5">
      <c r="A53" s="256">
        <f t="shared" si="3"/>
        <v>20</v>
      </c>
      <c r="B53" s="509" t="str">
        <f t="shared" si="4"/>
        <v/>
      </c>
      <c r="C53" s="511" t="str">
        <f>'Formet 8'!B59</f>
        <v/>
      </c>
      <c r="D53" s="260" t="str">
        <f>'Formet 8'!E59</f>
        <v/>
      </c>
      <c r="E53" s="261" t="str">
        <f>'Formet 8'!H59</f>
        <v/>
      </c>
      <c r="F53" s="262" t="str">
        <f>IF(AND(E53=""),"",'Formet 8'!$C$76)</f>
        <v/>
      </c>
      <c r="G53" s="512" t="str">
        <f t="shared" si="5"/>
        <v/>
      </c>
      <c r="H53" s="513">
        <v>0</v>
      </c>
      <c r="I53" s="529">
        <f t="shared" si="6"/>
        <v>0</v>
      </c>
    </row>
    <row r="54" spans="1:9" ht="16.5">
      <c r="A54" s="256">
        <f t="shared" si="3"/>
        <v>20</v>
      </c>
      <c r="B54" s="509" t="str">
        <f t="shared" si="4"/>
        <v/>
      </c>
      <c r="C54" s="511" t="str">
        <f>'Formet 8'!B60</f>
        <v/>
      </c>
      <c r="D54" s="260" t="str">
        <f>'Formet 8'!E60</f>
        <v/>
      </c>
      <c r="E54" s="261" t="str">
        <f>'Formet 8'!H60</f>
        <v/>
      </c>
      <c r="F54" s="262" t="str">
        <f>IF(AND(E54=""),"",'Formet 8'!$C$76)</f>
        <v/>
      </c>
      <c r="G54" s="512" t="str">
        <f t="shared" si="5"/>
        <v/>
      </c>
      <c r="H54" s="513">
        <v>0</v>
      </c>
      <c r="I54" s="529">
        <f t="shared" si="6"/>
        <v>0</v>
      </c>
    </row>
    <row r="55" spans="1:9" ht="16.5">
      <c r="A55" s="256">
        <f t="shared" si="3"/>
        <v>20</v>
      </c>
      <c r="B55" s="509" t="str">
        <f t="shared" si="4"/>
        <v/>
      </c>
      <c r="C55" s="511" t="str">
        <f>'Formet 8'!B61</f>
        <v/>
      </c>
      <c r="D55" s="260" t="str">
        <f>'Formet 8'!E61</f>
        <v/>
      </c>
      <c r="E55" s="261" t="str">
        <f>'Formet 8'!H61</f>
        <v/>
      </c>
      <c r="F55" s="262" t="str">
        <f>IF(AND(E55=""),"",'Formet 8'!$C$76)</f>
        <v/>
      </c>
      <c r="G55" s="512" t="str">
        <f t="shared" si="5"/>
        <v/>
      </c>
      <c r="H55" s="513">
        <v>0</v>
      </c>
      <c r="I55" s="529">
        <f t="shared" si="6"/>
        <v>0</v>
      </c>
    </row>
    <row r="56" spans="1:9" ht="16.5">
      <c r="A56" s="256">
        <f t="shared" si="3"/>
        <v>20</v>
      </c>
      <c r="B56" s="509" t="str">
        <f t="shared" si="4"/>
        <v/>
      </c>
      <c r="C56" s="511" t="str">
        <f>'Formet 8'!B62</f>
        <v/>
      </c>
      <c r="D56" s="260" t="str">
        <f>'Formet 8'!E62</f>
        <v/>
      </c>
      <c r="E56" s="261" t="str">
        <f>'Formet 8'!H62</f>
        <v/>
      </c>
      <c r="F56" s="262" t="str">
        <f>IF(AND(E56=""),"",'Formet 8'!$C$76)</f>
        <v/>
      </c>
      <c r="G56" s="512" t="str">
        <f t="shared" si="5"/>
        <v/>
      </c>
      <c r="H56" s="513">
        <v>0</v>
      </c>
      <c r="I56" s="529">
        <f t="shared" si="6"/>
        <v>0</v>
      </c>
    </row>
    <row r="57" spans="1:9" ht="16.5">
      <c r="A57" s="256">
        <f t="shared" si="3"/>
        <v>20</v>
      </c>
      <c r="B57" s="509" t="str">
        <f t="shared" si="4"/>
        <v/>
      </c>
      <c r="C57" s="511" t="str">
        <f>'Formet 8'!B63</f>
        <v/>
      </c>
      <c r="D57" s="260" t="str">
        <f>'Formet 8'!E63</f>
        <v/>
      </c>
      <c r="E57" s="261" t="str">
        <f>'Formet 8'!H63</f>
        <v/>
      </c>
      <c r="F57" s="262" t="str">
        <f>IF(AND(E57=""),"",'Formet 8'!$C$76)</f>
        <v/>
      </c>
      <c r="G57" s="512" t="str">
        <f t="shared" si="5"/>
        <v/>
      </c>
      <c r="H57" s="513">
        <v>0</v>
      </c>
      <c r="I57" s="529">
        <f t="shared" si="6"/>
        <v>0</v>
      </c>
    </row>
    <row r="58" spans="1:9" ht="16.5">
      <c r="A58" s="256">
        <f t="shared" si="3"/>
        <v>20</v>
      </c>
      <c r="B58" s="509" t="str">
        <f t="shared" si="4"/>
        <v/>
      </c>
      <c r="C58" s="511" t="str">
        <f>'Formet 8'!B64</f>
        <v/>
      </c>
      <c r="D58" s="260" t="str">
        <f>'Formet 8'!E64</f>
        <v/>
      </c>
      <c r="E58" s="261" t="str">
        <f>'Formet 8'!H64</f>
        <v/>
      </c>
      <c r="F58" s="262" t="str">
        <f>IF(AND(E58=""),"",'Formet 8'!$C$76)</f>
        <v/>
      </c>
      <c r="G58" s="512" t="str">
        <f t="shared" si="5"/>
        <v/>
      </c>
      <c r="H58" s="513">
        <v>0</v>
      </c>
      <c r="I58" s="529">
        <f t="shared" si="6"/>
        <v>0</v>
      </c>
    </row>
    <row r="59" spans="1:9" ht="16.5">
      <c r="A59" s="256">
        <f t="shared" si="3"/>
        <v>20</v>
      </c>
      <c r="B59" s="509" t="str">
        <f t="shared" si="4"/>
        <v/>
      </c>
      <c r="C59" s="511" t="str">
        <f>'Formet 8'!B65</f>
        <v/>
      </c>
      <c r="D59" s="260" t="str">
        <f>'Formet 8'!E65</f>
        <v/>
      </c>
      <c r="E59" s="261" t="str">
        <f>'Formet 8'!H65</f>
        <v/>
      </c>
      <c r="F59" s="262" t="str">
        <f>IF(AND(E59=""),"",'Formet 8'!$C$76)</f>
        <v/>
      </c>
      <c r="G59" s="512" t="str">
        <f t="shared" si="5"/>
        <v/>
      </c>
      <c r="H59" s="513">
        <v>0</v>
      </c>
      <c r="I59" s="529">
        <f t="shared" si="6"/>
        <v>0</v>
      </c>
    </row>
    <row r="60" spans="1:9" ht="16.5">
      <c r="A60" s="256">
        <f t="shared" si="3"/>
        <v>20</v>
      </c>
      <c r="B60" s="509" t="str">
        <f t="shared" si="4"/>
        <v/>
      </c>
      <c r="C60" s="511" t="str">
        <f>'Formet 8'!B66</f>
        <v/>
      </c>
      <c r="D60" s="260" t="str">
        <f>'Formet 8'!E66</f>
        <v/>
      </c>
      <c r="E60" s="261" t="str">
        <f>'Formet 8'!H66</f>
        <v/>
      </c>
      <c r="F60" s="262" t="str">
        <f>IF(AND(E60=""),"",'Formet 8'!$C$76)</f>
        <v/>
      </c>
      <c r="G60" s="512" t="str">
        <f t="shared" ref="G60:G61" si="7">IF(AND(E60=""),"",ROUND((E60*F60)*2,0))</f>
        <v/>
      </c>
      <c r="H60" s="513">
        <v>0</v>
      </c>
      <c r="I60" s="529">
        <f t="shared" si="6"/>
        <v>0</v>
      </c>
    </row>
    <row r="61" spans="1:9" ht="16.5">
      <c r="A61" s="256">
        <f t="shared" si="3"/>
        <v>20</v>
      </c>
      <c r="B61" s="509" t="str">
        <f t="shared" si="4"/>
        <v/>
      </c>
      <c r="C61" s="511" t="str">
        <f>'Formet 8'!B67</f>
        <v/>
      </c>
      <c r="D61" s="260" t="str">
        <f>'Formet 8'!E67</f>
        <v/>
      </c>
      <c r="E61" s="261" t="str">
        <f>'Formet 8'!H67</f>
        <v/>
      </c>
      <c r="F61" s="262" t="str">
        <f>IF(AND(E61=""),"",'Formet 8'!$C$76)</f>
        <v/>
      </c>
      <c r="G61" s="512" t="str">
        <f t="shared" si="7"/>
        <v/>
      </c>
      <c r="H61" s="513">
        <v>0</v>
      </c>
      <c r="I61" s="529">
        <f t="shared" si="6"/>
        <v>0</v>
      </c>
    </row>
    <row r="62" spans="1:9" ht="16.5">
      <c r="A62" s="256">
        <f t="shared" si="3"/>
        <v>20</v>
      </c>
      <c r="B62" s="509" t="str">
        <f t="shared" si="4"/>
        <v/>
      </c>
      <c r="C62" s="511" t="str">
        <f>'Formet 8'!B68</f>
        <v/>
      </c>
      <c r="D62" s="260" t="str">
        <f>'Formet 8'!E68</f>
        <v/>
      </c>
      <c r="E62" s="261" t="str">
        <f>'Formet 8'!H68</f>
        <v/>
      </c>
      <c r="F62" s="262" t="str">
        <f>IF(AND(E62=""),"",'Formet 8'!$C$76)</f>
        <v/>
      </c>
      <c r="G62" s="512" t="str">
        <f t="shared" si="5"/>
        <v/>
      </c>
      <c r="H62" s="513">
        <v>0</v>
      </c>
      <c r="I62" s="529">
        <f t="shared" si="6"/>
        <v>0</v>
      </c>
    </row>
    <row r="63" spans="1:9" ht="16.5">
      <c r="A63" s="256">
        <f t="shared" si="3"/>
        <v>20</v>
      </c>
      <c r="B63" s="509" t="str">
        <f t="shared" si="4"/>
        <v/>
      </c>
      <c r="C63" s="511" t="str">
        <f>'Formet 8'!B69</f>
        <v/>
      </c>
      <c r="D63" s="260" t="str">
        <f>'Formet 8'!E69</f>
        <v/>
      </c>
      <c r="E63" s="261" t="str">
        <f>'Formet 8'!H69</f>
        <v/>
      </c>
      <c r="F63" s="262" t="str">
        <f>IF(AND(E63=""),"",'Formet 8'!$C$76)</f>
        <v/>
      </c>
      <c r="G63" s="512" t="str">
        <f t="shared" si="5"/>
        <v/>
      </c>
      <c r="H63" s="513">
        <v>0</v>
      </c>
      <c r="I63" s="529">
        <f t="shared" si="6"/>
        <v>0</v>
      </c>
    </row>
    <row r="64" spans="1:9" ht="16.5">
      <c r="A64" s="256">
        <f t="shared" si="3"/>
        <v>20</v>
      </c>
      <c r="B64" s="509" t="str">
        <f t="shared" si="4"/>
        <v/>
      </c>
      <c r="C64" s="511" t="str">
        <f>'Formet 8'!B70</f>
        <v/>
      </c>
      <c r="D64" s="260" t="str">
        <f>'Formet 8'!E70</f>
        <v/>
      </c>
      <c r="E64" s="261" t="str">
        <f>'Formet 8'!H70</f>
        <v/>
      </c>
      <c r="F64" s="262" t="str">
        <f>IF(AND(E64=""),"",'Formet 8'!$C$76)</f>
        <v/>
      </c>
      <c r="G64" s="512" t="str">
        <f t="shared" si="5"/>
        <v/>
      </c>
      <c r="H64" s="513">
        <v>0</v>
      </c>
      <c r="I64" s="529">
        <f t="shared" si="6"/>
        <v>0</v>
      </c>
    </row>
    <row r="65" spans="1:9" ht="16.5">
      <c r="A65" s="256">
        <f t="shared" si="3"/>
        <v>20</v>
      </c>
      <c r="B65" s="509" t="str">
        <f t="shared" si="4"/>
        <v/>
      </c>
      <c r="C65" s="511" t="str">
        <f>'Formet 8'!B71</f>
        <v/>
      </c>
      <c r="D65" s="260" t="str">
        <f>'Formet 8'!E71</f>
        <v/>
      </c>
      <c r="E65" s="261" t="str">
        <f>'Formet 8'!H71</f>
        <v/>
      </c>
      <c r="F65" s="262" t="str">
        <f>IF(AND(E65=""),"",'Formet 8'!$C$76)</f>
        <v/>
      </c>
      <c r="G65" s="512" t="str">
        <f t="shared" si="5"/>
        <v/>
      </c>
      <c r="H65" s="513">
        <v>0</v>
      </c>
      <c r="I65" s="529">
        <f t="shared" si="6"/>
        <v>0</v>
      </c>
    </row>
    <row r="66" spans="1:9" ht="18.75">
      <c r="A66" s="256">
        <f t="shared" si="3"/>
        <v>20</v>
      </c>
      <c r="B66" s="263"/>
      <c r="C66" s="264" t="s">
        <v>413</v>
      </c>
      <c r="D66" s="264"/>
      <c r="E66" s="264"/>
      <c r="F66" s="264"/>
      <c r="G66" s="265">
        <f>SUM(G7:G65)</f>
        <v>1049520</v>
      </c>
      <c r="H66" s="265">
        <f>SUM(H7:H65)</f>
        <v>0</v>
      </c>
    </row>
    <row r="67" spans="1:9">
      <c r="B67" s="977" t="s">
        <v>558</v>
      </c>
      <c r="C67" s="977"/>
      <c r="D67" s="977"/>
      <c r="E67" s="977"/>
    </row>
    <row r="68" spans="1:9">
      <c r="B68" s="978"/>
      <c r="C68" s="978"/>
      <c r="D68" s="978"/>
      <c r="E68" s="978"/>
    </row>
    <row r="69" spans="1:9" ht="15.75">
      <c r="B69" s="978"/>
      <c r="C69" s="978"/>
      <c r="D69" s="978"/>
      <c r="E69" s="978"/>
      <c r="F69" s="980" t="str">
        <f>CONCATENATE("¼ ",Master!G3,"½")</f>
        <v>¼ m"kk ikfy;k½</v>
      </c>
      <c r="G69" s="980"/>
      <c r="H69" s="980"/>
    </row>
    <row r="70" spans="1:9" ht="18.75">
      <c r="B70" s="978"/>
      <c r="C70" s="978"/>
      <c r="D70" s="978"/>
      <c r="E70" s="978"/>
      <c r="F70" s="976" t="str">
        <f>Master!C2</f>
        <v>iz/kkukpk;Z</v>
      </c>
      <c r="G70" s="976"/>
      <c r="H70" s="976"/>
      <c r="I70" s="267"/>
    </row>
    <row r="71" spans="1:9" ht="15" customHeight="1">
      <c r="F71" s="887" t="str">
        <f>Master!D2</f>
        <v>egkRek xka/kh jktdh; fo|ky; ¼vaxzsth ek/;e½ cj ] ikyh</v>
      </c>
      <c r="G71" s="887"/>
      <c r="H71" s="887"/>
      <c r="I71" s="109"/>
    </row>
    <row r="72" spans="1:9" ht="23.25" customHeight="1">
      <c r="F72" s="887"/>
      <c r="G72" s="887"/>
      <c r="H72" s="887"/>
      <c r="I72" s="109"/>
    </row>
  </sheetData>
  <mergeCells count="9">
    <mergeCell ref="F71:H72"/>
    <mergeCell ref="B1:H1"/>
    <mergeCell ref="B3:H3"/>
    <mergeCell ref="B4:H4"/>
    <mergeCell ref="F70:H70"/>
    <mergeCell ref="B67:E70"/>
    <mergeCell ref="D2:F2"/>
    <mergeCell ref="G2:H2"/>
    <mergeCell ref="F69:H69"/>
  </mergeCells>
  <conditionalFormatting sqref="B67:B69">
    <cfRule type="containsText" dxfId="24" priority="1" operator="containsText" text="in fjDr">
      <formula>NOT(ISERROR(SEARCH("in fjDr",B67)))</formula>
    </cfRule>
  </conditionalFormatting>
  <pageMargins left="0.7" right="0.51" top="0.38" bottom="0.4" header="0.3" footer="0.3"/>
  <pageSetup paperSize="9" orientation="portrait" blackAndWhite="1" horizontalDpi="300" verticalDpi="300" r:id="rId1"/>
  <drawing r:id="rId2"/>
  <tableParts count="1">
    <tablePart r:id="rId3"/>
  </tableParts>
</worksheet>
</file>

<file path=xl/worksheets/sheet18.xml><?xml version="1.0" encoding="utf-8"?>
<worksheet xmlns="http://schemas.openxmlformats.org/spreadsheetml/2006/main" xmlns:r="http://schemas.openxmlformats.org/officeDocument/2006/relationships">
  <sheetPr codeName="Sheet18">
    <tabColor rgb="FF00B050"/>
    <pageSetUpPr fitToPage="1"/>
  </sheetPr>
  <dimension ref="A1:T19"/>
  <sheetViews>
    <sheetView view="pageBreakPreview" topLeftCell="A4" zoomScale="110" zoomScaleSheetLayoutView="110" workbookViewId="0">
      <selection activeCell="T9" sqref="T9"/>
    </sheetView>
  </sheetViews>
  <sheetFormatPr defaultColWidth="9.125" defaultRowHeight="15"/>
  <cols>
    <col min="1" max="1" width="4.75" style="55" customWidth="1"/>
    <col min="2" max="2" width="18.75" style="56" customWidth="1"/>
    <col min="3" max="3" width="6" style="56" customWidth="1"/>
    <col min="4" max="5" width="8.625" style="56" customWidth="1"/>
    <col min="6" max="6" width="5.125" style="56" customWidth="1"/>
    <col min="7" max="7" width="9.375" style="56" bestFit="1" customWidth="1"/>
    <col min="8" max="16" width="5.25" style="56" customWidth="1"/>
    <col min="17" max="17" width="7.25" style="56" customWidth="1"/>
    <col min="18" max="18" width="10.625" style="56" customWidth="1"/>
    <col min="19" max="19" width="10.125" style="56" customWidth="1"/>
    <col min="20" max="16384" width="9.125" style="56"/>
  </cols>
  <sheetData>
    <row r="1" spans="1:20" ht="15.75">
      <c r="A1" s="278"/>
      <c r="B1" s="198"/>
      <c r="C1" s="198"/>
      <c r="D1" s="198"/>
      <c r="E1" s="198"/>
      <c r="F1" s="198"/>
      <c r="G1" s="198"/>
      <c r="H1" s="198"/>
      <c r="I1" s="198"/>
      <c r="J1" s="198"/>
      <c r="K1" s="198"/>
      <c r="L1" s="198"/>
      <c r="M1" s="198"/>
      <c r="N1" s="198"/>
      <c r="O1" s="198"/>
      <c r="P1" s="198"/>
      <c r="Q1" s="894">
        <f>Summary!$C$1</f>
        <v>30695</v>
      </c>
      <c r="R1" s="894"/>
      <c r="S1" s="894"/>
    </row>
    <row r="2" spans="1:20" ht="20.25">
      <c r="A2" s="984" t="str">
        <f>Summary!$A$2</f>
        <v>iz/kkukpk;Z egkRek xka/kh jktdh; fo|ky; ¼vaxzsth ek/;e½ cj ] ikyh</v>
      </c>
      <c r="B2" s="984"/>
      <c r="C2" s="984"/>
      <c r="D2" s="984"/>
      <c r="E2" s="984"/>
      <c r="F2" s="984"/>
      <c r="G2" s="984"/>
      <c r="H2" s="984"/>
      <c r="I2" s="984"/>
      <c r="J2" s="984"/>
      <c r="K2" s="984"/>
      <c r="L2" s="984"/>
      <c r="M2" s="984"/>
      <c r="N2" s="984"/>
      <c r="O2" s="984"/>
      <c r="P2" s="984"/>
      <c r="Q2" s="984"/>
      <c r="R2" s="984"/>
      <c r="S2" s="984"/>
    </row>
    <row r="3" spans="1:20" ht="20.25">
      <c r="A3" s="984" t="s">
        <v>421</v>
      </c>
      <c r="B3" s="984"/>
      <c r="C3" s="984"/>
      <c r="D3" s="984"/>
      <c r="E3" s="984"/>
      <c r="F3" s="984"/>
      <c r="G3" s="984"/>
      <c r="H3" s="984"/>
      <c r="I3" s="984"/>
      <c r="J3" s="984"/>
      <c r="K3" s="984"/>
      <c r="L3" s="984"/>
      <c r="M3" s="984"/>
      <c r="N3" s="984"/>
      <c r="O3" s="984"/>
      <c r="P3" s="984"/>
      <c r="Q3" s="984"/>
      <c r="R3" s="984"/>
      <c r="S3" s="984"/>
    </row>
    <row r="4" spans="1:20" ht="20.25">
      <c r="A4" s="984" t="s">
        <v>763</v>
      </c>
      <c r="B4" s="984"/>
      <c r="C4" s="984"/>
      <c r="D4" s="984"/>
      <c r="E4" s="984"/>
      <c r="F4" s="984"/>
      <c r="G4" s="984"/>
      <c r="H4" s="984"/>
      <c r="I4" s="984"/>
      <c r="J4" s="984"/>
      <c r="K4" s="984"/>
      <c r="L4" s="984"/>
      <c r="M4" s="984"/>
      <c r="N4" s="984"/>
      <c r="O4" s="984"/>
      <c r="P4" s="984"/>
      <c r="Q4" s="984"/>
      <c r="R4" s="984"/>
      <c r="S4" s="984"/>
    </row>
    <row r="5" spans="1:20" ht="19.5" customHeight="1">
      <c r="A5" s="981" t="str">
        <f>[1]Summary!A5</f>
        <v>BUDGET HEAD : 2202-GENERAL EDUCATION, 02-SECONDARY EDUCATION, 109-GOVT. SEC. SCHOOL, (27)-BOYS SCHOOL (01) (STATE FUND)</v>
      </c>
      <c r="B5" s="981"/>
      <c r="C5" s="981"/>
      <c r="D5" s="981"/>
      <c r="E5" s="981"/>
      <c r="F5" s="981"/>
      <c r="G5" s="981"/>
      <c r="H5" s="981"/>
      <c r="I5" s="981"/>
      <c r="J5" s="981"/>
      <c r="K5" s="981"/>
      <c r="L5" s="981"/>
      <c r="M5" s="981"/>
      <c r="N5" s="981"/>
      <c r="O5" s="981"/>
      <c r="P5" s="981"/>
      <c r="Q5" s="981"/>
      <c r="R5" s="981"/>
      <c r="S5" s="981"/>
    </row>
    <row r="6" spans="1:20" ht="20.25" customHeight="1">
      <c r="A6" s="982" t="s">
        <v>7</v>
      </c>
      <c r="B6" s="982" t="s">
        <v>330</v>
      </c>
      <c r="C6" s="982" t="s">
        <v>377</v>
      </c>
      <c r="D6" s="982"/>
      <c r="E6" s="982"/>
      <c r="F6" s="982"/>
      <c r="G6" s="982" t="s">
        <v>422</v>
      </c>
      <c r="H6" s="982" t="s">
        <v>423</v>
      </c>
      <c r="I6" s="982"/>
      <c r="J6" s="982"/>
      <c r="K6" s="982"/>
      <c r="L6" s="982"/>
      <c r="M6" s="982"/>
      <c r="N6" s="982"/>
      <c r="O6" s="982"/>
      <c r="P6" s="982"/>
      <c r="Q6" s="982"/>
      <c r="R6" s="982" t="s">
        <v>424</v>
      </c>
      <c r="S6" s="982" t="s">
        <v>425</v>
      </c>
    </row>
    <row r="7" spans="1:20" ht="40.5" customHeight="1">
      <c r="A7" s="982"/>
      <c r="B7" s="982"/>
      <c r="C7" s="983" t="s">
        <v>426</v>
      </c>
      <c r="D7" s="983" t="s">
        <v>427</v>
      </c>
      <c r="E7" s="983" t="s">
        <v>428</v>
      </c>
      <c r="F7" s="983" t="s">
        <v>429</v>
      </c>
      <c r="G7" s="982"/>
      <c r="H7" s="982" t="s">
        <v>426</v>
      </c>
      <c r="I7" s="982"/>
      <c r="J7" s="982"/>
      <c r="K7" s="982" t="s">
        <v>427</v>
      </c>
      <c r="L7" s="982"/>
      <c r="M7" s="982"/>
      <c r="N7" s="982" t="s">
        <v>428</v>
      </c>
      <c r="O7" s="982"/>
      <c r="P7" s="982"/>
      <c r="Q7" s="983" t="s">
        <v>38</v>
      </c>
      <c r="R7" s="982"/>
      <c r="S7" s="982"/>
    </row>
    <row r="8" spans="1:20" ht="44.25" customHeight="1">
      <c r="A8" s="982"/>
      <c r="B8" s="982"/>
      <c r="C8" s="983"/>
      <c r="D8" s="983"/>
      <c r="E8" s="983"/>
      <c r="F8" s="983"/>
      <c r="G8" s="982"/>
      <c r="H8" s="279" t="s">
        <v>430</v>
      </c>
      <c r="I8" s="279" t="s">
        <v>431</v>
      </c>
      <c r="J8" s="279" t="s">
        <v>429</v>
      </c>
      <c r="K8" s="279" t="s">
        <v>430</v>
      </c>
      <c r="L8" s="279" t="s">
        <v>431</v>
      </c>
      <c r="M8" s="279" t="s">
        <v>429</v>
      </c>
      <c r="N8" s="279" t="s">
        <v>430</v>
      </c>
      <c r="O8" s="279" t="s">
        <v>431</v>
      </c>
      <c r="P8" s="279" t="s">
        <v>429</v>
      </c>
      <c r="Q8" s="983"/>
      <c r="R8" s="982"/>
      <c r="S8" s="982"/>
    </row>
    <row r="9" spans="1:20" ht="20.25" customHeight="1">
      <c r="A9" s="142">
        <v>1</v>
      </c>
      <c r="B9" s="142">
        <v>2</v>
      </c>
      <c r="C9" s="142">
        <v>3</v>
      </c>
      <c r="D9" s="142">
        <v>4</v>
      </c>
      <c r="E9" s="142">
        <v>5</v>
      </c>
      <c r="F9" s="142">
        <v>6</v>
      </c>
      <c r="G9" s="142">
        <v>7</v>
      </c>
      <c r="H9" s="142">
        <v>8</v>
      </c>
      <c r="I9" s="142">
        <v>9</v>
      </c>
      <c r="J9" s="142">
        <v>10</v>
      </c>
      <c r="K9" s="142">
        <v>11</v>
      </c>
      <c r="L9" s="142">
        <v>12</v>
      </c>
      <c r="M9" s="142">
        <v>13</v>
      </c>
      <c r="N9" s="142">
        <v>14</v>
      </c>
      <c r="O9" s="142">
        <v>15</v>
      </c>
      <c r="P9" s="142">
        <v>16</v>
      </c>
      <c r="Q9" s="142">
        <v>17</v>
      </c>
      <c r="R9" s="142">
        <v>18</v>
      </c>
      <c r="S9" s="142">
        <v>19</v>
      </c>
      <c r="T9" s="277"/>
    </row>
    <row r="10" spans="1:20" s="188" customFormat="1" ht="63" customHeight="1">
      <c r="A10" s="199">
        <v>1</v>
      </c>
      <c r="B10" s="213" t="str">
        <f>$P$17</f>
        <v>egkRek xka/kh jktdh; fo|ky; ¼vaxzsth ek/;e½ cj ] ikyh</v>
      </c>
      <c r="C10" s="280">
        <f>'Format 1A'!G30</f>
        <v>0</v>
      </c>
      <c r="D10" s="280">
        <f>'Format 1A'!G26</f>
        <v>1</v>
      </c>
      <c r="E10" s="280">
        <f>'Format 1A'!G31</f>
        <v>3</v>
      </c>
      <c r="F10" s="200">
        <f>SUM(C10:E10)</f>
        <v>4</v>
      </c>
      <c r="G10" s="510">
        <v>1650</v>
      </c>
      <c r="H10" s="280">
        <f>'Formet 8'!X123</f>
        <v>0</v>
      </c>
      <c r="I10" s="280">
        <f>'Formet 8'!Y123</f>
        <v>0</v>
      </c>
      <c r="J10" s="200">
        <f>SUM(H10:I10)</f>
        <v>0</v>
      </c>
      <c r="K10" s="280">
        <f>'Formet 8'!Z123</f>
        <v>0</v>
      </c>
      <c r="L10" s="280">
        <f>'Formet 8'!AA123</f>
        <v>0</v>
      </c>
      <c r="M10" s="200">
        <f>SUM(K10:L10)</f>
        <v>0</v>
      </c>
      <c r="N10" s="280">
        <f>'Formet 8'!AB123</f>
        <v>0</v>
      </c>
      <c r="O10" s="280">
        <f>'Formet 8'!AC123</f>
        <v>0</v>
      </c>
      <c r="P10" s="200">
        <f>SUM(N10:O10)</f>
        <v>0</v>
      </c>
      <c r="Q10" s="200">
        <f>J10+M10+P10</f>
        <v>0</v>
      </c>
      <c r="R10" s="280">
        <f>H10*1800+I10*1800+(K10+N10)*1650+(L10+O10)*1950</f>
        <v>0</v>
      </c>
      <c r="S10" s="280">
        <f>G10-R10</f>
        <v>1650</v>
      </c>
    </row>
    <row r="11" spans="1:20" ht="45.75" customHeight="1">
      <c r="A11" s="181"/>
      <c r="B11" s="228" t="s">
        <v>352</v>
      </c>
      <c r="C11" s="200">
        <f>SUM(C10:C10)</f>
        <v>0</v>
      </c>
      <c r="D11" s="200">
        <f t="shared" ref="D11:S11" si="0">SUM(D10:D10)</f>
        <v>1</v>
      </c>
      <c r="E11" s="200">
        <f t="shared" si="0"/>
        <v>3</v>
      </c>
      <c r="F11" s="200">
        <f t="shared" si="0"/>
        <v>4</v>
      </c>
      <c r="G11" s="200">
        <f t="shared" si="0"/>
        <v>1650</v>
      </c>
      <c r="H11" s="200">
        <f t="shared" si="0"/>
        <v>0</v>
      </c>
      <c r="I11" s="200">
        <f t="shared" si="0"/>
        <v>0</v>
      </c>
      <c r="J11" s="200">
        <f t="shared" si="0"/>
        <v>0</v>
      </c>
      <c r="K11" s="200">
        <f t="shared" si="0"/>
        <v>0</v>
      </c>
      <c r="L11" s="200">
        <f t="shared" si="0"/>
        <v>0</v>
      </c>
      <c r="M11" s="200">
        <f t="shared" si="0"/>
        <v>0</v>
      </c>
      <c r="N11" s="200">
        <f t="shared" si="0"/>
        <v>0</v>
      </c>
      <c r="O11" s="200">
        <f t="shared" si="0"/>
        <v>0</v>
      </c>
      <c r="P11" s="200">
        <f t="shared" si="0"/>
        <v>0</v>
      </c>
      <c r="Q11" s="200">
        <f t="shared" si="0"/>
        <v>0</v>
      </c>
      <c r="R11" s="200">
        <f t="shared" si="0"/>
        <v>0</v>
      </c>
      <c r="S11" s="200">
        <f t="shared" si="0"/>
        <v>1650</v>
      </c>
    </row>
    <row r="12" spans="1:20" ht="15.75">
      <c r="A12" s="526" t="s">
        <v>558</v>
      </c>
      <c r="B12" s="198"/>
      <c r="C12" s="198"/>
      <c r="D12" s="198"/>
      <c r="E12" s="198"/>
      <c r="F12" s="198"/>
      <c r="G12" s="198"/>
      <c r="H12" s="198"/>
      <c r="I12" s="198"/>
      <c r="J12" s="198"/>
      <c r="K12" s="198"/>
      <c r="L12" s="198"/>
      <c r="M12" s="198"/>
      <c r="N12" s="198"/>
      <c r="O12" s="198"/>
      <c r="P12" s="198"/>
      <c r="Q12" s="198"/>
      <c r="R12" s="198"/>
      <c r="S12" s="198"/>
    </row>
    <row r="13" spans="1:20" ht="15.75">
      <c r="A13" s="526"/>
      <c r="B13" s="198"/>
      <c r="C13" s="198"/>
      <c r="D13" s="198"/>
      <c r="E13" s="198"/>
      <c r="F13" s="198"/>
      <c r="G13" s="198"/>
      <c r="H13" s="198"/>
      <c r="I13" s="198"/>
      <c r="J13" s="198"/>
      <c r="K13" s="198"/>
      <c r="L13" s="198"/>
      <c r="M13" s="198"/>
      <c r="N13" s="198"/>
      <c r="O13" s="198"/>
      <c r="P13" s="198"/>
      <c r="Q13" s="198"/>
      <c r="R13" s="198"/>
      <c r="S13" s="198"/>
    </row>
    <row r="14" spans="1:20">
      <c r="A14" s="278"/>
      <c r="B14" s="198"/>
      <c r="C14" s="198"/>
      <c r="D14" s="198"/>
      <c r="E14" s="198"/>
      <c r="F14" s="198"/>
      <c r="G14" s="198"/>
      <c r="H14" s="198"/>
      <c r="I14" s="198"/>
      <c r="J14" s="198"/>
      <c r="K14" s="198"/>
      <c r="L14" s="198"/>
      <c r="M14" s="198"/>
      <c r="N14" s="198"/>
      <c r="O14" s="198"/>
      <c r="P14" s="198"/>
      <c r="Q14" s="198"/>
      <c r="R14" s="198"/>
      <c r="S14" s="198"/>
    </row>
    <row r="15" spans="1:20">
      <c r="A15" s="278"/>
      <c r="B15" s="198"/>
      <c r="C15" s="198"/>
      <c r="D15" s="198"/>
      <c r="E15" s="198"/>
      <c r="F15" s="198"/>
      <c r="G15" s="198"/>
      <c r="H15" s="198"/>
      <c r="I15" s="198"/>
      <c r="J15" s="198"/>
      <c r="K15" s="198"/>
      <c r="L15" s="198"/>
      <c r="M15" s="198"/>
      <c r="N15" s="198"/>
      <c r="O15" s="198"/>
      <c r="P15" s="898" t="str">
        <f>CONCATENATE("¼ ",Master!G3,"½")</f>
        <v>¼ m"kk ikfy;k½</v>
      </c>
      <c r="Q15" s="898"/>
      <c r="R15" s="898"/>
      <c r="S15" s="898"/>
    </row>
    <row r="16" spans="1:20" ht="16.5">
      <c r="A16" s="278"/>
      <c r="B16" s="198"/>
      <c r="C16" s="198"/>
      <c r="D16" s="198"/>
      <c r="E16" s="198"/>
      <c r="F16" s="198"/>
      <c r="G16" s="198"/>
      <c r="H16" s="108"/>
      <c r="I16" s="108"/>
      <c r="J16" s="108"/>
      <c r="K16" s="108"/>
      <c r="L16" s="108"/>
      <c r="M16" s="108"/>
      <c r="N16" s="108"/>
      <c r="O16" s="108"/>
      <c r="P16" s="976" t="str">
        <f>Master!C2</f>
        <v>iz/kkukpk;Z</v>
      </c>
      <c r="Q16" s="976"/>
      <c r="R16" s="976"/>
      <c r="S16" s="976"/>
    </row>
    <row r="17" spans="1:19">
      <c r="A17" s="278"/>
      <c r="B17" s="198"/>
      <c r="C17" s="108"/>
      <c r="D17" s="108"/>
      <c r="E17" s="108"/>
      <c r="F17" s="198"/>
      <c r="G17" s="198"/>
      <c r="H17" s="108"/>
      <c r="I17" s="108"/>
      <c r="J17" s="108"/>
      <c r="K17" s="108"/>
      <c r="L17" s="108"/>
      <c r="M17" s="108"/>
      <c r="N17" s="108"/>
      <c r="O17" s="108"/>
      <c r="P17" s="887" t="str">
        <f>Master!D2</f>
        <v>egkRek xka/kh jktdh; fo|ky; ¼vaxzsth ek/;e½ cj ] ikyh</v>
      </c>
      <c r="Q17" s="887"/>
      <c r="R17" s="887"/>
      <c r="S17" s="887"/>
    </row>
    <row r="18" spans="1:19">
      <c r="A18" s="278"/>
      <c r="B18" s="198"/>
      <c r="C18" s="198"/>
      <c r="D18" s="198"/>
      <c r="E18" s="198"/>
      <c r="F18" s="198"/>
      <c r="G18" s="198"/>
      <c r="H18" s="108"/>
      <c r="I18" s="108"/>
      <c r="J18" s="108"/>
      <c r="K18" s="108"/>
      <c r="L18" s="108"/>
      <c r="M18" s="108"/>
      <c r="N18" s="108"/>
      <c r="O18" s="108"/>
      <c r="P18" s="887"/>
      <c r="Q18" s="887"/>
      <c r="R18" s="887"/>
      <c r="S18" s="887"/>
    </row>
    <row r="19" spans="1:19">
      <c r="A19" s="278"/>
      <c r="B19" s="198"/>
      <c r="C19" s="198"/>
      <c r="D19" s="198"/>
      <c r="E19" s="198"/>
      <c r="F19" s="198"/>
      <c r="G19" s="198"/>
      <c r="H19" s="198"/>
      <c r="I19" s="198"/>
      <c r="J19" s="198"/>
      <c r="K19" s="198"/>
      <c r="L19" s="198"/>
      <c r="M19" s="198"/>
      <c r="N19" s="198"/>
      <c r="O19" s="198"/>
      <c r="P19" s="887"/>
      <c r="Q19" s="887"/>
      <c r="R19" s="887"/>
      <c r="S19" s="887"/>
    </row>
  </sheetData>
  <mergeCells count="23">
    <mergeCell ref="Q1:S1"/>
    <mergeCell ref="A2:S2"/>
    <mergeCell ref="A3:S3"/>
    <mergeCell ref="A4:S4"/>
    <mergeCell ref="A6:A8"/>
    <mergeCell ref="B6:B8"/>
    <mergeCell ref="C6:F6"/>
    <mergeCell ref="G6:G8"/>
    <mergeCell ref="H6:Q6"/>
    <mergeCell ref="R6:R8"/>
    <mergeCell ref="P16:S16"/>
    <mergeCell ref="P17:S19"/>
    <mergeCell ref="A5:S5"/>
    <mergeCell ref="S6:S8"/>
    <mergeCell ref="C7:C8"/>
    <mergeCell ref="D7:D8"/>
    <mergeCell ref="E7:E8"/>
    <mergeCell ref="F7:F8"/>
    <mergeCell ref="H7:J7"/>
    <mergeCell ref="K7:M7"/>
    <mergeCell ref="N7:P7"/>
    <mergeCell ref="Q7:Q8"/>
    <mergeCell ref="P15:S15"/>
  </mergeCells>
  <conditionalFormatting sqref="A12:A13">
    <cfRule type="containsText" dxfId="10" priority="1" operator="containsText" text="in fjDr">
      <formula>NOT(ISERROR(SEARCH("in fjDr",A12)))</formula>
    </cfRule>
  </conditionalFormatting>
  <pageMargins left="0.45" right="0.38" top="0.75" bottom="0.75" header="0.3" footer="0.3"/>
  <pageSetup paperSize="9"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sheetPr codeName="Sheet19">
    <tabColor rgb="FF00B050"/>
    <pageSetUpPr fitToPage="1"/>
  </sheetPr>
  <dimension ref="A1:BL19"/>
  <sheetViews>
    <sheetView showGridLines="0" view="pageBreakPreview" zoomScale="110" zoomScaleSheetLayoutView="110" workbookViewId="0">
      <selection activeCell="L13" sqref="L13"/>
    </sheetView>
  </sheetViews>
  <sheetFormatPr defaultColWidth="9.125" defaultRowHeight="15"/>
  <cols>
    <col min="1" max="1" width="5.75" style="301" customWidth="1"/>
    <col min="2" max="2" width="19" style="301" customWidth="1"/>
    <col min="3" max="3" width="15" style="301" customWidth="1"/>
    <col min="4" max="4" width="14.875" style="301" customWidth="1"/>
    <col min="5" max="5" width="14.625" style="301" customWidth="1"/>
    <col min="6" max="6" width="14.25" style="301" customWidth="1"/>
    <col min="7" max="7" width="9" style="301" bestFit="1" customWidth="1"/>
    <col min="8" max="8" width="10.875" style="301" bestFit="1" customWidth="1"/>
    <col min="9" max="9" width="8.25" style="301" customWidth="1"/>
    <col min="10" max="10" width="10.375" style="301" customWidth="1"/>
    <col min="11" max="11" width="10.625" style="301" customWidth="1"/>
    <col min="12" max="12" width="9.125" style="301"/>
    <col min="13" max="37" width="9.125" style="301" hidden="1" customWidth="1"/>
    <col min="38" max="64" width="3.875" style="301" hidden="1" customWidth="1"/>
    <col min="65" max="16384" width="9.125" style="301"/>
  </cols>
  <sheetData>
    <row r="1" spans="1:64" ht="15.75">
      <c r="A1" s="145"/>
      <c r="B1" s="145"/>
      <c r="C1" s="145"/>
      <c r="D1" s="145"/>
      <c r="E1" s="145"/>
      <c r="F1" s="145"/>
      <c r="G1" s="145"/>
      <c r="H1" s="145"/>
      <c r="I1" s="894">
        <f>Summary!$C$1</f>
        <v>30695</v>
      </c>
      <c r="J1" s="894"/>
      <c r="K1" s="894"/>
    </row>
    <row r="2" spans="1:64" ht="18.75">
      <c r="A2" s="985" t="str">
        <f>Summary!$A$3</f>
        <v>Principal Mahatma Gandhi Government School (English Medium) Bar, PALI</v>
      </c>
      <c r="B2" s="985"/>
      <c r="C2" s="985"/>
      <c r="D2" s="985"/>
      <c r="E2" s="985"/>
      <c r="F2" s="985"/>
      <c r="G2" s="985"/>
      <c r="H2" s="985"/>
      <c r="I2" s="985"/>
      <c r="J2" s="985"/>
      <c r="K2" s="985"/>
      <c r="M2" s="302" t="s">
        <v>318</v>
      </c>
      <c r="N2" s="303">
        <v>1300</v>
      </c>
      <c r="O2" s="303">
        <v>1400</v>
      </c>
      <c r="P2" s="303">
        <v>1650</v>
      </c>
      <c r="Q2" s="303">
        <v>1800</v>
      </c>
      <c r="R2" s="303">
        <v>1850</v>
      </c>
      <c r="S2" s="303">
        <v>1900</v>
      </c>
      <c r="T2" s="303">
        <v>2000</v>
      </c>
      <c r="U2" s="303">
        <v>2100</v>
      </c>
      <c r="V2" s="303">
        <v>2400</v>
      </c>
      <c r="W2" s="303">
        <v>2800</v>
      </c>
      <c r="X2" s="303">
        <v>3200</v>
      </c>
      <c r="Y2" s="303">
        <v>3600</v>
      </c>
      <c r="Z2" s="303">
        <v>4200</v>
      </c>
      <c r="AA2" s="303">
        <v>4800</v>
      </c>
      <c r="AB2" s="303">
        <v>5400</v>
      </c>
      <c r="AC2" s="303">
        <v>6000</v>
      </c>
      <c r="AD2" s="303">
        <v>6600</v>
      </c>
      <c r="AE2" s="303">
        <v>6800</v>
      </c>
      <c r="AF2" s="303">
        <v>7200</v>
      </c>
      <c r="AG2" s="303">
        <v>7600</v>
      </c>
      <c r="AH2" s="303">
        <v>8200</v>
      </c>
      <c r="AI2" s="303">
        <v>8700</v>
      </c>
      <c r="AJ2" s="303">
        <v>8900</v>
      </c>
      <c r="AK2" s="303">
        <v>10000</v>
      </c>
    </row>
    <row r="3" spans="1:64" ht="15.75">
      <c r="A3" s="986" t="s">
        <v>432</v>
      </c>
      <c r="B3" s="986"/>
      <c r="C3" s="986"/>
      <c r="D3" s="986"/>
      <c r="E3" s="986"/>
      <c r="F3" s="986"/>
      <c r="G3" s="986"/>
      <c r="H3" s="986"/>
      <c r="I3" s="986"/>
      <c r="J3" s="986"/>
      <c r="K3" s="986"/>
      <c r="M3" s="302" t="s">
        <v>433</v>
      </c>
      <c r="N3" s="304">
        <v>4850</v>
      </c>
      <c r="O3" s="304">
        <v>5050</v>
      </c>
      <c r="P3" s="304">
        <v>5300</v>
      </c>
      <c r="Q3" s="304">
        <v>5600</v>
      </c>
      <c r="R3" s="304">
        <v>5900</v>
      </c>
      <c r="S3" s="304">
        <v>6100</v>
      </c>
      <c r="T3" s="304">
        <v>6400</v>
      </c>
      <c r="U3" s="304">
        <v>6750</v>
      </c>
      <c r="V3" s="304">
        <v>7900</v>
      </c>
      <c r="W3" s="304">
        <v>8950</v>
      </c>
      <c r="X3" s="304">
        <v>10000</v>
      </c>
      <c r="Y3" s="304">
        <v>11100</v>
      </c>
      <c r="Z3" s="304">
        <v>13050</v>
      </c>
      <c r="AA3" s="304">
        <v>15000</v>
      </c>
      <c r="AB3" s="304">
        <v>16800</v>
      </c>
      <c r="AC3" s="304">
        <v>18200</v>
      </c>
      <c r="AD3" s="304">
        <v>20200</v>
      </c>
      <c r="AE3" s="304">
        <v>21300</v>
      </c>
      <c r="AF3" s="304">
        <v>22600</v>
      </c>
      <c r="AG3" s="304">
        <v>23950</v>
      </c>
      <c r="AH3" s="304">
        <v>26650</v>
      </c>
      <c r="AI3" s="304">
        <v>36900</v>
      </c>
      <c r="AJ3" s="304">
        <v>38900</v>
      </c>
      <c r="AK3" s="304">
        <v>43800</v>
      </c>
      <c r="AL3" s="305" t="s">
        <v>434</v>
      </c>
      <c r="AM3" s="305" t="s">
        <v>435</v>
      </c>
      <c r="AN3" s="306" t="s">
        <v>436</v>
      </c>
      <c r="AO3" s="305" t="s">
        <v>437</v>
      </c>
      <c r="AP3" s="305" t="s">
        <v>438</v>
      </c>
      <c r="AQ3" s="305" t="s">
        <v>439</v>
      </c>
      <c r="AR3" s="305" t="s">
        <v>440</v>
      </c>
      <c r="AS3" s="305" t="s">
        <v>441</v>
      </c>
      <c r="AT3" s="305" t="s">
        <v>442</v>
      </c>
      <c r="AU3" s="305" t="s">
        <v>443</v>
      </c>
      <c r="AV3" s="305" t="s">
        <v>444</v>
      </c>
      <c r="AW3" s="306" t="s">
        <v>445</v>
      </c>
      <c r="AX3" s="305" t="s">
        <v>446</v>
      </c>
      <c r="AY3" s="305" t="s">
        <v>447</v>
      </c>
      <c r="AZ3" s="305" t="s">
        <v>448</v>
      </c>
      <c r="BA3" s="305" t="s">
        <v>449</v>
      </c>
      <c r="BB3" s="305" t="s">
        <v>450</v>
      </c>
      <c r="BC3" s="305" t="s">
        <v>451</v>
      </c>
      <c r="BD3" s="305" t="s">
        <v>452</v>
      </c>
      <c r="BE3" s="305" t="s">
        <v>453</v>
      </c>
      <c r="BF3" s="305" t="s">
        <v>454</v>
      </c>
      <c r="BG3" s="305" t="s">
        <v>455</v>
      </c>
      <c r="BH3" s="305" t="s">
        <v>456</v>
      </c>
      <c r="BI3" s="305" t="s">
        <v>457</v>
      </c>
      <c r="BJ3" s="305" t="s">
        <v>458</v>
      </c>
      <c r="BK3" s="305" t="s">
        <v>459</v>
      </c>
      <c r="BL3" s="306" t="s">
        <v>460</v>
      </c>
    </row>
    <row r="4" spans="1:64" ht="15.75">
      <c r="A4" s="986" t="s">
        <v>759</v>
      </c>
      <c r="B4" s="986"/>
      <c r="C4" s="986"/>
      <c r="D4" s="986"/>
      <c r="E4" s="986"/>
      <c r="F4" s="986"/>
      <c r="G4" s="986"/>
      <c r="H4" s="986"/>
      <c r="I4" s="986"/>
      <c r="J4" s="986"/>
      <c r="K4" s="986"/>
    </row>
    <row r="5" spans="1:64" ht="18.75">
      <c r="A5" s="985" t="s">
        <v>468</v>
      </c>
      <c r="B5" s="985"/>
      <c r="C5" s="985"/>
      <c r="D5" s="985"/>
      <c r="E5" s="985"/>
      <c r="F5" s="985"/>
      <c r="G5" s="985"/>
      <c r="H5" s="985"/>
      <c r="I5" s="985"/>
      <c r="J5" s="985"/>
      <c r="K5" s="985"/>
    </row>
    <row r="6" spans="1:64" ht="15.75" customHeight="1">
      <c r="A6" s="981" t="str">
        <f>Summary!A5</f>
        <v>BUDGET HEAD : 2202-GENERAL EDUCATION, 02-SECONDARY EDUCATION, 109-GOVT. SEC. SCHOOL, (02)-GIRLS SCHOOL (STATE FUND)</v>
      </c>
      <c r="B6" s="981"/>
      <c r="C6" s="981"/>
      <c r="D6" s="981"/>
      <c r="E6" s="981"/>
      <c r="F6" s="981"/>
      <c r="G6" s="981"/>
      <c r="H6" s="981"/>
      <c r="I6" s="981"/>
      <c r="J6" s="981"/>
      <c r="K6" s="981"/>
    </row>
    <row r="7" spans="1:64" ht="63.75" customHeight="1">
      <c r="A7" s="141" t="s">
        <v>359</v>
      </c>
      <c r="B7" s="141" t="s">
        <v>462</v>
      </c>
      <c r="C7" s="141" t="s">
        <v>47</v>
      </c>
      <c r="D7" s="288" t="s">
        <v>463</v>
      </c>
      <c r="E7" s="288" t="s">
        <v>464</v>
      </c>
      <c r="F7" s="141" t="s">
        <v>465</v>
      </c>
      <c r="G7" s="141" t="s">
        <v>318</v>
      </c>
      <c r="H7" s="141" t="s">
        <v>760</v>
      </c>
      <c r="I7" s="141" t="s">
        <v>466</v>
      </c>
      <c r="J7" s="141" t="s">
        <v>761</v>
      </c>
      <c r="K7" s="141" t="s">
        <v>762</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199">
        <v>1</v>
      </c>
      <c r="B9" s="308" t="s">
        <v>469</v>
      </c>
      <c r="C9" s="29"/>
      <c r="D9" s="309"/>
      <c r="E9" s="309"/>
      <c r="F9" s="293" t="str">
        <f t="shared" ref="F9" si="0">IF(AND(G9&gt;=1300,G9&lt;=1650),"4750-7440 PB-1s",IF(AND(G9&gt;=1700,G9&lt;=2800),"5200-20200 PB-1",IF(AND(G9&gt;=3200,G9&lt;=5400),"9300-34800 PB-2",IF(AND(G9&gt;=6000,G9&lt;=8200),"15600-39100 PB-3",IF(AND(G9&gt;=8700,G9&lt;=10000),"37400-67000 PB-4",IF(G9="FIX PAY","FIX PAY",""))))))</f>
        <v/>
      </c>
      <c r="G9" s="143"/>
      <c r="H9" s="143"/>
      <c r="I9" s="142">
        <f>H9*12</f>
        <v>0</v>
      </c>
      <c r="J9" s="142">
        <f>I9</f>
        <v>0</v>
      </c>
      <c r="K9" s="142">
        <f>J9</f>
        <v>0</v>
      </c>
    </row>
    <row r="10" spans="1:64" s="307" customFormat="1" ht="33" customHeight="1">
      <c r="A10" s="199"/>
      <c r="B10" s="310" t="s">
        <v>71</v>
      </c>
      <c r="C10" s="311"/>
      <c r="D10" s="312"/>
      <c r="E10" s="312"/>
      <c r="F10" s="299"/>
      <c r="G10" s="143"/>
      <c r="H10" s="143">
        <f>SUM(H9:H9)</f>
        <v>0</v>
      </c>
      <c r="I10" s="143">
        <f>SUM(I9:I9)</f>
        <v>0</v>
      </c>
      <c r="J10" s="143">
        <f>SUM(J9:J9)</f>
        <v>0</v>
      </c>
      <c r="K10" s="143">
        <f>SUM(K9:K9)</f>
        <v>0</v>
      </c>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row>
    <row r="11" spans="1:64" ht="15.75">
      <c r="A11" s="526" t="s">
        <v>558</v>
      </c>
      <c r="B11" s="313"/>
      <c r="C11" s="313"/>
      <c r="D11" s="313"/>
      <c r="E11" s="313"/>
      <c r="F11" s="313"/>
      <c r="G11" s="313"/>
      <c r="H11" s="313"/>
      <c r="I11" s="145"/>
      <c r="J11" s="145"/>
      <c r="K11" s="145"/>
    </row>
    <row r="12" spans="1:64" ht="15" customHeight="1">
      <c r="A12" s="145"/>
      <c r="B12" s="145"/>
      <c r="C12" s="145"/>
      <c r="D12" s="145"/>
      <c r="E12" s="145"/>
      <c r="F12" s="145"/>
      <c r="G12" s="145"/>
      <c r="H12" s="145"/>
      <c r="I12" s="145"/>
      <c r="J12" s="145"/>
      <c r="K12" s="145"/>
    </row>
    <row r="13" spans="1:64" ht="15" customHeight="1">
      <c r="A13" s="145"/>
      <c r="B13" s="145"/>
      <c r="C13" s="145"/>
      <c r="D13" s="145"/>
      <c r="E13" s="145"/>
      <c r="F13" s="145"/>
      <c r="G13" s="145"/>
      <c r="H13" s="145"/>
      <c r="I13" s="145"/>
      <c r="J13" s="145"/>
      <c r="K13" s="145"/>
    </row>
    <row r="14" spans="1:64" ht="15" customHeight="1">
      <c r="A14" s="145"/>
      <c r="B14" s="145"/>
      <c r="C14" s="145"/>
      <c r="D14" s="145"/>
      <c r="E14" s="145"/>
      <c r="F14" s="145"/>
      <c r="G14" s="145"/>
      <c r="H14" s="145"/>
      <c r="I14" s="855" t="str">
        <f>CONCATENATE("¼ ",Master!G3,"½")</f>
        <v>¼ m"kk ikfy;k½</v>
      </c>
      <c r="J14" s="855"/>
      <c r="K14" s="855"/>
    </row>
    <row r="15" spans="1:64" ht="16.5">
      <c r="A15" s="145"/>
      <c r="B15" s="145"/>
      <c r="C15" s="145"/>
      <c r="D15" s="145"/>
      <c r="E15" s="145"/>
      <c r="F15" s="145"/>
      <c r="G15" s="145"/>
      <c r="H15" s="145"/>
      <c r="I15" s="886" t="str">
        <f>Master!C2</f>
        <v>iz/kkukpk;Z</v>
      </c>
      <c r="J15" s="886"/>
      <c r="K15" s="886"/>
    </row>
    <row r="16" spans="1:64" ht="15" customHeight="1">
      <c r="A16" s="145"/>
      <c r="B16" s="145"/>
      <c r="C16" s="145"/>
      <c r="D16" s="145"/>
      <c r="E16" s="145"/>
      <c r="F16" s="145"/>
      <c r="G16" s="145"/>
      <c r="H16" s="145"/>
      <c r="I16" s="887" t="str">
        <f>Master!D2</f>
        <v>egkRek xka/kh jktdh; fo|ky; ¼vaxzsth ek/;e½ cj ] ikyh</v>
      </c>
      <c r="J16" s="887"/>
      <c r="K16" s="887"/>
    </row>
    <row r="17" spans="1:11" ht="15" customHeight="1">
      <c r="A17" s="145"/>
      <c r="B17" s="145"/>
      <c r="C17" s="145"/>
      <c r="D17" s="145"/>
      <c r="E17" s="145"/>
      <c r="F17" s="145"/>
      <c r="G17" s="145"/>
      <c r="H17" s="145"/>
      <c r="I17" s="887"/>
      <c r="J17" s="887"/>
      <c r="K17" s="887"/>
    </row>
    <row r="18" spans="1:11" ht="15" customHeight="1">
      <c r="A18" s="145"/>
      <c r="B18" s="145"/>
      <c r="C18" s="145"/>
      <c r="D18" s="145"/>
      <c r="E18" s="145"/>
      <c r="F18" s="145"/>
      <c r="G18" s="145"/>
      <c r="H18" s="145"/>
      <c r="I18" s="887"/>
      <c r="J18" s="887"/>
      <c r="K18" s="887"/>
    </row>
    <row r="19" spans="1:11">
      <c r="A19" s="313"/>
      <c r="B19" s="313"/>
      <c r="C19" s="313"/>
      <c r="D19" s="313"/>
      <c r="E19" s="313"/>
      <c r="F19" s="313"/>
      <c r="G19" s="313"/>
      <c r="H19" s="313"/>
      <c r="I19" s="313"/>
      <c r="J19" s="313"/>
      <c r="K19" s="313"/>
    </row>
  </sheetData>
  <protectedRanges>
    <protectedRange sqref="H9 H10:K10" name="Range1_3"/>
    <protectedRange sqref="G10" name="Range1_4"/>
    <protectedRange sqref="G9" name="Range1"/>
  </protectedRanges>
  <mergeCells count="9">
    <mergeCell ref="I16:K18"/>
    <mergeCell ref="A6:K6"/>
    <mergeCell ref="I1:K1"/>
    <mergeCell ref="A2:K2"/>
    <mergeCell ref="A3:K3"/>
    <mergeCell ref="A4:K4"/>
    <mergeCell ref="A5:K5"/>
    <mergeCell ref="I15:K15"/>
    <mergeCell ref="I14:K14"/>
  </mergeCells>
  <conditionalFormatting sqref="A11">
    <cfRule type="containsText" dxfId="9" priority="1" operator="containsText" text="in fjDr">
      <formula>NOT(ISERROR(SEARCH("in fjDr",A11)))</formula>
    </cfRule>
  </conditionalFormatting>
  <pageMargins left="0.7" right="0.7" top="0.75" bottom="0.75" header="0.3" footer="0.3"/>
  <pageSetup paperSize="9" scale="98" orientation="landscape" blackAndWhite="1" horizontalDpi="300" verticalDpi="300" r:id="rId1"/>
</worksheet>
</file>

<file path=xl/worksheets/sheet2.xml><?xml version="1.0" encoding="utf-8"?>
<worksheet xmlns="http://schemas.openxmlformats.org/spreadsheetml/2006/main" xmlns:r="http://schemas.openxmlformats.org/officeDocument/2006/relationships">
  <sheetPr codeName="Sheet1">
    <tabColor rgb="FFFF0000"/>
  </sheetPr>
  <dimension ref="A1:DE236"/>
  <sheetViews>
    <sheetView topLeftCell="F46" workbookViewId="0">
      <selection activeCell="E5" sqref="E5:I5"/>
    </sheetView>
  </sheetViews>
  <sheetFormatPr defaultColWidth="0" defaultRowHeight="15" zeroHeight="1"/>
  <cols>
    <col min="1" max="1" width="9.375" customWidth="1"/>
    <col min="2" max="2" width="28.75" customWidth="1"/>
    <col min="3" max="3" width="16.375" customWidth="1"/>
    <col min="4" max="4" width="18" customWidth="1"/>
    <col min="5" max="5" width="13" customWidth="1"/>
    <col min="6" max="6" width="20.125" customWidth="1"/>
    <col min="7" max="7" width="14.625" customWidth="1"/>
    <col min="8" max="8" width="13.625" customWidth="1"/>
    <col min="9" max="9" width="14.25" customWidth="1"/>
    <col min="10" max="10" width="19.125" customWidth="1"/>
    <col min="11" max="11" width="27.75" customWidth="1"/>
    <col min="12" max="12" width="27.75" style="330" customWidth="1"/>
    <col min="13" max="16" width="9.125" customWidth="1"/>
    <col min="17" max="17" width="27.625" bestFit="1" customWidth="1"/>
    <col min="18" max="18" width="30.25" bestFit="1" customWidth="1"/>
    <col min="19" max="19" width="116.375" bestFit="1" customWidth="1"/>
    <col min="20" max="21" width="9.125" customWidth="1"/>
    <col min="22" max="32" width="9.125" hidden="1" customWidth="1"/>
    <col min="33" max="33" width="18.75" hidden="1" customWidth="1"/>
    <col min="34" max="34" width="15.125" hidden="1" customWidth="1"/>
    <col min="35" max="35" width="9.125" hidden="1" customWidth="1"/>
    <col min="36" max="36" width="17.75" hidden="1" customWidth="1"/>
    <col min="37" max="37" width="19.125" hidden="1" customWidth="1"/>
    <col min="38" max="38" width="17.875" hidden="1" customWidth="1"/>
    <col min="39" max="45" width="9.125" hidden="1" customWidth="1"/>
    <col min="46" max="46" width="16" hidden="1" customWidth="1"/>
    <col min="47" max="49" width="9.125" hidden="1" customWidth="1"/>
    <col min="50" max="50" width="24.875" hidden="1" customWidth="1"/>
    <col min="51" max="51" width="10.75" hidden="1" customWidth="1"/>
    <col min="52" max="58" width="9.125" hidden="1" customWidth="1"/>
    <col min="59" max="59" width="18" hidden="1" customWidth="1"/>
    <col min="60" max="71" width="9.125" hidden="1" customWidth="1"/>
    <col min="72" max="72" width="14" hidden="1" customWidth="1"/>
    <col min="73" max="73" width="12.375" hidden="1" customWidth="1"/>
    <col min="74" max="74" width="9.875" hidden="1" customWidth="1"/>
    <col min="75" max="75" width="9.125" hidden="1" customWidth="1"/>
    <col min="76" max="77" width="14.125" hidden="1" customWidth="1"/>
    <col min="78" max="84" width="9.125" hidden="1" customWidth="1"/>
    <col min="85" max="85" width="17.75" hidden="1" customWidth="1"/>
    <col min="86" max="86" width="12.125" hidden="1" customWidth="1"/>
    <col min="87" max="97" width="9.125" hidden="1" customWidth="1"/>
    <col min="98" max="98" width="16.875" hidden="1" customWidth="1"/>
    <col min="99" max="109" width="0" hidden="1" customWidth="1"/>
    <col min="110" max="16384" width="9.125" hidden="1"/>
  </cols>
  <sheetData>
    <row r="1" spans="1:76" ht="20.25">
      <c r="A1" s="754" t="s">
        <v>0</v>
      </c>
      <c r="B1" s="755"/>
      <c r="C1" s="558" t="s">
        <v>1</v>
      </c>
      <c r="D1" s="770" t="s">
        <v>700</v>
      </c>
      <c r="E1" s="770"/>
      <c r="F1" s="770"/>
      <c r="G1" s="770"/>
      <c r="H1" s="770"/>
      <c r="I1" s="771"/>
      <c r="J1" s="20"/>
      <c r="K1" s="20"/>
      <c r="L1" s="20"/>
      <c r="M1" s="32"/>
      <c r="N1" s="32"/>
      <c r="O1" s="32"/>
    </row>
    <row r="2" spans="1:76" ht="21">
      <c r="A2" s="756" t="s">
        <v>2</v>
      </c>
      <c r="B2" s="757"/>
      <c r="C2" s="556" t="str">
        <f>IF(C1="Principal","iz/kkukpk;Z","iz/kkuk/;kid")</f>
        <v>iz/kkukpk;Z</v>
      </c>
      <c r="D2" s="729" t="s">
        <v>701</v>
      </c>
      <c r="E2" s="729"/>
      <c r="F2" s="729"/>
      <c r="G2" s="729"/>
      <c r="H2" s="729"/>
      <c r="I2" s="730"/>
      <c r="J2" s="20"/>
      <c r="K2" s="20"/>
      <c r="L2" s="20"/>
      <c r="M2" s="32"/>
      <c r="N2" s="32"/>
      <c r="O2" s="32"/>
      <c r="S2" s="380" t="s">
        <v>551</v>
      </c>
    </row>
    <row r="3" spans="1:76" ht="20.25">
      <c r="A3" s="758" t="s">
        <v>575</v>
      </c>
      <c r="B3" s="759"/>
      <c r="C3" s="764">
        <v>30695</v>
      </c>
      <c r="D3" s="764"/>
      <c r="E3" s="381"/>
      <c r="F3" s="557" t="s">
        <v>631</v>
      </c>
      <c r="G3" s="766" t="s">
        <v>702</v>
      </c>
      <c r="H3" s="766"/>
      <c r="I3" s="767"/>
      <c r="J3" s="20"/>
      <c r="K3" s="20"/>
      <c r="L3" s="20"/>
      <c r="M3" s="32"/>
      <c r="N3" s="32"/>
      <c r="O3" s="32"/>
      <c r="Q3" s="772" t="s">
        <v>236</v>
      </c>
      <c r="R3" s="772"/>
      <c r="S3" s="772"/>
      <c r="T3" s="772"/>
      <c r="U3" s="772"/>
      <c r="AF3" s="94"/>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76" ht="21" customHeight="1">
      <c r="A4" s="760" t="s">
        <v>3</v>
      </c>
      <c r="B4" s="761"/>
      <c r="C4" s="765" t="s">
        <v>703</v>
      </c>
      <c r="D4" s="765"/>
      <c r="E4" s="555"/>
      <c r="F4" s="557" t="s">
        <v>632</v>
      </c>
      <c r="G4" s="768">
        <v>9413843457</v>
      </c>
      <c r="H4" s="768"/>
      <c r="I4" s="769"/>
      <c r="J4" s="20"/>
      <c r="K4" s="20"/>
      <c r="L4" s="20"/>
      <c r="M4" s="32"/>
      <c r="N4" s="32"/>
      <c r="O4" s="32"/>
      <c r="Q4" s="463" t="s">
        <v>239</v>
      </c>
      <c r="R4" s="463" t="s">
        <v>240</v>
      </c>
      <c r="S4" s="463" t="s">
        <v>241</v>
      </c>
      <c r="AF4" s="95"/>
      <c r="AG4" s="95"/>
      <c r="AH4" s="95"/>
      <c r="AI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76" ht="21.75" thickBot="1">
      <c r="A5" s="762" t="s">
        <v>5</v>
      </c>
      <c r="B5" s="763"/>
      <c r="C5" s="731" t="s">
        <v>251</v>
      </c>
      <c r="D5" s="731"/>
      <c r="E5" s="732" t="str">
        <f>VLOOKUP(C5,Q4:T25,2,FALSE)</f>
        <v>2202-02-109-(02) (STATE FUND)</v>
      </c>
      <c r="F5" s="732"/>
      <c r="G5" s="732"/>
      <c r="H5" s="732"/>
      <c r="I5" s="733"/>
      <c r="J5" s="20"/>
      <c r="K5" s="20"/>
      <c r="L5" s="20"/>
      <c r="M5" s="32"/>
      <c r="N5" s="32"/>
      <c r="O5" s="32"/>
      <c r="Q5" s="463" t="s">
        <v>6</v>
      </c>
      <c r="R5" s="463" t="s">
        <v>237</v>
      </c>
      <c r="S5" s="463" t="s">
        <v>238</v>
      </c>
      <c r="AF5" s="95"/>
      <c r="AG5" s="95"/>
      <c r="AH5" s="95"/>
      <c r="AI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76" ht="28.5" thickBot="1">
      <c r="A6" s="734" t="s">
        <v>75</v>
      </c>
      <c r="B6" s="734"/>
      <c r="C6" s="734"/>
      <c r="D6" s="734"/>
      <c r="E6" s="734"/>
      <c r="F6" s="734"/>
      <c r="G6" s="734"/>
      <c r="H6" s="734"/>
      <c r="I6" s="734"/>
      <c r="J6" s="21"/>
      <c r="K6" s="21"/>
      <c r="L6" s="21"/>
      <c r="M6" s="32"/>
      <c r="N6" s="32"/>
      <c r="O6" s="32"/>
      <c r="Q6" s="463" t="s">
        <v>242</v>
      </c>
      <c r="R6" s="463" t="s">
        <v>243</v>
      </c>
      <c r="S6" s="463" t="s">
        <v>244</v>
      </c>
      <c r="AF6" s="95"/>
      <c r="AG6" s="95"/>
      <c r="AH6" s="95"/>
      <c r="AI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row>
    <row r="7" spans="1:76" ht="19.5" customHeight="1" thickTop="1">
      <c r="A7" s="743" t="s">
        <v>7</v>
      </c>
      <c r="B7" s="745" t="s">
        <v>8</v>
      </c>
      <c r="C7" s="745" t="s">
        <v>9</v>
      </c>
      <c r="D7" s="747" t="s">
        <v>10</v>
      </c>
      <c r="E7" s="747"/>
      <c r="F7" s="747"/>
      <c r="G7" s="747"/>
      <c r="H7" s="747"/>
      <c r="I7" s="714"/>
      <c r="J7" s="714" t="s">
        <v>728</v>
      </c>
      <c r="K7" s="712" t="s">
        <v>727</v>
      </c>
      <c r="L7" s="20"/>
      <c r="M7" s="32"/>
      <c r="N7" s="32"/>
      <c r="O7" s="32"/>
      <c r="Q7" s="463" t="s">
        <v>245</v>
      </c>
      <c r="R7" s="463" t="s">
        <v>246</v>
      </c>
      <c r="S7" s="463" t="s">
        <v>247</v>
      </c>
      <c r="AF7" s="95"/>
      <c r="AG7" s="95"/>
      <c r="AH7" s="95"/>
      <c r="AI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76" ht="15.75" customHeight="1">
      <c r="A8" s="744"/>
      <c r="B8" s="746"/>
      <c r="C8" s="746"/>
      <c r="D8" s="26" t="str">
        <f>CONCATENATE((MID(Master!C4,1,4)-4),"-",(MID(Master!C4,6,2)-4))</f>
        <v>2018-19</v>
      </c>
      <c r="E8" s="26" t="str">
        <f>CONCATENATE((MID(Master!C4,1,4)-3),"-",(MID(Master!C4,6,2)-3))</f>
        <v>2019-20</v>
      </c>
      <c r="F8" s="753" t="str">
        <f>CONCATENATE((MID(Master!C4,1,4)-2),"-",(MID(Master!C4,6,2)-2))</f>
        <v>2020-21</v>
      </c>
      <c r="G8" s="753"/>
      <c r="H8" s="753"/>
      <c r="I8" s="382" t="str">
        <f>CONCATENATE((MID(Master!C4,1,4)-1),"-",(MID(Master!C4,6,2)-1))</f>
        <v>2021-22</v>
      </c>
      <c r="J8" s="715"/>
      <c r="K8" s="713"/>
      <c r="L8" s="22"/>
      <c r="M8" s="711" t="s">
        <v>666</v>
      </c>
      <c r="N8" s="711"/>
      <c r="O8" s="711"/>
      <c r="Q8" s="463" t="s">
        <v>248</v>
      </c>
      <c r="R8" s="463" t="s">
        <v>249</v>
      </c>
      <c r="S8" s="463" t="s">
        <v>250</v>
      </c>
      <c r="AF8" s="95"/>
      <c r="AG8" s="95"/>
      <c r="AH8" s="95"/>
      <c r="AI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row>
    <row r="9" spans="1:76" ht="31.5">
      <c r="A9" s="744"/>
      <c r="B9" s="746"/>
      <c r="C9" s="26" t="str">
        <f>CONCATENATE((MID(Master!C4,1,4))-1,"-",(MID(Master!C4,6,2)-1))</f>
        <v>2021-22</v>
      </c>
      <c r="D9" s="11" t="str">
        <f>CONCATENATE("vizSy ",(MID(D8,3,2))," ls ekpZ ",(MID(D8,3,2)+1)," rd")</f>
        <v>vizSy 18 ls ekpZ 19 rd</v>
      </c>
      <c r="E9" s="11" t="str">
        <f>CONCATENATE("vizSy ",(MID(E8,3,2))," ls ekpZ ",(MID(E8,3,2)+1)," rd")</f>
        <v>vizSy 19 ls ekpZ 20 rd</v>
      </c>
      <c r="F9" s="11" t="str">
        <f>CONCATENATE("vizSy ",(MID(F8,3,2))," ls tqykbZZ ",(MID(F8,3,2))," rd")</f>
        <v>vizSy 20 ls tqykbZZ 20 rd</v>
      </c>
      <c r="G9" s="11" t="str">
        <f>CONCATENATE("vxLr ",(MID(F8,3,2))," ls ekpZ ",(MID(F8,3,2)+1)," rd")</f>
        <v>vxLr 20 ls ekpZ 21 rd</v>
      </c>
      <c r="H9" s="11" t="str">
        <f>CONCATENATE("vizSy ",(MID(F8,3,2))," ls ekpZ ",(MID(F8,3,2)+1)," rd")</f>
        <v>vizSy 20 ls ekpZ 21 rd</v>
      </c>
      <c r="I9" s="12" t="str">
        <f>CONCATENATE("vizSy ",(MID(I8,3,2))," ls tqykbZ ",(MID(I8,3,2))," rd")</f>
        <v>vizSy 21 ls tqykbZ 21 rd</v>
      </c>
      <c r="J9" s="715"/>
      <c r="K9" s="713"/>
      <c r="L9" s="22"/>
      <c r="M9" s="711"/>
      <c r="N9" s="711"/>
      <c r="O9" s="711"/>
      <c r="Q9" s="463" t="s">
        <v>251</v>
      </c>
      <c r="R9" s="463" t="s">
        <v>252</v>
      </c>
      <c r="S9" s="463" t="s">
        <v>253</v>
      </c>
      <c r="AF9" s="95"/>
      <c r="AG9" s="95"/>
      <c r="AH9" s="95"/>
      <c r="AI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76">
      <c r="A10" s="356">
        <v>1</v>
      </c>
      <c r="B10" s="357">
        <v>2</v>
      </c>
      <c r="C10" s="357">
        <v>3</v>
      </c>
      <c r="D10" s="357">
        <v>4</v>
      </c>
      <c r="E10" s="357">
        <v>5</v>
      </c>
      <c r="F10" s="357">
        <v>6</v>
      </c>
      <c r="G10" s="357">
        <v>7</v>
      </c>
      <c r="H10" s="357">
        <v>8</v>
      </c>
      <c r="I10" s="358">
        <v>9</v>
      </c>
      <c r="J10" s="358">
        <v>10</v>
      </c>
      <c r="K10" s="358">
        <v>10</v>
      </c>
      <c r="L10" s="22"/>
      <c r="M10" s="32"/>
      <c r="N10" s="32"/>
      <c r="O10" s="32"/>
      <c r="Q10" s="463" t="s">
        <v>254</v>
      </c>
      <c r="R10" s="463" t="s">
        <v>255</v>
      </c>
      <c r="S10" s="463" t="s">
        <v>256</v>
      </c>
      <c r="AF10" s="95"/>
      <c r="AG10" s="95"/>
      <c r="AH10" s="95"/>
      <c r="AI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row>
    <row r="11" spans="1:76" ht="18.75">
      <c r="A11" s="14">
        <v>1</v>
      </c>
      <c r="B11" s="13" t="s">
        <v>11</v>
      </c>
      <c r="C11" s="367">
        <v>9820000</v>
      </c>
      <c r="D11" s="367">
        <v>8513603</v>
      </c>
      <c r="E11" s="367">
        <v>7033738</v>
      </c>
      <c r="F11" s="367">
        <v>2643267</v>
      </c>
      <c r="G11" s="367">
        <v>6705337</v>
      </c>
      <c r="H11" s="359">
        <f>SUM(F11:G11)</f>
        <v>9348604</v>
      </c>
      <c r="I11" s="368">
        <v>3407270</v>
      </c>
      <c r="J11" s="368">
        <v>6407270</v>
      </c>
      <c r="K11" s="368">
        <v>10407270</v>
      </c>
      <c r="L11" s="22"/>
      <c r="M11" s="32"/>
      <c r="N11" s="32"/>
      <c r="O11" s="32"/>
      <c r="Q11" s="463" t="s">
        <v>257</v>
      </c>
      <c r="R11" s="463" t="s">
        <v>258</v>
      </c>
      <c r="S11" s="463" t="s">
        <v>259</v>
      </c>
      <c r="AF11" s="95"/>
      <c r="AG11" s="95"/>
      <c r="AH11" s="95"/>
      <c r="AI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row>
    <row r="12" spans="1:76" ht="18.75">
      <c r="A12" s="14">
        <v>2</v>
      </c>
      <c r="B12" s="13" t="s">
        <v>12</v>
      </c>
      <c r="C12" s="367">
        <v>0</v>
      </c>
      <c r="D12" s="367">
        <v>0</v>
      </c>
      <c r="E12" s="367">
        <v>0</v>
      </c>
      <c r="F12" s="367">
        <v>0</v>
      </c>
      <c r="G12" s="367">
        <v>0</v>
      </c>
      <c r="H12" s="359">
        <f>SUM(F12:G12)</f>
        <v>0</v>
      </c>
      <c r="I12" s="368">
        <v>0</v>
      </c>
      <c r="J12" s="368">
        <v>0</v>
      </c>
      <c r="K12" s="368">
        <v>0</v>
      </c>
      <c r="L12" s="22"/>
      <c r="M12" s="32"/>
      <c r="N12" s="32"/>
      <c r="O12" s="32"/>
      <c r="Q12" s="463" t="s">
        <v>260</v>
      </c>
      <c r="R12" s="463" t="s">
        <v>261</v>
      </c>
      <c r="S12" s="463" t="s">
        <v>262</v>
      </c>
      <c r="AF12" s="95"/>
      <c r="AG12" s="95"/>
      <c r="AH12" s="95"/>
      <c r="AI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row>
    <row r="13" spans="1:76" ht="18.75">
      <c r="A13" s="14">
        <v>3</v>
      </c>
      <c r="B13" s="13" t="s">
        <v>13</v>
      </c>
      <c r="C13" s="367">
        <v>0</v>
      </c>
      <c r="D13" s="367">
        <v>0</v>
      </c>
      <c r="E13" s="367">
        <v>201175</v>
      </c>
      <c r="F13" s="367">
        <v>0</v>
      </c>
      <c r="G13" s="367">
        <v>0</v>
      </c>
      <c r="H13" s="359">
        <f>SUM(F13:G13)</f>
        <v>0</v>
      </c>
      <c r="I13" s="368">
        <v>0</v>
      </c>
      <c r="J13" s="368">
        <v>0</v>
      </c>
      <c r="K13" s="368">
        <v>0</v>
      </c>
      <c r="L13" s="183"/>
      <c r="M13" s="32"/>
      <c r="N13" s="32"/>
      <c r="O13" s="32"/>
      <c r="Q13" s="463" t="s">
        <v>263</v>
      </c>
      <c r="R13" s="463" t="s">
        <v>264</v>
      </c>
      <c r="S13" s="463" t="s">
        <v>265</v>
      </c>
      <c r="AF13" s="95"/>
      <c r="AG13" s="95"/>
      <c r="AH13" s="95"/>
      <c r="AI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row>
    <row r="14" spans="1:76" ht="18.75">
      <c r="A14" s="3"/>
      <c r="B14" s="16" t="s">
        <v>14</v>
      </c>
      <c r="C14" s="360">
        <f>SUM(C11:C13)</f>
        <v>9820000</v>
      </c>
      <c r="D14" s="360">
        <f t="shared" ref="D14:I14" si="0">SUM(D11:D13)</f>
        <v>8513603</v>
      </c>
      <c r="E14" s="360">
        <f t="shared" si="0"/>
        <v>7234913</v>
      </c>
      <c r="F14" s="360">
        <f t="shared" si="0"/>
        <v>2643267</v>
      </c>
      <c r="G14" s="360">
        <f t="shared" si="0"/>
        <v>6705337</v>
      </c>
      <c r="H14" s="360">
        <f t="shared" si="0"/>
        <v>9348604</v>
      </c>
      <c r="I14" s="361">
        <f t="shared" si="0"/>
        <v>3407270</v>
      </c>
      <c r="J14" s="361">
        <f>SUM(J11:J13)</f>
        <v>6407270</v>
      </c>
      <c r="K14" s="361">
        <f>SUM(K11:K13)</f>
        <v>10407270</v>
      </c>
      <c r="L14" s="20"/>
      <c r="M14" s="32"/>
      <c r="N14" s="32"/>
      <c r="O14" s="32"/>
      <c r="Q14" s="463" t="s">
        <v>266</v>
      </c>
      <c r="R14" s="463" t="s">
        <v>267</v>
      </c>
      <c r="S14" s="463" t="s">
        <v>268</v>
      </c>
      <c r="AF14" s="95"/>
      <c r="AG14" s="95"/>
      <c r="AH14" s="95"/>
      <c r="AI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row>
    <row r="15" spans="1:76" ht="18.75">
      <c r="A15" s="4"/>
      <c r="B15" s="18" t="s">
        <v>15</v>
      </c>
      <c r="C15" s="369"/>
      <c r="D15" s="369"/>
      <c r="E15" s="369"/>
      <c r="F15" s="369"/>
      <c r="G15" s="369"/>
      <c r="H15" s="362"/>
      <c r="I15" s="370"/>
      <c r="J15" s="370"/>
      <c r="K15" s="370"/>
      <c r="L15" s="20"/>
      <c r="M15" s="32"/>
      <c r="N15" s="32"/>
      <c r="O15" s="32"/>
      <c r="Q15" s="463" t="s">
        <v>269</v>
      </c>
      <c r="R15" s="463" t="s">
        <v>270</v>
      </c>
      <c r="S15" s="463" t="s">
        <v>271</v>
      </c>
      <c r="AF15" s="95"/>
      <c r="AG15" s="95"/>
      <c r="AH15" s="95"/>
      <c r="AI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row>
    <row r="16" spans="1:76" ht="18.75">
      <c r="A16" s="15">
        <v>1</v>
      </c>
      <c r="B16" s="13" t="s">
        <v>16</v>
      </c>
      <c r="C16" s="371">
        <v>0</v>
      </c>
      <c r="D16" s="372">
        <v>0</v>
      </c>
      <c r="E16" s="373">
        <v>0</v>
      </c>
      <c r="F16" s="373">
        <v>0</v>
      </c>
      <c r="G16" s="373">
        <v>0</v>
      </c>
      <c r="H16" s="363">
        <f t="shared" ref="H16:H23" si="1">SUM(F16:G16)</f>
        <v>0</v>
      </c>
      <c r="I16" s="368">
        <v>0</v>
      </c>
      <c r="J16" s="368">
        <v>0</v>
      </c>
      <c r="K16" s="368">
        <v>0</v>
      </c>
      <c r="L16" s="20"/>
      <c r="M16" s="32"/>
      <c r="N16" s="32"/>
      <c r="O16" s="32"/>
      <c r="Q16" s="464"/>
      <c r="R16" s="464"/>
      <c r="S16" s="464"/>
      <c r="AJ16" s="7"/>
      <c r="AK16" s="7"/>
      <c r="AL16" s="7"/>
    </row>
    <row r="17" spans="1:19" ht="18.75">
      <c r="A17" s="15">
        <v>2</v>
      </c>
      <c r="B17" s="13" t="s">
        <v>17</v>
      </c>
      <c r="C17" s="371">
        <v>0</v>
      </c>
      <c r="D17" s="372">
        <v>0</v>
      </c>
      <c r="E17" s="373">
        <v>0</v>
      </c>
      <c r="F17" s="373">
        <v>0</v>
      </c>
      <c r="G17" s="373">
        <v>0</v>
      </c>
      <c r="H17" s="363">
        <f t="shared" si="1"/>
        <v>0</v>
      </c>
      <c r="I17" s="368">
        <v>0</v>
      </c>
      <c r="J17" s="368">
        <v>0</v>
      </c>
      <c r="K17" s="368">
        <v>0</v>
      </c>
      <c r="L17" s="20"/>
      <c r="M17" s="32"/>
      <c r="N17" s="32"/>
      <c r="O17" s="32"/>
      <c r="Q17" s="464"/>
      <c r="R17" s="464"/>
      <c r="S17" s="464"/>
    </row>
    <row r="18" spans="1:19" ht="18.75">
      <c r="A18" s="15">
        <v>3</v>
      </c>
      <c r="B18" s="13" t="s">
        <v>18</v>
      </c>
      <c r="C18" s="371">
        <v>0</v>
      </c>
      <c r="D18" s="372">
        <v>0</v>
      </c>
      <c r="E18" s="373">
        <v>0</v>
      </c>
      <c r="F18" s="373">
        <v>0</v>
      </c>
      <c r="G18" s="373">
        <v>0</v>
      </c>
      <c r="H18" s="363">
        <f t="shared" si="1"/>
        <v>0</v>
      </c>
      <c r="I18" s="368">
        <v>0</v>
      </c>
      <c r="J18" s="368">
        <v>0</v>
      </c>
      <c r="K18" s="368">
        <v>0</v>
      </c>
      <c r="L18" s="20"/>
      <c r="M18" s="32"/>
      <c r="N18" s="32"/>
      <c r="O18" s="32"/>
      <c r="Q18" s="464"/>
      <c r="R18" s="464"/>
      <c r="S18" s="464"/>
    </row>
    <row r="19" spans="1:19" ht="18.75">
      <c r="A19" s="15">
        <v>4</v>
      </c>
      <c r="B19" s="13" t="s">
        <v>19</v>
      </c>
      <c r="C19" s="371">
        <v>0</v>
      </c>
      <c r="D19" s="372">
        <v>0</v>
      </c>
      <c r="E19" s="373">
        <v>0</v>
      </c>
      <c r="F19" s="373">
        <v>0</v>
      </c>
      <c r="G19" s="373">
        <v>0</v>
      </c>
      <c r="H19" s="363">
        <f t="shared" si="1"/>
        <v>0</v>
      </c>
      <c r="I19" s="368">
        <v>0</v>
      </c>
      <c r="J19" s="368">
        <v>0</v>
      </c>
      <c r="K19" s="368">
        <v>0</v>
      </c>
      <c r="L19" s="20"/>
      <c r="M19" s="32"/>
      <c r="N19" s="32"/>
      <c r="O19" s="32"/>
      <c r="Q19" s="464"/>
      <c r="R19" s="464"/>
      <c r="S19" s="464"/>
    </row>
    <row r="20" spans="1:19" ht="18.75">
      <c r="A20" s="15">
        <v>5</v>
      </c>
      <c r="B20" s="13" t="s">
        <v>20</v>
      </c>
      <c r="C20" s="371">
        <v>0</v>
      </c>
      <c r="D20" s="372">
        <v>0</v>
      </c>
      <c r="E20" s="373">
        <v>0</v>
      </c>
      <c r="F20" s="373">
        <v>0</v>
      </c>
      <c r="G20" s="373">
        <v>0</v>
      </c>
      <c r="H20" s="363">
        <f t="shared" si="1"/>
        <v>0</v>
      </c>
      <c r="I20" s="368">
        <v>0</v>
      </c>
      <c r="J20" s="368">
        <v>0</v>
      </c>
      <c r="K20" s="368">
        <v>0</v>
      </c>
      <c r="L20" s="20"/>
      <c r="M20" s="32"/>
      <c r="N20" s="32"/>
      <c r="O20" s="32"/>
      <c r="Q20" s="464"/>
      <c r="R20" s="464"/>
      <c r="S20" s="464"/>
    </row>
    <row r="21" spans="1:19" ht="18.75">
      <c r="A21" s="15">
        <v>6</v>
      </c>
      <c r="B21" s="13" t="s">
        <v>21</v>
      </c>
      <c r="C21" s="371">
        <v>2500</v>
      </c>
      <c r="D21" s="372">
        <v>2485</v>
      </c>
      <c r="E21" s="373">
        <v>2500</v>
      </c>
      <c r="F21" s="373">
        <v>0</v>
      </c>
      <c r="G21" s="373">
        <v>2500</v>
      </c>
      <c r="H21" s="363">
        <f t="shared" si="1"/>
        <v>2500</v>
      </c>
      <c r="I21" s="368">
        <v>0</v>
      </c>
      <c r="J21" s="368">
        <v>0</v>
      </c>
      <c r="K21" s="368">
        <v>0</v>
      </c>
      <c r="L21" s="20"/>
      <c r="M21" s="32"/>
      <c r="N21" s="32"/>
      <c r="O21" s="32"/>
      <c r="Q21" s="464"/>
      <c r="R21" s="464"/>
      <c r="S21" s="464"/>
    </row>
    <row r="22" spans="1:19" ht="18.75">
      <c r="A22" s="15">
        <v>7</v>
      </c>
      <c r="B22" s="13" t="s">
        <v>22</v>
      </c>
      <c r="C22" s="371">
        <v>0</v>
      </c>
      <c r="D22" s="372">
        <v>0</v>
      </c>
      <c r="E22" s="373">
        <v>0</v>
      </c>
      <c r="F22" s="373">
        <v>0</v>
      </c>
      <c r="G22" s="373">
        <v>0</v>
      </c>
      <c r="H22" s="363">
        <f t="shared" si="1"/>
        <v>0</v>
      </c>
      <c r="I22" s="368">
        <v>0</v>
      </c>
      <c r="J22" s="368">
        <v>0</v>
      </c>
      <c r="K22" s="368">
        <v>0</v>
      </c>
      <c r="L22" s="20"/>
      <c r="M22" s="32"/>
      <c r="N22" s="32"/>
      <c r="O22" s="32"/>
      <c r="Q22" s="464"/>
      <c r="R22" s="464"/>
      <c r="S22" s="464"/>
    </row>
    <row r="23" spans="1:19" ht="18.75">
      <c r="A23" s="15">
        <v>8</v>
      </c>
      <c r="B23" s="13" t="s">
        <v>23</v>
      </c>
      <c r="C23" s="371">
        <v>0</v>
      </c>
      <c r="D23" s="372">
        <v>0</v>
      </c>
      <c r="E23" s="373">
        <v>0</v>
      </c>
      <c r="F23" s="373">
        <v>0</v>
      </c>
      <c r="G23" s="373">
        <v>0</v>
      </c>
      <c r="H23" s="363">
        <f t="shared" si="1"/>
        <v>0</v>
      </c>
      <c r="I23" s="368">
        <v>0</v>
      </c>
      <c r="J23" s="368">
        <v>0</v>
      </c>
      <c r="K23" s="368">
        <v>0</v>
      </c>
      <c r="L23" s="22"/>
      <c r="M23" s="32"/>
      <c r="N23" s="32"/>
      <c r="O23" s="32"/>
      <c r="Q23" s="464"/>
      <c r="R23" s="464"/>
      <c r="S23" s="464"/>
    </row>
    <row r="24" spans="1:19" ht="18.75">
      <c r="A24" s="4"/>
      <c r="B24" s="16" t="s">
        <v>24</v>
      </c>
      <c r="C24" s="362">
        <f>SUM(C16:C23)</f>
        <v>2500</v>
      </c>
      <c r="D24" s="362">
        <f t="shared" ref="D24:K24" si="2">SUM(D16:D23)</f>
        <v>2485</v>
      </c>
      <c r="E24" s="362">
        <f t="shared" si="2"/>
        <v>2500</v>
      </c>
      <c r="F24" s="362">
        <f t="shared" si="2"/>
        <v>0</v>
      </c>
      <c r="G24" s="362">
        <f t="shared" si="2"/>
        <v>2500</v>
      </c>
      <c r="H24" s="362">
        <f t="shared" si="2"/>
        <v>2500</v>
      </c>
      <c r="I24" s="362">
        <f t="shared" si="2"/>
        <v>0</v>
      </c>
      <c r="J24" s="362">
        <f t="shared" si="2"/>
        <v>0</v>
      </c>
      <c r="K24" s="362">
        <f t="shared" si="2"/>
        <v>0</v>
      </c>
      <c r="L24" s="22"/>
      <c r="M24" s="32"/>
      <c r="N24" s="32"/>
      <c r="O24" s="32"/>
      <c r="Q24" s="464"/>
      <c r="R24" s="464"/>
      <c r="S24" s="464"/>
    </row>
    <row r="25" spans="1:19" ht="18.75">
      <c r="A25" s="14">
        <v>1</v>
      </c>
      <c r="B25" s="13" t="s">
        <v>25</v>
      </c>
      <c r="C25" s="367">
        <v>0</v>
      </c>
      <c r="D25" s="367">
        <v>0</v>
      </c>
      <c r="E25" s="367">
        <v>0</v>
      </c>
      <c r="F25" s="367">
        <v>0</v>
      </c>
      <c r="G25" s="367">
        <v>0</v>
      </c>
      <c r="H25" s="363">
        <f>SUM(F25:G25)</f>
        <v>0</v>
      </c>
      <c r="I25" s="368">
        <v>0</v>
      </c>
      <c r="J25" s="368">
        <v>0</v>
      </c>
      <c r="K25" s="368">
        <v>0</v>
      </c>
      <c r="L25" s="22"/>
      <c r="M25" s="32"/>
      <c r="N25" s="32"/>
      <c r="O25" s="32"/>
    </row>
    <row r="26" spans="1:19" ht="18.75">
      <c r="A26" s="14">
        <v>2</v>
      </c>
      <c r="B26" s="13" t="s">
        <v>26</v>
      </c>
      <c r="C26" s="367">
        <v>2000</v>
      </c>
      <c r="D26" s="367">
        <v>1200</v>
      </c>
      <c r="E26" s="367">
        <v>1198</v>
      </c>
      <c r="F26" s="367">
        <v>0</v>
      </c>
      <c r="G26" s="367">
        <v>2500</v>
      </c>
      <c r="H26" s="363">
        <f>SUM(F26:G26)</f>
        <v>2500</v>
      </c>
      <c r="I26" s="368">
        <v>0</v>
      </c>
      <c r="J26" s="368">
        <v>0</v>
      </c>
      <c r="K26" s="368">
        <v>0</v>
      </c>
      <c r="L26" s="22"/>
      <c r="M26" s="32"/>
      <c r="N26" s="32"/>
      <c r="O26" s="32"/>
    </row>
    <row r="27" spans="1:19" ht="18.75">
      <c r="A27" s="14">
        <v>3</v>
      </c>
      <c r="B27" s="13" t="s">
        <v>27</v>
      </c>
      <c r="C27" s="367">
        <v>0</v>
      </c>
      <c r="D27" s="367">
        <v>0</v>
      </c>
      <c r="E27" s="367">
        <v>0</v>
      </c>
      <c r="F27" s="367">
        <v>0</v>
      </c>
      <c r="G27" s="367">
        <v>0</v>
      </c>
      <c r="H27" s="363">
        <f>SUM(F27:G27)</f>
        <v>0</v>
      </c>
      <c r="I27" s="368">
        <v>0</v>
      </c>
      <c r="J27" s="368">
        <v>0</v>
      </c>
      <c r="K27" s="368">
        <v>0</v>
      </c>
      <c r="L27" s="22"/>
      <c r="M27" s="32"/>
      <c r="N27" s="32"/>
      <c r="O27" s="32"/>
    </row>
    <row r="28" spans="1:19" ht="18.75">
      <c r="A28" s="14">
        <v>4</v>
      </c>
      <c r="B28" s="13" t="s">
        <v>28</v>
      </c>
      <c r="C28" s="367">
        <v>0</v>
      </c>
      <c r="D28" s="367">
        <v>1100</v>
      </c>
      <c r="E28" s="367">
        <v>0</v>
      </c>
      <c r="F28" s="367">
        <v>0</v>
      </c>
      <c r="G28" s="367">
        <v>0</v>
      </c>
      <c r="H28" s="363">
        <f>SUM(F28:G28)</f>
        <v>0</v>
      </c>
      <c r="I28" s="368">
        <v>0</v>
      </c>
      <c r="J28" s="368">
        <v>0</v>
      </c>
      <c r="K28" s="368">
        <v>0</v>
      </c>
      <c r="L28" s="22"/>
      <c r="M28" s="32"/>
      <c r="N28" s="32"/>
      <c r="O28" s="32"/>
    </row>
    <row r="29" spans="1:19" ht="18.75">
      <c r="A29" s="14">
        <v>5</v>
      </c>
      <c r="B29" s="13" t="s">
        <v>29</v>
      </c>
      <c r="C29" s="367">
        <v>3300</v>
      </c>
      <c r="D29" s="367">
        <v>3300</v>
      </c>
      <c r="E29" s="367">
        <v>3300</v>
      </c>
      <c r="F29" s="367">
        <v>0</v>
      </c>
      <c r="G29" s="367">
        <v>3300</v>
      </c>
      <c r="H29" s="363">
        <f>SUM(F29:G29)</f>
        <v>3300</v>
      </c>
      <c r="I29" s="368">
        <v>0</v>
      </c>
      <c r="J29" s="368">
        <v>0</v>
      </c>
      <c r="K29" s="368">
        <v>0</v>
      </c>
      <c r="L29" s="22"/>
      <c r="M29" s="32"/>
      <c r="N29" s="32"/>
      <c r="O29" s="32"/>
    </row>
    <row r="30" spans="1:19" s="330" customFormat="1" ht="18.75">
      <c r="A30" s="14">
        <v>6</v>
      </c>
      <c r="B30" s="13" t="s">
        <v>567</v>
      </c>
      <c r="C30" s="367"/>
      <c r="D30" s="367"/>
      <c r="E30" s="367"/>
      <c r="F30" s="367"/>
      <c r="G30" s="367"/>
      <c r="H30" s="363"/>
      <c r="I30" s="368"/>
      <c r="J30" s="368"/>
      <c r="K30" s="368"/>
      <c r="L30" s="22"/>
      <c r="M30" s="32"/>
      <c r="N30" s="32"/>
      <c r="O30" s="32"/>
    </row>
    <row r="31" spans="1:19" ht="18.75">
      <c r="A31" s="4"/>
      <c r="B31" s="16" t="s">
        <v>695</v>
      </c>
      <c r="C31" s="362">
        <f>SUM(C25:C30)</f>
        <v>5300</v>
      </c>
      <c r="D31" s="362">
        <f t="shared" ref="D31:I31" si="3">SUM(D25:D30)</f>
        <v>5600</v>
      </c>
      <c r="E31" s="362">
        <f t="shared" si="3"/>
        <v>4498</v>
      </c>
      <c r="F31" s="362">
        <f t="shared" si="3"/>
        <v>0</v>
      </c>
      <c r="G31" s="362">
        <f t="shared" si="3"/>
        <v>5800</v>
      </c>
      <c r="H31" s="362">
        <f t="shared" si="3"/>
        <v>5800</v>
      </c>
      <c r="I31" s="362">
        <f t="shared" si="3"/>
        <v>0</v>
      </c>
      <c r="J31" s="362">
        <f t="shared" ref="J31:K31" si="4">SUM(J25:J30)</f>
        <v>0</v>
      </c>
      <c r="K31" s="362">
        <f t="shared" si="4"/>
        <v>0</v>
      </c>
      <c r="L31" s="22"/>
      <c r="M31" s="32"/>
      <c r="N31" s="32"/>
      <c r="O31" s="32"/>
    </row>
    <row r="32" spans="1:19" ht="18.75">
      <c r="A32" s="4"/>
      <c r="B32" s="16" t="s">
        <v>30</v>
      </c>
      <c r="C32" s="362">
        <f>SUM(C31,C24)</f>
        <v>7800</v>
      </c>
      <c r="D32" s="362">
        <f t="shared" ref="D32:I32" si="5">SUM(D31,D24)</f>
        <v>8085</v>
      </c>
      <c r="E32" s="362">
        <f t="shared" si="5"/>
        <v>6998</v>
      </c>
      <c r="F32" s="362">
        <f t="shared" si="5"/>
        <v>0</v>
      </c>
      <c r="G32" s="362">
        <f t="shared" si="5"/>
        <v>8300</v>
      </c>
      <c r="H32" s="362">
        <f>SUM(H31,H24)</f>
        <v>8300</v>
      </c>
      <c r="I32" s="364">
        <f t="shared" si="5"/>
        <v>0</v>
      </c>
      <c r="J32" s="364">
        <f t="shared" ref="J32:K32" si="6">SUM(J31,J24)</f>
        <v>0</v>
      </c>
      <c r="K32" s="364">
        <f t="shared" si="6"/>
        <v>0</v>
      </c>
      <c r="L32" s="22"/>
      <c r="M32" s="32"/>
      <c r="N32" s="32"/>
      <c r="O32" s="32"/>
    </row>
    <row r="33" spans="1:15" ht="19.5" thickBot="1">
      <c r="A33" s="5"/>
      <c r="B33" s="17" t="s">
        <v>31</v>
      </c>
      <c r="C33" s="365">
        <f>SUM(C14,C32)</f>
        <v>9827800</v>
      </c>
      <c r="D33" s="365">
        <f t="shared" ref="D33:I33" si="7">SUM(D14,D32)</f>
        <v>8521688</v>
      </c>
      <c r="E33" s="365">
        <f t="shared" si="7"/>
        <v>7241911</v>
      </c>
      <c r="F33" s="365">
        <f t="shared" si="7"/>
        <v>2643267</v>
      </c>
      <c r="G33" s="365">
        <f t="shared" si="7"/>
        <v>6713637</v>
      </c>
      <c r="H33" s="365">
        <f>SUM(H14,H32)</f>
        <v>9356904</v>
      </c>
      <c r="I33" s="366">
        <f t="shared" si="7"/>
        <v>3407270</v>
      </c>
      <c r="J33" s="366">
        <f t="shared" ref="J33:K33" si="8">SUM(J14,J32)</f>
        <v>6407270</v>
      </c>
      <c r="K33" s="366">
        <f t="shared" si="8"/>
        <v>10407270</v>
      </c>
      <c r="L33" s="22"/>
      <c r="M33" s="32"/>
      <c r="N33" s="32"/>
      <c r="O33" s="32"/>
    </row>
    <row r="34" spans="1:15" ht="29.25" thickTop="1" thickBot="1">
      <c r="A34" s="734" t="s">
        <v>74</v>
      </c>
      <c r="B34" s="734"/>
      <c r="C34" s="734"/>
      <c r="D34" s="734"/>
      <c r="E34" s="734"/>
      <c r="F34" s="734"/>
      <c r="G34" s="734"/>
      <c r="H34" s="734"/>
      <c r="I34" s="734"/>
      <c r="J34" s="22"/>
      <c r="K34" s="22"/>
      <c r="L34" s="22"/>
      <c r="M34" s="32"/>
      <c r="N34" s="32"/>
      <c r="O34" s="32"/>
    </row>
    <row r="35" spans="1:15" ht="19.5" thickTop="1">
      <c r="A35" s="743" t="s">
        <v>7</v>
      </c>
      <c r="B35" s="745" t="s">
        <v>8</v>
      </c>
      <c r="C35" s="747" t="s">
        <v>32</v>
      </c>
      <c r="D35" s="747"/>
      <c r="E35" s="747"/>
      <c r="F35" s="747"/>
      <c r="G35" s="747"/>
      <c r="H35" s="747"/>
      <c r="I35" s="714"/>
      <c r="J35" s="714" t="s">
        <v>725</v>
      </c>
      <c r="K35" s="712" t="s">
        <v>726</v>
      </c>
      <c r="L35" s="22"/>
      <c r="M35" s="32"/>
      <c r="N35" s="32"/>
      <c r="O35" s="32"/>
    </row>
    <row r="36" spans="1:15" ht="30" customHeight="1">
      <c r="A36" s="744"/>
      <c r="B36" s="746"/>
      <c r="C36" s="26" t="str">
        <f>CONCATENATE((MID(Master!C4,1,4)-4),"-",(MID(Master!C4,6,2)-4))</f>
        <v>2018-19</v>
      </c>
      <c r="D36" s="26" t="str">
        <f>CONCATENATE((MID(Master!C4,1,4)-3),"-",(MID(Master!C4,6,2)-3))</f>
        <v>2019-20</v>
      </c>
      <c r="E36" s="748" t="str">
        <f>CONCATENATE((MID(Master!C4,1,4)-2),"-",(MID(Master!C4,6,2)-2))</f>
        <v>2020-21</v>
      </c>
      <c r="F36" s="749"/>
      <c r="G36" s="750"/>
      <c r="H36" s="668" t="str">
        <f>CONCATENATE((MID(Master!C4,1,4)-1),"-",(MID(Master!C4,6,2)-1))</f>
        <v>2021-22</v>
      </c>
      <c r="I36" s="751" t="s">
        <v>729</v>
      </c>
      <c r="J36" s="715"/>
      <c r="K36" s="713"/>
      <c r="L36" s="22"/>
      <c r="M36" s="32"/>
      <c r="N36" s="32"/>
      <c r="O36" s="32"/>
    </row>
    <row r="37" spans="1:15" ht="31.5" customHeight="1">
      <c r="A37" s="744"/>
      <c r="B37" s="746"/>
      <c r="C37" s="11" t="str">
        <f>CONCATENATE("vizSy ",(MID(C36,3,2))," ls ekpZ ",(MID(C36,3,2)+1)," rd")</f>
        <v>vizSy 18 ls ekpZ 19 rd</v>
      </c>
      <c r="D37" s="11" t="str">
        <f>CONCATENATE("vizSy ",(MID(D36,3,2))," ls ekpZ ",(MID(D36,3,2)+1)," rd")</f>
        <v>vizSy 19 ls ekpZ 20 rd</v>
      </c>
      <c r="E37" s="11" t="str">
        <f>CONCATENATE("vizSy ",(MID(E36,3,2))," ls tqykbZZ ",(MID(E36,3,2))," rd")</f>
        <v>vizSy 20 ls tqykbZZ 20 rd</v>
      </c>
      <c r="F37" s="11" t="str">
        <f>CONCATENATE("vxLr ",(MID(E36,3,2))," ls ekpZ ",(MID(E36,3,2)+1)," rd")</f>
        <v>vxLr 20 ls ekpZ 21 rd</v>
      </c>
      <c r="G37" s="11" t="str">
        <f>CONCATENATE("vizSy ",(MID(E36,3,2))," ls ekpZ ",(MID(E36,3,2)+1)," rd")</f>
        <v>vizSy 20 ls ekpZ 21 rd</v>
      </c>
      <c r="H37" s="691" t="str">
        <f>CONCATENATE("vizSy ",(MID(H36,3,2))," ls tqykbZ ",(MID(H36,3,2))," rd")</f>
        <v>vizSy 21 ls tqykbZ 21 rd</v>
      </c>
      <c r="I37" s="752"/>
      <c r="J37" s="715"/>
      <c r="K37" s="713"/>
      <c r="L37" s="22"/>
      <c r="M37" s="32"/>
      <c r="N37" s="32"/>
      <c r="O37" s="32"/>
    </row>
    <row r="38" spans="1:15">
      <c r="A38" s="356">
        <v>1</v>
      </c>
      <c r="B38" s="357">
        <v>2</v>
      </c>
      <c r="C38" s="357">
        <v>3</v>
      </c>
      <c r="D38" s="357">
        <v>4</v>
      </c>
      <c r="E38" s="357">
        <v>5</v>
      </c>
      <c r="F38" s="357">
        <v>6</v>
      </c>
      <c r="G38" s="357">
        <v>7</v>
      </c>
      <c r="H38" s="357">
        <v>8</v>
      </c>
      <c r="I38" s="357">
        <v>9</v>
      </c>
      <c r="J38" s="357">
        <v>10</v>
      </c>
      <c r="K38" s="357">
        <v>11</v>
      </c>
      <c r="L38" s="22"/>
      <c r="M38" s="32"/>
      <c r="N38" s="32"/>
      <c r="O38" s="32"/>
    </row>
    <row r="39" spans="1:15" ht="18.75">
      <c r="A39" s="14">
        <v>1</v>
      </c>
      <c r="B39" s="13" t="s">
        <v>33</v>
      </c>
      <c r="C39" s="367">
        <v>3380</v>
      </c>
      <c r="D39" s="367">
        <v>2505</v>
      </c>
      <c r="E39" s="367">
        <v>0</v>
      </c>
      <c r="F39" s="367">
        <f>1660+75</f>
        <v>1735</v>
      </c>
      <c r="G39" s="359">
        <f>SUM(E39:F39)</f>
        <v>1735</v>
      </c>
      <c r="H39" s="367">
        <v>1600</v>
      </c>
      <c r="I39" s="667">
        <v>8000</v>
      </c>
      <c r="J39" s="368">
        <v>2100</v>
      </c>
      <c r="K39" s="368">
        <v>9000</v>
      </c>
      <c r="L39" s="22"/>
      <c r="M39" s="32"/>
      <c r="N39" s="32"/>
      <c r="O39" s="32"/>
    </row>
    <row r="40" spans="1:15" ht="18.75">
      <c r="A40" s="14">
        <v>2</v>
      </c>
      <c r="B40" s="13" t="s">
        <v>34</v>
      </c>
      <c r="C40" s="367">
        <v>0</v>
      </c>
      <c r="D40" s="367">
        <v>0</v>
      </c>
      <c r="E40" s="367">
        <v>0</v>
      </c>
      <c r="F40" s="367">
        <v>0</v>
      </c>
      <c r="G40" s="359">
        <f>SUM(E40:F40)</f>
        <v>0</v>
      </c>
      <c r="H40" s="367">
        <v>0</v>
      </c>
      <c r="I40" s="667"/>
      <c r="J40" s="368">
        <v>0</v>
      </c>
      <c r="K40" s="368">
        <v>0</v>
      </c>
      <c r="L40" s="22"/>
      <c r="M40" s="32"/>
      <c r="N40" s="32"/>
      <c r="O40" s="32"/>
    </row>
    <row r="41" spans="1:15" ht="18.75">
      <c r="A41" s="14">
        <v>3</v>
      </c>
      <c r="B41" s="13" t="s">
        <v>35</v>
      </c>
      <c r="C41" s="367">
        <v>0</v>
      </c>
      <c r="D41" s="367">
        <v>0</v>
      </c>
      <c r="E41" s="367">
        <v>0</v>
      </c>
      <c r="F41" s="367">
        <v>0</v>
      </c>
      <c r="G41" s="359">
        <f>SUM(E41:F41)</f>
        <v>0</v>
      </c>
      <c r="H41" s="367">
        <v>0</v>
      </c>
      <c r="I41" s="667"/>
      <c r="J41" s="368">
        <v>0</v>
      </c>
      <c r="K41" s="368">
        <v>0</v>
      </c>
      <c r="L41" s="22"/>
      <c r="M41" s="32"/>
      <c r="N41" s="32"/>
      <c r="O41" s="32"/>
    </row>
    <row r="42" spans="1:15" ht="18.75">
      <c r="A42" s="14">
        <v>4</v>
      </c>
      <c r="B42" s="13" t="s">
        <v>36</v>
      </c>
      <c r="C42" s="367">
        <v>0</v>
      </c>
      <c r="D42" s="367">
        <v>0</v>
      </c>
      <c r="E42" s="367">
        <v>0</v>
      </c>
      <c r="F42" s="367">
        <v>0</v>
      </c>
      <c r="G42" s="359">
        <f>SUM(E42:F42)</f>
        <v>0</v>
      </c>
      <c r="H42" s="367">
        <v>0</v>
      </c>
      <c r="I42" s="667"/>
      <c r="J42" s="368">
        <v>0</v>
      </c>
      <c r="K42" s="368">
        <v>0</v>
      </c>
      <c r="L42" s="22"/>
      <c r="M42" s="32"/>
      <c r="N42" s="32"/>
      <c r="O42" s="32"/>
    </row>
    <row r="43" spans="1:15" ht="18.75">
      <c r="A43" s="14">
        <v>5</v>
      </c>
      <c r="B43" s="13" t="s">
        <v>37</v>
      </c>
      <c r="C43" s="367">
        <v>0</v>
      </c>
      <c r="D43" s="367">
        <v>0</v>
      </c>
      <c r="E43" s="367">
        <v>0</v>
      </c>
      <c r="F43" s="367">
        <v>0</v>
      </c>
      <c r="G43" s="359">
        <f>SUM(E43:F43)</f>
        <v>0</v>
      </c>
      <c r="H43" s="367">
        <v>0</v>
      </c>
      <c r="I43" s="667"/>
      <c r="J43" s="368">
        <v>0</v>
      </c>
      <c r="K43" s="368">
        <v>0</v>
      </c>
      <c r="L43" s="22"/>
      <c r="M43" s="32"/>
      <c r="N43" s="32"/>
      <c r="O43" s="32"/>
    </row>
    <row r="44" spans="1:15" ht="19.5" thickBot="1">
      <c r="A44" s="6"/>
      <c r="B44" s="19" t="s">
        <v>38</v>
      </c>
      <c r="C44" s="365">
        <f t="shared" ref="C44:K44" si="9">SUM(C39:C43)</f>
        <v>3380</v>
      </c>
      <c r="D44" s="365">
        <f t="shared" si="9"/>
        <v>2505</v>
      </c>
      <c r="E44" s="365">
        <f t="shared" si="9"/>
        <v>0</v>
      </c>
      <c r="F44" s="365">
        <f t="shared" si="9"/>
        <v>1735</v>
      </c>
      <c r="G44" s="365">
        <f t="shared" si="9"/>
        <v>1735</v>
      </c>
      <c r="H44" s="365">
        <f t="shared" si="9"/>
        <v>1600</v>
      </c>
      <c r="I44" s="365">
        <f t="shared" si="9"/>
        <v>8000</v>
      </c>
      <c r="J44" s="365">
        <f t="shared" si="9"/>
        <v>2100</v>
      </c>
      <c r="K44" s="365">
        <f t="shared" si="9"/>
        <v>9000</v>
      </c>
      <c r="L44" s="22"/>
      <c r="M44" s="32"/>
      <c r="N44" s="32"/>
      <c r="O44" s="32"/>
    </row>
    <row r="45" spans="1:15" ht="5.25" customHeight="1" thickTop="1">
      <c r="A45" s="20"/>
      <c r="B45" s="20"/>
      <c r="C45" s="20"/>
      <c r="D45" s="20"/>
      <c r="E45" s="20"/>
      <c r="F45" s="20"/>
      <c r="G45" s="20"/>
      <c r="H45" s="20"/>
      <c r="I45" s="20"/>
      <c r="J45" s="22"/>
      <c r="K45" s="22"/>
      <c r="L45" s="22"/>
      <c r="M45" s="32"/>
      <c r="N45" s="32"/>
      <c r="O45" s="32"/>
    </row>
    <row r="46" spans="1:15" ht="29.25" thickBot="1">
      <c r="A46" s="734" t="s">
        <v>73</v>
      </c>
      <c r="B46" s="734"/>
      <c r="C46" s="734"/>
      <c r="D46" s="734"/>
      <c r="E46" s="734"/>
      <c r="F46" s="734"/>
      <c r="G46" s="734"/>
      <c r="H46" s="734"/>
      <c r="I46" s="734"/>
      <c r="J46" s="28"/>
      <c r="K46" s="28"/>
      <c r="L46" s="28"/>
      <c r="M46" s="32"/>
      <c r="N46" s="32"/>
      <c r="O46" s="32"/>
    </row>
    <row r="47" spans="1:15" ht="19.5" thickTop="1">
      <c r="A47" s="735" t="s">
        <v>39</v>
      </c>
      <c r="B47" s="737" t="s">
        <v>730</v>
      </c>
      <c r="C47" s="738"/>
      <c r="D47" s="738"/>
      <c r="E47" s="739"/>
      <c r="F47" s="740" t="s">
        <v>731</v>
      </c>
      <c r="G47" s="737" t="s">
        <v>732</v>
      </c>
      <c r="H47" s="738"/>
      <c r="I47" s="738"/>
      <c r="J47" s="739"/>
      <c r="K47" s="712" t="s">
        <v>726</v>
      </c>
      <c r="L47" s="687"/>
      <c r="M47" s="32"/>
      <c r="N47" s="32"/>
      <c r="O47" s="32"/>
    </row>
    <row r="48" spans="1:15" ht="18.75">
      <c r="A48" s="736"/>
      <c r="B48" s="724" t="s">
        <v>549</v>
      </c>
      <c r="C48" s="725"/>
      <c r="D48" s="724" t="s">
        <v>550</v>
      </c>
      <c r="E48" s="725"/>
      <c r="F48" s="716"/>
      <c r="G48" s="724" t="s">
        <v>549</v>
      </c>
      <c r="H48" s="725"/>
      <c r="I48" s="724" t="s">
        <v>550</v>
      </c>
      <c r="J48" s="725"/>
      <c r="K48" s="713"/>
      <c r="L48" s="687"/>
      <c r="M48" s="32"/>
      <c r="N48" s="32"/>
      <c r="O48" s="32"/>
    </row>
    <row r="49" spans="1:109" ht="18.75">
      <c r="A49" s="736"/>
      <c r="B49" s="374" t="s">
        <v>40</v>
      </c>
      <c r="C49" s="374" t="s">
        <v>41</v>
      </c>
      <c r="D49" s="374" t="s">
        <v>289</v>
      </c>
      <c r="E49" s="374" t="s">
        <v>41</v>
      </c>
      <c r="F49" s="716"/>
      <c r="G49" s="374" t="s">
        <v>40</v>
      </c>
      <c r="H49" s="374" t="s">
        <v>41</v>
      </c>
      <c r="I49" s="374" t="s">
        <v>40</v>
      </c>
      <c r="J49" s="374" t="s">
        <v>41</v>
      </c>
      <c r="K49" s="713"/>
      <c r="L49" s="687"/>
      <c r="M49" s="32"/>
      <c r="N49" s="32"/>
      <c r="O49" s="32"/>
    </row>
    <row r="50" spans="1:109" ht="18.75">
      <c r="A50" s="25" t="s">
        <v>42</v>
      </c>
      <c r="B50" s="173">
        <v>36</v>
      </c>
      <c r="C50" s="375">
        <f>B50*10</f>
        <v>360</v>
      </c>
      <c r="D50" s="173">
        <v>2</v>
      </c>
      <c r="E50" s="375">
        <f>D50*5</f>
        <v>10</v>
      </c>
      <c r="F50" s="375">
        <f>SUM(C50,E50)</f>
        <v>370</v>
      </c>
      <c r="G50" s="173">
        <v>102</v>
      </c>
      <c r="H50" s="375">
        <f>G50*10</f>
        <v>1020</v>
      </c>
      <c r="I50" s="173">
        <v>5</v>
      </c>
      <c r="J50" s="375">
        <f>I50*5</f>
        <v>25</v>
      </c>
      <c r="K50" s="379">
        <f>SUM(H50,J50)</f>
        <v>1045</v>
      </c>
      <c r="L50" s="682"/>
      <c r="M50" s="32"/>
      <c r="N50" s="32"/>
      <c r="O50" s="32"/>
    </row>
    <row r="51" spans="1:109" ht="18.75">
      <c r="A51" s="25" t="s">
        <v>43</v>
      </c>
      <c r="B51" s="173">
        <v>48</v>
      </c>
      <c r="C51" s="375">
        <f>B51*10</f>
        <v>480</v>
      </c>
      <c r="D51" s="173">
        <v>13</v>
      </c>
      <c r="E51" s="375">
        <f>D51*5</f>
        <v>65</v>
      </c>
      <c r="F51" s="375">
        <f>SUM(C51,E51)</f>
        <v>545</v>
      </c>
      <c r="G51" s="173">
        <v>11</v>
      </c>
      <c r="H51" s="375">
        <f>G51*10</f>
        <v>110</v>
      </c>
      <c r="I51" s="173">
        <v>16</v>
      </c>
      <c r="J51" s="375">
        <f>I51*5</f>
        <v>80</v>
      </c>
      <c r="K51" s="379">
        <f>SUM(H51,J51)</f>
        <v>190</v>
      </c>
      <c r="L51" s="682"/>
      <c r="M51" s="32"/>
      <c r="N51" s="32"/>
      <c r="O51" s="32"/>
    </row>
    <row r="52" spans="1:109" ht="18.75">
      <c r="A52" s="25" t="s">
        <v>44</v>
      </c>
      <c r="B52" s="173">
        <v>0</v>
      </c>
      <c r="C52" s="375">
        <f>B52*10</f>
        <v>0</v>
      </c>
      <c r="D52" s="173">
        <v>0</v>
      </c>
      <c r="E52" s="375">
        <f>D52*5</f>
        <v>0</v>
      </c>
      <c r="F52" s="375">
        <f>SUM(C52,E52)</f>
        <v>0</v>
      </c>
      <c r="G52" s="173">
        <v>4</v>
      </c>
      <c r="H52" s="375">
        <f>G52*10</f>
        <v>40</v>
      </c>
      <c r="I52" s="173">
        <v>3</v>
      </c>
      <c r="J52" s="375">
        <f>I52*5</f>
        <v>15</v>
      </c>
      <c r="K52" s="379">
        <f>SUM(H52,J52)</f>
        <v>55</v>
      </c>
      <c r="L52" s="682"/>
      <c r="M52" s="32"/>
      <c r="N52" s="32"/>
      <c r="O52" s="32"/>
    </row>
    <row r="53" spans="1:109" ht="18.75">
      <c r="A53" s="25" t="s">
        <v>45</v>
      </c>
      <c r="B53" s="173">
        <v>0</v>
      </c>
      <c r="C53" s="375">
        <f>B53*10</f>
        <v>0</v>
      </c>
      <c r="D53" s="173">
        <v>0</v>
      </c>
      <c r="E53" s="375">
        <f>D53*5</f>
        <v>0</v>
      </c>
      <c r="F53" s="375">
        <f>SUM(C53,E53)</f>
        <v>0</v>
      </c>
      <c r="G53" s="173">
        <v>6</v>
      </c>
      <c r="H53" s="375">
        <f>G53*10</f>
        <v>60</v>
      </c>
      <c r="I53" s="173">
        <v>90</v>
      </c>
      <c r="J53" s="375">
        <f>I53*5</f>
        <v>450</v>
      </c>
      <c r="K53" s="379">
        <f>SUM(H53,J53)</f>
        <v>510</v>
      </c>
      <c r="L53" s="682"/>
      <c r="M53" s="32"/>
      <c r="N53" s="32"/>
      <c r="O53" s="32"/>
    </row>
    <row r="54" spans="1:109" ht="26.25" customHeight="1" thickBot="1">
      <c r="A54" s="24" t="s">
        <v>38</v>
      </c>
      <c r="B54" s="376">
        <f>SUM(B50:B53)</f>
        <v>84</v>
      </c>
      <c r="C54" s="376">
        <f>SUM(C50:C53)</f>
        <v>840</v>
      </c>
      <c r="D54" s="376">
        <f t="shared" ref="D54:K54" si="10">SUM(D50:D53)</f>
        <v>15</v>
      </c>
      <c r="E54" s="376">
        <f t="shared" si="10"/>
        <v>75</v>
      </c>
      <c r="F54" s="377">
        <f t="shared" si="10"/>
        <v>915</v>
      </c>
      <c r="G54" s="376">
        <f t="shared" si="10"/>
        <v>123</v>
      </c>
      <c r="H54" s="376">
        <f t="shared" si="10"/>
        <v>1230</v>
      </c>
      <c r="I54" s="376">
        <f t="shared" si="10"/>
        <v>114</v>
      </c>
      <c r="J54" s="376">
        <f t="shared" si="10"/>
        <v>570</v>
      </c>
      <c r="K54" s="378">
        <f t="shared" si="10"/>
        <v>1800</v>
      </c>
      <c r="L54" s="688"/>
      <c r="M54" s="32"/>
      <c r="N54" s="32"/>
      <c r="O54" s="32"/>
    </row>
    <row r="55" spans="1:109" ht="7.5" customHeight="1" thickTop="1">
      <c r="A55" s="22"/>
      <c r="B55" s="22"/>
      <c r="C55" s="22"/>
      <c r="D55" s="22"/>
      <c r="E55" s="22"/>
      <c r="F55" s="22"/>
      <c r="G55" s="22"/>
      <c r="H55" s="22"/>
      <c r="I55" s="22"/>
      <c r="J55" s="22"/>
      <c r="K55" s="22"/>
      <c r="L55" s="22"/>
      <c r="M55" s="32"/>
      <c r="N55" s="32"/>
      <c r="O55" s="32"/>
    </row>
    <row r="56" spans="1:109" ht="23.25">
      <c r="A56" s="726" t="s">
        <v>366</v>
      </c>
      <c r="B56" s="726"/>
      <c r="C56" s="726"/>
      <c r="D56" s="726"/>
      <c r="E56" s="726"/>
      <c r="F56" s="726"/>
      <c r="G56" s="726"/>
      <c r="H56" s="726"/>
      <c r="I56" s="726"/>
      <c r="J56" s="726"/>
      <c r="K56" s="726"/>
      <c r="L56" s="666"/>
      <c r="M56" s="32"/>
      <c r="N56" s="32"/>
      <c r="O56" s="32"/>
    </row>
    <row r="57" spans="1:109" ht="3.75" customHeight="1" thickBot="1">
      <c r="A57" s="22"/>
      <c r="B57" s="23"/>
      <c r="C57" s="27"/>
      <c r="D57" s="27"/>
      <c r="E57" s="22"/>
      <c r="F57" s="22"/>
      <c r="G57" s="22"/>
      <c r="H57" s="22"/>
      <c r="I57" s="22"/>
      <c r="J57" s="22"/>
      <c r="K57" s="22"/>
      <c r="L57" s="22"/>
      <c r="M57" s="32"/>
      <c r="N57" s="32"/>
      <c r="O57" s="32"/>
    </row>
    <row r="58" spans="1:109" ht="18" customHeight="1" thickTop="1">
      <c r="A58" s="741" t="s">
        <v>7</v>
      </c>
      <c r="B58" s="727" t="s">
        <v>46</v>
      </c>
      <c r="C58" s="720" t="s">
        <v>47</v>
      </c>
      <c r="D58" s="720" t="s">
        <v>48</v>
      </c>
      <c r="E58" s="720" t="s">
        <v>49</v>
      </c>
      <c r="F58" s="720" t="s">
        <v>50</v>
      </c>
      <c r="G58" s="720" t="s">
        <v>554</v>
      </c>
      <c r="H58" s="720" t="s">
        <v>52</v>
      </c>
      <c r="I58" s="720" t="s">
        <v>53</v>
      </c>
      <c r="J58" s="720" t="s">
        <v>553</v>
      </c>
      <c r="K58" s="722" t="s">
        <v>552</v>
      </c>
      <c r="L58" s="689"/>
      <c r="M58" s="32"/>
      <c r="N58" s="32"/>
      <c r="O58" s="32"/>
      <c r="AF58" s="778" t="s">
        <v>7</v>
      </c>
      <c r="AG58" s="775" t="s">
        <v>58</v>
      </c>
      <c r="AH58" s="776"/>
      <c r="AI58" s="776"/>
      <c r="AJ58" s="776"/>
      <c r="AK58" s="776"/>
      <c r="AL58" s="776"/>
      <c r="AM58" s="776"/>
      <c r="AN58" s="777"/>
      <c r="AO58" s="151"/>
      <c r="AP58" s="151"/>
      <c r="AQ58" s="151"/>
      <c r="AR58" s="151"/>
      <c r="AS58" s="773" t="s">
        <v>7</v>
      </c>
      <c r="AT58" s="775" t="s">
        <v>62</v>
      </c>
      <c r="AU58" s="776"/>
      <c r="AV58" s="776"/>
      <c r="AW58" s="776"/>
      <c r="AX58" s="776"/>
      <c r="AY58" s="776"/>
      <c r="AZ58" s="776"/>
      <c r="BA58" s="777"/>
      <c r="BB58" s="151"/>
      <c r="BC58" s="151"/>
      <c r="BD58" s="151"/>
      <c r="BE58" s="151"/>
      <c r="BF58" s="773" t="s">
        <v>7</v>
      </c>
      <c r="BG58" s="775" t="s">
        <v>320</v>
      </c>
      <c r="BH58" s="776"/>
      <c r="BI58" s="776"/>
      <c r="BJ58" s="776"/>
      <c r="BK58" s="776"/>
      <c r="BL58" s="776"/>
      <c r="BM58" s="776"/>
      <c r="BN58" s="777"/>
      <c r="BO58" s="151"/>
      <c r="BP58" s="151"/>
      <c r="BQ58" s="151"/>
      <c r="BR58" s="151"/>
      <c r="BS58" s="773" t="s">
        <v>7</v>
      </c>
      <c r="BT58" s="774" t="s">
        <v>321</v>
      </c>
      <c r="BU58" s="774"/>
      <c r="BV58" s="774"/>
      <c r="BW58" s="774"/>
      <c r="BX58" s="774"/>
      <c r="BY58" s="774"/>
      <c r="BZ58" s="774"/>
      <c r="CA58" s="774"/>
      <c r="CB58" s="152"/>
      <c r="CC58" s="151"/>
      <c r="CD58" s="151"/>
      <c r="CE58" s="151"/>
      <c r="CF58" s="773" t="s">
        <v>7</v>
      </c>
      <c r="CG58" s="774" t="s">
        <v>323</v>
      </c>
      <c r="CH58" s="774"/>
      <c r="CI58" s="774"/>
      <c r="CJ58" s="774"/>
      <c r="CK58" s="774"/>
      <c r="CL58" s="774"/>
      <c r="CM58" s="774"/>
      <c r="CN58" s="774"/>
      <c r="CO58" s="152"/>
      <c r="CP58" s="151"/>
      <c r="CQ58" s="151"/>
      <c r="CR58" s="151"/>
      <c r="CS58" s="773" t="s">
        <v>7</v>
      </c>
      <c r="CT58" s="774" t="s">
        <v>322</v>
      </c>
      <c r="CU58" s="774"/>
      <c r="CV58" s="774"/>
      <c r="CW58" s="774"/>
      <c r="CX58" s="774"/>
      <c r="CY58" s="774"/>
      <c r="CZ58" s="774"/>
      <c r="DA58" s="774"/>
      <c r="DB58" s="152"/>
      <c r="DC58" s="152"/>
      <c r="DD58" s="153"/>
      <c r="DE58" s="153"/>
    </row>
    <row r="59" spans="1:109" ht="19.5" customHeight="1">
      <c r="A59" s="742"/>
      <c r="B59" s="728"/>
      <c r="C59" s="721"/>
      <c r="D59" s="721"/>
      <c r="E59" s="721"/>
      <c r="F59" s="721"/>
      <c r="G59" s="721"/>
      <c r="H59" s="721"/>
      <c r="I59" s="721"/>
      <c r="J59" s="721"/>
      <c r="K59" s="723"/>
      <c r="L59" s="689"/>
      <c r="M59" s="32"/>
      <c r="N59" s="32"/>
      <c r="O59" s="32"/>
      <c r="AF59" s="779"/>
      <c r="AG59" s="154" t="s">
        <v>46</v>
      </c>
      <c r="AH59" s="155" t="s">
        <v>47</v>
      </c>
      <c r="AI59" s="155" t="s">
        <v>318</v>
      </c>
      <c r="AJ59" s="155" t="s">
        <v>49</v>
      </c>
      <c r="AK59" s="155" t="s">
        <v>50</v>
      </c>
      <c r="AL59" s="155" t="s">
        <v>51</v>
      </c>
      <c r="AM59" s="155" t="s">
        <v>52</v>
      </c>
      <c r="AN59" s="155" t="s">
        <v>53</v>
      </c>
      <c r="AO59" s="155" t="s">
        <v>175</v>
      </c>
      <c r="AP59" s="155"/>
      <c r="AQ59" s="155"/>
      <c r="AR59" s="155"/>
      <c r="AS59" s="773"/>
      <c r="AT59" s="154" t="s">
        <v>46</v>
      </c>
      <c r="AU59" s="155" t="s">
        <v>47</v>
      </c>
      <c r="AV59" s="155" t="s">
        <v>318</v>
      </c>
      <c r="AW59" s="155" t="s">
        <v>49</v>
      </c>
      <c r="AX59" s="155" t="s">
        <v>50</v>
      </c>
      <c r="AY59" s="155" t="s">
        <v>51</v>
      </c>
      <c r="AZ59" s="155" t="s">
        <v>52</v>
      </c>
      <c r="BA59" s="155" t="s">
        <v>53</v>
      </c>
      <c r="BB59" s="155" t="s">
        <v>175</v>
      </c>
      <c r="BC59" s="155"/>
      <c r="BD59" s="155"/>
      <c r="BE59" s="155"/>
      <c r="BF59" s="773"/>
      <c r="BG59" s="154" t="s">
        <v>46</v>
      </c>
      <c r="BH59" s="155" t="s">
        <v>47</v>
      </c>
      <c r="BI59" s="155" t="s">
        <v>318</v>
      </c>
      <c r="BJ59" s="155" t="s">
        <v>49</v>
      </c>
      <c r="BK59" s="155" t="s">
        <v>50</v>
      </c>
      <c r="BL59" s="156" t="s">
        <v>319</v>
      </c>
      <c r="BM59" s="155" t="s">
        <v>52</v>
      </c>
      <c r="BN59" s="155" t="s">
        <v>53</v>
      </c>
      <c r="BO59" s="155" t="s">
        <v>175</v>
      </c>
      <c r="BP59" s="155"/>
      <c r="BQ59" s="155"/>
      <c r="BR59" s="155"/>
      <c r="BS59" s="773"/>
      <c r="BT59" s="154" t="s">
        <v>46</v>
      </c>
      <c r="BU59" s="155" t="s">
        <v>47</v>
      </c>
      <c r="BV59" s="155" t="s">
        <v>318</v>
      </c>
      <c r="BW59" s="155" t="s">
        <v>49</v>
      </c>
      <c r="BX59" s="155" t="s">
        <v>50</v>
      </c>
      <c r="BY59" s="156" t="s">
        <v>319</v>
      </c>
      <c r="BZ59" s="155" t="s">
        <v>52</v>
      </c>
      <c r="CA59" s="155" t="s">
        <v>53</v>
      </c>
      <c r="CB59" s="155" t="s">
        <v>175</v>
      </c>
      <c r="CC59" s="155"/>
      <c r="CD59" s="155"/>
      <c r="CE59" s="155"/>
      <c r="CF59" s="773"/>
      <c r="CG59" s="154" t="s">
        <v>46</v>
      </c>
      <c r="CH59" s="155" t="s">
        <v>47</v>
      </c>
      <c r="CI59" s="155" t="s">
        <v>318</v>
      </c>
      <c r="CJ59" s="155" t="s">
        <v>49</v>
      </c>
      <c r="CK59" s="155" t="s">
        <v>50</v>
      </c>
      <c r="CL59" s="156" t="s">
        <v>319</v>
      </c>
      <c r="CM59" s="155" t="s">
        <v>52</v>
      </c>
      <c r="CN59" s="155" t="s">
        <v>53</v>
      </c>
      <c r="CO59" s="155" t="s">
        <v>175</v>
      </c>
      <c r="CP59" s="155"/>
      <c r="CQ59" s="155"/>
      <c r="CR59" s="155"/>
      <c r="CS59" s="773"/>
      <c r="CT59" s="154" t="s">
        <v>46</v>
      </c>
      <c r="CU59" s="155" t="s">
        <v>47</v>
      </c>
      <c r="CV59" s="155" t="s">
        <v>318</v>
      </c>
      <c r="CW59" s="155" t="s">
        <v>49</v>
      </c>
      <c r="CX59" s="155" t="s">
        <v>50</v>
      </c>
      <c r="CY59" s="156" t="s">
        <v>319</v>
      </c>
      <c r="CZ59" s="155" t="s">
        <v>52</v>
      </c>
      <c r="DA59" s="155" t="s">
        <v>53</v>
      </c>
      <c r="DB59" s="155" t="s">
        <v>175</v>
      </c>
      <c r="DC59" s="155"/>
      <c r="DD59" s="153"/>
      <c r="DE59" s="153"/>
    </row>
    <row r="60" spans="1:109" ht="18.75">
      <c r="A60" s="14">
        <v>1</v>
      </c>
      <c r="B60" s="388" t="s">
        <v>704</v>
      </c>
      <c r="C60" s="391" t="s">
        <v>54</v>
      </c>
      <c r="D60" s="383">
        <v>16</v>
      </c>
      <c r="E60" s="384">
        <v>71300</v>
      </c>
      <c r="F60" s="384" t="s">
        <v>55</v>
      </c>
      <c r="G60" s="385">
        <v>478909</v>
      </c>
      <c r="H60" s="384" t="s">
        <v>60</v>
      </c>
      <c r="I60" s="384" t="s">
        <v>57</v>
      </c>
      <c r="J60" s="384" t="s">
        <v>57</v>
      </c>
      <c r="K60" s="387" t="s">
        <v>58</v>
      </c>
      <c r="L60" s="690"/>
      <c r="M60" s="32"/>
      <c r="N60" s="32"/>
      <c r="O60" s="32"/>
      <c r="AC60" t="str">
        <f>MID(F60,5,4)</f>
        <v>1995</v>
      </c>
      <c r="AD60">
        <f>IF(D60&lt;=0,1,0)*(IF(K60="SANVIDA",0,1))</f>
        <v>0</v>
      </c>
      <c r="AE60">
        <f>IF(AND(AQ60=""),"",IF(AQ60=0,"",AQ60))</f>
        <v>1</v>
      </c>
      <c r="AF60" s="85">
        <v>1</v>
      </c>
      <c r="AG60" s="157" t="str">
        <f t="shared" ref="AG60:AI60" si="11">IF($K60="GAZETTED - REGULAR",B60,0)</f>
        <v>Jherh m"kk ikfy;k</v>
      </c>
      <c r="AH60" s="161" t="str">
        <f t="shared" si="11"/>
        <v>PRINCIPAL</v>
      </c>
      <c r="AI60" s="161">
        <f t="shared" si="11"/>
        <v>16</v>
      </c>
      <c r="AJ60" s="161">
        <f t="shared" ref="AJ60:AP60" si="12">IF($K60="GAZETTED - REGULAR",E60,0)</f>
        <v>71300</v>
      </c>
      <c r="AK60" s="161" t="str">
        <f t="shared" si="12"/>
        <v>RJAJ199506021728</v>
      </c>
      <c r="AL60" s="161">
        <f t="shared" si="12"/>
        <v>478909</v>
      </c>
      <c r="AM60" s="161" t="str">
        <f t="shared" si="12"/>
        <v>FEMALE</v>
      </c>
      <c r="AN60" s="161" t="str">
        <f t="shared" si="12"/>
        <v>NO</v>
      </c>
      <c r="AO60" s="161" t="str">
        <f t="shared" si="12"/>
        <v>NO</v>
      </c>
      <c r="AP60" s="161" t="str">
        <f t="shared" si="12"/>
        <v>GAZETTED - REGULAR</v>
      </c>
      <c r="AQ60" s="161">
        <f t="shared" ref="AQ60:AQ91" si="13">IF(AND(K60=""),"",IF(K60=AG$58,1,0))</f>
        <v>1</v>
      </c>
      <c r="AR60" t="str">
        <f>IF(AND(BD60=""),"",IF(BD60=0,"",BD60))</f>
        <v/>
      </c>
      <c r="AS60" s="85">
        <v>1</v>
      </c>
      <c r="AT60" s="157">
        <f t="shared" ref="AT60:BC60" si="14">IF($K60="NON GAZETTED - REGULAR",B60,0)</f>
        <v>0</v>
      </c>
      <c r="AU60" s="158">
        <f t="shared" si="14"/>
        <v>0</v>
      </c>
      <c r="AV60" s="158">
        <f t="shared" si="14"/>
        <v>0</v>
      </c>
      <c r="AW60" s="158">
        <f t="shared" si="14"/>
        <v>0</v>
      </c>
      <c r="AX60" s="158">
        <f t="shared" si="14"/>
        <v>0</v>
      </c>
      <c r="AY60" s="158">
        <f t="shared" si="14"/>
        <v>0</v>
      </c>
      <c r="AZ60" s="158">
        <f t="shared" si="14"/>
        <v>0</v>
      </c>
      <c r="BA60" s="158">
        <f t="shared" si="14"/>
        <v>0</v>
      </c>
      <c r="BB60" s="158">
        <f t="shared" si="14"/>
        <v>0</v>
      </c>
      <c r="BC60" s="158">
        <f t="shared" si="14"/>
        <v>0</v>
      </c>
      <c r="BD60" s="161">
        <f t="shared" ref="BD60:BD91" si="15">IF(AND(K60=""),"",IF(K60=AT$58,1,0))</f>
        <v>0</v>
      </c>
      <c r="BE60" t="str">
        <f>IF(AND(BQ60=""),"",IF(BQ60=0,"",BQ60))</f>
        <v/>
      </c>
      <c r="BF60" s="85">
        <v>1</v>
      </c>
      <c r="BG60" s="157">
        <f t="shared" ref="BG60:BP60" si="16">IF($K60="GAZETTED - FIX PAY",B60,0)</f>
        <v>0</v>
      </c>
      <c r="BH60" s="161">
        <f t="shared" si="16"/>
        <v>0</v>
      </c>
      <c r="BI60" s="161">
        <f t="shared" si="16"/>
        <v>0</v>
      </c>
      <c r="BJ60" s="161">
        <f t="shared" si="16"/>
        <v>0</v>
      </c>
      <c r="BK60" s="161">
        <f t="shared" si="16"/>
        <v>0</v>
      </c>
      <c r="BL60" s="161">
        <f t="shared" si="16"/>
        <v>0</v>
      </c>
      <c r="BM60" s="161">
        <f t="shared" si="16"/>
        <v>0</v>
      </c>
      <c r="BN60" s="161">
        <f t="shared" si="16"/>
        <v>0</v>
      </c>
      <c r="BO60" s="161">
        <f t="shared" si="16"/>
        <v>0</v>
      </c>
      <c r="BP60" s="161">
        <f t="shared" si="16"/>
        <v>0</v>
      </c>
      <c r="BQ60" s="161">
        <f t="shared" ref="BQ60:BQ91" si="17">IF(AND(K60=""),"",IF(K60=BG$58,1,0))</f>
        <v>0</v>
      </c>
      <c r="BR60" t="str">
        <f>IF(AND(CD60=""),"",IF(CD60=0,"",CD60))</f>
        <v/>
      </c>
      <c r="BS60" s="85">
        <v>1</v>
      </c>
      <c r="BT60" s="157">
        <f t="shared" ref="BT60:CC60" si="18">IF($K60="NON GAZETTED - FIX PAY",B60,0)</f>
        <v>0</v>
      </c>
      <c r="BU60" s="161">
        <f t="shared" si="18"/>
        <v>0</v>
      </c>
      <c r="BV60" s="161">
        <f t="shared" si="18"/>
        <v>0</v>
      </c>
      <c r="BW60" s="161">
        <f t="shared" si="18"/>
        <v>0</v>
      </c>
      <c r="BX60" s="161">
        <f t="shared" si="18"/>
        <v>0</v>
      </c>
      <c r="BY60" s="161">
        <f t="shared" si="18"/>
        <v>0</v>
      </c>
      <c r="BZ60" s="161">
        <f t="shared" si="18"/>
        <v>0</v>
      </c>
      <c r="CA60" s="161">
        <f t="shared" si="18"/>
        <v>0</v>
      </c>
      <c r="CB60" s="161">
        <f t="shared" si="18"/>
        <v>0</v>
      </c>
      <c r="CC60" s="161">
        <f t="shared" si="18"/>
        <v>0</v>
      </c>
      <c r="CD60" s="161">
        <f t="shared" ref="CD60:CD91" si="19">IF(AND(K60=""),"",IF(K60=BT$58,1,0))</f>
        <v>0</v>
      </c>
      <c r="CE60" t="str">
        <f>IF(AND(CQ60=""),"",IF(CQ60=0,"",CQ60))</f>
        <v/>
      </c>
      <c r="CF60" s="85">
        <v>1</v>
      </c>
      <c r="CG60" s="157">
        <f t="shared" ref="CG60:CP60" si="20">IF($K60="GAZETTED - SANVIDA",B60,0)</f>
        <v>0</v>
      </c>
      <c r="CH60" s="161">
        <f t="shared" si="20"/>
        <v>0</v>
      </c>
      <c r="CI60" s="161">
        <f t="shared" si="20"/>
        <v>0</v>
      </c>
      <c r="CJ60" s="161">
        <f t="shared" si="20"/>
        <v>0</v>
      </c>
      <c r="CK60" s="161">
        <f t="shared" si="20"/>
        <v>0</v>
      </c>
      <c r="CL60" s="161">
        <f t="shared" si="20"/>
        <v>0</v>
      </c>
      <c r="CM60" s="161">
        <f t="shared" si="20"/>
        <v>0</v>
      </c>
      <c r="CN60" s="161">
        <f t="shared" si="20"/>
        <v>0</v>
      </c>
      <c r="CO60" s="161">
        <f t="shared" si="20"/>
        <v>0</v>
      </c>
      <c r="CP60" s="161">
        <f t="shared" si="20"/>
        <v>0</v>
      </c>
      <c r="CQ60" s="161">
        <f t="shared" ref="CQ60:CQ91" si="21">IF(AND(K60=""),"",IF(K60=CG$58,1,0))</f>
        <v>0</v>
      </c>
      <c r="CR60" t="str">
        <f>IF(AND(DD60=""),"",IF(DD60=0,"",DD60))</f>
        <v/>
      </c>
      <c r="CS60" s="85">
        <v>1</v>
      </c>
      <c r="CT60" s="157">
        <f t="shared" ref="CT60:DC60" si="22">IF($K60="NON GAZETTED - SANVIDA",B60,0)</f>
        <v>0</v>
      </c>
      <c r="CU60" s="161">
        <f t="shared" si="22"/>
        <v>0</v>
      </c>
      <c r="CV60" s="161">
        <f t="shared" si="22"/>
        <v>0</v>
      </c>
      <c r="CW60" s="161">
        <f t="shared" si="22"/>
        <v>0</v>
      </c>
      <c r="CX60" s="161">
        <f t="shared" si="22"/>
        <v>0</v>
      </c>
      <c r="CY60" s="161">
        <f t="shared" si="22"/>
        <v>0</v>
      </c>
      <c r="CZ60" s="161">
        <f t="shared" si="22"/>
        <v>0</v>
      </c>
      <c r="DA60" s="161">
        <f t="shared" si="22"/>
        <v>0</v>
      </c>
      <c r="DB60" s="161">
        <f t="shared" si="22"/>
        <v>0</v>
      </c>
      <c r="DC60" s="161">
        <f t="shared" si="22"/>
        <v>0</v>
      </c>
      <c r="DD60" s="161">
        <f t="shared" ref="DD60:DD91" si="23">IF(AND(K60=""),"",IF(K60=CT$58,1,0))</f>
        <v>0</v>
      </c>
      <c r="DE60" s="159"/>
    </row>
    <row r="61" spans="1:109" ht="18.75">
      <c r="A61" s="14">
        <v>2</v>
      </c>
      <c r="B61" s="388" t="s">
        <v>705</v>
      </c>
      <c r="C61" s="391" t="s">
        <v>61</v>
      </c>
      <c r="D61" s="383">
        <v>11</v>
      </c>
      <c r="E61" s="384">
        <v>45600</v>
      </c>
      <c r="F61" s="384" t="s">
        <v>55</v>
      </c>
      <c r="G61" s="385">
        <v>110041926330</v>
      </c>
      <c r="H61" s="384" t="s">
        <v>56</v>
      </c>
      <c r="I61" s="384" t="s">
        <v>57</v>
      </c>
      <c r="J61" s="384" t="s">
        <v>57</v>
      </c>
      <c r="K61" s="387" t="s">
        <v>62</v>
      </c>
      <c r="L61" s="690"/>
      <c r="M61" s="32"/>
      <c r="N61" s="32"/>
      <c r="O61" s="32"/>
      <c r="AC61" t="str">
        <f t="shared" ref="AC61:AC110" si="24">MID(F61,5,4)</f>
        <v>1995</v>
      </c>
      <c r="AD61">
        <f t="shared" ref="AD61:AD108" si="25">IF(D61&lt;=0,1,0)*(IF(K61="SANVIDA",0,1))</f>
        <v>0</v>
      </c>
      <c r="AE61" t="str">
        <f>IF(AND(AQ61=""),"",IF(AQ61=0,"",1+(MAX(AE$60:AE60))))</f>
        <v/>
      </c>
      <c r="AF61" s="160">
        <v>2</v>
      </c>
      <c r="AG61" s="157">
        <f t="shared" ref="AG61:AG109" si="26">IF($K61="GAZETTED - REGULAR",B61,0)</f>
        <v>0</v>
      </c>
      <c r="AH61" s="161">
        <f t="shared" ref="AH61:AH109" si="27">IF($K61="GAZETTED - REGULAR",C61,0)</f>
        <v>0</v>
      </c>
      <c r="AI61" s="161">
        <f t="shared" ref="AI61:AI109" si="28">IF($K61="GAZETTED - REGULAR",D61,0)</f>
        <v>0</v>
      </c>
      <c r="AJ61" s="161">
        <f t="shared" ref="AJ61:AJ109" si="29">IF($K61="GAZETTED - REGULAR",E61,0)</f>
        <v>0</v>
      </c>
      <c r="AK61" s="161">
        <f t="shared" ref="AK61:AK109" si="30">IF($K61="GAZETTED - REGULAR",F61,0)</f>
        <v>0</v>
      </c>
      <c r="AL61" s="161">
        <f t="shared" ref="AL61:AL109" si="31">IF($K61="GAZETTED - REGULAR",G61,0)</f>
        <v>0</v>
      </c>
      <c r="AM61" s="161">
        <f t="shared" ref="AM61:AM109" si="32">IF($K61="GAZETTED - REGULAR",H61,0)</f>
        <v>0</v>
      </c>
      <c r="AN61" s="161">
        <f t="shared" ref="AN61:AN109" si="33">IF($K61="GAZETTED - REGULAR",I61,0)</f>
        <v>0</v>
      </c>
      <c r="AO61" s="161">
        <f t="shared" ref="AO61:AO109" si="34">IF($K61="GAZETTED - REGULAR",J61,0)</f>
        <v>0</v>
      </c>
      <c r="AP61" s="161">
        <f t="shared" ref="AP61:AP109" si="35">IF($K61="GAZETTED - REGULAR",K61,0)</f>
        <v>0</v>
      </c>
      <c r="AQ61" s="161">
        <f t="shared" si="13"/>
        <v>0</v>
      </c>
      <c r="AR61">
        <f>IF(AND(BD61=""),"",IF(BD61=0,"",1+(MAX(AR$60:AR60))))</f>
        <v>1</v>
      </c>
      <c r="AS61" s="160">
        <v>2</v>
      </c>
      <c r="AT61" s="157" t="str">
        <f t="shared" ref="AT61:BB61" si="36">IF($K61="NON GAZETTED - REGULAR",B61,0)</f>
        <v>Jh ;ksxsUnz</v>
      </c>
      <c r="AU61" s="158" t="str">
        <f t="shared" si="36"/>
        <v>TEACHER-II</v>
      </c>
      <c r="AV61" s="158">
        <f t="shared" si="36"/>
        <v>11</v>
      </c>
      <c r="AW61" s="158">
        <f t="shared" si="36"/>
        <v>45600</v>
      </c>
      <c r="AX61" s="158" t="str">
        <f t="shared" si="36"/>
        <v>RJAJ199506021728</v>
      </c>
      <c r="AY61" s="158">
        <f t="shared" si="36"/>
        <v>110041926330</v>
      </c>
      <c r="AZ61" s="158" t="str">
        <f t="shared" si="36"/>
        <v>MALE</v>
      </c>
      <c r="BA61" s="158" t="str">
        <f t="shared" si="36"/>
        <v>NO</v>
      </c>
      <c r="BB61" s="158" t="str">
        <f t="shared" si="36"/>
        <v>NO</v>
      </c>
      <c r="BC61" s="158" t="str">
        <f t="shared" ref="BC61:BC109" si="37">IF($K61="NON GAZETTED - REGULAR",K61,0)</f>
        <v>NON GAZETTED - REGULAR</v>
      </c>
      <c r="BD61" s="161">
        <f t="shared" si="15"/>
        <v>1</v>
      </c>
      <c r="BE61" t="str">
        <f>IF(AND(BQ61=""),"",IF(BQ61=0,"",1+(MAX(BE$60:BE60))))</f>
        <v/>
      </c>
      <c r="BF61" s="160">
        <v>2</v>
      </c>
      <c r="BG61" s="157">
        <f t="shared" ref="BG61:BG92" si="38">IF($K61="GAZETTED - FIX PAY",B61,0)</f>
        <v>0</v>
      </c>
      <c r="BH61" s="161">
        <f t="shared" ref="BH61:BH92" si="39">IF($K61="GAZETTED - FIX PAY",C61,0)</f>
        <v>0</v>
      </c>
      <c r="BI61" s="161">
        <f t="shared" ref="BI61:BI92" si="40">IF($K61="GAZETTED - FIX PAY",D61,0)</f>
        <v>0</v>
      </c>
      <c r="BJ61" s="161">
        <f t="shared" ref="BJ61:BJ92" si="41">IF($K61="GAZETTED - FIX PAY",E61,0)</f>
        <v>0</v>
      </c>
      <c r="BK61" s="161">
        <f t="shared" ref="BK61:BK92" si="42">IF($K61="GAZETTED - FIX PAY",F61,0)</f>
        <v>0</v>
      </c>
      <c r="BL61" s="161">
        <f t="shared" ref="BL61:BL92" si="43">IF($K61="GAZETTED - FIX PAY",G61,0)</f>
        <v>0</v>
      </c>
      <c r="BM61" s="161">
        <f t="shared" ref="BM61:BM92" si="44">IF($K61="GAZETTED - FIX PAY",H61,0)</f>
        <v>0</v>
      </c>
      <c r="BN61" s="161">
        <f t="shared" ref="BN61:BN92" si="45">IF($K61="GAZETTED - FIX PAY",I61,0)</f>
        <v>0</v>
      </c>
      <c r="BO61" s="161">
        <f t="shared" ref="BO61:BO92" si="46">IF($K61="GAZETTED - FIX PAY",J61,0)</f>
        <v>0</v>
      </c>
      <c r="BP61" s="161">
        <f t="shared" ref="BP61:BP109" si="47">IF($K61="GAZETTED - FIX PAY",K61,0)</f>
        <v>0</v>
      </c>
      <c r="BQ61" s="161">
        <f t="shared" si="17"/>
        <v>0</v>
      </c>
      <c r="BR61" t="str">
        <f>IF(AND(CD61=""),"",IF(CD61=0,"",1+(MAX(BR$60:BR60))))</f>
        <v/>
      </c>
      <c r="BS61" s="160">
        <v>2</v>
      </c>
      <c r="BT61" s="157">
        <f t="shared" ref="BT61:BT92" si="48">IF($K61="NON GAZETTED - FIX PAY",B61,0)</f>
        <v>0</v>
      </c>
      <c r="BU61" s="161">
        <f t="shared" ref="BU61:BU92" si="49">IF($K61="NON GAZETTED - FIX PAY",C61,0)</f>
        <v>0</v>
      </c>
      <c r="BV61" s="161">
        <f t="shared" ref="BV61:BV92" si="50">IF($K61="NON GAZETTED - FIX PAY",D61,0)</f>
        <v>0</v>
      </c>
      <c r="BW61" s="161">
        <f t="shared" ref="BW61:BW92" si="51">IF($K61="NON GAZETTED - FIX PAY",E61,0)</f>
        <v>0</v>
      </c>
      <c r="BX61" s="161">
        <f t="shared" ref="BX61:BX92" si="52">IF($K61="NON GAZETTED - FIX PAY",F61,0)</f>
        <v>0</v>
      </c>
      <c r="BY61" s="161">
        <f t="shared" ref="BY61:BY92" si="53">IF($K61="NON GAZETTED - FIX PAY",G61,0)</f>
        <v>0</v>
      </c>
      <c r="BZ61" s="161">
        <f t="shared" ref="BZ61:BZ92" si="54">IF($K61="NON GAZETTED - FIX PAY",H61,0)</f>
        <v>0</v>
      </c>
      <c r="CA61" s="161">
        <f t="shared" ref="CA61:CA92" si="55">IF($K61="NON GAZETTED - FIX PAY",I61,0)</f>
        <v>0</v>
      </c>
      <c r="CB61" s="161">
        <f t="shared" ref="CB61:CB92" si="56">IF($K61="NON GAZETTED - FIX PAY",J61,0)</f>
        <v>0</v>
      </c>
      <c r="CC61" s="161">
        <f t="shared" ref="CC61:CC109" si="57">IF($K61="NON GAZETTED - FIX PAY",K61,0)</f>
        <v>0</v>
      </c>
      <c r="CD61" s="161">
        <f t="shared" si="19"/>
        <v>0</v>
      </c>
      <c r="CE61" t="str">
        <f>IF(AND(CQ61=""),"",IF(CQ61=0,"",1+(MAX(CE$60:CE60))))</f>
        <v/>
      </c>
      <c r="CF61" s="160">
        <v>2</v>
      </c>
      <c r="CG61" s="157">
        <f t="shared" ref="CG61:CG109" si="58">IF($K61="GAZETTED - SANVIDA",B61,0)</f>
        <v>0</v>
      </c>
      <c r="CH61" s="161">
        <f t="shared" ref="CH61:CH109" si="59">IF($K61="GAZETTED - SANVIDA",C61,0)</f>
        <v>0</v>
      </c>
      <c r="CI61" s="161">
        <f t="shared" ref="CI61:CI109" si="60">IF($K61="GAZETTED - SANVIDA",D61,0)</f>
        <v>0</v>
      </c>
      <c r="CJ61" s="161">
        <f t="shared" ref="CJ61:CJ109" si="61">IF($K61="GAZETTED - SANVIDA",E61,0)</f>
        <v>0</v>
      </c>
      <c r="CK61" s="161">
        <f t="shared" ref="CK61:CK109" si="62">IF($K61="GAZETTED - SANVIDA",F61,0)</f>
        <v>0</v>
      </c>
      <c r="CL61" s="161">
        <f t="shared" ref="CL61:CL109" si="63">IF($K61="GAZETTED - SANVIDA",G61,0)</f>
        <v>0</v>
      </c>
      <c r="CM61" s="161">
        <f t="shared" ref="CM61:CM109" si="64">IF($K61="GAZETTED - SANVIDA",H61,0)</f>
        <v>0</v>
      </c>
      <c r="CN61" s="161">
        <f t="shared" ref="CN61:CN109" si="65">IF($K61="GAZETTED - SANVIDA",I61,0)</f>
        <v>0</v>
      </c>
      <c r="CO61" s="161">
        <f t="shared" ref="CO61:CO109" si="66">IF($K61="GAZETTED - SANVIDA",J61,0)</f>
        <v>0</v>
      </c>
      <c r="CP61" s="161">
        <f t="shared" ref="CP61:CP109" si="67">IF($K61="GAZETTED - SANVIDA",K61,0)</f>
        <v>0</v>
      </c>
      <c r="CQ61" s="161">
        <f t="shared" si="21"/>
        <v>0</v>
      </c>
      <c r="CR61" t="str">
        <f>IF(AND(DD61=""),"",IF(DD61=0,"",1+(MAX(CR$60:CR60))))</f>
        <v/>
      </c>
      <c r="CS61" s="160">
        <v>2</v>
      </c>
      <c r="CT61" s="157">
        <f t="shared" ref="CT61:CT110" si="68">IF($K61="NON GAZETTED - SANVIDA",B61,0)</f>
        <v>0</v>
      </c>
      <c r="CU61" s="161">
        <f t="shared" ref="CU61:CU110" si="69">IF($K61="NON GAZETTED - SANVIDA",C61,0)</f>
        <v>0</v>
      </c>
      <c r="CV61" s="161">
        <f t="shared" ref="CV61:CV110" si="70">IF($K61="NON GAZETTED - SANVIDA",D61,0)</f>
        <v>0</v>
      </c>
      <c r="CW61" s="161">
        <f t="shared" ref="CW61:CW110" si="71">IF($K61="NON GAZETTED - SANVIDA",E61,0)</f>
        <v>0</v>
      </c>
      <c r="CX61" s="161">
        <f t="shared" ref="CX61:CX110" si="72">IF($K61="NON GAZETTED - SANVIDA",F61,0)</f>
        <v>0</v>
      </c>
      <c r="CY61" s="161">
        <f t="shared" ref="CY61:CY110" si="73">IF($K61="NON GAZETTED - SANVIDA",G61,0)</f>
        <v>0</v>
      </c>
      <c r="CZ61" s="161">
        <f t="shared" ref="CZ61:CZ110" si="74">IF($K61="NON GAZETTED - SANVIDA",H61,0)</f>
        <v>0</v>
      </c>
      <c r="DA61" s="161">
        <f t="shared" ref="DA61:DA110" si="75">IF($K61="NON GAZETTED - SANVIDA",I61,0)</f>
        <v>0</v>
      </c>
      <c r="DB61" s="161">
        <f t="shared" ref="DB61:DB110" si="76">IF($K61="NON GAZETTED - SANVIDA",J61,0)</f>
        <v>0</v>
      </c>
      <c r="DC61" s="161">
        <f t="shared" ref="DC61:DC110" si="77">IF($K61="NON GAZETTED - SANVIDA",K61,0)</f>
        <v>0</v>
      </c>
      <c r="DD61" s="161">
        <f t="shared" si="23"/>
        <v>0</v>
      </c>
      <c r="DE61" s="159"/>
    </row>
    <row r="62" spans="1:109" ht="18.75">
      <c r="A62" s="14">
        <v>3</v>
      </c>
      <c r="B62" s="388" t="s">
        <v>706</v>
      </c>
      <c r="C62" s="391" t="s">
        <v>61</v>
      </c>
      <c r="D62" s="383">
        <v>11</v>
      </c>
      <c r="E62" s="384">
        <v>53900</v>
      </c>
      <c r="F62" s="384" t="s">
        <v>55</v>
      </c>
      <c r="G62" s="385">
        <v>690644</v>
      </c>
      <c r="H62" s="384" t="s">
        <v>56</v>
      </c>
      <c r="I62" s="384" t="s">
        <v>57</v>
      </c>
      <c r="J62" s="384" t="s">
        <v>57</v>
      </c>
      <c r="K62" s="387" t="s">
        <v>62</v>
      </c>
      <c r="L62" s="690"/>
      <c r="M62" s="32"/>
      <c r="N62" s="32"/>
      <c r="O62" s="32"/>
      <c r="AC62" t="str">
        <f t="shared" si="24"/>
        <v>1995</v>
      </c>
      <c r="AD62">
        <f t="shared" si="25"/>
        <v>0</v>
      </c>
      <c r="AE62" t="str">
        <f>IF(AND(AQ62=""),"",IF(AQ62=0,"",1+(MAX(AE$60:AE61))))</f>
        <v/>
      </c>
      <c r="AF62" s="85">
        <v>3</v>
      </c>
      <c r="AG62" s="157">
        <f t="shared" si="26"/>
        <v>0</v>
      </c>
      <c r="AH62" s="161">
        <f t="shared" si="27"/>
        <v>0</v>
      </c>
      <c r="AI62" s="161">
        <f t="shared" si="28"/>
        <v>0</v>
      </c>
      <c r="AJ62" s="161">
        <f t="shared" si="29"/>
        <v>0</v>
      </c>
      <c r="AK62" s="161">
        <f t="shared" si="30"/>
        <v>0</v>
      </c>
      <c r="AL62" s="161">
        <f t="shared" si="31"/>
        <v>0</v>
      </c>
      <c r="AM62" s="161">
        <f t="shared" si="32"/>
        <v>0</v>
      </c>
      <c r="AN62" s="161">
        <f t="shared" si="33"/>
        <v>0</v>
      </c>
      <c r="AO62" s="161">
        <f>IF($K62="GAZETTED - REGULAR",J62,0)</f>
        <v>0</v>
      </c>
      <c r="AP62" s="161">
        <f t="shared" si="35"/>
        <v>0</v>
      </c>
      <c r="AQ62" s="161">
        <f t="shared" si="13"/>
        <v>0</v>
      </c>
      <c r="AR62">
        <f>IF(AND(BD62=""),"",IF(BD62=0,"",1+(MAX(AR$60:AR61))))</f>
        <v>2</v>
      </c>
      <c r="AS62" s="160">
        <v>3</v>
      </c>
      <c r="AT62" s="157" t="str">
        <f t="shared" ref="AT62:AT109" si="78">IF($K62="NON GAZETTED - REGULAR",B62,0)</f>
        <v>Jh lqjs'k pUn flaxkfM+;k</v>
      </c>
      <c r="AU62" s="158" t="str">
        <f t="shared" ref="AU62:AU109" si="79">IF($K62="NON GAZETTED - REGULAR",C62,0)</f>
        <v>TEACHER-II</v>
      </c>
      <c r="AV62" s="158">
        <f t="shared" ref="AV62:AV109" si="80">IF($K62="NON GAZETTED - REGULAR",D62,0)</f>
        <v>11</v>
      </c>
      <c r="AW62" s="158">
        <f t="shared" ref="AW62:AW109" si="81">IF($K62="NON GAZETTED - REGULAR",E62,0)</f>
        <v>53900</v>
      </c>
      <c r="AX62" s="158" t="str">
        <f t="shared" ref="AX62:AX109" si="82">IF($K62="NON GAZETTED - REGULAR",F62,0)</f>
        <v>RJAJ199506021728</v>
      </c>
      <c r="AY62" s="158">
        <f t="shared" ref="AY62:AY109" si="83">IF($K62="NON GAZETTED - REGULAR",G62,0)</f>
        <v>690644</v>
      </c>
      <c r="AZ62" s="158" t="str">
        <f t="shared" ref="AZ62:AZ109" si="84">IF($K62="NON GAZETTED - REGULAR",H62,0)</f>
        <v>MALE</v>
      </c>
      <c r="BA62" s="158" t="str">
        <f t="shared" ref="BA62:BA109" si="85">IF($K62="NON GAZETTED - REGULAR",I62,0)</f>
        <v>NO</v>
      </c>
      <c r="BB62" s="158" t="str">
        <f t="shared" ref="BB62:BB109" si="86">IF($K62="NON GAZETTED - REGULAR",J62,0)</f>
        <v>NO</v>
      </c>
      <c r="BC62" s="158" t="str">
        <f t="shared" si="37"/>
        <v>NON GAZETTED - REGULAR</v>
      </c>
      <c r="BD62" s="161">
        <f t="shared" si="15"/>
        <v>1</v>
      </c>
      <c r="BE62" t="str">
        <f>IF(AND(BQ62=""),"",IF(BQ62=0,"",1+(MAX(BE$60:BE61))))</f>
        <v/>
      </c>
      <c r="BF62" s="85">
        <v>3</v>
      </c>
      <c r="BG62" s="157">
        <f t="shared" si="38"/>
        <v>0</v>
      </c>
      <c r="BH62" s="161">
        <f t="shared" si="39"/>
        <v>0</v>
      </c>
      <c r="BI62" s="161">
        <f t="shared" si="40"/>
        <v>0</v>
      </c>
      <c r="BJ62" s="161">
        <f t="shared" si="41"/>
        <v>0</v>
      </c>
      <c r="BK62" s="161">
        <f t="shared" si="42"/>
        <v>0</v>
      </c>
      <c r="BL62" s="161">
        <f t="shared" si="43"/>
        <v>0</v>
      </c>
      <c r="BM62" s="161">
        <f t="shared" si="44"/>
        <v>0</v>
      </c>
      <c r="BN62" s="161">
        <f t="shared" si="45"/>
        <v>0</v>
      </c>
      <c r="BO62" s="161">
        <f t="shared" si="46"/>
        <v>0</v>
      </c>
      <c r="BP62" s="161">
        <f t="shared" si="47"/>
        <v>0</v>
      </c>
      <c r="BQ62" s="161">
        <f t="shared" si="17"/>
        <v>0</v>
      </c>
      <c r="BR62" t="str">
        <f>IF(AND(CD62=""),"",IF(CD62=0,"",1+(MAX(BR$60:BR61))))</f>
        <v/>
      </c>
      <c r="BS62" s="160">
        <v>3</v>
      </c>
      <c r="BT62" s="157">
        <f t="shared" si="48"/>
        <v>0</v>
      </c>
      <c r="BU62" s="161">
        <f t="shared" si="49"/>
        <v>0</v>
      </c>
      <c r="BV62" s="161">
        <f t="shared" si="50"/>
        <v>0</v>
      </c>
      <c r="BW62" s="161">
        <f t="shared" si="51"/>
        <v>0</v>
      </c>
      <c r="BX62" s="161">
        <f t="shared" si="52"/>
        <v>0</v>
      </c>
      <c r="BY62" s="161">
        <f t="shared" si="53"/>
        <v>0</v>
      </c>
      <c r="BZ62" s="161">
        <f t="shared" si="54"/>
        <v>0</v>
      </c>
      <c r="CA62" s="161">
        <f t="shared" si="55"/>
        <v>0</v>
      </c>
      <c r="CB62" s="161">
        <f t="shared" si="56"/>
        <v>0</v>
      </c>
      <c r="CC62" s="161">
        <f t="shared" si="57"/>
        <v>0</v>
      </c>
      <c r="CD62" s="161">
        <f t="shared" si="19"/>
        <v>0</v>
      </c>
      <c r="CE62" t="str">
        <f>IF(AND(CQ62=""),"",IF(CQ62=0,"",1+(MAX(CE$60:CE61))))</f>
        <v/>
      </c>
      <c r="CF62" s="85">
        <v>3</v>
      </c>
      <c r="CG62" s="157">
        <f t="shared" si="58"/>
        <v>0</v>
      </c>
      <c r="CH62" s="161">
        <f t="shared" si="59"/>
        <v>0</v>
      </c>
      <c r="CI62" s="161">
        <f t="shared" si="60"/>
        <v>0</v>
      </c>
      <c r="CJ62" s="161">
        <f t="shared" si="61"/>
        <v>0</v>
      </c>
      <c r="CK62" s="161">
        <f t="shared" si="62"/>
        <v>0</v>
      </c>
      <c r="CL62" s="161">
        <f t="shared" si="63"/>
        <v>0</v>
      </c>
      <c r="CM62" s="161">
        <f t="shared" si="64"/>
        <v>0</v>
      </c>
      <c r="CN62" s="161">
        <f t="shared" si="65"/>
        <v>0</v>
      </c>
      <c r="CO62" s="161">
        <f t="shared" si="66"/>
        <v>0</v>
      </c>
      <c r="CP62" s="161">
        <f t="shared" si="67"/>
        <v>0</v>
      </c>
      <c r="CQ62" s="161">
        <f t="shared" si="21"/>
        <v>0</v>
      </c>
      <c r="CR62" t="str">
        <f>IF(AND(DD62=""),"",IF(DD62=0,"",1+(MAX(CR$60:CR61))))</f>
        <v/>
      </c>
      <c r="CS62" s="85">
        <v>3</v>
      </c>
      <c r="CT62" s="157">
        <f t="shared" si="68"/>
        <v>0</v>
      </c>
      <c r="CU62" s="161">
        <f t="shared" si="69"/>
        <v>0</v>
      </c>
      <c r="CV62" s="161">
        <f t="shared" si="70"/>
        <v>0</v>
      </c>
      <c r="CW62" s="161">
        <f t="shared" si="71"/>
        <v>0</v>
      </c>
      <c r="CX62" s="161">
        <f t="shared" si="72"/>
        <v>0</v>
      </c>
      <c r="CY62" s="161">
        <f t="shared" si="73"/>
        <v>0</v>
      </c>
      <c r="CZ62" s="161">
        <f t="shared" si="74"/>
        <v>0</v>
      </c>
      <c r="DA62" s="161">
        <f t="shared" si="75"/>
        <v>0</v>
      </c>
      <c r="DB62" s="161">
        <f t="shared" si="76"/>
        <v>0</v>
      </c>
      <c r="DC62" s="161">
        <f t="shared" si="77"/>
        <v>0</v>
      </c>
      <c r="DD62" s="161">
        <f t="shared" si="23"/>
        <v>0</v>
      </c>
      <c r="DE62" s="159"/>
    </row>
    <row r="63" spans="1:109" ht="18.75">
      <c r="A63" s="14">
        <v>4</v>
      </c>
      <c r="B63" s="388" t="s">
        <v>707</v>
      </c>
      <c r="C63" s="391" t="s">
        <v>61</v>
      </c>
      <c r="D63" s="383">
        <v>11</v>
      </c>
      <c r="E63" s="384">
        <v>45600</v>
      </c>
      <c r="F63" s="384" t="s">
        <v>55</v>
      </c>
      <c r="G63" s="385">
        <v>690644</v>
      </c>
      <c r="H63" s="384" t="s">
        <v>56</v>
      </c>
      <c r="I63" s="384" t="s">
        <v>57</v>
      </c>
      <c r="J63" s="384" t="s">
        <v>57</v>
      </c>
      <c r="K63" s="387" t="s">
        <v>62</v>
      </c>
      <c r="L63" s="690"/>
      <c r="M63" s="32"/>
      <c r="N63" s="32"/>
      <c r="O63" s="32"/>
      <c r="AC63" t="str">
        <f t="shared" si="24"/>
        <v>1995</v>
      </c>
      <c r="AD63">
        <f t="shared" si="25"/>
        <v>0</v>
      </c>
      <c r="AE63" t="str">
        <f>IF(AND(AQ63=""),"",IF(AQ63=0,"",1+(MAX(AE$60:AE62))))</f>
        <v/>
      </c>
      <c r="AF63" s="85">
        <v>4</v>
      </c>
      <c r="AG63" s="157">
        <f t="shared" si="26"/>
        <v>0</v>
      </c>
      <c r="AH63" s="161">
        <f t="shared" si="27"/>
        <v>0</v>
      </c>
      <c r="AI63" s="161">
        <f t="shared" si="28"/>
        <v>0</v>
      </c>
      <c r="AJ63" s="161">
        <f t="shared" si="29"/>
        <v>0</v>
      </c>
      <c r="AK63" s="161">
        <f t="shared" si="30"/>
        <v>0</v>
      </c>
      <c r="AL63" s="161">
        <f t="shared" si="31"/>
        <v>0</v>
      </c>
      <c r="AM63" s="161">
        <f t="shared" si="32"/>
        <v>0</v>
      </c>
      <c r="AN63" s="161">
        <f t="shared" si="33"/>
        <v>0</v>
      </c>
      <c r="AO63" s="161">
        <f t="shared" si="34"/>
        <v>0</v>
      </c>
      <c r="AP63" s="161">
        <f t="shared" si="35"/>
        <v>0</v>
      </c>
      <c r="AQ63" s="161">
        <f t="shared" si="13"/>
        <v>0</v>
      </c>
      <c r="AR63">
        <f>IF(AND(BD63=""),"",IF(BD63=0,"",1+(MAX(AR$60:AR62))))</f>
        <v>3</v>
      </c>
      <c r="AS63" s="160">
        <v>4</v>
      </c>
      <c r="AT63" s="157" t="str">
        <f t="shared" si="78"/>
        <v>Jh jkds'k dqekj 'kekZ</v>
      </c>
      <c r="AU63" s="158" t="str">
        <f t="shared" si="79"/>
        <v>TEACHER-II</v>
      </c>
      <c r="AV63" s="158">
        <f t="shared" si="80"/>
        <v>11</v>
      </c>
      <c r="AW63" s="158">
        <f t="shared" si="81"/>
        <v>45600</v>
      </c>
      <c r="AX63" s="158" t="str">
        <f t="shared" si="82"/>
        <v>RJAJ199506021728</v>
      </c>
      <c r="AY63" s="158">
        <f t="shared" si="83"/>
        <v>690644</v>
      </c>
      <c r="AZ63" s="158" t="str">
        <f t="shared" si="84"/>
        <v>MALE</v>
      </c>
      <c r="BA63" s="158" t="str">
        <f t="shared" si="85"/>
        <v>NO</v>
      </c>
      <c r="BB63" s="158" t="str">
        <f t="shared" si="86"/>
        <v>NO</v>
      </c>
      <c r="BC63" s="158" t="str">
        <f t="shared" si="37"/>
        <v>NON GAZETTED - REGULAR</v>
      </c>
      <c r="BD63" s="161">
        <f t="shared" si="15"/>
        <v>1</v>
      </c>
      <c r="BE63" t="str">
        <f>IF(AND(BQ63=""),"",IF(BQ63=0,"",1+(MAX(BE$60:BE62))))</f>
        <v/>
      </c>
      <c r="BF63" s="85">
        <v>4</v>
      </c>
      <c r="BG63" s="157">
        <f t="shared" si="38"/>
        <v>0</v>
      </c>
      <c r="BH63" s="161">
        <f t="shared" si="39"/>
        <v>0</v>
      </c>
      <c r="BI63" s="161">
        <f t="shared" si="40"/>
        <v>0</v>
      </c>
      <c r="BJ63" s="161">
        <f t="shared" si="41"/>
        <v>0</v>
      </c>
      <c r="BK63" s="161">
        <f t="shared" si="42"/>
        <v>0</v>
      </c>
      <c r="BL63" s="161">
        <f t="shared" si="43"/>
        <v>0</v>
      </c>
      <c r="BM63" s="161">
        <f t="shared" si="44"/>
        <v>0</v>
      </c>
      <c r="BN63" s="161">
        <f t="shared" si="45"/>
        <v>0</v>
      </c>
      <c r="BO63" s="161">
        <f t="shared" si="46"/>
        <v>0</v>
      </c>
      <c r="BP63" s="161">
        <f t="shared" si="47"/>
        <v>0</v>
      </c>
      <c r="BQ63" s="161">
        <f t="shared" si="17"/>
        <v>0</v>
      </c>
      <c r="BR63" t="str">
        <f>IF(AND(CD63=""),"",IF(CD63=0,"",1+(MAX(BR$60:BR62))))</f>
        <v/>
      </c>
      <c r="BS63" s="160">
        <v>4</v>
      </c>
      <c r="BT63" s="157">
        <f t="shared" si="48"/>
        <v>0</v>
      </c>
      <c r="BU63" s="161">
        <f t="shared" si="49"/>
        <v>0</v>
      </c>
      <c r="BV63" s="161">
        <f t="shared" si="50"/>
        <v>0</v>
      </c>
      <c r="BW63" s="161">
        <f t="shared" si="51"/>
        <v>0</v>
      </c>
      <c r="BX63" s="161">
        <f t="shared" si="52"/>
        <v>0</v>
      </c>
      <c r="BY63" s="161">
        <f t="shared" si="53"/>
        <v>0</v>
      </c>
      <c r="BZ63" s="161">
        <f t="shared" si="54"/>
        <v>0</v>
      </c>
      <c r="CA63" s="161">
        <f t="shared" si="55"/>
        <v>0</v>
      </c>
      <c r="CB63" s="161">
        <f t="shared" si="56"/>
        <v>0</v>
      </c>
      <c r="CC63" s="161">
        <f t="shared" si="57"/>
        <v>0</v>
      </c>
      <c r="CD63" s="161">
        <f t="shared" si="19"/>
        <v>0</v>
      </c>
      <c r="CE63" t="str">
        <f>IF(AND(CQ63=""),"",IF(CQ63=0,"",1+(MAX(CE$60:CE62))))</f>
        <v/>
      </c>
      <c r="CF63" s="85">
        <v>4</v>
      </c>
      <c r="CG63" s="157">
        <f t="shared" si="58"/>
        <v>0</v>
      </c>
      <c r="CH63" s="161">
        <f t="shared" si="59"/>
        <v>0</v>
      </c>
      <c r="CI63" s="161">
        <f t="shared" si="60"/>
        <v>0</v>
      </c>
      <c r="CJ63" s="161">
        <f t="shared" si="61"/>
        <v>0</v>
      </c>
      <c r="CK63" s="161">
        <f t="shared" si="62"/>
        <v>0</v>
      </c>
      <c r="CL63" s="161">
        <f t="shared" si="63"/>
        <v>0</v>
      </c>
      <c r="CM63" s="161">
        <f t="shared" si="64"/>
        <v>0</v>
      </c>
      <c r="CN63" s="161">
        <f t="shared" si="65"/>
        <v>0</v>
      </c>
      <c r="CO63" s="161">
        <f t="shared" si="66"/>
        <v>0</v>
      </c>
      <c r="CP63" s="161">
        <f t="shared" si="67"/>
        <v>0</v>
      </c>
      <c r="CQ63" s="161">
        <f t="shared" si="21"/>
        <v>0</v>
      </c>
      <c r="CR63" t="str">
        <f>IF(AND(DD63=""),"",IF(DD63=0,"",1+(MAX(CR$60:CR62))))</f>
        <v/>
      </c>
      <c r="CS63" s="160">
        <v>4</v>
      </c>
      <c r="CT63" s="157">
        <f t="shared" si="68"/>
        <v>0</v>
      </c>
      <c r="CU63" s="161">
        <f t="shared" si="69"/>
        <v>0</v>
      </c>
      <c r="CV63" s="161">
        <f t="shared" si="70"/>
        <v>0</v>
      </c>
      <c r="CW63" s="161">
        <f t="shared" si="71"/>
        <v>0</v>
      </c>
      <c r="CX63" s="161">
        <f t="shared" si="72"/>
        <v>0</v>
      </c>
      <c r="CY63" s="161">
        <f t="shared" si="73"/>
        <v>0</v>
      </c>
      <c r="CZ63" s="161">
        <f t="shared" si="74"/>
        <v>0</v>
      </c>
      <c r="DA63" s="161">
        <f t="shared" si="75"/>
        <v>0</v>
      </c>
      <c r="DB63" s="161">
        <f t="shared" si="76"/>
        <v>0</v>
      </c>
      <c r="DC63" s="161">
        <f t="shared" si="77"/>
        <v>0</v>
      </c>
      <c r="DD63" s="161">
        <f t="shared" si="23"/>
        <v>0</v>
      </c>
      <c r="DE63" s="159"/>
    </row>
    <row r="64" spans="1:109" ht="18.75">
      <c r="A64" s="14">
        <v>5</v>
      </c>
      <c r="B64" s="388" t="s">
        <v>708</v>
      </c>
      <c r="C64" s="391" t="s">
        <v>61</v>
      </c>
      <c r="D64" s="383">
        <v>11</v>
      </c>
      <c r="E64" s="384">
        <v>52300</v>
      </c>
      <c r="F64" s="384" t="s">
        <v>55</v>
      </c>
      <c r="G64" s="385">
        <v>690644</v>
      </c>
      <c r="H64" s="384" t="s">
        <v>56</v>
      </c>
      <c r="I64" s="384" t="s">
        <v>57</v>
      </c>
      <c r="J64" s="384" t="s">
        <v>57</v>
      </c>
      <c r="K64" s="387" t="s">
        <v>62</v>
      </c>
      <c r="L64" s="690"/>
      <c r="M64" s="32"/>
      <c r="N64" s="32"/>
      <c r="O64" s="32"/>
      <c r="AC64" t="str">
        <f t="shared" si="24"/>
        <v>1995</v>
      </c>
      <c r="AD64">
        <f t="shared" si="25"/>
        <v>0</v>
      </c>
      <c r="AE64" t="str">
        <f>IF(AND(AQ64=""),"",IF(AQ64=0,"",1+(MAX(AE$60:AE63))))</f>
        <v/>
      </c>
      <c r="AF64" s="85">
        <v>5</v>
      </c>
      <c r="AG64" s="157">
        <f t="shared" si="26"/>
        <v>0</v>
      </c>
      <c r="AH64" s="161">
        <f t="shared" si="27"/>
        <v>0</v>
      </c>
      <c r="AI64" s="161">
        <f t="shared" si="28"/>
        <v>0</v>
      </c>
      <c r="AJ64" s="161">
        <f t="shared" si="29"/>
        <v>0</v>
      </c>
      <c r="AK64" s="161">
        <f t="shared" si="30"/>
        <v>0</v>
      </c>
      <c r="AL64" s="161">
        <f t="shared" si="31"/>
        <v>0</v>
      </c>
      <c r="AM64" s="161">
        <f t="shared" si="32"/>
        <v>0</v>
      </c>
      <c r="AN64" s="161">
        <f t="shared" si="33"/>
        <v>0</v>
      </c>
      <c r="AO64" s="161">
        <f t="shared" si="34"/>
        <v>0</v>
      </c>
      <c r="AP64" s="161">
        <f t="shared" si="35"/>
        <v>0</v>
      </c>
      <c r="AQ64" s="161">
        <f t="shared" si="13"/>
        <v>0</v>
      </c>
      <c r="AR64">
        <f>IF(AND(BD64=""),"",IF(BD64=0,"",1+(MAX(AR$60:AR63))))</f>
        <v>4</v>
      </c>
      <c r="AS64" s="160">
        <v>5</v>
      </c>
      <c r="AT64" s="157" t="str">
        <f t="shared" si="78"/>
        <v>Jh ghjkyky tkV</v>
      </c>
      <c r="AU64" s="158" t="str">
        <f t="shared" si="79"/>
        <v>TEACHER-II</v>
      </c>
      <c r="AV64" s="158">
        <f t="shared" si="80"/>
        <v>11</v>
      </c>
      <c r="AW64" s="158">
        <f t="shared" si="81"/>
        <v>52300</v>
      </c>
      <c r="AX64" s="158" t="str">
        <f t="shared" si="82"/>
        <v>RJAJ199506021728</v>
      </c>
      <c r="AY64" s="158">
        <f t="shared" si="83"/>
        <v>690644</v>
      </c>
      <c r="AZ64" s="158" t="str">
        <f t="shared" si="84"/>
        <v>MALE</v>
      </c>
      <c r="BA64" s="158" t="str">
        <f t="shared" si="85"/>
        <v>NO</v>
      </c>
      <c r="BB64" s="158" t="str">
        <f t="shared" si="86"/>
        <v>NO</v>
      </c>
      <c r="BC64" s="158" t="str">
        <f t="shared" si="37"/>
        <v>NON GAZETTED - REGULAR</v>
      </c>
      <c r="BD64" s="161">
        <f t="shared" si="15"/>
        <v>1</v>
      </c>
      <c r="BE64" t="str">
        <f>IF(AND(BQ64=""),"",IF(BQ64=0,"",1+(MAX(BE$60:BE63))))</f>
        <v/>
      </c>
      <c r="BF64" s="85">
        <v>5</v>
      </c>
      <c r="BG64" s="157">
        <f t="shared" si="38"/>
        <v>0</v>
      </c>
      <c r="BH64" s="161">
        <f t="shared" si="39"/>
        <v>0</v>
      </c>
      <c r="BI64" s="161">
        <f t="shared" si="40"/>
        <v>0</v>
      </c>
      <c r="BJ64" s="161">
        <f t="shared" si="41"/>
        <v>0</v>
      </c>
      <c r="BK64" s="161">
        <f t="shared" si="42"/>
        <v>0</v>
      </c>
      <c r="BL64" s="161">
        <f t="shared" si="43"/>
        <v>0</v>
      </c>
      <c r="BM64" s="161">
        <f t="shared" si="44"/>
        <v>0</v>
      </c>
      <c r="BN64" s="161">
        <f t="shared" si="45"/>
        <v>0</v>
      </c>
      <c r="BO64" s="161">
        <f t="shared" si="46"/>
        <v>0</v>
      </c>
      <c r="BP64" s="161">
        <f t="shared" si="47"/>
        <v>0</v>
      </c>
      <c r="BQ64" s="161">
        <f t="shared" si="17"/>
        <v>0</v>
      </c>
      <c r="BR64" t="str">
        <f>IF(AND(CD64=""),"",IF(CD64=0,"",1+(MAX(BR$60:BR63))))</f>
        <v/>
      </c>
      <c r="BS64" s="160">
        <v>5</v>
      </c>
      <c r="BT64" s="157">
        <f t="shared" si="48"/>
        <v>0</v>
      </c>
      <c r="BU64" s="161">
        <f t="shared" si="49"/>
        <v>0</v>
      </c>
      <c r="BV64" s="161">
        <f t="shared" si="50"/>
        <v>0</v>
      </c>
      <c r="BW64" s="161">
        <f t="shared" si="51"/>
        <v>0</v>
      </c>
      <c r="BX64" s="161">
        <f t="shared" si="52"/>
        <v>0</v>
      </c>
      <c r="BY64" s="161">
        <f t="shared" si="53"/>
        <v>0</v>
      </c>
      <c r="BZ64" s="161">
        <f t="shared" si="54"/>
        <v>0</v>
      </c>
      <c r="CA64" s="161">
        <f t="shared" si="55"/>
        <v>0</v>
      </c>
      <c r="CB64" s="161">
        <f t="shared" si="56"/>
        <v>0</v>
      </c>
      <c r="CC64" s="161">
        <f t="shared" si="57"/>
        <v>0</v>
      </c>
      <c r="CD64" s="161">
        <f t="shared" si="19"/>
        <v>0</v>
      </c>
      <c r="CE64" t="str">
        <f>IF(AND(CQ64=""),"",IF(CQ64=0,"",1+(MAX(CE$60:CE63))))</f>
        <v/>
      </c>
      <c r="CF64" s="85">
        <v>5</v>
      </c>
      <c r="CG64" s="157">
        <f t="shared" si="58"/>
        <v>0</v>
      </c>
      <c r="CH64" s="161">
        <f t="shared" si="59"/>
        <v>0</v>
      </c>
      <c r="CI64" s="161">
        <f t="shared" si="60"/>
        <v>0</v>
      </c>
      <c r="CJ64" s="161">
        <f t="shared" si="61"/>
        <v>0</v>
      </c>
      <c r="CK64" s="161">
        <f t="shared" si="62"/>
        <v>0</v>
      </c>
      <c r="CL64" s="161">
        <f t="shared" si="63"/>
        <v>0</v>
      </c>
      <c r="CM64" s="161">
        <f t="shared" si="64"/>
        <v>0</v>
      </c>
      <c r="CN64" s="161">
        <f t="shared" si="65"/>
        <v>0</v>
      </c>
      <c r="CO64" s="161">
        <f t="shared" si="66"/>
        <v>0</v>
      </c>
      <c r="CP64" s="161">
        <f t="shared" si="67"/>
        <v>0</v>
      </c>
      <c r="CQ64" s="161">
        <f t="shared" si="21"/>
        <v>0</v>
      </c>
      <c r="CR64" t="str">
        <f>IF(AND(DD64=""),"",IF(DD64=0,"",1+(MAX(CR$60:CR63))))</f>
        <v/>
      </c>
      <c r="CS64" s="85">
        <v>5</v>
      </c>
      <c r="CT64" s="157">
        <f t="shared" si="68"/>
        <v>0</v>
      </c>
      <c r="CU64" s="161">
        <f t="shared" si="69"/>
        <v>0</v>
      </c>
      <c r="CV64" s="161">
        <f t="shared" si="70"/>
        <v>0</v>
      </c>
      <c r="CW64" s="161">
        <f t="shared" si="71"/>
        <v>0</v>
      </c>
      <c r="CX64" s="161">
        <f t="shared" si="72"/>
        <v>0</v>
      </c>
      <c r="CY64" s="161">
        <f t="shared" si="73"/>
        <v>0</v>
      </c>
      <c r="CZ64" s="161">
        <f t="shared" si="74"/>
        <v>0</v>
      </c>
      <c r="DA64" s="161">
        <f t="shared" si="75"/>
        <v>0</v>
      </c>
      <c r="DB64" s="161">
        <f t="shared" si="76"/>
        <v>0</v>
      </c>
      <c r="DC64" s="161">
        <f t="shared" si="77"/>
        <v>0</v>
      </c>
      <c r="DD64" s="161">
        <f t="shared" si="23"/>
        <v>0</v>
      </c>
    </row>
    <row r="65" spans="1:108" ht="18.75">
      <c r="A65" s="14">
        <v>6</v>
      </c>
      <c r="B65" s="388" t="s">
        <v>709</v>
      </c>
      <c r="C65" s="391" t="s">
        <v>61</v>
      </c>
      <c r="D65" s="383">
        <v>11</v>
      </c>
      <c r="E65" s="384">
        <v>41300</v>
      </c>
      <c r="F65" s="384" t="s">
        <v>55</v>
      </c>
      <c r="G65" s="385">
        <v>690644</v>
      </c>
      <c r="H65" s="384" t="s">
        <v>56</v>
      </c>
      <c r="I65" s="384" t="s">
        <v>57</v>
      </c>
      <c r="J65" s="384" t="s">
        <v>57</v>
      </c>
      <c r="K65" s="387" t="s">
        <v>62</v>
      </c>
      <c r="L65" s="690"/>
      <c r="M65" s="32"/>
      <c r="N65" s="32"/>
      <c r="O65" s="32"/>
      <c r="AC65" t="str">
        <f t="shared" si="24"/>
        <v>1995</v>
      </c>
      <c r="AD65">
        <f t="shared" si="25"/>
        <v>0</v>
      </c>
      <c r="AE65" t="str">
        <f>IF(AND(AQ65=""),"",IF(AQ65=0,"",1+(MAX(AE$60:AE64))))</f>
        <v/>
      </c>
      <c r="AF65" s="85">
        <v>6</v>
      </c>
      <c r="AG65" s="157">
        <f t="shared" si="26"/>
        <v>0</v>
      </c>
      <c r="AH65" s="161">
        <f t="shared" si="27"/>
        <v>0</v>
      </c>
      <c r="AI65" s="161">
        <f t="shared" si="28"/>
        <v>0</v>
      </c>
      <c r="AJ65" s="161">
        <f t="shared" si="29"/>
        <v>0</v>
      </c>
      <c r="AK65" s="161">
        <f t="shared" si="30"/>
        <v>0</v>
      </c>
      <c r="AL65" s="161">
        <f t="shared" si="31"/>
        <v>0</v>
      </c>
      <c r="AM65" s="161">
        <f t="shared" si="32"/>
        <v>0</v>
      </c>
      <c r="AN65" s="161">
        <f t="shared" si="33"/>
        <v>0</v>
      </c>
      <c r="AO65" s="161">
        <f t="shared" si="34"/>
        <v>0</v>
      </c>
      <c r="AP65" s="161">
        <f t="shared" si="35"/>
        <v>0</v>
      </c>
      <c r="AQ65" s="161">
        <f t="shared" si="13"/>
        <v>0</v>
      </c>
      <c r="AR65">
        <f>IF(AND(BD65=""),"",IF(BD65=0,"",1+(MAX(AR$60:AR64))))</f>
        <v>5</v>
      </c>
      <c r="AS65" s="160">
        <v>6</v>
      </c>
      <c r="AT65" s="157" t="str">
        <f t="shared" si="78"/>
        <v>Jh 'kjn 'kekZ</v>
      </c>
      <c r="AU65" s="158" t="str">
        <f t="shared" si="79"/>
        <v>TEACHER-II</v>
      </c>
      <c r="AV65" s="158">
        <f t="shared" si="80"/>
        <v>11</v>
      </c>
      <c r="AW65" s="158">
        <f t="shared" si="81"/>
        <v>41300</v>
      </c>
      <c r="AX65" s="158" t="str">
        <f t="shared" si="82"/>
        <v>RJAJ199506021728</v>
      </c>
      <c r="AY65" s="158">
        <f t="shared" si="83"/>
        <v>690644</v>
      </c>
      <c r="AZ65" s="158" t="str">
        <f t="shared" si="84"/>
        <v>MALE</v>
      </c>
      <c r="BA65" s="158" t="str">
        <f t="shared" si="85"/>
        <v>NO</v>
      </c>
      <c r="BB65" s="158" t="str">
        <f t="shared" si="86"/>
        <v>NO</v>
      </c>
      <c r="BC65" s="158" t="str">
        <f t="shared" si="37"/>
        <v>NON GAZETTED - REGULAR</v>
      </c>
      <c r="BD65" s="161">
        <f t="shared" si="15"/>
        <v>1</v>
      </c>
      <c r="BE65" t="str">
        <f>IF(AND(BQ65=""),"",IF(BQ65=0,"",1+(MAX(BE$60:BE64))))</f>
        <v/>
      </c>
      <c r="BF65" s="85">
        <v>6</v>
      </c>
      <c r="BG65" s="157">
        <f t="shared" si="38"/>
        <v>0</v>
      </c>
      <c r="BH65" s="161">
        <f t="shared" si="39"/>
        <v>0</v>
      </c>
      <c r="BI65" s="161">
        <f t="shared" si="40"/>
        <v>0</v>
      </c>
      <c r="BJ65" s="161">
        <f t="shared" si="41"/>
        <v>0</v>
      </c>
      <c r="BK65" s="161">
        <f t="shared" si="42"/>
        <v>0</v>
      </c>
      <c r="BL65" s="161">
        <f t="shared" si="43"/>
        <v>0</v>
      </c>
      <c r="BM65" s="161">
        <f t="shared" si="44"/>
        <v>0</v>
      </c>
      <c r="BN65" s="161">
        <f t="shared" si="45"/>
        <v>0</v>
      </c>
      <c r="BO65" s="161">
        <f t="shared" si="46"/>
        <v>0</v>
      </c>
      <c r="BP65" s="161">
        <f t="shared" si="47"/>
        <v>0</v>
      </c>
      <c r="BQ65" s="161">
        <f t="shared" si="17"/>
        <v>0</v>
      </c>
      <c r="BR65" t="str">
        <f>IF(AND(CD65=""),"",IF(CD65=0,"",1+(MAX(BR$60:BR64))))</f>
        <v/>
      </c>
      <c r="BS65" s="160">
        <v>6</v>
      </c>
      <c r="BT65" s="157">
        <f t="shared" si="48"/>
        <v>0</v>
      </c>
      <c r="BU65" s="161">
        <f t="shared" si="49"/>
        <v>0</v>
      </c>
      <c r="BV65" s="161">
        <f t="shared" si="50"/>
        <v>0</v>
      </c>
      <c r="BW65" s="161">
        <f t="shared" si="51"/>
        <v>0</v>
      </c>
      <c r="BX65" s="161">
        <f t="shared" si="52"/>
        <v>0</v>
      </c>
      <c r="BY65" s="161">
        <f t="shared" si="53"/>
        <v>0</v>
      </c>
      <c r="BZ65" s="161">
        <f t="shared" si="54"/>
        <v>0</v>
      </c>
      <c r="CA65" s="161">
        <f t="shared" si="55"/>
        <v>0</v>
      </c>
      <c r="CB65" s="161">
        <f t="shared" si="56"/>
        <v>0</v>
      </c>
      <c r="CC65" s="161">
        <f t="shared" si="57"/>
        <v>0</v>
      </c>
      <c r="CD65" s="161">
        <f t="shared" si="19"/>
        <v>0</v>
      </c>
      <c r="CE65" t="str">
        <f>IF(AND(CQ65=""),"",IF(CQ65=0,"",1+(MAX(CE$60:CE64))))</f>
        <v/>
      </c>
      <c r="CF65" s="85">
        <v>6</v>
      </c>
      <c r="CG65" s="157">
        <f t="shared" si="58"/>
        <v>0</v>
      </c>
      <c r="CH65" s="161">
        <f t="shared" si="59"/>
        <v>0</v>
      </c>
      <c r="CI65" s="161">
        <f t="shared" si="60"/>
        <v>0</v>
      </c>
      <c r="CJ65" s="161">
        <f t="shared" si="61"/>
        <v>0</v>
      </c>
      <c r="CK65" s="161">
        <f t="shared" si="62"/>
        <v>0</v>
      </c>
      <c r="CL65" s="161">
        <f t="shared" si="63"/>
        <v>0</v>
      </c>
      <c r="CM65" s="161">
        <f t="shared" si="64"/>
        <v>0</v>
      </c>
      <c r="CN65" s="161">
        <f t="shared" si="65"/>
        <v>0</v>
      </c>
      <c r="CO65" s="161">
        <f t="shared" si="66"/>
        <v>0</v>
      </c>
      <c r="CP65" s="161">
        <f t="shared" si="67"/>
        <v>0</v>
      </c>
      <c r="CQ65" s="161">
        <f t="shared" si="21"/>
        <v>0</v>
      </c>
      <c r="CR65" t="str">
        <f>IF(AND(DD65=""),"",IF(DD65=0,"",1+(MAX(CR$60:CR64))))</f>
        <v/>
      </c>
      <c r="CS65" s="160">
        <v>6</v>
      </c>
      <c r="CT65" s="157">
        <f t="shared" si="68"/>
        <v>0</v>
      </c>
      <c r="CU65" s="161">
        <f t="shared" si="69"/>
        <v>0</v>
      </c>
      <c r="CV65" s="161">
        <f t="shared" si="70"/>
        <v>0</v>
      </c>
      <c r="CW65" s="161">
        <f t="shared" si="71"/>
        <v>0</v>
      </c>
      <c r="CX65" s="161">
        <f t="shared" si="72"/>
        <v>0</v>
      </c>
      <c r="CY65" s="161">
        <f t="shared" si="73"/>
        <v>0</v>
      </c>
      <c r="CZ65" s="161">
        <f t="shared" si="74"/>
        <v>0</v>
      </c>
      <c r="DA65" s="161">
        <f t="shared" si="75"/>
        <v>0</v>
      </c>
      <c r="DB65" s="161">
        <f t="shared" si="76"/>
        <v>0</v>
      </c>
      <c r="DC65" s="161">
        <f t="shared" si="77"/>
        <v>0</v>
      </c>
      <c r="DD65" s="161">
        <f t="shared" si="23"/>
        <v>0</v>
      </c>
    </row>
    <row r="66" spans="1:108" ht="18.75">
      <c r="A66" s="14">
        <v>7</v>
      </c>
      <c r="B66" s="388" t="s">
        <v>710</v>
      </c>
      <c r="C66" s="391" t="s">
        <v>61</v>
      </c>
      <c r="D66" s="383">
        <v>12</v>
      </c>
      <c r="E66" s="384">
        <v>69300</v>
      </c>
      <c r="F66" s="384" t="s">
        <v>55</v>
      </c>
      <c r="G66" s="385">
        <v>110021685029</v>
      </c>
      <c r="H66" s="384" t="s">
        <v>56</v>
      </c>
      <c r="I66" s="384" t="s">
        <v>57</v>
      </c>
      <c r="J66" s="384" t="s">
        <v>57</v>
      </c>
      <c r="K66" s="387" t="s">
        <v>62</v>
      </c>
      <c r="L66" s="690"/>
      <c r="M66" s="32"/>
      <c r="N66" s="32"/>
      <c r="O66" s="32"/>
      <c r="AC66" t="str">
        <f t="shared" si="24"/>
        <v>1995</v>
      </c>
      <c r="AD66">
        <f t="shared" si="25"/>
        <v>0</v>
      </c>
      <c r="AE66" t="str">
        <f>IF(AND(AQ66=""),"",IF(AQ66=0,"",1+(MAX(AE$60:AE65))))</f>
        <v/>
      </c>
      <c r="AF66" s="85">
        <v>7</v>
      </c>
      <c r="AG66" s="157">
        <f t="shared" si="26"/>
        <v>0</v>
      </c>
      <c r="AH66" s="161">
        <f t="shared" si="27"/>
        <v>0</v>
      </c>
      <c r="AI66" s="161">
        <f t="shared" si="28"/>
        <v>0</v>
      </c>
      <c r="AJ66" s="161">
        <f t="shared" si="29"/>
        <v>0</v>
      </c>
      <c r="AK66" s="161">
        <f t="shared" si="30"/>
        <v>0</v>
      </c>
      <c r="AL66" s="161">
        <f t="shared" si="31"/>
        <v>0</v>
      </c>
      <c r="AM66" s="161">
        <f t="shared" si="32"/>
        <v>0</v>
      </c>
      <c r="AN66" s="161">
        <f t="shared" si="33"/>
        <v>0</v>
      </c>
      <c r="AO66" s="161">
        <f t="shared" si="34"/>
        <v>0</v>
      </c>
      <c r="AP66" s="161">
        <f t="shared" si="35"/>
        <v>0</v>
      </c>
      <c r="AQ66" s="161">
        <f t="shared" si="13"/>
        <v>0</v>
      </c>
      <c r="AR66">
        <f>IF(AND(BD66=""),"",IF(BD66=0,"",1+(MAX(AR$60:AR65))))</f>
        <v>6</v>
      </c>
      <c r="AS66" s="160">
        <v>7</v>
      </c>
      <c r="AT66" s="157" t="str">
        <f t="shared" si="78"/>
        <v>Jh jk/ks';ke</v>
      </c>
      <c r="AU66" s="158" t="str">
        <f t="shared" si="79"/>
        <v>TEACHER-II</v>
      </c>
      <c r="AV66" s="158">
        <f t="shared" si="80"/>
        <v>12</v>
      </c>
      <c r="AW66" s="158">
        <f t="shared" si="81"/>
        <v>69300</v>
      </c>
      <c r="AX66" s="158" t="str">
        <f t="shared" si="82"/>
        <v>RJAJ199506021728</v>
      </c>
      <c r="AY66" s="158">
        <f t="shared" si="83"/>
        <v>110021685029</v>
      </c>
      <c r="AZ66" s="158" t="str">
        <f t="shared" si="84"/>
        <v>MALE</v>
      </c>
      <c r="BA66" s="158" t="str">
        <f t="shared" si="85"/>
        <v>NO</v>
      </c>
      <c r="BB66" s="158" t="str">
        <f t="shared" si="86"/>
        <v>NO</v>
      </c>
      <c r="BC66" s="158" t="str">
        <f t="shared" si="37"/>
        <v>NON GAZETTED - REGULAR</v>
      </c>
      <c r="BD66" s="161">
        <f t="shared" si="15"/>
        <v>1</v>
      </c>
      <c r="BE66" t="str">
        <f>IF(AND(BQ66=""),"",IF(BQ66=0,"",1+(MAX(BE$60:BE65))))</f>
        <v/>
      </c>
      <c r="BF66" s="85">
        <v>7</v>
      </c>
      <c r="BG66" s="157">
        <f t="shared" si="38"/>
        <v>0</v>
      </c>
      <c r="BH66" s="161">
        <f t="shared" si="39"/>
        <v>0</v>
      </c>
      <c r="BI66" s="161">
        <f t="shared" si="40"/>
        <v>0</v>
      </c>
      <c r="BJ66" s="161">
        <f t="shared" si="41"/>
        <v>0</v>
      </c>
      <c r="BK66" s="161">
        <f t="shared" si="42"/>
        <v>0</v>
      </c>
      <c r="BL66" s="161">
        <f t="shared" si="43"/>
        <v>0</v>
      </c>
      <c r="BM66" s="161">
        <f t="shared" si="44"/>
        <v>0</v>
      </c>
      <c r="BN66" s="161">
        <f t="shared" si="45"/>
        <v>0</v>
      </c>
      <c r="BO66" s="161">
        <f t="shared" si="46"/>
        <v>0</v>
      </c>
      <c r="BP66" s="161">
        <f t="shared" si="47"/>
        <v>0</v>
      </c>
      <c r="BQ66" s="161">
        <f t="shared" si="17"/>
        <v>0</v>
      </c>
      <c r="BR66" t="str">
        <f>IF(AND(CD66=""),"",IF(CD66=0,"",1+(MAX(BR$60:BR65))))</f>
        <v/>
      </c>
      <c r="BS66" s="160">
        <v>7</v>
      </c>
      <c r="BT66" s="157">
        <f t="shared" si="48"/>
        <v>0</v>
      </c>
      <c r="BU66" s="161">
        <f t="shared" si="49"/>
        <v>0</v>
      </c>
      <c r="BV66" s="161">
        <f t="shared" si="50"/>
        <v>0</v>
      </c>
      <c r="BW66" s="161">
        <f t="shared" si="51"/>
        <v>0</v>
      </c>
      <c r="BX66" s="161">
        <f t="shared" si="52"/>
        <v>0</v>
      </c>
      <c r="BY66" s="161">
        <f t="shared" si="53"/>
        <v>0</v>
      </c>
      <c r="BZ66" s="161">
        <f t="shared" si="54"/>
        <v>0</v>
      </c>
      <c r="CA66" s="161">
        <f t="shared" si="55"/>
        <v>0</v>
      </c>
      <c r="CB66" s="161">
        <f t="shared" si="56"/>
        <v>0</v>
      </c>
      <c r="CC66" s="161">
        <f t="shared" si="57"/>
        <v>0</v>
      </c>
      <c r="CD66" s="161">
        <f t="shared" si="19"/>
        <v>0</v>
      </c>
      <c r="CE66" t="str">
        <f>IF(AND(CQ66=""),"",IF(CQ66=0,"",1+(MAX(CE$60:CE65))))</f>
        <v/>
      </c>
      <c r="CF66" s="85">
        <v>7</v>
      </c>
      <c r="CG66" s="157">
        <f t="shared" si="58"/>
        <v>0</v>
      </c>
      <c r="CH66" s="161">
        <f t="shared" si="59"/>
        <v>0</v>
      </c>
      <c r="CI66" s="161">
        <f t="shared" si="60"/>
        <v>0</v>
      </c>
      <c r="CJ66" s="161">
        <f t="shared" si="61"/>
        <v>0</v>
      </c>
      <c r="CK66" s="161">
        <f t="shared" si="62"/>
        <v>0</v>
      </c>
      <c r="CL66" s="161">
        <f t="shared" si="63"/>
        <v>0</v>
      </c>
      <c r="CM66" s="161">
        <f t="shared" si="64"/>
        <v>0</v>
      </c>
      <c r="CN66" s="161">
        <f t="shared" si="65"/>
        <v>0</v>
      </c>
      <c r="CO66" s="161">
        <f t="shared" si="66"/>
        <v>0</v>
      </c>
      <c r="CP66" s="161">
        <f t="shared" si="67"/>
        <v>0</v>
      </c>
      <c r="CQ66" s="161">
        <f t="shared" si="21"/>
        <v>0</v>
      </c>
      <c r="CR66" t="str">
        <f>IF(AND(DD66=""),"",IF(DD66=0,"",1+(MAX(CR$60:CR65))))</f>
        <v/>
      </c>
      <c r="CS66" s="85">
        <v>7</v>
      </c>
      <c r="CT66" s="157">
        <f t="shared" si="68"/>
        <v>0</v>
      </c>
      <c r="CU66" s="161">
        <f t="shared" si="69"/>
        <v>0</v>
      </c>
      <c r="CV66" s="161">
        <f t="shared" si="70"/>
        <v>0</v>
      </c>
      <c r="CW66" s="161">
        <f t="shared" si="71"/>
        <v>0</v>
      </c>
      <c r="CX66" s="161">
        <f t="shared" si="72"/>
        <v>0</v>
      </c>
      <c r="CY66" s="161">
        <f t="shared" si="73"/>
        <v>0</v>
      </c>
      <c r="CZ66" s="161">
        <f t="shared" si="74"/>
        <v>0</v>
      </c>
      <c r="DA66" s="161">
        <f t="shared" si="75"/>
        <v>0</v>
      </c>
      <c r="DB66" s="161">
        <f t="shared" si="76"/>
        <v>0</v>
      </c>
      <c r="DC66" s="161">
        <f t="shared" si="77"/>
        <v>0</v>
      </c>
      <c r="DD66" s="161">
        <f t="shared" si="23"/>
        <v>0</v>
      </c>
    </row>
    <row r="67" spans="1:108" ht="18.75">
      <c r="A67" s="14">
        <v>8</v>
      </c>
      <c r="B67" s="388" t="s">
        <v>711</v>
      </c>
      <c r="C67" s="391" t="s">
        <v>63</v>
      </c>
      <c r="D67" s="383">
        <v>10</v>
      </c>
      <c r="E67" s="384">
        <v>41100</v>
      </c>
      <c r="F67" s="384" t="s">
        <v>55</v>
      </c>
      <c r="G67" s="385">
        <v>479404</v>
      </c>
      <c r="H67" s="384" t="s">
        <v>56</v>
      </c>
      <c r="I67" s="384" t="s">
        <v>57</v>
      </c>
      <c r="J67" s="384" t="s">
        <v>57</v>
      </c>
      <c r="K67" s="387" t="s">
        <v>62</v>
      </c>
      <c r="L67" s="690"/>
      <c r="M67" s="32"/>
      <c r="N67" s="32"/>
      <c r="O67" s="32"/>
      <c r="AC67" t="str">
        <f t="shared" si="24"/>
        <v>1995</v>
      </c>
      <c r="AD67">
        <f t="shared" si="25"/>
        <v>0</v>
      </c>
      <c r="AE67" t="str">
        <f>IF(AND(AQ67=""),"",IF(AQ67=0,"",1+(MAX(AE$60:AE66))))</f>
        <v/>
      </c>
      <c r="AF67" s="85">
        <v>8</v>
      </c>
      <c r="AG67" s="157">
        <f t="shared" si="26"/>
        <v>0</v>
      </c>
      <c r="AH67" s="161">
        <f t="shared" si="27"/>
        <v>0</v>
      </c>
      <c r="AI67" s="161">
        <f t="shared" si="28"/>
        <v>0</v>
      </c>
      <c r="AJ67" s="161">
        <f t="shared" si="29"/>
        <v>0</v>
      </c>
      <c r="AK67" s="161">
        <f t="shared" si="30"/>
        <v>0</v>
      </c>
      <c r="AL67" s="161">
        <f t="shared" si="31"/>
        <v>0</v>
      </c>
      <c r="AM67" s="161">
        <f t="shared" si="32"/>
        <v>0</v>
      </c>
      <c r="AN67" s="161">
        <f t="shared" si="33"/>
        <v>0</v>
      </c>
      <c r="AO67" s="161">
        <f t="shared" si="34"/>
        <v>0</v>
      </c>
      <c r="AP67" s="161">
        <f t="shared" si="35"/>
        <v>0</v>
      </c>
      <c r="AQ67" s="161">
        <f t="shared" si="13"/>
        <v>0</v>
      </c>
      <c r="AR67">
        <f>IF(AND(BD67=""),"",IF(BD67=0,"",1+(MAX(AR$60:AR66))))</f>
        <v>7</v>
      </c>
      <c r="AS67" s="160">
        <v>8</v>
      </c>
      <c r="AT67" s="157" t="str">
        <f t="shared" si="78"/>
        <v>Jh izdk'k pUn</v>
      </c>
      <c r="AU67" s="158" t="str">
        <f t="shared" si="79"/>
        <v>TEACHER-III</v>
      </c>
      <c r="AV67" s="158">
        <f t="shared" si="80"/>
        <v>10</v>
      </c>
      <c r="AW67" s="158">
        <f t="shared" si="81"/>
        <v>41100</v>
      </c>
      <c r="AX67" s="158" t="str">
        <f t="shared" si="82"/>
        <v>RJAJ199506021728</v>
      </c>
      <c r="AY67" s="158">
        <f t="shared" si="83"/>
        <v>479404</v>
      </c>
      <c r="AZ67" s="158" t="str">
        <f t="shared" si="84"/>
        <v>MALE</v>
      </c>
      <c r="BA67" s="158" t="str">
        <f t="shared" si="85"/>
        <v>NO</v>
      </c>
      <c r="BB67" s="158" t="str">
        <f t="shared" si="86"/>
        <v>NO</v>
      </c>
      <c r="BC67" s="158" t="str">
        <f t="shared" si="37"/>
        <v>NON GAZETTED - REGULAR</v>
      </c>
      <c r="BD67" s="161">
        <f t="shared" si="15"/>
        <v>1</v>
      </c>
      <c r="BE67" t="str">
        <f>IF(AND(BQ67=""),"",IF(BQ67=0,"",1+(MAX(BE$60:BE66))))</f>
        <v/>
      </c>
      <c r="BF67" s="85">
        <v>8</v>
      </c>
      <c r="BG67" s="157">
        <f t="shared" si="38"/>
        <v>0</v>
      </c>
      <c r="BH67" s="161">
        <f t="shared" si="39"/>
        <v>0</v>
      </c>
      <c r="BI67" s="161">
        <f t="shared" si="40"/>
        <v>0</v>
      </c>
      <c r="BJ67" s="161">
        <f t="shared" si="41"/>
        <v>0</v>
      </c>
      <c r="BK67" s="161">
        <f t="shared" si="42"/>
        <v>0</v>
      </c>
      <c r="BL67" s="161">
        <f t="shared" si="43"/>
        <v>0</v>
      </c>
      <c r="BM67" s="161">
        <f t="shared" si="44"/>
        <v>0</v>
      </c>
      <c r="BN67" s="161">
        <f t="shared" si="45"/>
        <v>0</v>
      </c>
      <c r="BO67" s="161">
        <f t="shared" si="46"/>
        <v>0</v>
      </c>
      <c r="BP67" s="161">
        <f t="shared" si="47"/>
        <v>0</v>
      </c>
      <c r="BQ67" s="161">
        <f t="shared" si="17"/>
        <v>0</v>
      </c>
      <c r="BR67" t="str">
        <f>IF(AND(CD67=""),"",IF(CD67=0,"",1+(MAX(BR$60:BR66))))</f>
        <v/>
      </c>
      <c r="BS67" s="160">
        <v>8</v>
      </c>
      <c r="BT67" s="157">
        <f t="shared" si="48"/>
        <v>0</v>
      </c>
      <c r="BU67" s="161">
        <f t="shared" si="49"/>
        <v>0</v>
      </c>
      <c r="BV67" s="161">
        <f t="shared" si="50"/>
        <v>0</v>
      </c>
      <c r="BW67" s="161">
        <f t="shared" si="51"/>
        <v>0</v>
      </c>
      <c r="BX67" s="161">
        <f t="shared" si="52"/>
        <v>0</v>
      </c>
      <c r="BY67" s="161">
        <f t="shared" si="53"/>
        <v>0</v>
      </c>
      <c r="BZ67" s="161">
        <f t="shared" si="54"/>
        <v>0</v>
      </c>
      <c r="CA67" s="161">
        <f t="shared" si="55"/>
        <v>0</v>
      </c>
      <c r="CB67" s="161">
        <f t="shared" si="56"/>
        <v>0</v>
      </c>
      <c r="CC67" s="161">
        <f t="shared" si="57"/>
        <v>0</v>
      </c>
      <c r="CD67" s="161">
        <f t="shared" si="19"/>
        <v>0</v>
      </c>
      <c r="CE67" t="str">
        <f>IF(AND(CQ67=""),"",IF(CQ67=0,"",1+(MAX(CE$60:CE66))))</f>
        <v/>
      </c>
      <c r="CF67" s="85">
        <v>8</v>
      </c>
      <c r="CG67" s="157">
        <f t="shared" si="58"/>
        <v>0</v>
      </c>
      <c r="CH67" s="161">
        <f t="shared" si="59"/>
        <v>0</v>
      </c>
      <c r="CI67" s="161">
        <f t="shared" si="60"/>
        <v>0</v>
      </c>
      <c r="CJ67" s="161">
        <f t="shared" si="61"/>
        <v>0</v>
      </c>
      <c r="CK67" s="161">
        <f t="shared" si="62"/>
        <v>0</v>
      </c>
      <c r="CL67" s="161">
        <f t="shared" si="63"/>
        <v>0</v>
      </c>
      <c r="CM67" s="161">
        <f t="shared" si="64"/>
        <v>0</v>
      </c>
      <c r="CN67" s="161">
        <f t="shared" si="65"/>
        <v>0</v>
      </c>
      <c r="CO67" s="161">
        <f t="shared" si="66"/>
        <v>0</v>
      </c>
      <c r="CP67" s="161">
        <f t="shared" si="67"/>
        <v>0</v>
      </c>
      <c r="CQ67" s="161">
        <f t="shared" si="21"/>
        <v>0</v>
      </c>
      <c r="CR67" t="str">
        <f>IF(AND(DD67=""),"",IF(DD67=0,"",1+(MAX(CR$60:CR66))))</f>
        <v/>
      </c>
      <c r="CS67" s="160">
        <v>8</v>
      </c>
      <c r="CT67" s="157">
        <f t="shared" si="68"/>
        <v>0</v>
      </c>
      <c r="CU67" s="161">
        <f t="shared" si="69"/>
        <v>0</v>
      </c>
      <c r="CV67" s="161">
        <f t="shared" si="70"/>
        <v>0</v>
      </c>
      <c r="CW67" s="161">
        <f t="shared" si="71"/>
        <v>0</v>
      </c>
      <c r="CX67" s="161">
        <f t="shared" si="72"/>
        <v>0</v>
      </c>
      <c r="CY67" s="161">
        <f t="shared" si="73"/>
        <v>0</v>
      </c>
      <c r="CZ67" s="161">
        <f t="shared" si="74"/>
        <v>0</v>
      </c>
      <c r="DA67" s="161">
        <f t="shared" si="75"/>
        <v>0</v>
      </c>
      <c r="DB67" s="161">
        <f t="shared" si="76"/>
        <v>0</v>
      </c>
      <c r="DC67" s="161">
        <f t="shared" si="77"/>
        <v>0</v>
      </c>
      <c r="DD67" s="161">
        <f t="shared" si="23"/>
        <v>0</v>
      </c>
    </row>
    <row r="68" spans="1:108" ht="18.75">
      <c r="A68" s="14">
        <v>9</v>
      </c>
      <c r="B68" s="388" t="s">
        <v>712</v>
      </c>
      <c r="C68" s="391" t="s">
        <v>63</v>
      </c>
      <c r="D68" s="383">
        <v>11</v>
      </c>
      <c r="E68" s="384">
        <v>41100</v>
      </c>
      <c r="F68" s="384" t="s">
        <v>55</v>
      </c>
      <c r="G68" s="385">
        <v>479404</v>
      </c>
      <c r="H68" s="384" t="s">
        <v>60</v>
      </c>
      <c r="I68" s="384" t="s">
        <v>57</v>
      </c>
      <c r="J68" s="384" t="s">
        <v>57</v>
      </c>
      <c r="K68" s="387" t="s">
        <v>62</v>
      </c>
      <c r="L68" s="690"/>
      <c r="M68" s="32"/>
      <c r="N68" s="32"/>
      <c r="O68" s="32"/>
      <c r="AC68" t="str">
        <f t="shared" si="24"/>
        <v>1995</v>
      </c>
      <c r="AD68">
        <f t="shared" si="25"/>
        <v>0</v>
      </c>
      <c r="AE68" t="str">
        <f>IF(AND(AQ68=""),"",IF(AQ68=0,"",1+(MAX(AE$60:AE67))))</f>
        <v/>
      </c>
      <c r="AF68" s="85">
        <v>9</v>
      </c>
      <c r="AG68" s="157">
        <f t="shared" si="26"/>
        <v>0</v>
      </c>
      <c r="AH68" s="161">
        <f t="shared" si="27"/>
        <v>0</v>
      </c>
      <c r="AI68" s="161">
        <f t="shared" si="28"/>
        <v>0</v>
      </c>
      <c r="AJ68" s="161">
        <f t="shared" si="29"/>
        <v>0</v>
      </c>
      <c r="AK68" s="161">
        <f t="shared" si="30"/>
        <v>0</v>
      </c>
      <c r="AL68" s="161">
        <f t="shared" si="31"/>
        <v>0</v>
      </c>
      <c r="AM68" s="161">
        <f t="shared" si="32"/>
        <v>0</v>
      </c>
      <c r="AN68" s="161">
        <f t="shared" si="33"/>
        <v>0</v>
      </c>
      <c r="AO68" s="161">
        <f t="shared" si="34"/>
        <v>0</v>
      </c>
      <c r="AP68" s="161">
        <f t="shared" si="35"/>
        <v>0</v>
      </c>
      <c r="AQ68" s="161">
        <f t="shared" si="13"/>
        <v>0</v>
      </c>
      <c r="AR68">
        <f>IF(AND(BD68=""),"",IF(BD68=0,"",1+(MAX(AR$60:AR67))))</f>
        <v>8</v>
      </c>
      <c r="AS68" s="160">
        <v>9</v>
      </c>
      <c r="AT68" s="157" t="str">
        <f t="shared" si="78"/>
        <v>Jherh eerk yokfu;k</v>
      </c>
      <c r="AU68" s="158" t="str">
        <f t="shared" si="79"/>
        <v>TEACHER-III</v>
      </c>
      <c r="AV68" s="158">
        <f t="shared" si="80"/>
        <v>11</v>
      </c>
      <c r="AW68" s="158">
        <f t="shared" si="81"/>
        <v>41100</v>
      </c>
      <c r="AX68" s="158" t="str">
        <f t="shared" si="82"/>
        <v>RJAJ199506021728</v>
      </c>
      <c r="AY68" s="158">
        <f t="shared" si="83"/>
        <v>479404</v>
      </c>
      <c r="AZ68" s="158" t="str">
        <f t="shared" si="84"/>
        <v>FEMALE</v>
      </c>
      <c r="BA68" s="158" t="str">
        <f t="shared" si="85"/>
        <v>NO</v>
      </c>
      <c r="BB68" s="158" t="str">
        <f t="shared" si="86"/>
        <v>NO</v>
      </c>
      <c r="BC68" s="158" t="str">
        <f t="shared" si="37"/>
        <v>NON GAZETTED - REGULAR</v>
      </c>
      <c r="BD68" s="161">
        <f t="shared" si="15"/>
        <v>1</v>
      </c>
      <c r="BE68" t="str">
        <f>IF(AND(BQ68=""),"",IF(BQ68=0,"",1+(MAX(BE$60:BE67))))</f>
        <v/>
      </c>
      <c r="BF68" s="85">
        <v>9</v>
      </c>
      <c r="BG68" s="157">
        <f t="shared" si="38"/>
        <v>0</v>
      </c>
      <c r="BH68" s="161">
        <f t="shared" si="39"/>
        <v>0</v>
      </c>
      <c r="BI68" s="161">
        <f t="shared" si="40"/>
        <v>0</v>
      </c>
      <c r="BJ68" s="161">
        <f t="shared" si="41"/>
        <v>0</v>
      </c>
      <c r="BK68" s="161">
        <f t="shared" si="42"/>
        <v>0</v>
      </c>
      <c r="BL68" s="161">
        <f t="shared" si="43"/>
        <v>0</v>
      </c>
      <c r="BM68" s="161">
        <f t="shared" si="44"/>
        <v>0</v>
      </c>
      <c r="BN68" s="161">
        <f t="shared" si="45"/>
        <v>0</v>
      </c>
      <c r="BO68" s="161">
        <f t="shared" si="46"/>
        <v>0</v>
      </c>
      <c r="BP68" s="161">
        <f t="shared" si="47"/>
        <v>0</v>
      </c>
      <c r="BQ68" s="161">
        <f t="shared" si="17"/>
        <v>0</v>
      </c>
      <c r="BR68" t="str">
        <f>IF(AND(CD68=""),"",IF(CD68=0,"",1+(MAX(BR$60:BR67))))</f>
        <v/>
      </c>
      <c r="BS68" s="160">
        <v>9</v>
      </c>
      <c r="BT68" s="157">
        <f t="shared" si="48"/>
        <v>0</v>
      </c>
      <c r="BU68" s="161">
        <f t="shared" si="49"/>
        <v>0</v>
      </c>
      <c r="BV68" s="161">
        <f t="shared" si="50"/>
        <v>0</v>
      </c>
      <c r="BW68" s="161">
        <f t="shared" si="51"/>
        <v>0</v>
      </c>
      <c r="BX68" s="161">
        <f t="shared" si="52"/>
        <v>0</v>
      </c>
      <c r="BY68" s="161">
        <f t="shared" si="53"/>
        <v>0</v>
      </c>
      <c r="BZ68" s="161">
        <f t="shared" si="54"/>
        <v>0</v>
      </c>
      <c r="CA68" s="161">
        <f t="shared" si="55"/>
        <v>0</v>
      </c>
      <c r="CB68" s="161">
        <f t="shared" si="56"/>
        <v>0</v>
      </c>
      <c r="CC68" s="161">
        <f t="shared" si="57"/>
        <v>0</v>
      </c>
      <c r="CD68" s="161">
        <f t="shared" si="19"/>
        <v>0</v>
      </c>
      <c r="CE68" t="str">
        <f>IF(AND(CQ68=""),"",IF(CQ68=0,"",1+(MAX(CE$60:CE67))))</f>
        <v/>
      </c>
      <c r="CF68" s="85">
        <v>9</v>
      </c>
      <c r="CG68" s="157">
        <f t="shared" si="58"/>
        <v>0</v>
      </c>
      <c r="CH68" s="161">
        <f t="shared" si="59"/>
        <v>0</v>
      </c>
      <c r="CI68" s="161">
        <f t="shared" si="60"/>
        <v>0</v>
      </c>
      <c r="CJ68" s="161">
        <f t="shared" si="61"/>
        <v>0</v>
      </c>
      <c r="CK68" s="161">
        <f t="shared" si="62"/>
        <v>0</v>
      </c>
      <c r="CL68" s="161">
        <f t="shared" si="63"/>
        <v>0</v>
      </c>
      <c r="CM68" s="161">
        <f t="shared" si="64"/>
        <v>0</v>
      </c>
      <c r="CN68" s="161">
        <f t="shared" si="65"/>
        <v>0</v>
      </c>
      <c r="CO68" s="161">
        <f t="shared" si="66"/>
        <v>0</v>
      </c>
      <c r="CP68" s="161">
        <f t="shared" si="67"/>
        <v>0</v>
      </c>
      <c r="CQ68" s="161">
        <f t="shared" si="21"/>
        <v>0</v>
      </c>
      <c r="CR68" t="str">
        <f>IF(AND(DD68=""),"",IF(DD68=0,"",1+(MAX(CR$60:CR67))))</f>
        <v/>
      </c>
      <c r="CS68" s="85">
        <v>9</v>
      </c>
      <c r="CT68" s="157">
        <f t="shared" si="68"/>
        <v>0</v>
      </c>
      <c r="CU68" s="161">
        <f t="shared" si="69"/>
        <v>0</v>
      </c>
      <c r="CV68" s="161">
        <f t="shared" si="70"/>
        <v>0</v>
      </c>
      <c r="CW68" s="161">
        <f t="shared" si="71"/>
        <v>0</v>
      </c>
      <c r="CX68" s="161">
        <f t="shared" si="72"/>
        <v>0</v>
      </c>
      <c r="CY68" s="161">
        <f t="shared" si="73"/>
        <v>0</v>
      </c>
      <c r="CZ68" s="161">
        <f t="shared" si="74"/>
        <v>0</v>
      </c>
      <c r="DA68" s="161">
        <f t="shared" si="75"/>
        <v>0</v>
      </c>
      <c r="DB68" s="161">
        <f t="shared" si="76"/>
        <v>0</v>
      </c>
      <c r="DC68" s="161">
        <f t="shared" si="77"/>
        <v>0</v>
      </c>
      <c r="DD68" s="161">
        <f t="shared" si="23"/>
        <v>0</v>
      </c>
    </row>
    <row r="69" spans="1:108" ht="18.75">
      <c r="A69" s="14">
        <v>10</v>
      </c>
      <c r="B69" s="388" t="s">
        <v>713</v>
      </c>
      <c r="C69" s="391" t="s">
        <v>63</v>
      </c>
      <c r="D69" s="383">
        <v>10</v>
      </c>
      <c r="E69" s="384">
        <v>41100</v>
      </c>
      <c r="F69" s="384" t="s">
        <v>55</v>
      </c>
      <c r="G69" s="385">
        <v>479404</v>
      </c>
      <c r="H69" s="384" t="s">
        <v>56</v>
      </c>
      <c r="I69" s="384" t="s">
        <v>57</v>
      </c>
      <c r="J69" s="384" t="s">
        <v>57</v>
      </c>
      <c r="K69" s="387" t="s">
        <v>62</v>
      </c>
      <c r="L69" s="690"/>
      <c r="M69" s="32"/>
      <c r="N69" s="32"/>
      <c r="O69" s="32"/>
      <c r="AC69" t="str">
        <f t="shared" si="24"/>
        <v>1995</v>
      </c>
      <c r="AD69">
        <f t="shared" si="25"/>
        <v>0</v>
      </c>
      <c r="AE69" t="str">
        <f>IF(AND(AQ69=""),"",IF(AQ69=0,"",1+(MAX(AE$60:AE68))))</f>
        <v/>
      </c>
      <c r="AF69" s="85">
        <v>10</v>
      </c>
      <c r="AG69" s="157">
        <f t="shared" si="26"/>
        <v>0</v>
      </c>
      <c r="AH69" s="161">
        <f t="shared" si="27"/>
        <v>0</v>
      </c>
      <c r="AI69" s="161">
        <f t="shared" si="28"/>
        <v>0</v>
      </c>
      <c r="AJ69" s="161">
        <f t="shared" si="29"/>
        <v>0</v>
      </c>
      <c r="AK69" s="161">
        <f t="shared" si="30"/>
        <v>0</v>
      </c>
      <c r="AL69" s="161">
        <f t="shared" si="31"/>
        <v>0</v>
      </c>
      <c r="AM69" s="161">
        <f t="shared" si="32"/>
        <v>0</v>
      </c>
      <c r="AN69" s="161">
        <f t="shared" si="33"/>
        <v>0</v>
      </c>
      <c r="AO69" s="161">
        <f t="shared" si="34"/>
        <v>0</v>
      </c>
      <c r="AP69" s="161">
        <f t="shared" si="35"/>
        <v>0</v>
      </c>
      <c r="AQ69" s="161">
        <f t="shared" si="13"/>
        <v>0</v>
      </c>
      <c r="AR69">
        <f>IF(AND(BD69=""),"",IF(BD69=0,"",1+(MAX(AR$60:AR68))))</f>
        <v>9</v>
      </c>
      <c r="AS69" s="160">
        <v>10</v>
      </c>
      <c r="AT69" s="157" t="str">
        <f t="shared" si="78"/>
        <v>Jh lEirjkt</v>
      </c>
      <c r="AU69" s="158" t="str">
        <f t="shared" si="79"/>
        <v>TEACHER-III</v>
      </c>
      <c r="AV69" s="158">
        <f t="shared" si="80"/>
        <v>10</v>
      </c>
      <c r="AW69" s="158">
        <f t="shared" si="81"/>
        <v>41100</v>
      </c>
      <c r="AX69" s="158" t="str">
        <f t="shared" si="82"/>
        <v>RJAJ199506021728</v>
      </c>
      <c r="AY69" s="158">
        <f t="shared" si="83"/>
        <v>479404</v>
      </c>
      <c r="AZ69" s="158" t="str">
        <f t="shared" si="84"/>
        <v>MALE</v>
      </c>
      <c r="BA69" s="158" t="str">
        <f t="shared" si="85"/>
        <v>NO</v>
      </c>
      <c r="BB69" s="158" t="str">
        <f t="shared" si="86"/>
        <v>NO</v>
      </c>
      <c r="BC69" s="158" t="str">
        <f t="shared" si="37"/>
        <v>NON GAZETTED - REGULAR</v>
      </c>
      <c r="BD69" s="161">
        <f t="shared" si="15"/>
        <v>1</v>
      </c>
      <c r="BE69" t="str">
        <f>IF(AND(BQ69=""),"",IF(BQ69=0,"",1+(MAX(BE$60:BE68))))</f>
        <v/>
      </c>
      <c r="BF69" s="85">
        <v>10</v>
      </c>
      <c r="BG69" s="157">
        <f t="shared" si="38"/>
        <v>0</v>
      </c>
      <c r="BH69" s="161">
        <f t="shared" si="39"/>
        <v>0</v>
      </c>
      <c r="BI69" s="161">
        <f t="shared" si="40"/>
        <v>0</v>
      </c>
      <c r="BJ69" s="161">
        <f t="shared" si="41"/>
        <v>0</v>
      </c>
      <c r="BK69" s="161">
        <f t="shared" si="42"/>
        <v>0</v>
      </c>
      <c r="BL69" s="161">
        <f t="shared" si="43"/>
        <v>0</v>
      </c>
      <c r="BM69" s="161">
        <f t="shared" si="44"/>
        <v>0</v>
      </c>
      <c r="BN69" s="161">
        <f t="shared" si="45"/>
        <v>0</v>
      </c>
      <c r="BO69" s="161">
        <f t="shared" si="46"/>
        <v>0</v>
      </c>
      <c r="BP69" s="161">
        <f t="shared" si="47"/>
        <v>0</v>
      </c>
      <c r="BQ69" s="161">
        <f t="shared" si="17"/>
        <v>0</v>
      </c>
      <c r="BR69" t="str">
        <f>IF(AND(CD69=""),"",IF(CD69=0,"",1+(MAX(BR$60:BR68))))</f>
        <v/>
      </c>
      <c r="BS69" s="160">
        <v>10</v>
      </c>
      <c r="BT69" s="157">
        <f t="shared" si="48"/>
        <v>0</v>
      </c>
      <c r="BU69" s="161">
        <f t="shared" si="49"/>
        <v>0</v>
      </c>
      <c r="BV69" s="161">
        <f t="shared" si="50"/>
        <v>0</v>
      </c>
      <c r="BW69" s="161">
        <f t="shared" si="51"/>
        <v>0</v>
      </c>
      <c r="BX69" s="161">
        <f t="shared" si="52"/>
        <v>0</v>
      </c>
      <c r="BY69" s="161">
        <f t="shared" si="53"/>
        <v>0</v>
      </c>
      <c r="BZ69" s="161">
        <f t="shared" si="54"/>
        <v>0</v>
      </c>
      <c r="CA69" s="161">
        <f t="shared" si="55"/>
        <v>0</v>
      </c>
      <c r="CB69" s="161">
        <f t="shared" si="56"/>
        <v>0</v>
      </c>
      <c r="CC69" s="161">
        <f t="shared" si="57"/>
        <v>0</v>
      </c>
      <c r="CD69" s="161">
        <f t="shared" si="19"/>
        <v>0</v>
      </c>
      <c r="CE69" t="str">
        <f>IF(AND(CQ69=""),"",IF(CQ69=0,"",1+(MAX(CE$60:CE68))))</f>
        <v/>
      </c>
      <c r="CF69" s="85">
        <v>10</v>
      </c>
      <c r="CG69" s="157">
        <f t="shared" si="58"/>
        <v>0</v>
      </c>
      <c r="CH69" s="161">
        <f t="shared" si="59"/>
        <v>0</v>
      </c>
      <c r="CI69" s="161">
        <f t="shared" si="60"/>
        <v>0</v>
      </c>
      <c r="CJ69" s="161">
        <f t="shared" si="61"/>
        <v>0</v>
      </c>
      <c r="CK69" s="161">
        <f t="shared" si="62"/>
        <v>0</v>
      </c>
      <c r="CL69" s="161">
        <f t="shared" si="63"/>
        <v>0</v>
      </c>
      <c r="CM69" s="161">
        <f t="shared" si="64"/>
        <v>0</v>
      </c>
      <c r="CN69" s="161">
        <f t="shared" si="65"/>
        <v>0</v>
      </c>
      <c r="CO69" s="161">
        <f t="shared" si="66"/>
        <v>0</v>
      </c>
      <c r="CP69" s="161">
        <f t="shared" si="67"/>
        <v>0</v>
      </c>
      <c r="CQ69" s="161">
        <f t="shared" si="21"/>
        <v>0</v>
      </c>
      <c r="CR69" t="str">
        <f>IF(AND(DD69=""),"",IF(DD69=0,"",1+(MAX(CR$60:CR68))))</f>
        <v/>
      </c>
      <c r="CS69" s="160">
        <v>10</v>
      </c>
      <c r="CT69" s="157">
        <f t="shared" si="68"/>
        <v>0</v>
      </c>
      <c r="CU69" s="161">
        <f t="shared" si="69"/>
        <v>0</v>
      </c>
      <c r="CV69" s="161">
        <f t="shared" si="70"/>
        <v>0</v>
      </c>
      <c r="CW69" s="161">
        <f t="shared" si="71"/>
        <v>0</v>
      </c>
      <c r="CX69" s="161">
        <f t="shared" si="72"/>
        <v>0</v>
      </c>
      <c r="CY69" s="161">
        <f t="shared" si="73"/>
        <v>0</v>
      </c>
      <c r="CZ69" s="161">
        <f t="shared" si="74"/>
        <v>0</v>
      </c>
      <c r="DA69" s="161">
        <f t="shared" si="75"/>
        <v>0</v>
      </c>
      <c r="DB69" s="161">
        <f t="shared" si="76"/>
        <v>0</v>
      </c>
      <c r="DC69" s="161">
        <f t="shared" si="77"/>
        <v>0</v>
      </c>
      <c r="DD69" s="161">
        <f t="shared" si="23"/>
        <v>0</v>
      </c>
    </row>
    <row r="70" spans="1:108" ht="18.75">
      <c r="A70" s="14">
        <v>11</v>
      </c>
      <c r="B70" s="388" t="s">
        <v>714</v>
      </c>
      <c r="C70" s="391" t="s">
        <v>63</v>
      </c>
      <c r="D70" s="383">
        <v>10</v>
      </c>
      <c r="E70" s="384">
        <v>41100</v>
      </c>
      <c r="F70" s="384" t="s">
        <v>55</v>
      </c>
      <c r="G70" s="385">
        <v>111002730880</v>
      </c>
      <c r="H70" s="384" t="s">
        <v>56</v>
      </c>
      <c r="I70" s="384" t="s">
        <v>57</v>
      </c>
      <c r="J70" s="384" t="s">
        <v>57</v>
      </c>
      <c r="K70" s="387" t="s">
        <v>62</v>
      </c>
      <c r="L70" s="690"/>
      <c r="M70" s="32"/>
      <c r="N70" s="32"/>
      <c r="O70" s="32"/>
      <c r="AC70" t="str">
        <f t="shared" si="24"/>
        <v>1995</v>
      </c>
      <c r="AD70">
        <f t="shared" si="25"/>
        <v>0</v>
      </c>
      <c r="AE70" t="str">
        <f>IF(AND(AQ70=""),"",IF(AQ70=0,"",1+(MAX(AE$60:AE69))))</f>
        <v/>
      </c>
      <c r="AF70" s="85">
        <v>11</v>
      </c>
      <c r="AG70" s="157">
        <f t="shared" si="26"/>
        <v>0</v>
      </c>
      <c r="AH70" s="161">
        <f t="shared" si="27"/>
        <v>0</v>
      </c>
      <c r="AI70" s="161">
        <f t="shared" si="28"/>
        <v>0</v>
      </c>
      <c r="AJ70" s="161">
        <f t="shared" si="29"/>
        <v>0</v>
      </c>
      <c r="AK70" s="161">
        <f t="shared" si="30"/>
        <v>0</v>
      </c>
      <c r="AL70" s="161">
        <f t="shared" si="31"/>
        <v>0</v>
      </c>
      <c r="AM70" s="161">
        <f t="shared" si="32"/>
        <v>0</v>
      </c>
      <c r="AN70" s="161">
        <f t="shared" si="33"/>
        <v>0</v>
      </c>
      <c r="AO70" s="161">
        <f t="shared" si="34"/>
        <v>0</v>
      </c>
      <c r="AP70" s="161">
        <f t="shared" si="35"/>
        <v>0</v>
      </c>
      <c r="AQ70" s="161">
        <f t="shared" si="13"/>
        <v>0</v>
      </c>
      <c r="AR70">
        <f>IF(AND(BD70=""),"",IF(BD70=0,"",1+(MAX(AR$60:AR69))))</f>
        <v>10</v>
      </c>
      <c r="AS70" s="160">
        <v>11</v>
      </c>
      <c r="AT70" s="157" t="str">
        <f t="shared" si="78"/>
        <v>Jh eukst ikpksjh</v>
      </c>
      <c r="AU70" s="158" t="str">
        <f t="shared" si="79"/>
        <v>TEACHER-III</v>
      </c>
      <c r="AV70" s="158">
        <f t="shared" si="80"/>
        <v>10</v>
      </c>
      <c r="AW70" s="158">
        <f t="shared" si="81"/>
        <v>41100</v>
      </c>
      <c r="AX70" s="158" t="str">
        <f t="shared" si="82"/>
        <v>RJAJ199506021728</v>
      </c>
      <c r="AY70" s="158">
        <f t="shared" si="83"/>
        <v>111002730880</v>
      </c>
      <c r="AZ70" s="158" t="str">
        <f t="shared" si="84"/>
        <v>MALE</v>
      </c>
      <c r="BA70" s="158" t="str">
        <f t="shared" si="85"/>
        <v>NO</v>
      </c>
      <c r="BB70" s="158" t="str">
        <f t="shared" si="86"/>
        <v>NO</v>
      </c>
      <c r="BC70" s="158" t="str">
        <f t="shared" si="37"/>
        <v>NON GAZETTED - REGULAR</v>
      </c>
      <c r="BD70" s="161">
        <f t="shared" si="15"/>
        <v>1</v>
      </c>
      <c r="BE70" t="str">
        <f>IF(AND(BQ70=""),"",IF(BQ70=0,"",1+(MAX(BE$60:BE69))))</f>
        <v/>
      </c>
      <c r="BF70" s="85">
        <v>11</v>
      </c>
      <c r="BG70" s="157">
        <f t="shared" si="38"/>
        <v>0</v>
      </c>
      <c r="BH70" s="161">
        <f t="shared" si="39"/>
        <v>0</v>
      </c>
      <c r="BI70" s="161">
        <f t="shared" si="40"/>
        <v>0</v>
      </c>
      <c r="BJ70" s="161">
        <f t="shared" si="41"/>
        <v>0</v>
      </c>
      <c r="BK70" s="161">
        <f t="shared" si="42"/>
        <v>0</v>
      </c>
      <c r="BL70" s="161">
        <f t="shared" si="43"/>
        <v>0</v>
      </c>
      <c r="BM70" s="161">
        <f t="shared" si="44"/>
        <v>0</v>
      </c>
      <c r="BN70" s="161">
        <f t="shared" si="45"/>
        <v>0</v>
      </c>
      <c r="BO70" s="161">
        <f t="shared" si="46"/>
        <v>0</v>
      </c>
      <c r="BP70" s="161">
        <f t="shared" si="47"/>
        <v>0</v>
      </c>
      <c r="BQ70" s="161">
        <f t="shared" si="17"/>
        <v>0</v>
      </c>
      <c r="BR70" t="str">
        <f>IF(AND(CD70=""),"",IF(CD70=0,"",1+(MAX(BR$60:BR69))))</f>
        <v/>
      </c>
      <c r="BS70" s="160">
        <v>11</v>
      </c>
      <c r="BT70" s="157">
        <f t="shared" si="48"/>
        <v>0</v>
      </c>
      <c r="BU70" s="161">
        <f t="shared" si="49"/>
        <v>0</v>
      </c>
      <c r="BV70" s="161">
        <f t="shared" si="50"/>
        <v>0</v>
      </c>
      <c r="BW70" s="161">
        <f t="shared" si="51"/>
        <v>0</v>
      </c>
      <c r="BX70" s="161">
        <f t="shared" si="52"/>
        <v>0</v>
      </c>
      <c r="BY70" s="161">
        <f t="shared" si="53"/>
        <v>0</v>
      </c>
      <c r="BZ70" s="161">
        <f t="shared" si="54"/>
        <v>0</v>
      </c>
      <c r="CA70" s="161">
        <f t="shared" si="55"/>
        <v>0</v>
      </c>
      <c r="CB70" s="161">
        <f t="shared" si="56"/>
        <v>0</v>
      </c>
      <c r="CC70" s="161">
        <f t="shared" si="57"/>
        <v>0</v>
      </c>
      <c r="CD70" s="161">
        <f t="shared" si="19"/>
        <v>0</v>
      </c>
      <c r="CE70" t="str">
        <f>IF(AND(CQ70=""),"",IF(CQ70=0,"",1+(MAX(CE$60:CE69))))</f>
        <v/>
      </c>
      <c r="CF70" s="85">
        <v>11</v>
      </c>
      <c r="CG70" s="157">
        <f t="shared" si="58"/>
        <v>0</v>
      </c>
      <c r="CH70" s="161">
        <f t="shared" si="59"/>
        <v>0</v>
      </c>
      <c r="CI70" s="161">
        <f t="shared" si="60"/>
        <v>0</v>
      </c>
      <c r="CJ70" s="161">
        <f t="shared" si="61"/>
        <v>0</v>
      </c>
      <c r="CK70" s="161">
        <f t="shared" si="62"/>
        <v>0</v>
      </c>
      <c r="CL70" s="161">
        <f t="shared" si="63"/>
        <v>0</v>
      </c>
      <c r="CM70" s="161">
        <f t="shared" si="64"/>
        <v>0</v>
      </c>
      <c r="CN70" s="161">
        <f t="shared" si="65"/>
        <v>0</v>
      </c>
      <c r="CO70" s="161">
        <f t="shared" si="66"/>
        <v>0</v>
      </c>
      <c r="CP70" s="161">
        <f t="shared" si="67"/>
        <v>0</v>
      </c>
      <c r="CQ70" s="161">
        <f t="shared" si="21"/>
        <v>0</v>
      </c>
      <c r="CR70" t="str">
        <f>IF(AND(DD70=""),"",IF(DD70=0,"",1+(MAX(CR$60:CR69))))</f>
        <v/>
      </c>
      <c r="CS70" s="85">
        <v>11</v>
      </c>
      <c r="CT70" s="157">
        <f t="shared" si="68"/>
        <v>0</v>
      </c>
      <c r="CU70" s="161">
        <f t="shared" si="69"/>
        <v>0</v>
      </c>
      <c r="CV70" s="161">
        <f t="shared" si="70"/>
        <v>0</v>
      </c>
      <c r="CW70" s="161">
        <f t="shared" si="71"/>
        <v>0</v>
      </c>
      <c r="CX70" s="161">
        <f t="shared" si="72"/>
        <v>0</v>
      </c>
      <c r="CY70" s="161">
        <f t="shared" si="73"/>
        <v>0</v>
      </c>
      <c r="CZ70" s="161">
        <f t="shared" si="74"/>
        <v>0</v>
      </c>
      <c r="DA70" s="161">
        <f t="shared" si="75"/>
        <v>0</v>
      </c>
      <c r="DB70" s="161">
        <f t="shared" si="76"/>
        <v>0</v>
      </c>
      <c r="DC70" s="161">
        <f t="shared" si="77"/>
        <v>0</v>
      </c>
      <c r="DD70" s="161">
        <f t="shared" si="23"/>
        <v>0</v>
      </c>
    </row>
    <row r="71" spans="1:108" ht="18.75">
      <c r="A71" s="14">
        <v>12</v>
      </c>
      <c r="B71" s="388" t="s">
        <v>715</v>
      </c>
      <c r="C71" s="391" t="s">
        <v>63</v>
      </c>
      <c r="D71" s="383">
        <v>10</v>
      </c>
      <c r="E71" s="384">
        <v>41100</v>
      </c>
      <c r="F71" s="384" t="s">
        <v>55</v>
      </c>
      <c r="G71" s="385">
        <v>1057886</v>
      </c>
      <c r="H71" s="384" t="s">
        <v>56</v>
      </c>
      <c r="I71" s="384" t="s">
        <v>57</v>
      </c>
      <c r="J71" s="384" t="s">
        <v>57</v>
      </c>
      <c r="K71" s="387" t="s">
        <v>62</v>
      </c>
      <c r="L71" s="690"/>
      <c r="M71" s="32"/>
      <c r="N71" s="32"/>
      <c r="O71" s="32"/>
      <c r="AC71" t="str">
        <f t="shared" si="24"/>
        <v>1995</v>
      </c>
      <c r="AD71">
        <f t="shared" si="25"/>
        <v>0</v>
      </c>
      <c r="AE71" t="str">
        <f>IF(AND(AQ71=""),"",IF(AQ71=0,"",1+(MAX(AE$60:AE70))))</f>
        <v/>
      </c>
      <c r="AF71" s="85">
        <v>12</v>
      </c>
      <c r="AG71" s="157">
        <f t="shared" si="26"/>
        <v>0</v>
      </c>
      <c r="AH71" s="161">
        <f t="shared" si="27"/>
        <v>0</v>
      </c>
      <c r="AI71" s="161">
        <f t="shared" si="28"/>
        <v>0</v>
      </c>
      <c r="AJ71" s="161">
        <f t="shared" si="29"/>
        <v>0</v>
      </c>
      <c r="AK71" s="161">
        <f t="shared" si="30"/>
        <v>0</v>
      </c>
      <c r="AL71" s="161">
        <f t="shared" si="31"/>
        <v>0</v>
      </c>
      <c r="AM71" s="161">
        <f t="shared" si="32"/>
        <v>0</v>
      </c>
      <c r="AN71" s="161">
        <f t="shared" si="33"/>
        <v>0</v>
      </c>
      <c r="AO71" s="161">
        <f t="shared" si="34"/>
        <v>0</v>
      </c>
      <c r="AP71" s="161">
        <f t="shared" si="35"/>
        <v>0</v>
      </c>
      <c r="AQ71" s="161">
        <f t="shared" si="13"/>
        <v>0</v>
      </c>
      <c r="AR71">
        <f>IF(AND(BD71=""),"",IF(BD71=0,"",1+(MAX(AR$60:AR70))))</f>
        <v>11</v>
      </c>
      <c r="AS71" s="160">
        <v>12</v>
      </c>
      <c r="AT71" s="157" t="str">
        <f t="shared" si="78"/>
        <v>Jh iznhiflag</v>
      </c>
      <c r="AU71" s="158" t="str">
        <f t="shared" si="79"/>
        <v>TEACHER-III</v>
      </c>
      <c r="AV71" s="158">
        <f t="shared" si="80"/>
        <v>10</v>
      </c>
      <c r="AW71" s="158">
        <f t="shared" si="81"/>
        <v>41100</v>
      </c>
      <c r="AX71" s="158" t="str">
        <f t="shared" si="82"/>
        <v>RJAJ199506021728</v>
      </c>
      <c r="AY71" s="158">
        <f t="shared" si="83"/>
        <v>1057886</v>
      </c>
      <c r="AZ71" s="158" t="str">
        <f t="shared" si="84"/>
        <v>MALE</v>
      </c>
      <c r="BA71" s="158" t="str">
        <f t="shared" si="85"/>
        <v>NO</v>
      </c>
      <c r="BB71" s="158" t="str">
        <f t="shared" si="86"/>
        <v>NO</v>
      </c>
      <c r="BC71" s="158" t="str">
        <f t="shared" si="37"/>
        <v>NON GAZETTED - REGULAR</v>
      </c>
      <c r="BD71" s="161">
        <f t="shared" si="15"/>
        <v>1</v>
      </c>
      <c r="BE71" t="str">
        <f>IF(AND(BQ71=""),"",IF(BQ71=0,"",1+(MAX(BE$60:BE70))))</f>
        <v/>
      </c>
      <c r="BF71" s="85">
        <v>12</v>
      </c>
      <c r="BG71" s="157">
        <f t="shared" si="38"/>
        <v>0</v>
      </c>
      <c r="BH71" s="161">
        <f t="shared" si="39"/>
        <v>0</v>
      </c>
      <c r="BI71" s="161">
        <f t="shared" si="40"/>
        <v>0</v>
      </c>
      <c r="BJ71" s="161">
        <f t="shared" si="41"/>
        <v>0</v>
      </c>
      <c r="BK71" s="161">
        <f t="shared" si="42"/>
        <v>0</v>
      </c>
      <c r="BL71" s="161">
        <f t="shared" si="43"/>
        <v>0</v>
      </c>
      <c r="BM71" s="161">
        <f t="shared" si="44"/>
        <v>0</v>
      </c>
      <c r="BN71" s="161">
        <f t="shared" si="45"/>
        <v>0</v>
      </c>
      <c r="BO71" s="161">
        <f t="shared" si="46"/>
        <v>0</v>
      </c>
      <c r="BP71" s="161">
        <f t="shared" si="47"/>
        <v>0</v>
      </c>
      <c r="BQ71" s="161">
        <f t="shared" si="17"/>
        <v>0</v>
      </c>
      <c r="BR71" t="str">
        <f>IF(AND(CD71=""),"",IF(CD71=0,"",1+(MAX(BR$60:BR70))))</f>
        <v/>
      </c>
      <c r="BS71" s="160">
        <v>12</v>
      </c>
      <c r="BT71" s="157">
        <f t="shared" si="48"/>
        <v>0</v>
      </c>
      <c r="BU71" s="161">
        <f t="shared" si="49"/>
        <v>0</v>
      </c>
      <c r="BV71" s="161">
        <f t="shared" si="50"/>
        <v>0</v>
      </c>
      <c r="BW71" s="161">
        <f t="shared" si="51"/>
        <v>0</v>
      </c>
      <c r="BX71" s="161">
        <f t="shared" si="52"/>
        <v>0</v>
      </c>
      <c r="BY71" s="161">
        <f t="shared" si="53"/>
        <v>0</v>
      </c>
      <c r="BZ71" s="161">
        <f t="shared" si="54"/>
        <v>0</v>
      </c>
      <c r="CA71" s="161">
        <f t="shared" si="55"/>
        <v>0</v>
      </c>
      <c r="CB71" s="161">
        <f t="shared" si="56"/>
        <v>0</v>
      </c>
      <c r="CC71" s="161">
        <f t="shared" si="57"/>
        <v>0</v>
      </c>
      <c r="CD71" s="161">
        <f t="shared" si="19"/>
        <v>0</v>
      </c>
      <c r="CE71" t="str">
        <f>IF(AND(CQ71=""),"",IF(CQ71=0,"",1+(MAX(CE$60:CE70))))</f>
        <v/>
      </c>
      <c r="CF71" s="85">
        <v>12</v>
      </c>
      <c r="CG71" s="157">
        <f t="shared" si="58"/>
        <v>0</v>
      </c>
      <c r="CH71" s="161">
        <f t="shared" si="59"/>
        <v>0</v>
      </c>
      <c r="CI71" s="161">
        <f t="shared" si="60"/>
        <v>0</v>
      </c>
      <c r="CJ71" s="161">
        <f t="shared" si="61"/>
        <v>0</v>
      </c>
      <c r="CK71" s="161">
        <f t="shared" si="62"/>
        <v>0</v>
      </c>
      <c r="CL71" s="161">
        <f t="shared" si="63"/>
        <v>0</v>
      </c>
      <c r="CM71" s="161">
        <f t="shared" si="64"/>
        <v>0</v>
      </c>
      <c r="CN71" s="161">
        <f t="shared" si="65"/>
        <v>0</v>
      </c>
      <c r="CO71" s="161">
        <f t="shared" si="66"/>
        <v>0</v>
      </c>
      <c r="CP71" s="161">
        <f t="shared" si="67"/>
        <v>0</v>
      </c>
      <c r="CQ71" s="161">
        <f t="shared" si="21"/>
        <v>0</v>
      </c>
      <c r="CR71" t="str">
        <f>IF(AND(DD71=""),"",IF(DD71=0,"",1+(MAX(CR$60:CR70))))</f>
        <v/>
      </c>
      <c r="CS71" s="160">
        <v>12</v>
      </c>
      <c r="CT71" s="157">
        <f t="shared" si="68"/>
        <v>0</v>
      </c>
      <c r="CU71" s="161">
        <f t="shared" si="69"/>
        <v>0</v>
      </c>
      <c r="CV71" s="161">
        <f t="shared" si="70"/>
        <v>0</v>
      </c>
      <c r="CW71" s="161">
        <f t="shared" si="71"/>
        <v>0</v>
      </c>
      <c r="CX71" s="161">
        <f t="shared" si="72"/>
        <v>0</v>
      </c>
      <c r="CY71" s="161">
        <f t="shared" si="73"/>
        <v>0</v>
      </c>
      <c r="CZ71" s="161">
        <f t="shared" si="74"/>
        <v>0</v>
      </c>
      <c r="DA71" s="161">
        <f t="shared" si="75"/>
        <v>0</v>
      </c>
      <c r="DB71" s="161">
        <f t="shared" si="76"/>
        <v>0</v>
      </c>
      <c r="DC71" s="161">
        <f t="shared" si="77"/>
        <v>0</v>
      </c>
      <c r="DD71" s="161">
        <f t="shared" si="23"/>
        <v>0</v>
      </c>
    </row>
    <row r="72" spans="1:108" ht="18.75">
      <c r="A72" s="14">
        <v>13</v>
      </c>
      <c r="B72" s="388" t="s">
        <v>716</v>
      </c>
      <c r="C72" s="391" t="s">
        <v>63</v>
      </c>
      <c r="D72" s="383">
        <v>10</v>
      </c>
      <c r="E72" s="384">
        <v>41100</v>
      </c>
      <c r="F72" s="384" t="s">
        <v>55</v>
      </c>
      <c r="G72" s="385">
        <v>1057886</v>
      </c>
      <c r="H72" s="384" t="s">
        <v>56</v>
      </c>
      <c r="I72" s="384" t="s">
        <v>57</v>
      </c>
      <c r="J72" s="384" t="s">
        <v>57</v>
      </c>
      <c r="K72" s="387" t="s">
        <v>62</v>
      </c>
      <c r="L72" s="690"/>
      <c r="M72" s="32"/>
      <c r="N72" s="32"/>
      <c r="O72" s="32"/>
      <c r="AC72" t="str">
        <f t="shared" si="24"/>
        <v>1995</v>
      </c>
      <c r="AD72">
        <f t="shared" si="25"/>
        <v>0</v>
      </c>
      <c r="AE72" t="str">
        <f>IF(AND(AQ72=""),"",IF(AQ72=0,"",1+(MAX(AE$60:AE71))))</f>
        <v/>
      </c>
      <c r="AF72" s="85">
        <v>13</v>
      </c>
      <c r="AG72" s="157">
        <f t="shared" si="26"/>
        <v>0</v>
      </c>
      <c r="AH72" s="161">
        <f t="shared" si="27"/>
        <v>0</v>
      </c>
      <c r="AI72" s="161">
        <f t="shared" si="28"/>
        <v>0</v>
      </c>
      <c r="AJ72" s="161">
        <f t="shared" si="29"/>
        <v>0</v>
      </c>
      <c r="AK72" s="161">
        <f t="shared" si="30"/>
        <v>0</v>
      </c>
      <c r="AL72" s="161">
        <f t="shared" si="31"/>
        <v>0</v>
      </c>
      <c r="AM72" s="161">
        <f t="shared" si="32"/>
        <v>0</v>
      </c>
      <c r="AN72" s="161">
        <f t="shared" si="33"/>
        <v>0</v>
      </c>
      <c r="AO72" s="161">
        <f t="shared" si="34"/>
        <v>0</v>
      </c>
      <c r="AP72" s="161">
        <f t="shared" si="35"/>
        <v>0</v>
      </c>
      <c r="AQ72" s="161">
        <f t="shared" si="13"/>
        <v>0</v>
      </c>
      <c r="AR72">
        <f>IF(AND(BD72=""),"",IF(BD72=0,"",1+(MAX(AR$60:AR71))))</f>
        <v>12</v>
      </c>
      <c r="AS72" s="160">
        <v>13</v>
      </c>
      <c r="AT72" s="157" t="str">
        <f t="shared" si="78"/>
        <v>Jh vfHkeU;q flag</v>
      </c>
      <c r="AU72" s="158" t="str">
        <f t="shared" si="79"/>
        <v>TEACHER-III</v>
      </c>
      <c r="AV72" s="158">
        <f t="shared" si="80"/>
        <v>10</v>
      </c>
      <c r="AW72" s="158">
        <f t="shared" si="81"/>
        <v>41100</v>
      </c>
      <c r="AX72" s="158" t="str">
        <f t="shared" si="82"/>
        <v>RJAJ199506021728</v>
      </c>
      <c r="AY72" s="158">
        <f t="shared" si="83"/>
        <v>1057886</v>
      </c>
      <c r="AZ72" s="158" t="str">
        <f t="shared" si="84"/>
        <v>MALE</v>
      </c>
      <c r="BA72" s="158" t="str">
        <f t="shared" si="85"/>
        <v>NO</v>
      </c>
      <c r="BB72" s="158" t="str">
        <f t="shared" si="86"/>
        <v>NO</v>
      </c>
      <c r="BC72" s="158" t="str">
        <f t="shared" si="37"/>
        <v>NON GAZETTED - REGULAR</v>
      </c>
      <c r="BD72" s="161">
        <f t="shared" si="15"/>
        <v>1</v>
      </c>
      <c r="BE72" t="str">
        <f>IF(AND(BQ72=""),"",IF(BQ72=0,"",1+(MAX(BE$60:BE71))))</f>
        <v/>
      </c>
      <c r="BF72" s="85">
        <v>13</v>
      </c>
      <c r="BG72" s="157">
        <f t="shared" si="38"/>
        <v>0</v>
      </c>
      <c r="BH72" s="161">
        <f t="shared" si="39"/>
        <v>0</v>
      </c>
      <c r="BI72" s="161">
        <f t="shared" si="40"/>
        <v>0</v>
      </c>
      <c r="BJ72" s="161">
        <f t="shared" si="41"/>
        <v>0</v>
      </c>
      <c r="BK72" s="161">
        <f t="shared" si="42"/>
        <v>0</v>
      </c>
      <c r="BL72" s="161">
        <f t="shared" si="43"/>
        <v>0</v>
      </c>
      <c r="BM72" s="161">
        <f t="shared" si="44"/>
        <v>0</v>
      </c>
      <c r="BN72" s="161">
        <f t="shared" si="45"/>
        <v>0</v>
      </c>
      <c r="BO72" s="161">
        <f t="shared" si="46"/>
        <v>0</v>
      </c>
      <c r="BP72" s="161">
        <f t="shared" si="47"/>
        <v>0</v>
      </c>
      <c r="BQ72" s="161">
        <f t="shared" si="17"/>
        <v>0</v>
      </c>
      <c r="BR72" t="str">
        <f>IF(AND(CD72=""),"",IF(CD72=0,"",1+(MAX(BR$60:BR71))))</f>
        <v/>
      </c>
      <c r="BS72" s="160">
        <v>13</v>
      </c>
      <c r="BT72" s="157">
        <f t="shared" si="48"/>
        <v>0</v>
      </c>
      <c r="BU72" s="161">
        <f t="shared" si="49"/>
        <v>0</v>
      </c>
      <c r="BV72" s="161">
        <f t="shared" si="50"/>
        <v>0</v>
      </c>
      <c r="BW72" s="161">
        <f t="shared" si="51"/>
        <v>0</v>
      </c>
      <c r="BX72" s="161">
        <f t="shared" si="52"/>
        <v>0</v>
      </c>
      <c r="BY72" s="161">
        <f t="shared" si="53"/>
        <v>0</v>
      </c>
      <c r="BZ72" s="161">
        <f t="shared" si="54"/>
        <v>0</v>
      </c>
      <c r="CA72" s="161">
        <f t="shared" si="55"/>
        <v>0</v>
      </c>
      <c r="CB72" s="161">
        <f t="shared" si="56"/>
        <v>0</v>
      </c>
      <c r="CC72" s="161">
        <f t="shared" si="57"/>
        <v>0</v>
      </c>
      <c r="CD72" s="161">
        <f t="shared" si="19"/>
        <v>0</v>
      </c>
      <c r="CE72" t="str">
        <f>IF(AND(CQ72=""),"",IF(CQ72=0,"",1+(MAX(CE$60:CE71))))</f>
        <v/>
      </c>
      <c r="CF72" s="85">
        <v>13</v>
      </c>
      <c r="CG72" s="157">
        <f t="shared" si="58"/>
        <v>0</v>
      </c>
      <c r="CH72" s="161">
        <f t="shared" si="59"/>
        <v>0</v>
      </c>
      <c r="CI72" s="161">
        <f t="shared" si="60"/>
        <v>0</v>
      </c>
      <c r="CJ72" s="161">
        <f t="shared" si="61"/>
        <v>0</v>
      </c>
      <c r="CK72" s="161">
        <f t="shared" si="62"/>
        <v>0</v>
      </c>
      <c r="CL72" s="161">
        <f t="shared" si="63"/>
        <v>0</v>
      </c>
      <c r="CM72" s="161">
        <f t="shared" si="64"/>
        <v>0</v>
      </c>
      <c r="CN72" s="161">
        <f t="shared" si="65"/>
        <v>0</v>
      </c>
      <c r="CO72" s="161">
        <f t="shared" si="66"/>
        <v>0</v>
      </c>
      <c r="CP72" s="161">
        <f t="shared" si="67"/>
        <v>0</v>
      </c>
      <c r="CQ72" s="161">
        <f t="shared" si="21"/>
        <v>0</v>
      </c>
      <c r="CR72" t="str">
        <f>IF(AND(DD72=""),"",IF(DD72=0,"",1+(MAX(CR$60:CR71))))</f>
        <v/>
      </c>
      <c r="CS72" s="85">
        <v>13</v>
      </c>
      <c r="CT72" s="157">
        <f t="shared" si="68"/>
        <v>0</v>
      </c>
      <c r="CU72" s="161">
        <f t="shared" si="69"/>
        <v>0</v>
      </c>
      <c r="CV72" s="161">
        <f t="shared" si="70"/>
        <v>0</v>
      </c>
      <c r="CW72" s="161">
        <f t="shared" si="71"/>
        <v>0</v>
      </c>
      <c r="CX72" s="161">
        <f t="shared" si="72"/>
        <v>0</v>
      </c>
      <c r="CY72" s="161">
        <f t="shared" si="73"/>
        <v>0</v>
      </c>
      <c r="CZ72" s="161">
        <f t="shared" si="74"/>
        <v>0</v>
      </c>
      <c r="DA72" s="161">
        <f t="shared" si="75"/>
        <v>0</v>
      </c>
      <c r="DB72" s="161">
        <f t="shared" si="76"/>
        <v>0</v>
      </c>
      <c r="DC72" s="161">
        <f t="shared" si="77"/>
        <v>0</v>
      </c>
      <c r="DD72" s="161">
        <f t="shared" si="23"/>
        <v>0</v>
      </c>
    </row>
    <row r="73" spans="1:108" ht="18.75">
      <c r="A73" s="14">
        <v>14</v>
      </c>
      <c r="B73" s="388" t="s">
        <v>717</v>
      </c>
      <c r="C73" s="391" t="s">
        <v>63</v>
      </c>
      <c r="D73" s="383">
        <v>10</v>
      </c>
      <c r="E73" s="384">
        <v>41100</v>
      </c>
      <c r="F73" s="384" t="s">
        <v>55</v>
      </c>
      <c r="G73" s="385">
        <v>1057886</v>
      </c>
      <c r="H73" s="384" t="s">
        <v>56</v>
      </c>
      <c r="I73" s="384" t="s">
        <v>57</v>
      </c>
      <c r="J73" s="384" t="s">
        <v>57</v>
      </c>
      <c r="K73" s="387" t="s">
        <v>62</v>
      </c>
      <c r="L73" s="690"/>
      <c r="M73" s="32"/>
      <c r="N73" s="32"/>
      <c r="O73" s="32"/>
      <c r="AC73" t="str">
        <f t="shared" si="24"/>
        <v>1995</v>
      </c>
      <c r="AD73">
        <f t="shared" si="25"/>
        <v>0</v>
      </c>
      <c r="AE73" t="str">
        <f>IF(AND(AQ73=""),"",IF(AQ73=0,"",1+(MAX(AE$60:AE72))))</f>
        <v/>
      </c>
      <c r="AF73" s="85">
        <v>14</v>
      </c>
      <c r="AG73" s="157">
        <f t="shared" si="26"/>
        <v>0</v>
      </c>
      <c r="AH73" s="161">
        <f t="shared" si="27"/>
        <v>0</v>
      </c>
      <c r="AI73" s="161">
        <f t="shared" si="28"/>
        <v>0</v>
      </c>
      <c r="AJ73" s="161">
        <f t="shared" si="29"/>
        <v>0</v>
      </c>
      <c r="AK73" s="161">
        <f t="shared" si="30"/>
        <v>0</v>
      </c>
      <c r="AL73" s="161">
        <f t="shared" si="31"/>
        <v>0</v>
      </c>
      <c r="AM73" s="161">
        <f t="shared" si="32"/>
        <v>0</v>
      </c>
      <c r="AN73" s="161">
        <f t="shared" si="33"/>
        <v>0</v>
      </c>
      <c r="AO73" s="161">
        <f t="shared" si="34"/>
        <v>0</v>
      </c>
      <c r="AP73" s="161">
        <f t="shared" si="35"/>
        <v>0</v>
      </c>
      <c r="AQ73" s="161">
        <f t="shared" si="13"/>
        <v>0</v>
      </c>
      <c r="AR73">
        <f>IF(AND(BD73=""),"",IF(BD73=0,"",1+(MAX(AR$60:AR72))))</f>
        <v>13</v>
      </c>
      <c r="AS73" s="160">
        <v>14</v>
      </c>
      <c r="AT73" s="157" t="str">
        <f t="shared" si="78"/>
        <v>Jh iq"isUn toM+k</v>
      </c>
      <c r="AU73" s="158" t="str">
        <f t="shared" si="79"/>
        <v>TEACHER-III</v>
      </c>
      <c r="AV73" s="158">
        <f t="shared" si="80"/>
        <v>10</v>
      </c>
      <c r="AW73" s="158">
        <f t="shared" si="81"/>
        <v>41100</v>
      </c>
      <c r="AX73" s="158" t="str">
        <f t="shared" si="82"/>
        <v>RJAJ199506021728</v>
      </c>
      <c r="AY73" s="158">
        <f t="shared" si="83"/>
        <v>1057886</v>
      </c>
      <c r="AZ73" s="158" t="str">
        <f t="shared" si="84"/>
        <v>MALE</v>
      </c>
      <c r="BA73" s="158" t="str">
        <f t="shared" si="85"/>
        <v>NO</v>
      </c>
      <c r="BB73" s="158" t="str">
        <f t="shared" si="86"/>
        <v>NO</v>
      </c>
      <c r="BC73" s="158" t="str">
        <f t="shared" si="37"/>
        <v>NON GAZETTED - REGULAR</v>
      </c>
      <c r="BD73" s="161">
        <f t="shared" si="15"/>
        <v>1</v>
      </c>
      <c r="BE73" t="str">
        <f>IF(AND(BQ73=""),"",IF(BQ73=0,"",1+(MAX(BE$60:BE72))))</f>
        <v/>
      </c>
      <c r="BF73" s="85">
        <v>14</v>
      </c>
      <c r="BG73" s="157">
        <f t="shared" si="38"/>
        <v>0</v>
      </c>
      <c r="BH73" s="161">
        <f t="shared" si="39"/>
        <v>0</v>
      </c>
      <c r="BI73" s="161">
        <f t="shared" si="40"/>
        <v>0</v>
      </c>
      <c r="BJ73" s="161">
        <f t="shared" si="41"/>
        <v>0</v>
      </c>
      <c r="BK73" s="161">
        <f t="shared" si="42"/>
        <v>0</v>
      </c>
      <c r="BL73" s="161">
        <f t="shared" si="43"/>
        <v>0</v>
      </c>
      <c r="BM73" s="161">
        <f t="shared" si="44"/>
        <v>0</v>
      </c>
      <c r="BN73" s="161">
        <f t="shared" si="45"/>
        <v>0</v>
      </c>
      <c r="BO73" s="161">
        <f t="shared" si="46"/>
        <v>0</v>
      </c>
      <c r="BP73" s="161">
        <f t="shared" si="47"/>
        <v>0</v>
      </c>
      <c r="BQ73" s="161">
        <f t="shared" si="17"/>
        <v>0</v>
      </c>
      <c r="BR73" t="str">
        <f>IF(AND(CD73=""),"",IF(CD73=0,"",1+(MAX(BR$60:BR72))))</f>
        <v/>
      </c>
      <c r="BS73" s="160">
        <v>14</v>
      </c>
      <c r="BT73" s="157">
        <f t="shared" si="48"/>
        <v>0</v>
      </c>
      <c r="BU73" s="161">
        <f t="shared" si="49"/>
        <v>0</v>
      </c>
      <c r="BV73" s="161">
        <f t="shared" si="50"/>
        <v>0</v>
      </c>
      <c r="BW73" s="161">
        <f t="shared" si="51"/>
        <v>0</v>
      </c>
      <c r="BX73" s="161">
        <f t="shared" si="52"/>
        <v>0</v>
      </c>
      <c r="BY73" s="161">
        <f t="shared" si="53"/>
        <v>0</v>
      </c>
      <c r="BZ73" s="161">
        <f t="shared" si="54"/>
        <v>0</v>
      </c>
      <c r="CA73" s="161">
        <f t="shared" si="55"/>
        <v>0</v>
      </c>
      <c r="CB73" s="161">
        <f t="shared" si="56"/>
        <v>0</v>
      </c>
      <c r="CC73" s="161">
        <f t="shared" si="57"/>
        <v>0</v>
      </c>
      <c r="CD73" s="161">
        <f t="shared" si="19"/>
        <v>0</v>
      </c>
      <c r="CE73" t="str">
        <f>IF(AND(CQ73=""),"",IF(CQ73=0,"",1+(MAX(CE$60:CE72))))</f>
        <v/>
      </c>
      <c r="CF73" s="85">
        <v>14</v>
      </c>
      <c r="CG73" s="157">
        <f t="shared" si="58"/>
        <v>0</v>
      </c>
      <c r="CH73" s="161">
        <f t="shared" si="59"/>
        <v>0</v>
      </c>
      <c r="CI73" s="161">
        <f t="shared" si="60"/>
        <v>0</v>
      </c>
      <c r="CJ73" s="161">
        <f t="shared" si="61"/>
        <v>0</v>
      </c>
      <c r="CK73" s="161">
        <f t="shared" si="62"/>
        <v>0</v>
      </c>
      <c r="CL73" s="161">
        <f t="shared" si="63"/>
        <v>0</v>
      </c>
      <c r="CM73" s="161">
        <f t="shared" si="64"/>
        <v>0</v>
      </c>
      <c r="CN73" s="161">
        <f t="shared" si="65"/>
        <v>0</v>
      </c>
      <c r="CO73" s="161">
        <f t="shared" si="66"/>
        <v>0</v>
      </c>
      <c r="CP73" s="161">
        <f t="shared" si="67"/>
        <v>0</v>
      </c>
      <c r="CQ73" s="161">
        <f t="shared" si="21"/>
        <v>0</v>
      </c>
      <c r="CR73" t="str">
        <f>IF(AND(DD73=""),"",IF(DD73=0,"",1+(MAX(CR$60:CR72))))</f>
        <v/>
      </c>
      <c r="CS73" s="160">
        <v>14</v>
      </c>
      <c r="CT73" s="157">
        <f t="shared" si="68"/>
        <v>0</v>
      </c>
      <c r="CU73" s="161">
        <f t="shared" si="69"/>
        <v>0</v>
      </c>
      <c r="CV73" s="161">
        <f t="shared" si="70"/>
        <v>0</v>
      </c>
      <c r="CW73" s="161">
        <f t="shared" si="71"/>
        <v>0</v>
      </c>
      <c r="CX73" s="161">
        <f t="shared" si="72"/>
        <v>0</v>
      </c>
      <c r="CY73" s="161">
        <f t="shared" si="73"/>
        <v>0</v>
      </c>
      <c r="CZ73" s="161">
        <f t="shared" si="74"/>
        <v>0</v>
      </c>
      <c r="DA73" s="161">
        <f t="shared" si="75"/>
        <v>0</v>
      </c>
      <c r="DB73" s="161">
        <f t="shared" si="76"/>
        <v>0</v>
      </c>
      <c r="DC73" s="161">
        <f t="shared" si="77"/>
        <v>0</v>
      </c>
      <c r="DD73" s="161">
        <f t="shared" si="23"/>
        <v>0</v>
      </c>
    </row>
    <row r="74" spans="1:108" ht="18.75">
      <c r="A74" s="14">
        <v>15</v>
      </c>
      <c r="B74" s="388" t="s">
        <v>718</v>
      </c>
      <c r="C74" s="391" t="s">
        <v>63</v>
      </c>
      <c r="D74" s="383">
        <v>10</v>
      </c>
      <c r="E74" s="384">
        <v>34600</v>
      </c>
      <c r="F74" s="384" t="s">
        <v>55</v>
      </c>
      <c r="G74" s="385">
        <v>1057886</v>
      </c>
      <c r="H74" s="384" t="s">
        <v>56</v>
      </c>
      <c r="I74" s="384" t="s">
        <v>57</v>
      </c>
      <c r="J74" s="384" t="s">
        <v>57</v>
      </c>
      <c r="K74" s="387" t="s">
        <v>62</v>
      </c>
      <c r="L74" s="690"/>
      <c r="M74" s="32"/>
      <c r="N74" s="32"/>
      <c r="O74" s="32"/>
      <c r="AC74" t="str">
        <f t="shared" si="24"/>
        <v>1995</v>
      </c>
      <c r="AD74">
        <f t="shared" si="25"/>
        <v>0</v>
      </c>
      <c r="AE74" t="str">
        <f>IF(AND(AQ74=""),"",IF(AQ74=0,"",1+(MAX(AE$60:AE73))))</f>
        <v/>
      </c>
      <c r="AF74" s="85">
        <v>15</v>
      </c>
      <c r="AG74" s="157">
        <f t="shared" si="26"/>
        <v>0</v>
      </c>
      <c r="AH74" s="161">
        <f t="shared" si="27"/>
        <v>0</v>
      </c>
      <c r="AI74" s="161">
        <f t="shared" si="28"/>
        <v>0</v>
      </c>
      <c r="AJ74" s="161">
        <f t="shared" si="29"/>
        <v>0</v>
      </c>
      <c r="AK74" s="161">
        <f t="shared" si="30"/>
        <v>0</v>
      </c>
      <c r="AL74" s="161">
        <f t="shared" si="31"/>
        <v>0</v>
      </c>
      <c r="AM74" s="161">
        <f t="shared" si="32"/>
        <v>0</v>
      </c>
      <c r="AN74" s="161">
        <f t="shared" si="33"/>
        <v>0</v>
      </c>
      <c r="AO74" s="161">
        <f t="shared" si="34"/>
        <v>0</v>
      </c>
      <c r="AP74" s="161">
        <f t="shared" si="35"/>
        <v>0</v>
      </c>
      <c r="AQ74" s="161">
        <f t="shared" si="13"/>
        <v>0</v>
      </c>
      <c r="AR74">
        <f>IF(AND(BD74=""),"",IF(BD74=0,"",1+(MAX(AR$60:AR73))))</f>
        <v>14</v>
      </c>
      <c r="AS74" s="160">
        <v>15</v>
      </c>
      <c r="AT74" s="157" t="str">
        <f t="shared" si="78"/>
        <v>Jh lq[kohjflag</v>
      </c>
      <c r="AU74" s="158" t="str">
        <f t="shared" si="79"/>
        <v>TEACHER-III</v>
      </c>
      <c r="AV74" s="158">
        <f t="shared" si="80"/>
        <v>10</v>
      </c>
      <c r="AW74" s="158">
        <f t="shared" si="81"/>
        <v>34600</v>
      </c>
      <c r="AX74" s="158" t="str">
        <f t="shared" si="82"/>
        <v>RJAJ199506021728</v>
      </c>
      <c r="AY74" s="158">
        <f t="shared" si="83"/>
        <v>1057886</v>
      </c>
      <c r="AZ74" s="158" t="str">
        <f t="shared" si="84"/>
        <v>MALE</v>
      </c>
      <c r="BA74" s="158" t="str">
        <f t="shared" si="85"/>
        <v>NO</v>
      </c>
      <c r="BB74" s="158" t="str">
        <f t="shared" si="86"/>
        <v>NO</v>
      </c>
      <c r="BC74" s="158" t="str">
        <f t="shared" si="37"/>
        <v>NON GAZETTED - REGULAR</v>
      </c>
      <c r="BD74" s="161">
        <f t="shared" si="15"/>
        <v>1</v>
      </c>
      <c r="BE74" t="str">
        <f>IF(AND(BQ74=""),"",IF(BQ74=0,"",1+(MAX(BE$60:BE73))))</f>
        <v/>
      </c>
      <c r="BF74" s="85">
        <v>15</v>
      </c>
      <c r="BG74" s="157">
        <f t="shared" si="38"/>
        <v>0</v>
      </c>
      <c r="BH74" s="161">
        <f t="shared" si="39"/>
        <v>0</v>
      </c>
      <c r="BI74" s="161">
        <f t="shared" si="40"/>
        <v>0</v>
      </c>
      <c r="BJ74" s="161">
        <f t="shared" si="41"/>
        <v>0</v>
      </c>
      <c r="BK74" s="161">
        <f t="shared" si="42"/>
        <v>0</v>
      </c>
      <c r="BL74" s="161">
        <f t="shared" si="43"/>
        <v>0</v>
      </c>
      <c r="BM74" s="161">
        <f t="shared" si="44"/>
        <v>0</v>
      </c>
      <c r="BN74" s="161">
        <f t="shared" si="45"/>
        <v>0</v>
      </c>
      <c r="BO74" s="161">
        <f t="shared" si="46"/>
        <v>0</v>
      </c>
      <c r="BP74" s="161">
        <f t="shared" si="47"/>
        <v>0</v>
      </c>
      <c r="BQ74" s="161">
        <f t="shared" si="17"/>
        <v>0</v>
      </c>
      <c r="BR74" t="str">
        <f>IF(AND(CD74=""),"",IF(CD74=0,"",1+(MAX(BR$60:BR73))))</f>
        <v/>
      </c>
      <c r="BS74" s="160">
        <v>15</v>
      </c>
      <c r="BT74" s="157">
        <f t="shared" si="48"/>
        <v>0</v>
      </c>
      <c r="BU74" s="161">
        <f t="shared" si="49"/>
        <v>0</v>
      </c>
      <c r="BV74" s="161">
        <f t="shared" si="50"/>
        <v>0</v>
      </c>
      <c r="BW74" s="161">
        <f t="shared" si="51"/>
        <v>0</v>
      </c>
      <c r="BX74" s="161">
        <f t="shared" si="52"/>
        <v>0</v>
      </c>
      <c r="BY74" s="161">
        <f t="shared" si="53"/>
        <v>0</v>
      </c>
      <c r="BZ74" s="161">
        <f t="shared" si="54"/>
        <v>0</v>
      </c>
      <c r="CA74" s="161">
        <f t="shared" si="55"/>
        <v>0</v>
      </c>
      <c r="CB74" s="161">
        <f t="shared" si="56"/>
        <v>0</v>
      </c>
      <c r="CC74" s="161">
        <f t="shared" si="57"/>
        <v>0</v>
      </c>
      <c r="CD74" s="161">
        <f t="shared" si="19"/>
        <v>0</v>
      </c>
      <c r="CE74" t="str">
        <f>IF(AND(CQ74=""),"",IF(CQ74=0,"",1+(MAX(CE$60:CE73))))</f>
        <v/>
      </c>
      <c r="CF74" s="85">
        <v>15</v>
      </c>
      <c r="CG74" s="157">
        <f t="shared" si="58"/>
        <v>0</v>
      </c>
      <c r="CH74" s="161">
        <f t="shared" si="59"/>
        <v>0</v>
      </c>
      <c r="CI74" s="161">
        <f t="shared" si="60"/>
        <v>0</v>
      </c>
      <c r="CJ74" s="161">
        <f t="shared" si="61"/>
        <v>0</v>
      </c>
      <c r="CK74" s="161">
        <f t="shared" si="62"/>
        <v>0</v>
      </c>
      <c r="CL74" s="161">
        <f t="shared" si="63"/>
        <v>0</v>
      </c>
      <c r="CM74" s="161">
        <f t="shared" si="64"/>
        <v>0</v>
      </c>
      <c r="CN74" s="161">
        <f t="shared" si="65"/>
        <v>0</v>
      </c>
      <c r="CO74" s="161">
        <f t="shared" si="66"/>
        <v>0</v>
      </c>
      <c r="CP74" s="161">
        <f t="shared" si="67"/>
        <v>0</v>
      </c>
      <c r="CQ74" s="161">
        <f t="shared" si="21"/>
        <v>0</v>
      </c>
      <c r="CR74" t="str">
        <f>IF(AND(DD74=""),"",IF(DD74=0,"",1+(MAX(CR$60:CR73))))</f>
        <v/>
      </c>
      <c r="CS74" s="85">
        <v>15</v>
      </c>
      <c r="CT74" s="157">
        <f t="shared" si="68"/>
        <v>0</v>
      </c>
      <c r="CU74" s="161">
        <f t="shared" si="69"/>
        <v>0</v>
      </c>
      <c r="CV74" s="161">
        <f t="shared" si="70"/>
        <v>0</v>
      </c>
      <c r="CW74" s="161">
        <f t="shared" si="71"/>
        <v>0</v>
      </c>
      <c r="CX74" s="161">
        <f t="shared" si="72"/>
        <v>0</v>
      </c>
      <c r="CY74" s="161">
        <f t="shared" si="73"/>
        <v>0</v>
      </c>
      <c r="CZ74" s="161">
        <f t="shared" si="74"/>
        <v>0</v>
      </c>
      <c r="DA74" s="161">
        <f t="shared" si="75"/>
        <v>0</v>
      </c>
      <c r="DB74" s="161">
        <f t="shared" si="76"/>
        <v>0</v>
      </c>
      <c r="DC74" s="161">
        <f t="shared" si="77"/>
        <v>0</v>
      </c>
      <c r="DD74" s="161">
        <f t="shared" si="23"/>
        <v>0</v>
      </c>
    </row>
    <row r="75" spans="1:108" ht="18.75">
      <c r="A75" s="14">
        <v>16</v>
      </c>
      <c r="B75" s="388" t="s">
        <v>719</v>
      </c>
      <c r="C75" s="391" t="s">
        <v>218</v>
      </c>
      <c r="D75" s="383">
        <v>10</v>
      </c>
      <c r="E75" s="384">
        <v>34600</v>
      </c>
      <c r="F75" s="384" t="s">
        <v>55</v>
      </c>
      <c r="G75" s="385">
        <v>1057886</v>
      </c>
      <c r="H75" s="384" t="s">
        <v>56</v>
      </c>
      <c r="I75" s="384"/>
      <c r="J75" s="384"/>
      <c r="K75" s="387" t="s">
        <v>62</v>
      </c>
      <c r="L75" s="690"/>
      <c r="M75" s="32"/>
      <c r="N75" s="32"/>
      <c r="O75" s="32"/>
      <c r="AC75" t="str">
        <f t="shared" si="24"/>
        <v>1995</v>
      </c>
      <c r="AD75">
        <f t="shared" si="25"/>
        <v>0</v>
      </c>
      <c r="AE75" t="str">
        <f>IF(AND(AQ75=""),"",IF(AQ75=0,"",1+(MAX(AE$60:AE74))))</f>
        <v/>
      </c>
      <c r="AF75" s="85">
        <v>16</v>
      </c>
      <c r="AG75" s="157">
        <f t="shared" si="26"/>
        <v>0</v>
      </c>
      <c r="AH75" s="161">
        <f t="shared" si="27"/>
        <v>0</v>
      </c>
      <c r="AI75" s="161">
        <f t="shared" si="28"/>
        <v>0</v>
      </c>
      <c r="AJ75" s="161">
        <f t="shared" si="29"/>
        <v>0</v>
      </c>
      <c r="AK75" s="161">
        <f t="shared" si="30"/>
        <v>0</v>
      </c>
      <c r="AL75" s="161">
        <f t="shared" si="31"/>
        <v>0</v>
      </c>
      <c r="AM75" s="161">
        <f t="shared" si="32"/>
        <v>0</v>
      </c>
      <c r="AN75" s="161">
        <f t="shared" si="33"/>
        <v>0</v>
      </c>
      <c r="AO75" s="161">
        <f t="shared" si="34"/>
        <v>0</v>
      </c>
      <c r="AP75" s="161">
        <f t="shared" si="35"/>
        <v>0</v>
      </c>
      <c r="AQ75" s="161">
        <f t="shared" si="13"/>
        <v>0</v>
      </c>
      <c r="AR75">
        <f>IF(AND(BD75=""),"",IF(BD75=0,"",1+(MAX(AR$60:AR74))))</f>
        <v>15</v>
      </c>
      <c r="AS75" s="160">
        <v>16</v>
      </c>
      <c r="AT75" s="157" t="str">
        <f t="shared" si="78"/>
        <v>Jh izoh.k lksyadh</v>
      </c>
      <c r="AU75" s="158" t="str">
        <f t="shared" si="79"/>
        <v>LIBRARIAN III</v>
      </c>
      <c r="AV75" s="158">
        <f t="shared" si="80"/>
        <v>10</v>
      </c>
      <c r="AW75" s="158">
        <f t="shared" si="81"/>
        <v>34600</v>
      </c>
      <c r="AX75" s="158" t="str">
        <f t="shared" si="82"/>
        <v>RJAJ199506021728</v>
      </c>
      <c r="AY75" s="158">
        <f t="shared" si="83"/>
        <v>1057886</v>
      </c>
      <c r="AZ75" s="158" t="str">
        <f t="shared" si="84"/>
        <v>MALE</v>
      </c>
      <c r="BA75" s="158">
        <f t="shared" si="85"/>
        <v>0</v>
      </c>
      <c r="BB75" s="158">
        <f t="shared" si="86"/>
        <v>0</v>
      </c>
      <c r="BC75" s="158" t="str">
        <f t="shared" si="37"/>
        <v>NON GAZETTED - REGULAR</v>
      </c>
      <c r="BD75" s="161">
        <f t="shared" si="15"/>
        <v>1</v>
      </c>
      <c r="BE75" t="str">
        <f>IF(AND(BQ75=""),"",IF(BQ75=0,"",1+(MAX(BE$60:BE74))))</f>
        <v/>
      </c>
      <c r="BF75" s="85">
        <v>16</v>
      </c>
      <c r="BG75" s="157">
        <f t="shared" si="38"/>
        <v>0</v>
      </c>
      <c r="BH75" s="161">
        <f t="shared" si="39"/>
        <v>0</v>
      </c>
      <c r="BI75" s="161">
        <f t="shared" si="40"/>
        <v>0</v>
      </c>
      <c r="BJ75" s="161">
        <f t="shared" si="41"/>
        <v>0</v>
      </c>
      <c r="BK75" s="161">
        <f t="shared" si="42"/>
        <v>0</v>
      </c>
      <c r="BL75" s="161">
        <f t="shared" si="43"/>
        <v>0</v>
      </c>
      <c r="BM75" s="161">
        <f t="shared" si="44"/>
        <v>0</v>
      </c>
      <c r="BN75" s="161">
        <f t="shared" si="45"/>
        <v>0</v>
      </c>
      <c r="BO75" s="161">
        <f t="shared" si="46"/>
        <v>0</v>
      </c>
      <c r="BP75" s="161">
        <f t="shared" si="47"/>
        <v>0</v>
      </c>
      <c r="BQ75" s="161">
        <f t="shared" si="17"/>
        <v>0</v>
      </c>
      <c r="BR75" t="str">
        <f>IF(AND(CD75=""),"",IF(CD75=0,"",1+(MAX(BR$60:BR74))))</f>
        <v/>
      </c>
      <c r="BS75" s="160">
        <v>16</v>
      </c>
      <c r="BT75" s="157">
        <f t="shared" si="48"/>
        <v>0</v>
      </c>
      <c r="BU75" s="161">
        <f t="shared" si="49"/>
        <v>0</v>
      </c>
      <c r="BV75" s="161">
        <f t="shared" si="50"/>
        <v>0</v>
      </c>
      <c r="BW75" s="161">
        <f t="shared" si="51"/>
        <v>0</v>
      </c>
      <c r="BX75" s="161">
        <f t="shared" si="52"/>
        <v>0</v>
      </c>
      <c r="BY75" s="161">
        <f t="shared" si="53"/>
        <v>0</v>
      </c>
      <c r="BZ75" s="161">
        <f t="shared" si="54"/>
        <v>0</v>
      </c>
      <c r="CA75" s="161">
        <f t="shared" si="55"/>
        <v>0</v>
      </c>
      <c r="CB75" s="161">
        <f t="shared" si="56"/>
        <v>0</v>
      </c>
      <c r="CC75" s="161">
        <f t="shared" si="57"/>
        <v>0</v>
      </c>
      <c r="CD75" s="161">
        <f t="shared" si="19"/>
        <v>0</v>
      </c>
      <c r="CE75" t="str">
        <f>IF(AND(CQ75=""),"",IF(CQ75=0,"",1+(MAX(CE$60:CE74))))</f>
        <v/>
      </c>
      <c r="CF75" s="85">
        <v>16</v>
      </c>
      <c r="CG75" s="157">
        <f t="shared" si="58"/>
        <v>0</v>
      </c>
      <c r="CH75" s="161">
        <f t="shared" si="59"/>
        <v>0</v>
      </c>
      <c r="CI75" s="161">
        <f t="shared" si="60"/>
        <v>0</v>
      </c>
      <c r="CJ75" s="161">
        <f t="shared" si="61"/>
        <v>0</v>
      </c>
      <c r="CK75" s="161">
        <f t="shared" si="62"/>
        <v>0</v>
      </c>
      <c r="CL75" s="161">
        <f t="shared" si="63"/>
        <v>0</v>
      </c>
      <c r="CM75" s="161">
        <f t="shared" si="64"/>
        <v>0</v>
      </c>
      <c r="CN75" s="161">
        <f t="shared" si="65"/>
        <v>0</v>
      </c>
      <c r="CO75" s="161">
        <f t="shared" si="66"/>
        <v>0</v>
      </c>
      <c r="CP75" s="161">
        <f t="shared" si="67"/>
        <v>0</v>
      </c>
      <c r="CQ75" s="161">
        <f t="shared" si="21"/>
        <v>0</v>
      </c>
      <c r="CR75" t="str">
        <f>IF(AND(DD75=""),"",IF(DD75=0,"",1+(MAX(CR$60:CR74))))</f>
        <v/>
      </c>
      <c r="CS75" s="160">
        <v>16</v>
      </c>
      <c r="CT75" s="157">
        <f t="shared" si="68"/>
        <v>0</v>
      </c>
      <c r="CU75" s="161">
        <f t="shared" si="69"/>
        <v>0</v>
      </c>
      <c r="CV75" s="161">
        <f t="shared" si="70"/>
        <v>0</v>
      </c>
      <c r="CW75" s="161">
        <f t="shared" si="71"/>
        <v>0</v>
      </c>
      <c r="CX75" s="161">
        <f t="shared" si="72"/>
        <v>0</v>
      </c>
      <c r="CY75" s="161">
        <f t="shared" si="73"/>
        <v>0</v>
      </c>
      <c r="CZ75" s="161">
        <f t="shared" si="74"/>
        <v>0</v>
      </c>
      <c r="DA75" s="161">
        <f t="shared" si="75"/>
        <v>0</v>
      </c>
      <c r="DB75" s="161">
        <f t="shared" si="76"/>
        <v>0</v>
      </c>
      <c r="DC75" s="161">
        <f t="shared" si="77"/>
        <v>0</v>
      </c>
      <c r="DD75" s="161">
        <f t="shared" si="23"/>
        <v>0</v>
      </c>
    </row>
    <row r="76" spans="1:108" ht="18.75">
      <c r="A76" s="14">
        <v>17</v>
      </c>
      <c r="B76" s="388" t="s">
        <v>720</v>
      </c>
      <c r="C76" s="391" t="s">
        <v>221</v>
      </c>
      <c r="D76" s="383">
        <v>13</v>
      </c>
      <c r="E76" s="384">
        <v>34600</v>
      </c>
      <c r="F76" s="384" t="s">
        <v>55</v>
      </c>
      <c r="G76" s="385">
        <v>1057886</v>
      </c>
      <c r="H76" s="384" t="s">
        <v>60</v>
      </c>
      <c r="I76" s="384"/>
      <c r="J76" s="384"/>
      <c r="K76" s="387" t="s">
        <v>62</v>
      </c>
      <c r="L76" s="690"/>
      <c r="M76" s="32"/>
      <c r="N76" s="32"/>
      <c r="O76" s="32"/>
      <c r="AC76" t="str">
        <f t="shared" si="24"/>
        <v>1995</v>
      </c>
      <c r="AD76">
        <f t="shared" si="25"/>
        <v>0</v>
      </c>
      <c r="AE76" t="str">
        <f>IF(AND(AQ76=""),"",IF(AQ76=0,"",1+(MAX(AE$60:AE75))))</f>
        <v/>
      </c>
      <c r="AF76" s="85">
        <v>17</v>
      </c>
      <c r="AG76" s="157">
        <f t="shared" si="26"/>
        <v>0</v>
      </c>
      <c r="AH76" s="161">
        <f t="shared" si="27"/>
        <v>0</v>
      </c>
      <c r="AI76" s="161">
        <f t="shared" si="28"/>
        <v>0</v>
      </c>
      <c r="AJ76" s="161">
        <f t="shared" si="29"/>
        <v>0</v>
      </c>
      <c r="AK76" s="161">
        <f t="shared" si="30"/>
        <v>0</v>
      </c>
      <c r="AL76" s="161">
        <f t="shared" si="31"/>
        <v>0</v>
      </c>
      <c r="AM76" s="161">
        <f t="shared" si="32"/>
        <v>0</v>
      </c>
      <c r="AN76" s="161">
        <f t="shared" si="33"/>
        <v>0</v>
      </c>
      <c r="AO76" s="161">
        <f t="shared" si="34"/>
        <v>0</v>
      </c>
      <c r="AP76" s="161">
        <f t="shared" si="35"/>
        <v>0</v>
      </c>
      <c r="AQ76" s="161">
        <f t="shared" si="13"/>
        <v>0</v>
      </c>
      <c r="AR76">
        <f>IF(AND(BD76=""),"",IF(BD76=0,"",1+(MAX(AR$60:AR75))))</f>
        <v>16</v>
      </c>
      <c r="AS76" s="160">
        <v>17</v>
      </c>
      <c r="AT76" s="157" t="str">
        <f t="shared" si="78"/>
        <v>Jherh 'kkjnk pkS/kjh</v>
      </c>
      <c r="AU76" s="158" t="str">
        <f t="shared" si="79"/>
        <v>PTI  III</v>
      </c>
      <c r="AV76" s="158">
        <f t="shared" si="80"/>
        <v>13</v>
      </c>
      <c r="AW76" s="158">
        <f t="shared" si="81"/>
        <v>34600</v>
      </c>
      <c r="AX76" s="158" t="str">
        <f t="shared" si="82"/>
        <v>RJAJ199506021728</v>
      </c>
      <c r="AY76" s="158">
        <f t="shared" si="83"/>
        <v>1057886</v>
      </c>
      <c r="AZ76" s="158" t="str">
        <f t="shared" si="84"/>
        <v>FEMALE</v>
      </c>
      <c r="BA76" s="158">
        <f t="shared" si="85"/>
        <v>0</v>
      </c>
      <c r="BB76" s="158">
        <f t="shared" si="86"/>
        <v>0</v>
      </c>
      <c r="BC76" s="158" t="str">
        <f t="shared" si="37"/>
        <v>NON GAZETTED - REGULAR</v>
      </c>
      <c r="BD76" s="161">
        <f t="shared" si="15"/>
        <v>1</v>
      </c>
      <c r="BE76" t="str">
        <f>IF(AND(BQ76=""),"",IF(BQ76=0,"",1+(MAX(BE$60:BE75))))</f>
        <v/>
      </c>
      <c r="BF76" s="85">
        <v>17</v>
      </c>
      <c r="BG76" s="157">
        <f t="shared" si="38"/>
        <v>0</v>
      </c>
      <c r="BH76" s="161">
        <f t="shared" si="39"/>
        <v>0</v>
      </c>
      <c r="BI76" s="161">
        <f t="shared" si="40"/>
        <v>0</v>
      </c>
      <c r="BJ76" s="161">
        <f t="shared" si="41"/>
        <v>0</v>
      </c>
      <c r="BK76" s="161">
        <f t="shared" si="42"/>
        <v>0</v>
      </c>
      <c r="BL76" s="161">
        <f t="shared" si="43"/>
        <v>0</v>
      </c>
      <c r="BM76" s="161">
        <f t="shared" si="44"/>
        <v>0</v>
      </c>
      <c r="BN76" s="161">
        <f t="shared" si="45"/>
        <v>0</v>
      </c>
      <c r="BO76" s="161">
        <f t="shared" si="46"/>
        <v>0</v>
      </c>
      <c r="BP76" s="161">
        <f t="shared" si="47"/>
        <v>0</v>
      </c>
      <c r="BQ76" s="161">
        <f t="shared" si="17"/>
        <v>0</v>
      </c>
      <c r="BR76" t="str">
        <f>IF(AND(CD76=""),"",IF(CD76=0,"",1+(MAX(BR$60:BR75))))</f>
        <v/>
      </c>
      <c r="BS76" s="160">
        <v>17</v>
      </c>
      <c r="BT76" s="157">
        <f t="shared" si="48"/>
        <v>0</v>
      </c>
      <c r="BU76" s="161">
        <f t="shared" si="49"/>
        <v>0</v>
      </c>
      <c r="BV76" s="161">
        <f t="shared" si="50"/>
        <v>0</v>
      </c>
      <c r="BW76" s="161">
        <f t="shared" si="51"/>
        <v>0</v>
      </c>
      <c r="BX76" s="161">
        <f t="shared" si="52"/>
        <v>0</v>
      </c>
      <c r="BY76" s="161">
        <f t="shared" si="53"/>
        <v>0</v>
      </c>
      <c r="BZ76" s="161">
        <f t="shared" si="54"/>
        <v>0</v>
      </c>
      <c r="CA76" s="161">
        <f t="shared" si="55"/>
        <v>0</v>
      </c>
      <c r="CB76" s="161">
        <f t="shared" si="56"/>
        <v>0</v>
      </c>
      <c r="CC76" s="161">
        <f t="shared" si="57"/>
        <v>0</v>
      </c>
      <c r="CD76" s="161">
        <f t="shared" si="19"/>
        <v>0</v>
      </c>
      <c r="CE76" t="str">
        <f>IF(AND(CQ76=""),"",IF(CQ76=0,"",1+(MAX(CE$60:CE75))))</f>
        <v/>
      </c>
      <c r="CF76" s="85">
        <v>17</v>
      </c>
      <c r="CG76" s="157">
        <f t="shared" si="58"/>
        <v>0</v>
      </c>
      <c r="CH76" s="161">
        <f t="shared" si="59"/>
        <v>0</v>
      </c>
      <c r="CI76" s="161">
        <f t="shared" si="60"/>
        <v>0</v>
      </c>
      <c r="CJ76" s="161">
        <f t="shared" si="61"/>
        <v>0</v>
      </c>
      <c r="CK76" s="161">
        <f t="shared" si="62"/>
        <v>0</v>
      </c>
      <c r="CL76" s="161">
        <f t="shared" si="63"/>
        <v>0</v>
      </c>
      <c r="CM76" s="161">
        <f t="shared" si="64"/>
        <v>0</v>
      </c>
      <c r="CN76" s="161">
        <f t="shared" si="65"/>
        <v>0</v>
      </c>
      <c r="CO76" s="161">
        <f t="shared" si="66"/>
        <v>0</v>
      </c>
      <c r="CP76" s="161">
        <f t="shared" si="67"/>
        <v>0</v>
      </c>
      <c r="CQ76" s="161">
        <f t="shared" si="21"/>
        <v>0</v>
      </c>
      <c r="CR76" t="str">
        <f>IF(AND(DD76=""),"",IF(DD76=0,"",1+(MAX(CR$60:CR75))))</f>
        <v/>
      </c>
      <c r="CS76" s="85">
        <v>17</v>
      </c>
      <c r="CT76" s="157">
        <f t="shared" si="68"/>
        <v>0</v>
      </c>
      <c r="CU76" s="161">
        <f t="shared" si="69"/>
        <v>0</v>
      </c>
      <c r="CV76" s="161">
        <f t="shared" si="70"/>
        <v>0</v>
      </c>
      <c r="CW76" s="161">
        <f t="shared" si="71"/>
        <v>0</v>
      </c>
      <c r="CX76" s="161">
        <f t="shared" si="72"/>
        <v>0</v>
      </c>
      <c r="CY76" s="161">
        <f t="shared" si="73"/>
        <v>0</v>
      </c>
      <c r="CZ76" s="161">
        <f t="shared" si="74"/>
        <v>0</v>
      </c>
      <c r="DA76" s="161">
        <f t="shared" si="75"/>
        <v>0</v>
      </c>
      <c r="DB76" s="161">
        <f t="shared" si="76"/>
        <v>0</v>
      </c>
      <c r="DC76" s="161">
        <f t="shared" si="77"/>
        <v>0</v>
      </c>
      <c r="DD76" s="161">
        <f t="shared" si="23"/>
        <v>0</v>
      </c>
    </row>
    <row r="77" spans="1:108" ht="18.75">
      <c r="A77" s="14">
        <v>18</v>
      </c>
      <c r="B77" s="388" t="s">
        <v>721</v>
      </c>
      <c r="C77" s="391" t="s">
        <v>225</v>
      </c>
      <c r="D77" s="383">
        <v>8</v>
      </c>
      <c r="E77" s="384">
        <v>34600</v>
      </c>
      <c r="F77" s="384" t="s">
        <v>55</v>
      </c>
      <c r="G77" s="385">
        <v>1057886</v>
      </c>
      <c r="H77" s="384" t="s">
        <v>56</v>
      </c>
      <c r="I77" s="384"/>
      <c r="J77" s="384"/>
      <c r="K77" s="387" t="s">
        <v>62</v>
      </c>
      <c r="L77" s="690"/>
      <c r="M77" s="32"/>
      <c r="N77" s="32"/>
      <c r="O77" s="32"/>
      <c r="AC77" t="str">
        <f t="shared" si="24"/>
        <v>1995</v>
      </c>
      <c r="AD77">
        <f t="shared" si="25"/>
        <v>0</v>
      </c>
      <c r="AE77" t="str">
        <f>IF(AND(AQ77=""),"",IF(AQ77=0,"",1+(MAX(AE$60:AE76))))</f>
        <v/>
      </c>
      <c r="AF77" s="85">
        <v>18</v>
      </c>
      <c r="AG77" s="157">
        <f t="shared" si="26"/>
        <v>0</v>
      </c>
      <c r="AH77" s="161">
        <f t="shared" si="27"/>
        <v>0</v>
      </c>
      <c r="AI77" s="161">
        <f t="shared" si="28"/>
        <v>0</v>
      </c>
      <c r="AJ77" s="161">
        <f t="shared" si="29"/>
        <v>0</v>
      </c>
      <c r="AK77" s="161">
        <f t="shared" si="30"/>
        <v>0</v>
      </c>
      <c r="AL77" s="161">
        <f t="shared" si="31"/>
        <v>0</v>
      </c>
      <c r="AM77" s="161">
        <f t="shared" si="32"/>
        <v>0</v>
      </c>
      <c r="AN77" s="161">
        <f t="shared" si="33"/>
        <v>0</v>
      </c>
      <c r="AO77" s="161">
        <f t="shared" si="34"/>
        <v>0</v>
      </c>
      <c r="AP77" s="161">
        <f t="shared" si="35"/>
        <v>0</v>
      </c>
      <c r="AQ77" s="161">
        <f t="shared" si="13"/>
        <v>0</v>
      </c>
      <c r="AR77">
        <f>IF(AND(BD77=""),"",IF(BD77=0,"",1+(MAX(AR$60:AR76))))</f>
        <v>17</v>
      </c>
      <c r="AS77" s="160">
        <v>18</v>
      </c>
      <c r="AT77" s="157" t="str">
        <f t="shared" si="78"/>
        <v>Jh eqds'k dqekj</v>
      </c>
      <c r="AU77" s="158" t="str">
        <f t="shared" si="79"/>
        <v>LAB ASST</v>
      </c>
      <c r="AV77" s="158">
        <f t="shared" si="80"/>
        <v>8</v>
      </c>
      <c r="AW77" s="158">
        <f t="shared" si="81"/>
        <v>34600</v>
      </c>
      <c r="AX77" s="158" t="str">
        <f t="shared" si="82"/>
        <v>RJAJ199506021728</v>
      </c>
      <c r="AY77" s="158">
        <f t="shared" si="83"/>
        <v>1057886</v>
      </c>
      <c r="AZ77" s="158" t="str">
        <f t="shared" si="84"/>
        <v>MALE</v>
      </c>
      <c r="BA77" s="158">
        <f t="shared" si="85"/>
        <v>0</v>
      </c>
      <c r="BB77" s="158">
        <f t="shared" si="86"/>
        <v>0</v>
      </c>
      <c r="BC77" s="158" t="str">
        <f t="shared" si="37"/>
        <v>NON GAZETTED - REGULAR</v>
      </c>
      <c r="BD77" s="161">
        <f t="shared" si="15"/>
        <v>1</v>
      </c>
      <c r="BE77" t="str">
        <f>IF(AND(BQ77=""),"",IF(BQ77=0,"",1+(MAX(BE$60:BE76))))</f>
        <v/>
      </c>
      <c r="BF77" s="85">
        <v>18</v>
      </c>
      <c r="BG77" s="157">
        <f t="shared" si="38"/>
        <v>0</v>
      </c>
      <c r="BH77" s="161">
        <f t="shared" si="39"/>
        <v>0</v>
      </c>
      <c r="BI77" s="161">
        <f t="shared" si="40"/>
        <v>0</v>
      </c>
      <c r="BJ77" s="161">
        <f t="shared" si="41"/>
        <v>0</v>
      </c>
      <c r="BK77" s="161">
        <f t="shared" si="42"/>
        <v>0</v>
      </c>
      <c r="BL77" s="161">
        <f t="shared" si="43"/>
        <v>0</v>
      </c>
      <c r="BM77" s="161">
        <f t="shared" si="44"/>
        <v>0</v>
      </c>
      <c r="BN77" s="161">
        <f t="shared" si="45"/>
        <v>0</v>
      </c>
      <c r="BO77" s="161">
        <f t="shared" si="46"/>
        <v>0</v>
      </c>
      <c r="BP77" s="161">
        <f t="shared" si="47"/>
        <v>0</v>
      </c>
      <c r="BQ77" s="161">
        <f t="shared" si="17"/>
        <v>0</v>
      </c>
      <c r="BR77" t="str">
        <f>IF(AND(CD77=""),"",IF(CD77=0,"",1+(MAX(BR$60:BR76))))</f>
        <v/>
      </c>
      <c r="BS77" s="160">
        <v>18</v>
      </c>
      <c r="BT77" s="157">
        <f t="shared" si="48"/>
        <v>0</v>
      </c>
      <c r="BU77" s="161">
        <f t="shared" si="49"/>
        <v>0</v>
      </c>
      <c r="BV77" s="161">
        <f t="shared" si="50"/>
        <v>0</v>
      </c>
      <c r="BW77" s="161">
        <f t="shared" si="51"/>
        <v>0</v>
      </c>
      <c r="BX77" s="161">
        <f t="shared" si="52"/>
        <v>0</v>
      </c>
      <c r="BY77" s="161">
        <f t="shared" si="53"/>
        <v>0</v>
      </c>
      <c r="BZ77" s="161">
        <f t="shared" si="54"/>
        <v>0</v>
      </c>
      <c r="CA77" s="161">
        <f t="shared" si="55"/>
        <v>0</v>
      </c>
      <c r="CB77" s="161">
        <f t="shared" si="56"/>
        <v>0</v>
      </c>
      <c r="CC77" s="161">
        <f t="shared" si="57"/>
        <v>0</v>
      </c>
      <c r="CD77" s="161">
        <f t="shared" si="19"/>
        <v>0</v>
      </c>
      <c r="CE77" t="str">
        <f>IF(AND(CQ77=""),"",IF(CQ77=0,"",1+(MAX(CE$60:CE76))))</f>
        <v/>
      </c>
      <c r="CF77" s="85">
        <v>18</v>
      </c>
      <c r="CG77" s="157">
        <f t="shared" si="58"/>
        <v>0</v>
      </c>
      <c r="CH77" s="161">
        <f t="shared" si="59"/>
        <v>0</v>
      </c>
      <c r="CI77" s="161">
        <f t="shared" si="60"/>
        <v>0</v>
      </c>
      <c r="CJ77" s="161">
        <f t="shared" si="61"/>
        <v>0</v>
      </c>
      <c r="CK77" s="161">
        <f t="shared" si="62"/>
        <v>0</v>
      </c>
      <c r="CL77" s="161">
        <f t="shared" si="63"/>
        <v>0</v>
      </c>
      <c r="CM77" s="161">
        <f t="shared" si="64"/>
        <v>0</v>
      </c>
      <c r="CN77" s="161">
        <f t="shared" si="65"/>
        <v>0</v>
      </c>
      <c r="CO77" s="161">
        <f t="shared" si="66"/>
        <v>0</v>
      </c>
      <c r="CP77" s="161">
        <f t="shared" si="67"/>
        <v>0</v>
      </c>
      <c r="CQ77" s="161">
        <f t="shared" si="21"/>
        <v>0</v>
      </c>
      <c r="CR77" t="str">
        <f>IF(AND(DD77=""),"",IF(DD77=0,"",1+(MAX(CR$60:CR76))))</f>
        <v/>
      </c>
      <c r="CS77" s="160">
        <v>18</v>
      </c>
      <c r="CT77" s="157">
        <f t="shared" si="68"/>
        <v>0</v>
      </c>
      <c r="CU77" s="161">
        <f t="shared" si="69"/>
        <v>0</v>
      </c>
      <c r="CV77" s="161">
        <f t="shared" si="70"/>
        <v>0</v>
      </c>
      <c r="CW77" s="161">
        <f t="shared" si="71"/>
        <v>0</v>
      </c>
      <c r="CX77" s="161">
        <f t="shared" si="72"/>
        <v>0</v>
      </c>
      <c r="CY77" s="161">
        <f t="shared" si="73"/>
        <v>0</v>
      </c>
      <c r="CZ77" s="161">
        <f t="shared" si="74"/>
        <v>0</v>
      </c>
      <c r="DA77" s="161">
        <f t="shared" si="75"/>
        <v>0</v>
      </c>
      <c r="DB77" s="161">
        <f t="shared" si="76"/>
        <v>0</v>
      </c>
      <c r="DC77" s="161">
        <f t="shared" si="77"/>
        <v>0</v>
      </c>
      <c r="DD77" s="161">
        <f t="shared" si="23"/>
        <v>0</v>
      </c>
    </row>
    <row r="78" spans="1:108" ht="18.75">
      <c r="A78" s="14">
        <v>19</v>
      </c>
      <c r="B78" s="388" t="s">
        <v>722</v>
      </c>
      <c r="C78" s="391" t="s">
        <v>65</v>
      </c>
      <c r="D78" s="383">
        <v>9</v>
      </c>
      <c r="E78" s="384">
        <v>34600</v>
      </c>
      <c r="F78" s="384" t="s">
        <v>55</v>
      </c>
      <c r="G78" s="385">
        <v>1057886</v>
      </c>
      <c r="H78" s="384" t="s">
        <v>56</v>
      </c>
      <c r="I78" s="384"/>
      <c r="J78" s="384"/>
      <c r="K78" s="387" t="s">
        <v>62</v>
      </c>
      <c r="L78" s="690"/>
      <c r="M78" s="32"/>
      <c r="N78" s="32"/>
      <c r="O78" s="32"/>
      <c r="AC78" t="str">
        <f t="shared" si="24"/>
        <v>1995</v>
      </c>
      <c r="AD78">
        <f t="shared" si="25"/>
        <v>0</v>
      </c>
      <c r="AE78" t="str">
        <f>IF(AND(AQ78=""),"",IF(AQ78=0,"",1+(MAX(AE$60:AE77))))</f>
        <v/>
      </c>
      <c r="AF78" s="85">
        <v>19</v>
      </c>
      <c r="AG78" s="157">
        <f t="shared" si="26"/>
        <v>0</v>
      </c>
      <c r="AH78" s="161">
        <f t="shared" si="27"/>
        <v>0</v>
      </c>
      <c r="AI78" s="161">
        <f t="shared" si="28"/>
        <v>0</v>
      </c>
      <c r="AJ78" s="161">
        <f t="shared" si="29"/>
        <v>0</v>
      </c>
      <c r="AK78" s="161">
        <f t="shared" si="30"/>
        <v>0</v>
      </c>
      <c r="AL78" s="161">
        <f t="shared" si="31"/>
        <v>0</v>
      </c>
      <c r="AM78" s="161">
        <f t="shared" si="32"/>
        <v>0</v>
      </c>
      <c r="AN78" s="161">
        <f t="shared" si="33"/>
        <v>0</v>
      </c>
      <c r="AO78" s="161">
        <f t="shared" si="34"/>
        <v>0</v>
      </c>
      <c r="AP78" s="161">
        <f t="shared" si="35"/>
        <v>0</v>
      </c>
      <c r="AQ78" s="161">
        <f t="shared" si="13"/>
        <v>0</v>
      </c>
      <c r="AR78">
        <f>IF(AND(BD78=""),"",IF(BD78=0,"",1+(MAX(AR$60:AR77))))</f>
        <v>18</v>
      </c>
      <c r="AS78" s="160">
        <v>19</v>
      </c>
      <c r="AT78" s="157" t="str">
        <f t="shared" si="78"/>
        <v xml:space="preserve">Jh jkds'k dqekj </v>
      </c>
      <c r="AU78" s="158" t="str">
        <f t="shared" si="79"/>
        <v>CLERK GRADE II</v>
      </c>
      <c r="AV78" s="158">
        <f t="shared" si="80"/>
        <v>9</v>
      </c>
      <c r="AW78" s="158">
        <f t="shared" si="81"/>
        <v>34600</v>
      </c>
      <c r="AX78" s="158" t="str">
        <f t="shared" si="82"/>
        <v>RJAJ199506021728</v>
      </c>
      <c r="AY78" s="158">
        <f t="shared" si="83"/>
        <v>1057886</v>
      </c>
      <c r="AZ78" s="158" t="str">
        <f t="shared" si="84"/>
        <v>MALE</v>
      </c>
      <c r="BA78" s="158">
        <f t="shared" si="85"/>
        <v>0</v>
      </c>
      <c r="BB78" s="158">
        <f t="shared" si="86"/>
        <v>0</v>
      </c>
      <c r="BC78" s="158" t="str">
        <f t="shared" si="37"/>
        <v>NON GAZETTED - REGULAR</v>
      </c>
      <c r="BD78" s="161">
        <f t="shared" si="15"/>
        <v>1</v>
      </c>
      <c r="BE78" t="str">
        <f>IF(AND(BQ78=""),"",IF(BQ78=0,"",1+(MAX(BE$60:BE77))))</f>
        <v/>
      </c>
      <c r="BF78" s="85">
        <v>19</v>
      </c>
      <c r="BG78" s="157">
        <f t="shared" si="38"/>
        <v>0</v>
      </c>
      <c r="BH78" s="161">
        <f t="shared" si="39"/>
        <v>0</v>
      </c>
      <c r="BI78" s="161">
        <f t="shared" si="40"/>
        <v>0</v>
      </c>
      <c r="BJ78" s="161">
        <f t="shared" si="41"/>
        <v>0</v>
      </c>
      <c r="BK78" s="161">
        <f t="shared" si="42"/>
        <v>0</v>
      </c>
      <c r="BL78" s="161">
        <f t="shared" si="43"/>
        <v>0</v>
      </c>
      <c r="BM78" s="161">
        <f t="shared" si="44"/>
        <v>0</v>
      </c>
      <c r="BN78" s="161">
        <f t="shared" si="45"/>
        <v>0</v>
      </c>
      <c r="BO78" s="161">
        <f t="shared" si="46"/>
        <v>0</v>
      </c>
      <c r="BP78" s="161">
        <f t="shared" si="47"/>
        <v>0</v>
      </c>
      <c r="BQ78" s="161">
        <f t="shared" si="17"/>
        <v>0</v>
      </c>
      <c r="BR78" t="str">
        <f>IF(AND(CD78=""),"",IF(CD78=0,"",1+(MAX(BR$60:BR77))))</f>
        <v/>
      </c>
      <c r="BS78" s="160">
        <v>19</v>
      </c>
      <c r="BT78" s="157">
        <f t="shared" si="48"/>
        <v>0</v>
      </c>
      <c r="BU78" s="161">
        <f t="shared" si="49"/>
        <v>0</v>
      </c>
      <c r="BV78" s="161">
        <f t="shared" si="50"/>
        <v>0</v>
      </c>
      <c r="BW78" s="161">
        <f t="shared" si="51"/>
        <v>0</v>
      </c>
      <c r="BX78" s="161">
        <f t="shared" si="52"/>
        <v>0</v>
      </c>
      <c r="BY78" s="161">
        <f t="shared" si="53"/>
        <v>0</v>
      </c>
      <c r="BZ78" s="161">
        <f t="shared" si="54"/>
        <v>0</v>
      </c>
      <c r="CA78" s="161">
        <f t="shared" si="55"/>
        <v>0</v>
      </c>
      <c r="CB78" s="161">
        <f t="shared" si="56"/>
        <v>0</v>
      </c>
      <c r="CC78" s="161">
        <f t="shared" si="57"/>
        <v>0</v>
      </c>
      <c r="CD78" s="161">
        <f t="shared" si="19"/>
        <v>0</v>
      </c>
      <c r="CE78" t="str">
        <f>IF(AND(CQ78=""),"",IF(CQ78=0,"",1+(MAX(CE$60:CE77))))</f>
        <v/>
      </c>
      <c r="CF78" s="85">
        <v>19</v>
      </c>
      <c r="CG78" s="157">
        <f t="shared" si="58"/>
        <v>0</v>
      </c>
      <c r="CH78" s="161">
        <f t="shared" si="59"/>
        <v>0</v>
      </c>
      <c r="CI78" s="161">
        <f t="shared" si="60"/>
        <v>0</v>
      </c>
      <c r="CJ78" s="161">
        <f t="shared" si="61"/>
        <v>0</v>
      </c>
      <c r="CK78" s="161">
        <f t="shared" si="62"/>
        <v>0</v>
      </c>
      <c r="CL78" s="161">
        <f t="shared" si="63"/>
        <v>0</v>
      </c>
      <c r="CM78" s="161">
        <f t="shared" si="64"/>
        <v>0</v>
      </c>
      <c r="CN78" s="161">
        <f t="shared" si="65"/>
        <v>0</v>
      </c>
      <c r="CO78" s="161">
        <f t="shared" si="66"/>
        <v>0</v>
      </c>
      <c r="CP78" s="161">
        <f t="shared" si="67"/>
        <v>0</v>
      </c>
      <c r="CQ78" s="161">
        <f t="shared" si="21"/>
        <v>0</v>
      </c>
      <c r="CR78" t="str">
        <f>IF(AND(DD78=""),"",IF(DD78=0,"",1+(MAX(CR$60:CR77))))</f>
        <v/>
      </c>
      <c r="CS78" s="85">
        <v>19</v>
      </c>
      <c r="CT78" s="157">
        <f t="shared" si="68"/>
        <v>0</v>
      </c>
      <c r="CU78" s="161">
        <f t="shared" si="69"/>
        <v>0</v>
      </c>
      <c r="CV78" s="161">
        <f t="shared" si="70"/>
        <v>0</v>
      </c>
      <c r="CW78" s="161">
        <f t="shared" si="71"/>
        <v>0</v>
      </c>
      <c r="CX78" s="161">
        <f t="shared" si="72"/>
        <v>0</v>
      </c>
      <c r="CY78" s="161">
        <f t="shared" si="73"/>
        <v>0</v>
      </c>
      <c r="CZ78" s="161">
        <f t="shared" si="74"/>
        <v>0</v>
      </c>
      <c r="DA78" s="161">
        <f t="shared" si="75"/>
        <v>0</v>
      </c>
      <c r="DB78" s="161">
        <f t="shared" si="76"/>
        <v>0</v>
      </c>
      <c r="DC78" s="161">
        <f t="shared" si="77"/>
        <v>0</v>
      </c>
      <c r="DD78" s="161">
        <f t="shared" si="23"/>
        <v>0</v>
      </c>
    </row>
    <row r="79" spans="1:108" ht="18.75">
      <c r="A79" s="14">
        <v>20</v>
      </c>
      <c r="B79" s="388" t="s">
        <v>723</v>
      </c>
      <c r="C79" s="391" t="s">
        <v>562</v>
      </c>
      <c r="D79" s="383">
        <v>5</v>
      </c>
      <c r="E79" s="384">
        <v>34600</v>
      </c>
      <c r="F79" s="384" t="s">
        <v>55</v>
      </c>
      <c r="G79" s="385">
        <v>1057886</v>
      </c>
      <c r="H79" s="384" t="s">
        <v>56</v>
      </c>
      <c r="I79" s="384"/>
      <c r="J79" s="384"/>
      <c r="K79" s="387" t="s">
        <v>62</v>
      </c>
      <c r="L79" s="690"/>
      <c r="M79" s="32"/>
      <c r="N79" s="32"/>
      <c r="O79" s="32"/>
      <c r="AC79" t="str">
        <f t="shared" si="24"/>
        <v>1995</v>
      </c>
      <c r="AD79">
        <f t="shared" si="25"/>
        <v>0</v>
      </c>
      <c r="AE79" t="str">
        <f>IF(AND(AQ79=""),"",IF(AQ79=0,"",1+(MAX(AE$60:AE78))))</f>
        <v/>
      </c>
      <c r="AF79" s="85">
        <v>20</v>
      </c>
      <c r="AG79" s="157">
        <f t="shared" si="26"/>
        <v>0</v>
      </c>
      <c r="AH79" s="161">
        <f t="shared" si="27"/>
        <v>0</v>
      </c>
      <c r="AI79" s="161">
        <f t="shared" si="28"/>
        <v>0</v>
      </c>
      <c r="AJ79" s="161">
        <f t="shared" si="29"/>
        <v>0</v>
      </c>
      <c r="AK79" s="161">
        <f t="shared" si="30"/>
        <v>0</v>
      </c>
      <c r="AL79" s="161">
        <f t="shared" si="31"/>
        <v>0</v>
      </c>
      <c r="AM79" s="161">
        <f t="shared" si="32"/>
        <v>0</v>
      </c>
      <c r="AN79" s="161">
        <f t="shared" si="33"/>
        <v>0</v>
      </c>
      <c r="AO79" s="161">
        <f t="shared" si="34"/>
        <v>0</v>
      </c>
      <c r="AP79" s="161">
        <f t="shared" si="35"/>
        <v>0</v>
      </c>
      <c r="AQ79" s="161">
        <f t="shared" si="13"/>
        <v>0</v>
      </c>
      <c r="AR79">
        <f>IF(AND(BD79=""),"",IF(BD79=0,"",1+(MAX(AR$60:AR78))))</f>
        <v>19</v>
      </c>
      <c r="AS79" s="160">
        <v>20</v>
      </c>
      <c r="AT79" s="157" t="str">
        <f t="shared" si="78"/>
        <v xml:space="preserve">Jh fueZy dqekj </v>
      </c>
      <c r="AU79" s="158" t="str">
        <f t="shared" si="79"/>
        <v>CLERK GRADE III</v>
      </c>
      <c r="AV79" s="158">
        <f t="shared" si="80"/>
        <v>5</v>
      </c>
      <c r="AW79" s="158">
        <f t="shared" si="81"/>
        <v>34600</v>
      </c>
      <c r="AX79" s="158" t="str">
        <f t="shared" si="82"/>
        <v>RJAJ199506021728</v>
      </c>
      <c r="AY79" s="158">
        <f t="shared" si="83"/>
        <v>1057886</v>
      </c>
      <c r="AZ79" s="158" t="str">
        <f t="shared" si="84"/>
        <v>MALE</v>
      </c>
      <c r="BA79" s="158">
        <f t="shared" si="85"/>
        <v>0</v>
      </c>
      <c r="BB79" s="158">
        <f t="shared" si="86"/>
        <v>0</v>
      </c>
      <c r="BC79" s="158" t="str">
        <f t="shared" si="37"/>
        <v>NON GAZETTED - REGULAR</v>
      </c>
      <c r="BD79" s="161">
        <f t="shared" si="15"/>
        <v>1</v>
      </c>
      <c r="BE79" t="str">
        <f>IF(AND(BQ79=""),"",IF(BQ79=0,"",1+(MAX(BE$60:BE78))))</f>
        <v/>
      </c>
      <c r="BF79" s="85">
        <v>20</v>
      </c>
      <c r="BG79" s="157">
        <f t="shared" si="38"/>
        <v>0</v>
      </c>
      <c r="BH79" s="161">
        <f t="shared" si="39"/>
        <v>0</v>
      </c>
      <c r="BI79" s="161">
        <f t="shared" si="40"/>
        <v>0</v>
      </c>
      <c r="BJ79" s="161">
        <f t="shared" si="41"/>
        <v>0</v>
      </c>
      <c r="BK79" s="161">
        <f t="shared" si="42"/>
        <v>0</v>
      </c>
      <c r="BL79" s="161">
        <f t="shared" si="43"/>
        <v>0</v>
      </c>
      <c r="BM79" s="161">
        <f t="shared" si="44"/>
        <v>0</v>
      </c>
      <c r="BN79" s="161">
        <f t="shared" si="45"/>
        <v>0</v>
      </c>
      <c r="BO79" s="161">
        <f t="shared" si="46"/>
        <v>0</v>
      </c>
      <c r="BP79" s="161">
        <f t="shared" si="47"/>
        <v>0</v>
      </c>
      <c r="BQ79" s="161">
        <f t="shared" si="17"/>
        <v>0</v>
      </c>
      <c r="BR79" t="str">
        <f>IF(AND(CD79=""),"",IF(CD79=0,"",1+(MAX(BR$60:BR78))))</f>
        <v/>
      </c>
      <c r="BS79" s="160">
        <v>20</v>
      </c>
      <c r="BT79" s="157">
        <f t="shared" si="48"/>
        <v>0</v>
      </c>
      <c r="BU79" s="161">
        <f t="shared" si="49"/>
        <v>0</v>
      </c>
      <c r="BV79" s="161">
        <f t="shared" si="50"/>
        <v>0</v>
      </c>
      <c r="BW79" s="161">
        <f t="shared" si="51"/>
        <v>0</v>
      </c>
      <c r="BX79" s="161">
        <f t="shared" si="52"/>
        <v>0</v>
      </c>
      <c r="BY79" s="161">
        <f t="shared" si="53"/>
        <v>0</v>
      </c>
      <c r="BZ79" s="161">
        <f t="shared" si="54"/>
        <v>0</v>
      </c>
      <c r="CA79" s="161">
        <f t="shared" si="55"/>
        <v>0</v>
      </c>
      <c r="CB79" s="161">
        <f t="shared" si="56"/>
        <v>0</v>
      </c>
      <c r="CC79" s="161">
        <f t="shared" si="57"/>
        <v>0</v>
      </c>
      <c r="CD79" s="161">
        <f t="shared" si="19"/>
        <v>0</v>
      </c>
      <c r="CE79" t="str">
        <f>IF(AND(CQ79=""),"",IF(CQ79=0,"",1+(MAX(CE$60:CE78))))</f>
        <v/>
      </c>
      <c r="CF79" s="85">
        <v>20</v>
      </c>
      <c r="CG79" s="157">
        <f t="shared" si="58"/>
        <v>0</v>
      </c>
      <c r="CH79" s="161">
        <f t="shared" si="59"/>
        <v>0</v>
      </c>
      <c r="CI79" s="161">
        <f t="shared" si="60"/>
        <v>0</v>
      </c>
      <c r="CJ79" s="161">
        <f t="shared" si="61"/>
        <v>0</v>
      </c>
      <c r="CK79" s="161">
        <f t="shared" si="62"/>
        <v>0</v>
      </c>
      <c r="CL79" s="161">
        <f t="shared" si="63"/>
        <v>0</v>
      </c>
      <c r="CM79" s="161">
        <f t="shared" si="64"/>
        <v>0</v>
      </c>
      <c r="CN79" s="161">
        <f t="shared" si="65"/>
        <v>0</v>
      </c>
      <c r="CO79" s="161">
        <f t="shared" si="66"/>
        <v>0</v>
      </c>
      <c r="CP79" s="161">
        <f t="shared" si="67"/>
        <v>0</v>
      </c>
      <c r="CQ79" s="161">
        <f t="shared" si="21"/>
        <v>0</v>
      </c>
      <c r="CR79" t="str">
        <f>IF(AND(DD79=""),"",IF(DD79=0,"",1+(MAX(CR$60:CR78))))</f>
        <v/>
      </c>
      <c r="CS79" s="160">
        <v>20</v>
      </c>
      <c r="CT79" s="157">
        <f t="shared" si="68"/>
        <v>0</v>
      </c>
      <c r="CU79" s="161">
        <f t="shared" si="69"/>
        <v>0</v>
      </c>
      <c r="CV79" s="161">
        <f t="shared" si="70"/>
        <v>0</v>
      </c>
      <c r="CW79" s="161">
        <f t="shared" si="71"/>
        <v>0</v>
      </c>
      <c r="CX79" s="161">
        <f t="shared" si="72"/>
        <v>0</v>
      </c>
      <c r="CY79" s="161">
        <f t="shared" si="73"/>
        <v>0</v>
      </c>
      <c r="CZ79" s="161">
        <f t="shared" si="74"/>
        <v>0</v>
      </c>
      <c r="DA79" s="161">
        <f t="shared" si="75"/>
        <v>0</v>
      </c>
      <c r="DB79" s="161">
        <f t="shared" si="76"/>
        <v>0</v>
      </c>
      <c r="DC79" s="161">
        <f t="shared" si="77"/>
        <v>0</v>
      </c>
      <c r="DD79" s="161">
        <f t="shared" si="23"/>
        <v>0</v>
      </c>
    </row>
    <row r="80" spans="1:108" ht="18.75">
      <c r="A80" s="14">
        <v>21</v>
      </c>
      <c r="B80" s="388" t="s">
        <v>724</v>
      </c>
      <c r="C80" s="391" t="s">
        <v>66</v>
      </c>
      <c r="D80" s="383">
        <v>8</v>
      </c>
      <c r="E80" s="384"/>
      <c r="F80" s="384"/>
      <c r="G80" s="385"/>
      <c r="H80" s="384"/>
      <c r="I80" s="384"/>
      <c r="J80" s="384"/>
      <c r="K80" s="387"/>
      <c r="L80" s="690"/>
      <c r="M80" s="32"/>
      <c r="N80" s="32"/>
      <c r="O80" s="32"/>
      <c r="AC80" t="str">
        <f t="shared" si="24"/>
        <v/>
      </c>
      <c r="AD80">
        <f t="shared" si="25"/>
        <v>0</v>
      </c>
      <c r="AE80" t="str">
        <f>IF(AND(AQ80=""),"",IF(AQ80=0,"",1+(MAX(AE$60:AE79))))</f>
        <v/>
      </c>
      <c r="AF80" s="85">
        <v>21</v>
      </c>
      <c r="AG80" s="157">
        <f t="shared" si="26"/>
        <v>0</v>
      </c>
      <c r="AH80" s="161">
        <f t="shared" si="27"/>
        <v>0</v>
      </c>
      <c r="AI80" s="161">
        <f t="shared" si="28"/>
        <v>0</v>
      </c>
      <c r="AJ80" s="161">
        <f t="shared" si="29"/>
        <v>0</v>
      </c>
      <c r="AK80" s="161">
        <f t="shared" si="30"/>
        <v>0</v>
      </c>
      <c r="AL80" s="161">
        <f t="shared" si="31"/>
        <v>0</v>
      </c>
      <c r="AM80" s="161">
        <f t="shared" si="32"/>
        <v>0</v>
      </c>
      <c r="AN80" s="161">
        <f t="shared" si="33"/>
        <v>0</v>
      </c>
      <c r="AO80" s="161">
        <f t="shared" si="34"/>
        <v>0</v>
      </c>
      <c r="AP80" s="161">
        <f t="shared" si="35"/>
        <v>0</v>
      </c>
      <c r="AQ80" s="161" t="str">
        <f t="shared" si="13"/>
        <v/>
      </c>
      <c r="AR80" t="str">
        <f>IF(AND(BD80=""),"",IF(BD80=0,"",1+(MAX(AR$60:AR79))))</f>
        <v/>
      </c>
      <c r="AS80" s="160">
        <v>21</v>
      </c>
      <c r="AT80" s="157">
        <f t="shared" si="78"/>
        <v>0</v>
      </c>
      <c r="AU80" s="158">
        <f t="shared" si="79"/>
        <v>0</v>
      </c>
      <c r="AV80" s="158">
        <f t="shared" si="80"/>
        <v>0</v>
      </c>
      <c r="AW80" s="158">
        <f t="shared" si="81"/>
        <v>0</v>
      </c>
      <c r="AX80" s="158">
        <f t="shared" si="82"/>
        <v>0</v>
      </c>
      <c r="AY80" s="158">
        <f t="shared" si="83"/>
        <v>0</v>
      </c>
      <c r="AZ80" s="158">
        <f t="shared" si="84"/>
        <v>0</v>
      </c>
      <c r="BA80" s="158">
        <f t="shared" si="85"/>
        <v>0</v>
      </c>
      <c r="BB80" s="158">
        <f t="shared" si="86"/>
        <v>0</v>
      </c>
      <c r="BC80" s="158">
        <f t="shared" si="37"/>
        <v>0</v>
      </c>
      <c r="BD80" s="161" t="str">
        <f t="shared" si="15"/>
        <v/>
      </c>
      <c r="BE80" t="str">
        <f>IF(AND(BQ80=""),"",IF(BQ80=0,"",1+(MAX(BE$60:BE79))))</f>
        <v/>
      </c>
      <c r="BF80" s="85">
        <v>21</v>
      </c>
      <c r="BG80" s="157">
        <f t="shared" si="38"/>
        <v>0</v>
      </c>
      <c r="BH80" s="161">
        <f t="shared" si="39"/>
        <v>0</v>
      </c>
      <c r="BI80" s="161">
        <f t="shared" si="40"/>
        <v>0</v>
      </c>
      <c r="BJ80" s="161">
        <f t="shared" si="41"/>
        <v>0</v>
      </c>
      <c r="BK80" s="161">
        <f t="shared" si="42"/>
        <v>0</v>
      </c>
      <c r="BL80" s="161">
        <f t="shared" si="43"/>
        <v>0</v>
      </c>
      <c r="BM80" s="161">
        <f t="shared" si="44"/>
        <v>0</v>
      </c>
      <c r="BN80" s="161">
        <f t="shared" si="45"/>
        <v>0</v>
      </c>
      <c r="BO80" s="161">
        <f t="shared" si="46"/>
        <v>0</v>
      </c>
      <c r="BP80" s="161">
        <f t="shared" si="47"/>
        <v>0</v>
      </c>
      <c r="BQ80" s="161" t="str">
        <f t="shared" si="17"/>
        <v/>
      </c>
      <c r="BR80" t="str">
        <f>IF(AND(CD80=""),"",IF(CD80=0,"",1+(MAX(BR$60:BR79))))</f>
        <v/>
      </c>
      <c r="BS80" s="160">
        <v>21</v>
      </c>
      <c r="BT80" s="157">
        <f t="shared" si="48"/>
        <v>0</v>
      </c>
      <c r="BU80" s="161">
        <f t="shared" si="49"/>
        <v>0</v>
      </c>
      <c r="BV80" s="161">
        <f t="shared" si="50"/>
        <v>0</v>
      </c>
      <c r="BW80" s="161">
        <f t="shared" si="51"/>
        <v>0</v>
      </c>
      <c r="BX80" s="161">
        <f t="shared" si="52"/>
        <v>0</v>
      </c>
      <c r="BY80" s="161">
        <f t="shared" si="53"/>
        <v>0</v>
      </c>
      <c r="BZ80" s="161">
        <f t="shared" si="54"/>
        <v>0</v>
      </c>
      <c r="CA80" s="161">
        <f t="shared" si="55"/>
        <v>0</v>
      </c>
      <c r="CB80" s="161">
        <f t="shared" si="56"/>
        <v>0</v>
      </c>
      <c r="CC80" s="161">
        <f t="shared" si="57"/>
        <v>0</v>
      </c>
      <c r="CD80" s="161" t="str">
        <f t="shared" si="19"/>
        <v/>
      </c>
      <c r="CE80" t="str">
        <f>IF(AND(CQ80=""),"",IF(CQ80=0,"",1+(MAX(CE$60:CE79))))</f>
        <v/>
      </c>
      <c r="CF80" s="85">
        <v>21</v>
      </c>
      <c r="CG80" s="157">
        <f t="shared" si="58"/>
        <v>0</v>
      </c>
      <c r="CH80" s="161">
        <f t="shared" si="59"/>
        <v>0</v>
      </c>
      <c r="CI80" s="161">
        <f t="shared" si="60"/>
        <v>0</v>
      </c>
      <c r="CJ80" s="161">
        <f t="shared" si="61"/>
        <v>0</v>
      </c>
      <c r="CK80" s="161">
        <f t="shared" si="62"/>
        <v>0</v>
      </c>
      <c r="CL80" s="161">
        <f t="shared" si="63"/>
        <v>0</v>
      </c>
      <c r="CM80" s="161">
        <f t="shared" si="64"/>
        <v>0</v>
      </c>
      <c r="CN80" s="161">
        <f t="shared" si="65"/>
        <v>0</v>
      </c>
      <c r="CO80" s="161">
        <f t="shared" si="66"/>
        <v>0</v>
      </c>
      <c r="CP80" s="161">
        <f t="shared" si="67"/>
        <v>0</v>
      </c>
      <c r="CQ80" s="161" t="str">
        <f t="shared" si="21"/>
        <v/>
      </c>
      <c r="CR80" t="str">
        <f>IF(AND(DD80=""),"",IF(DD80=0,"",1+(MAX(CR$60:CR79))))</f>
        <v/>
      </c>
      <c r="CS80" s="85">
        <v>21</v>
      </c>
      <c r="CT80" s="157">
        <f t="shared" si="68"/>
        <v>0</v>
      </c>
      <c r="CU80" s="161">
        <f t="shared" si="69"/>
        <v>0</v>
      </c>
      <c r="CV80" s="161">
        <f t="shared" si="70"/>
        <v>0</v>
      </c>
      <c r="CW80" s="161">
        <f t="shared" si="71"/>
        <v>0</v>
      </c>
      <c r="CX80" s="161">
        <f t="shared" si="72"/>
        <v>0</v>
      </c>
      <c r="CY80" s="161">
        <f t="shared" si="73"/>
        <v>0</v>
      </c>
      <c r="CZ80" s="161">
        <f t="shared" si="74"/>
        <v>0</v>
      </c>
      <c r="DA80" s="161">
        <f t="shared" si="75"/>
        <v>0</v>
      </c>
      <c r="DB80" s="161">
        <f t="shared" si="76"/>
        <v>0</v>
      </c>
      <c r="DC80" s="161">
        <f t="shared" si="77"/>
        <v>0</v>
      </c>
      <c r="DD80" s="161" t="str">
        <f t="shared" si="23"/>
        <v/>
      </c>
    </row>
    <row r="81" spans="1:108" ht="18.75">
      <c r="A81" s="14">
        <v>22</v>
      </c>
      <c r="B81" s="388" t="s">
        <v>724</v>
      </c>
      <c r="C81" s="391" t="s">
        <v>66</v>
      </c>
      <c r="D81" s="383"/>
      <c r="E81" s="384"/>
      <c r="F81" s="384"/>
      <c r="G81" s="385"/>
      <c r="H81" s="384"/>
      <c r="I81" s="384"/>
      <c r="J81" s="384"/>
      <c r="K81" s="387"/>
      <c r="L81" s="690"/>
      <c r="M81" s="32"/>
      <c r="N81" s="32"/>
      <c r="O81" s="32"/>
      <c r="AC81" t="str">
        <f t="shared" si="24"/>
        <v/>
      </c>
      <c r="AD81">
        <f t="shared" si="25"/>
        <v>1</v>
      </c>
      <c r="AE81" t="str">
        <f>IF(AND(AQ81=""),"",IF(AQ81=0,"",1+(MAX(AE$60:AE80))))</f>
        <v/>
      </c>
      <c r="AF81" s="85">
        <v>22</v>
      </c>
      <c r="AG81" s="157">
        <f t="shared" si="26"/>
        <v>0</v>
      </c>
      <c r="AH81" s="161">
        <f t="shared" si="27"/>
        <v>0</v>
      </c>
      <c r="AI81" s="161">
        <f t="shared" si="28"/>
        <v>0</v>
      </c>
      <c r="AJ81" s="161">
        <f t="shared" si="29"/>
        <v>0</v>
      </c>
      <c r="AK81" s="161">
        <f t="shared" si="30"/>
        <v>0</v>
      </c>
      <c r="AL81" s="161">
        <f t="shared" si="31"/>
        <v>0</v>
      </c>
      <c r="AM81" s="161">
        <f t="shared" si="32"/>
        <v>0</v>
      </c>
      <c r="AN81" s="161">
        <f t="shared" si="33"/>
        <v>0</v>
      </c>
      <c r="AO81" s="161">
        <f t="shared" si="34"/>
        <v>0</v>
      </c>
      <c r="AP81" s="161">
        <f t="shared" si="35"/>
        <v>0</v>
      </c>
      <c r="AQ81" s="161" t="str">
        <f t="shared" si="13"/>
        <v/>
      </c>
      <c r="AR81" t="str">
        <f>IF(AND(BD81=""),"",IF(BD81=0,"",1+(MAX(AR$60:AR80))))</f>
        <v/>
      </c>
      <c r="AS81" s="160">
        <v>22</v>
      </c>
      <c r="AT81" s="157">
        <f t="shared" si="78"/>
        <v>0</v>
      </c>
      <c r="AU81" s="158">
        <f t="shared" si="79"/>
        <v>0</v>
      </c>
      <c r="AV81" s="158">
        <f t="shared" si="80"/>
        <v>0</v>
      </c>
      <c r="AW81" s="158">
        <f t="shared" si="81"/>
        <v>0</v>
      </c>
      <c r="AX81" s="158">
        <f t="shared" si="82"/>
        <v>0</v>
      </c>
      <c r="AY81" s="158">
        <f t="shared" si="83"/>
        <v>0</v>
      </c>
      <c r="AZ81" s="158">
        <f t="shared" si="84"/>
        <v>0</v>
      </c>
      <c r="BA81" s="158">
        <f t="shared" si="85"/>
        <v>0</v>
      </c>
      <c r="BB81" s="158">
        <f t="shared" si="86"/>
        <v>0</v>
      </c>
      <c r="BC81" s="158">
        <f t="shared" si="37"/>
        <v>0</v>
      </c>
      <c r="BD81" s="161" t="str">
        <f t="shared" si="15"/>
        <v/>
      </c>
      <c r="BE81" t="str">
        <f>IF(AND(BQ81=""),"",IF(BQ81=0,"",1+(MAX(BE$60:BE80))))</f>
        <v/>
      </c>
      <c r="BF81" s="85">
        <v>22</v>
      </c>
      <c r="BG81" s="157">
        <f t="shared" si="38"/>
        <v>0</v>
      </c>
      <c r="BH81" s="161">
        <f t="shared" si="39"/>
        <v>0</v>
      </c>
      <c r="BI81" s="161">
        <f t="shared" si="40"/>
        <v>0</v>
      </c>
      <c r="BJ81" s="161">
        <f t="shared" si="41"/>
        <v>0</v>
      </c>
      <c r="BK81" s="161">
        <f t="shared" si="42"/>
        <v>0</v>
      </c>
      <c r="BL81" s="161">
        <f t="shared" si="43"/>
        <v>0</v>
      </c>
      <c r="BM81" s="161">
        <f t="shared" si="44"/>
        <v>0</v>
      </c>
      <c r="BN81" s="161">
        <f t="shared" si="45"/>
        <v>0</v>
      </c>
      <c r="BO81" s="161">
        <f t="shared" si="46"/>
        <v>0</v>
      </c>
      <c r="BP81" s="161">
        <f t="shared" si="47"/>
        <v>0</v>
      </c>
      <c r="BQ81" s="161" t="str">
        <f t="shared" si="17"/>
        <v/>
      </c>
      <c r="BR81" t="str">
        <f>IF(AND(CD81=""),"",IF(CD81=0,"",1+(MAX(BR$60:BR80))))</f>
        <v/>
      </c>
      <c r="BS81" s="160">
        <v>22</v>
      </c>
      <c r="BT81" s="157">
        <f t="shared" si="48"/>
        <v>0</v>
      </c>
      <c r="BU81" s="161">
        <f t="shared" si="49"/>
        <v>0</v>
      </c>
      <c r="BV81" s="161">
        <f t="shared" si="50"/>
        <v>0</v>
      </c>
      <c r="BW81" s="161">
        <f t="shared" si="51"/>
        <v>0</v>
      </c>
      <c r="BX81" s="161">
        <f t="shared" si="52"/>
        <v>0</v>
      </c>
      <c r="BY81" s="161">
        <f t="shared" si="53"/>
        <v>0</v>
      </c>
      <c r="BZ81" s="161">
        <f t="shared" si="54"/>
        <v>0</v>
      </c>
      <c r="CA81" s="161">
        <f t="shared" si="55"/>
        <v>0</v>
      </c>
      <c r="CB81" s="161">
        <f t="shared" si="56"/>
        <v>0</v>
      </c>
      <c r="CC81" s="161">
        <f t="shared" si="57"/>
        <v>0</v>
      </c>
      <c r="CD81" s="161" t="str">
        <f t="shared" si="19"/>
        <v/>
      </c>
      <c r="CE81" t="str">
        <f>IF(AND(CQ81=""),"",IF(CQ81=0,"",1+(MAX(CE$60:CE80))))</f>
        <v/>
      </c>
      <c r="CF81" s="85">
        <v>22</v>
      </c>
      <c r="CG81" s="157">
        <f t="shared" si="58"/>
        <v>0</v>
      </c>
      <c r="CH81" s="161">
        <f t="shared" si="59"/>
        <v>0</v>
      </c>
      <c r="CI81" s="161">
        <f t="shared" si="60"/>
        <v>0</v>
      </c>
      <c r="CJ81" s="161">
        <f t="shared" si="61"/>
        <v>0</v>
      </c>
      <c r="CK81" s="161">
        <f t="shared" si="62"/>
        <v>0</v>
      </c>
      <c r="CL81" s="161">
        <f t="shared" si="63"/>
        <v>0</v>
      </c>
      <c r="CM81" s="161">
        <f t="shared" si="64"/>
        <v>0</v>
      </c>
      <c r="CN81" s="161">
        <f t="shared" si="65"/>
        <v>0</v>
      </c>
      <c r="CO81" s="161">
        <f t="shared" si="66"/>
        <v>0</v>
      </c>
      <c r="CP81" s="161">
        <f t="shared" si="67"/>
        <v>0</v>
      </c>
      <c r="CQ81" s="161" t="str">
        <f t="shared" si="21"/>
        <v/>
      </c>
      <c r="CR81" t="str">
        <f>IF(AND(DD81=""),"",IF(DD81=0,"",1+(MAX(CR$60:CR80))))</f>
        <v/>
      </c>
      <c r="CS81" s="160">
        <v>22</v>
      </c>
      <c r="CT81" s="157">
        <f t="shared" si="68"/>
        <v>0</v>
      </c>
      <c r="CU81" s="161">
        <f t="shared" si="69"/>
        <v>0</v>
      </c>
      <c r="CV81" s="161">
        <f t="shared" si="70"/>
        <v>0</v>
      </c>
      <c r="CW81" s="161">
        <f t="shared" si="71"/>
        <v>0</v>
      </c>
      <c r="CX81" s="161">
        <f t="shared" si="72"/>
        <v>0</v>
      </c>
      <c r="CY81" s="161">
        <f t="shared" si="73"/>
        <v>0</v>
      </c>
      <c r="CZ81" s="161">
        <f t="shared" si="74"/>
        <v>0</v>
      </c>
      <c r="DA81" s="161">
        <f t="shared" si="75"/>
        <v>0</v>
      </c>
      <c r="DB81" s="161">
        <f t="shared" si="76"/>
        <v>0</v>
      </c>
      <c r="DC81" s="161">
        <f t="shared" si="77"/>
        <v>0</v>
      </c>
      <c r="DD81" s="161" t="str">
        <f t="shared" si="23"/>
        <v/>
      </c>
    </row>
    <row r="82" spans="1:108" ht="18.75">
      <c r="A82" s="14">
        <v>23</v>
      </c>
      <c r="B82" s="388" t="s">
        <v>724</v>
      </c>
      <c r="C82" s="391" t="s">
        <v>66</v>
      </c>
      <c r="D82" s="383"/>
      <c r="E82" s="384"/>
      <c r="F82" s="384"/>
      <c r="G82" s="385"/>
      <c r="H82" s="384"/>
      <c r="I82" s="384"/>
      <c r="J82" s="384"/>
      <c r="K82" s="387"/>
      <c r="L82" s="690"/>
      <c r="M82" s="32"/>
      <c r="N82" s="32"/>
      <c r="O82" s="32"/>
      <c r="AC82" t="str">
        <f t="shared" si="24"/>
        <v/>
      </c>
      <c r="AD82">
        <f t="shared" si="25"/>
        <v>1</v>
      </c>
      <c r="AE82" t="str">
        <f>IF(AND(AQ82=""),"",IF(AQ82=0,"",1+(MAX(AE$60:AE81))))</f>
        <v/>
      </c>
      <c r="AF82" s="85">
        <v>23</v>
      </c>
      <c r="AG82" s="157">
        <f t="shared" si="26"/>
        <v>0</v>
      </c>
      <c r="AH82" s="161">
        <f t="shared" si="27"/>
        <v>0</v>
      </c>
      <c r="AI82" s="161">
        <f t="shared" si="28"/>
        <v>0</v>
      </c>
      <c r="AJ82" s="161">
        <f t="shared" si="29"/>
        <v>0</v>
      </c>
      <c r="AK82" s="161">
        <f t="shared" si="30"/>
        <v>0</v>
      </c>
      <c r="AL82" s="161">
        <f t="shared" si="31"/>
        <v>0</v>
      </c>
      <c r="AM82" s="161">
        <f t="shared" si="32"/>
        <v>0</v>
      </c>
      <c r="AN82" s="161">
        <f t="shared" si="33"/>
        <v>0</v>
      </c>
      <c r="AO82" s="161">
        <f t="shared" si="34"/>
        <v>0</v>
      </c>
      <c r="AP82" s="161">
        <f t="shared" si="35"/>
        <v>0</v>
      </c>
      <c r="AQ82" s="161" t="str">
        <f t="shared" si="13"/>
        <v/>
      </c>
      <c r="AR82" t="str">
        <f>IF(AND(BD82=""),"",IF(BD82=0,"",1+(MAX(AR$60:AR81))))</f>
        <v/>
      </c>
      <c r="AS82" s="160">
        <v>23</v>
      </c>
      <c r="AT82" s="157">
        <f t="shared" si="78"/>
        <v>0</v>
      </c>
      <c r="AU82" s="158">
        <f t="shared" si="79"/>
        <v>0</v>
      </c>
      <c r="AV82" s="158">
        <f t="shared" si="80"/>
        <v>0</v>
      </c>
      <c r="AW82" s="158">
        <f t="shared" si="81"/>
        <v>0</v>
      </c>
      <c r="AX82" s="158">
        <f t="shared" si="82"/>
        <v>0</v>
      </c>
      <c r="AY82" s="158">
        <f t="shared" si="83"/>
        <v>0</v>
      </c>
      <c r="AZ82" s="158">
        <f t="shared" si="84"/>
        <v>0</v>
      </c>
      <c r="BA82" s="158">
        <f t="shared" si="85"/>
        <v>0</v>
      </c>
      <c r="BB82" s="158">
        <f t="shared" si="86"/>
        <v>0</v>
      </c>
      <c r="BC82" s="158">
        <f t="shared" si="37"/>
        <v>0</v>
      </c>
      <c r="BD82" s="161" t="str">
        <f t="shared" si="15"/>
        <v/>
      </c>
      <c r="BE82" t="str">
        <f>IF(AND(BQ82=""),"",IF(BQ82=0,"",1+(MAX(BE$60:BE81))))</f>
        <v/>
      </c>
      <c r="BF82" s="85">
        <v>23</v>
      </c>
      <c r="BG82" s="157">
        <f t="shared" si="38"/>
        <v>0</v>
      </c>
      <c r="BH82" s="161">
        <f t="shared" si="39"/>
        <v>0</v>
      </c>
      <c r="BI82" s="161">
        <f t="shared" si="40"/>
        <v>0</v>
      </c>
      <c r="BJ82" s="161">
        <f t="shared" si="41"/>
        <v>0</v>
      </c>
      <c r="BK82" s="161">
        <f t="shared" si="42"/>
        <v>0</v>
      </c>
      <c r="BL82" s="161">
        <f t="shared" si="43"/>
        <v>0</v>
      </c>
      <c r="BM82" s="161">
        <f t="shared" si="44"/>
        <v>0</v>
      </c>
      <c r="BN82" s="161">
        <f t="shared" si="45"/>
        <v>0</v>
      </c>
      <c r="BO82" s="161">
        <f t="shared" si="46"/>
        <v>0</v>
      </c>
      <c r="BP82" s="161">
        <f t="shared" si="47"/>
        <v>0</v>
      </c>
      <c r="BQ82" s="161" t="str">
        <f t="shared" si="17"/>
        <v/>
      </c>
      <c r="BR82" t="str">
        <f>IF(AND(CD82=""),"",IF(CD82=0,"",1+(MAX(BR$60:BR81))))</f>
        <v/>
      </c>
      <c r="BS82" s="160">
        <v>23</v>
      </c>
      <c r="BT82" s="157">
        <f t="shared" si="48"/>
        <v>0</v>
      </c>
      <c r="BU82" s="161">
        <f t="shared" si="49"/>
        <v>0</v>
      </c>
      <c r="BV82" s="161">
        <f t="shared" si="50"/>
        <v>0</v>
      </c>
      <c r="BW82" s="161">
        <f t="shared" si="51"/>
        <v>0</v>
      </c>
      <c r="BX82" s="161">
        <f t="shared" si="52"/>
        <v>0</v>
      </c>
      <c r="BY82" s="161">
        <f t="shared" si="53"/>
        <v>0</v>
      </c>
      <c r="BZ82" s="161">
        <f t="shared" si="54"/>
        <v>0</v>
      </c>
      <c r="CA82" s="161">
        <f t="shared" si="55"/>
        <v>0</v>
      </c>
      <c r="CB82" s="161">
        <f t="shared" si="56"/>
        <v>0</v>
      </c>
      <c r="CC82" s="161">
        <f t="shared" si="57"/>
        <v>0</v>
      </c>
      <c r="CD82" s="161" t="str">
        <f t="shared" si="19"/>
        <v/>
      </c>
      <c r="CE82" t="str">
        <f>IF(AND(CQ82=""),"",IF(CQ82=0,"",1+(MAX(CE$60:CE81))))</f>
        <v/>
      </c>
      <c r="CF82" s="85">
        <v>23</v>
      </c>
      <c r="CG82" s="157">
        <f t="shared" si="58"/>
        <v>0</v>
      </c>
      <c r="CH82" s="161">
        <f t="shared" si="59"/>
        <v>0</v>
      </c>
      <c r="CI82" s="161">
        <f t="shared" si="60"/>
        <v>0</v>
      </c>
      <c r="CJ82" s="161">
        <f t="shared" si="61"/>
        <v>0</v>
      </c>
      <c r="CK82" s="161">
        <f t="shared" si="62"/>
        <v>0</v>
      </c>
      <c r="CL82" s="161">
        <f t="shared" si="63"/>
        <v>0</v>
      </c>
      <c r="CM82" s="161">
        <f t="shared" si="64"/>
        <v>0</v>
      </c>
      <c r="CN82" s="161">
        <f t="shared" si="65"/>
        <v>0</v>
      </c>
      <c r="CO82" s="161">
        <f t="shared" si="66"/>
        <v>0</v>
      </c>
      <c r="CP82" s="161">
        <f t="shared" si="67"/>
        <v>0</v>
      </c>
      <c r="CQ82" s="161" t="str">
        <f t="shared" si="21"/>
        <v/>
      </c>
      <c r="CR82" t="str">
        <f>IF(AND(DD82=""),"",IF(DD82=0,"",1+(MAX(CR$60:CR81))))</f>
        <v/>
      </c>
      <c r="CS82" s="85">
        <v>23</v>
      </c>
      <c r="CT82" s="157">
        <f t="shared" si="68"/>
        <v>0</v>
      </c>
      <c r="CU82" s="161">
        <f t="shared" si="69"/>
        <v>0</v>
      </c>
      <c r="CV82" s="161">
        <f t="shared" si="70"/>
        <v>0</v>
      </c>
      <c r="CW82" s="161">
        <f t="shared" si="71"/>
        <v>0</v>
      </c>
      <c r="CX82" s="161">
        <f t="shared" si="72"/>
        <v>0</v>
      </c>
      <c r="CY82" s="161">
        <f t="shared" si="73"/>
        <v>0</v>
      </c>
      <c r="CZ82" s="161">
        <f t="shared" si="74"/>
        <v>0</v>
      </c>
      <c r="DA82" s="161">
        <f t="shared" si="75"/>
        <v>0</v>
      </c>
      <c r="DB82" s="161">
        <f t="shared" si="76"/>
        <v>0</v>
      </c>
      <c r="DC82" s="161">
        <f t="shared" si="77"/>
        <v>0</v>
      </c>
      <c r="DD82" s="161" t="str">
        <f t="shared" si="23"/>
        <v/>
      </c>
    </row>
    <row r="83" spans="1:108" ht="18.75">
      <c r="A83" s="14">
        <v>24</v>
      </c>
      <c r="B83" s="388"/>
      <c r="C83" s="391"/>
      <c r="D83" s="383"/>
      <c r="E83" s="384"/>
      <c r="F83" s="384"/>
      <c r="G83" s="385"/>
      <c r="H83" s="384"/>
      <c r="I83" s="384"/>
      <c r="J83" s="384"/>
      <c r="K83" s="387"/>
      <c r="L83" s="690"/>
      <c r="M83" s="32"/>
      <c r="N83" s="32"/>
      <c r="O83" s="32"/>
      <c r="AC83" t="str">
        <f t="shared" si="24"/>
        <v/>
      </c>
      <c r="AD83">
        <f t="shared" si="25"/>
        <v>1</v>
      </c>
      <c r="AE83" t="str">
        <f>IF(AND(AQ83=""),"",IF(AQ83=0,"",1+(MAX(AE$60:AE82))))</f>
        <v/>
      </c>
      <c r="AF83" s="85">
        <v>24</v>
      </c>
      <c r="AG83" s="157">
        <f t="shared" si="26"/>
        <v>0</v>
      </c>
      <c r="AH83" s="161">
        <f t="shared" si="27"/>
        <v>0</v>
      </c>
      <c r="AI83" s="161">
        <f t="shared" si="28"/>
        <v>0</v>
      </c>
      <c r="AJ83" s="161">
        <f t="shared" si="29"/>
        <v>0</v>
      </c>
      <c r="AK83" s="161">
        <f t="shared" si="30"/>
        <v>0</v>
      </c>
      <c r="AL83" s="161">
        <f t="shared" si="31"/>
        <v>0</v>
      </c>
      <c r="AM83" s="161">
        <f t="shared" si="32"/>
        <v>0</v>
      </c>
      <c r="AN83" s="161">
        <f t="shared" si="33"/>
        <v>0</v>
      </c>
      <c r="AO83" s="161">
        <f t="shared" si="34"/>
        <v>0</v>
      </c>
      <c r="AP83" s="161">
        <f t="shared" si="35"/>
        <v>0</v>
      </c>
      <c r="AQ83" s="161" t="str">
        <f t="shared" si="13"/>
        <v/>
      </c>
      <c r="AR83" t="str">
        <f>IF(AND(BD83=""),"",IF(BD83=0,"",1+(MAX(AR$60:AR82))))</f>
        <v/>
      </c>
      <c r="AS83" s="160">
        <v>24</v>
      </c>
      <c r="AT83" s="157">
        <f t="shared" si="78"/>
        <v>0</v>
      </c>
      <c r="AU83" s="158">
        <f t="shared" si="79"/>
        <v>0</v>
      </c>
      <c r="AV83" s="158">
        <f t="shared" si="80"/>
        <v>0</v>
      </c>
      <c r="AW83" s="158">
        <f t="shared" si="81"/>
        <v>0</v>
      </c>
      <c r="AX83" s="158">
        <f t="shared" si="82"/>
        <v>0</v>
      </c>
      <c r="AY83" s="158">
        <f t="shared" si="83"/>
        <v>0</v>
      </c>
      <c r="AZ83" s="158">
        <f t="shared" si="84"/>
        <v>0</v>
      </c>
      <c r="BA83" s="158">
        <f t="shared" si="85"/>
        <v>0</v>
      </c>
      <c r="BB83" s="158">
        <f t="shared" si="86"/>
        <v>0</v>
      </c>
      <c r="BC83" s="158">
        <f t="shared" si="37"/>
        <v>0</v>
      </c>
      <c r="BD83" s="161" t="str">
        <f t="shared" si="15"/>
        <v/>
      </c>
      <c r="BE83" t="str">
        <f>IF(AND(BQ83=""),"",IF(BQ83=0,"",1+(MAX(BE$60:BE82))))</f>
        <v/>
      </c>
      <c r="BF83" s="85">
        <v>24</v>
      </c>
      <c r="BG83" s="157">
        <f t="shared" si="38"/>
        <v>0</v>
      </c>
      <c r="BH83" s="161">
        <f t="shared" si="39"/>
        <v>0</v>
      </c>
      <c r="BI83" s="161">
        <f t="shared" si="40"/>
        <v>0</v>
      </c>
      <c r="BJ83" s="161">
        <f t="shared" si="41"/>
        <v>0</v>
      </c>
      <c r="BK83" s="161">
        <f t="shared" si="42"/>
        <v>0</v>
      </c>
      <c r="BL83" s="161">
        <f t="shared" si="43"/>
        <v>0</v>
      </c>
      <c r="BM83" s="161">
        <f t="shared" si="44"/>
        <v>0</v>
      </c>
      <c r="BN83" s="161">
        <f t="shared" si="45"/>
        <v>0</v>
      </c>
      <c r="BO83" s="161">
        <f t="shared" si="46"/>
        <v>0</v>
      </c>
      <c r="BP83" s="161">
        <f t="shared" si="47"/>
        <v>0</v>
      </c>
      <c r="BQ83" s="161" t="str">
        <f t="shared" si="17"/>
        <v/>
      </c>
      <c r="BR83" t="str">
        <f>IF(AND(CD83=""),"",IF(CD83=0,"",1+(MAX(BR$60:BR82))))</f>
        <v/>
      </c>
      <c r="BS83" s="160">
        <v>24</v>
      </c>
      <c r="BT83" s="157">
        <f t="shared" si="48"/>
        <v>0</v>
      </c>
      <c r="BU83" s="161">
        <f t="shared" si="49"/>
        <v>0</v>
      </c>
      <c r="BV83" s="161">
        <f t="shared" si="50"/>
        <v>0</v>
      </c>
      <c r="BW83" s="161">
        <f t="shared" si="51"/>
        <v>0</v>
      </c>
      <c r="BX83" s="161">
        <f t="shared" si="52"/>
        <v>0</v>
      </c>
      <c r="BY83" s="161">
        <f t="shared" si="53"/>
        <v>0</v>
      </c>
      <c r="BZ83" s="161">
        <f t="shared" si="54"/>
        <v>0</v>
      </c>
      <c r="CA83" s="161">
        <f t="shared" si="55"/>
        <v>0</v>
      </c>
      <c r="CB83" s="161">
        <f t="shared" si="56"/>
        <v>0</v>
      </c>
      <c r="CC83" s="161">
        <f t="shared" si="57"/>
        <v>0</v>
      </c>
      <c r="CD83" s="161" t="str">
        <f t="shared" si="19"/>
        <v/>
      </c>
      <c r="CE83" t="str">
        <f>IF(AND(CQ83=""),"",IF(CQ83=0,"",1+(MAX(CE$60:CE82))))</f>
        <v/>
      </c>
      <c r="CF83" s="85">
        <v>24</v>
      </c>
      <c r="CG83" s="157">
        <f t="shared" si="58"/>
        <v>0</v>
      </c>
      <c r="CH83" s="161">
        <f t="shared" si="59"/>
        <v>0</v>
      </c>
      <c r="CI83" s="161">
        <f t="shared" si="60"/>
        <v>0</v>
      </c>
      <c r="CJ83" s="161">
        <f t="shared" si="61"/>
        <v>0</v>
      </c>
      <c r="CK83" s="161">
        <f t="shared" si="62"/>
        <v>0</v>
      </c>
      <c r="CL83" s="161">
        <f t="shared" si="63"/>
        <v>0</v>
      </c>
      <c r="CM83" s="161">
        <f t="shared" si="64"/>
        <v>0</v>
      </c>
      <c r="CN83" s="161">
        <f t="shared" si="65"/>
        <v>0</v>
      </c>
      <c r="CO83" s="161">
        <f t="shared" si="66"/>
        <v>0</v>
      </c>
      <c r="CP83" s="161">
        <f t="shared" si="67"/>
        <v>0</v>
      </c>
      <c r="CQ83" s="161" t="str">
        <f t="shared" si="21"/>
        <v/>
      </c>
      <c r="CR83" t="str">
        <f>IF(AND(DD83=""),"",IF(DD83=0,"",1+(MAX(CR$60:CR82))))</f>
        <v/>
      </c>
      <c r="CS83" s="160">
        <v>24</v>
      </c>
      <c r="CT83" s="157">
        <f t="shared" si="68"/>
        <v>0</v>
      </c>
      <c r="CU83" s="161">
        <f t="shared" si="69"/>
        <v>0</v>
      </c>
      <c r="CV83" s="161">
        <f t="shared" si="70"/>
        <v>0</v>
      </c>
      <c r="CW83" s="161">
        <f t="shared" si="71"/>
        <v>0</v>
      </c>
      <c r="CX83" s="161">
        <f t="shared" si="72"/>
        <v>0</v>
      </c>
      <c r="CY83" s="161">
        <f t="shared" si="73"/>
        <v>0</v>
      </c>
      <c r="CZ83" s="161">
        <f t="shared" si="74"/>
        <v>0</v>
      </c>
      <c r="DA83" s="161">
        <f t="shared" si="75"/>
        <v>0</v>
      </c>
      <c r="DB83" s="161">
        <f t="shared" si="76"/>
        <v>0</v>
      </c>
      <c r="DC83" s="161">
        <f t="shared" si="77"/>
        <v>0</v>
      </c>
      <c r="DD83" s="161" t="str">
        <f t="shared" si="23"/>
        <v/>
      </c>
    </row>
    <row r="84" spans="1:108" ht="18.75">
      <c r="A84" s="14">
        <v>25</v>
      </c>
      <c r="B84" s="388"/>
      <c r="C84" s="391"/>
      <c r="D84" s="383"/>
      <c r="E84" s="384"/>
      <c r="F84" s="384"/>
      <c r="G84" s="385"/>
      <c r="H84" s="384"/>
      <c r="I84" s="384"/>
      <c r="J84" s="384"/>
      <c r="K84" s="387"/>
      <c r="L84" s="690"/>
      <c r="M84" s="32"/>
      <c r="N84" s="32"/>
      <c r="O84" s="32"/>
      <c r="AC84" t="str">
        <f t="shared" si="24"/>
        <v/>
      </c>
      <c r="AD84">
        <f t="shared" si="25"/>
        <v>1</v>
      </c>
      <c r="AE84" t="str">
        <f>IF(AND(AQ84=""),"",IF(AQ84=0,"",1+(MAX(AE$60:AE83))))</f>
        <v/>
      </c>
      <c r="AF84" s="85">
        <v>25</v>
      </c>
      <c r="AG84" s="157">
        <f t="shared" si="26"/>
        <v>0</v>
      </c>
      <c r="AH84" s="161">
        <f t="shared" si="27"/>
        <v>0</v>
      </c>
      <c r="AI84" s="161">
        <f t="shared" si="28"/>
        <v>0</v>
      </c>
      <c r="AJ84" s="161">
        <f t="shared" si="29"/>
        <v>0</v>
      </c>
      <c r="AK84" s="161">
        <f t="shared" si="30"/>
        <v>0</v>
      </c>
      <c r="AL84" s="161">
        <f t="shared" si="31"/>
        <v>0</v>
      </c>
      <c r="AM84" s="161">
        <f t="shared" si="32"/>
        <v>0</v>
      </c>
      <c r="AN84" s="161">
        <f t="shared" si="33"/>
        <v>0</v>
      </c>
      <c r="AO84" s="161">
        <f t="shared" si="34"/>
        <v>0</v>
      </c>
      <c r="AP84" s="161">
        <f t="shared" si="35"/>
        <v>0</v>
      </c>
      <c r="AQ84" s="161" t="str">
        <f t="shared" si="13"/>
        <v/>
      </c>
      <c r="AR84" t="str">
        <f>IF(AND(BD84=""),"",IF(BD84=0,"",1+(MAX(AR$60:AR83))))</f>
        <v/>
      </c>
      <c r="AS84" s="160">
        <v>25</v>
      </c>
      <c r="AT84" s="157">
        <f t="shared" si="78"/>
        <v>0</v>
      </c>
      <c r="AU84" s="158">
        <f t="shared" si="79"/>
        <v>0</v>
      </c>
      <c r="AV84" s="158">
        <f t="shared" si="80"/>
        <v>0</v>
      </c>
      <c r="AW84" s="158">
        <f t="shared" si="81"/>
        <v>0</v>
      </c>
      <c r="AX84" s="158">
        <f t="shared" si="82"/>
        <v>0</v>
      </c>
      <c r="AY84" s="158">
        <f t="shared" si="83"/>
        <v>0</v>
      </c>
      <c r="AZ84" s="158">
        <f t="shared" si="84"/>
        <v>0</v>
      </c>
      <c r="BA84" s="158">
        <f t="shared" si="85"/>
        <v>0</v>
      </c>
      <c r="BB84" s="158">
        <f t="shared" si="86"/>
        <v>0</v>
      </c>
      <c r="BC84" s="158">
        <f t="shared" si="37"/>
        <v>0</v>
      </c>
      <c r="BD84" s="161" t="str">
        <f t="shared" si="15"/>
        <v/>
      </c>
      <c r="BE84" t="str">
        <f>IF(AND(BQ84=""),"",IF(BQ84=0,"",1+(MAX(BE$60:BE83))))</f>
        <v/>
      </c>
      <c r="BF84" s="85">
        <v>25</v>
      </c>
      <c r="BG84" s="157">
        <f t="shared" si="38"/>
        <v>0</v>
      </c>
      <c r="BH84" s="161">
        <f t="shared" si="39"/>
        <v>0</v>
      </c>
      <c r="BI84" s="161">
        <f t="shared" si="40"/>
        <v>0</v>
      </c>
      <c r="BJ84" s="161">
        <f t="shared" si="41"/>
        <v>0</v>
      </c>
      <c r="BK84" s="161">
        <f t="shared" si="42"/>
        <v>0</v>
      </c>
      <c r="BL84" s="161">
        <f t="shared" si="43"/>
        <v>0</v>
      </c>
      <c r="BM84" s="161">
        <f t="shared" si="44"/>
        <v>0</v>
      </c>
      <c r="BN84" s="161">
        <f t="shared" si="45"/>
        <v>0</v>
      </c>
      <c r="BO84" s="161">
        <f t="shared" si="46"/>
        <v>0</v>
      </c>
      <c r="BP84" s="161">
        <f t="shared" si="47"/>
        <v>0</v>
      </c>
      <c r="BQ84" s="161" t="str">
        <f t="shared" si="17"/>
        <v/>
      </c>
      <c r="BR84" t="str">
        <f>IF(AND(CD84=""),"",IF(CD84=0,"",1+(MAX(BR$60:BR83))))</f>
        <v/>
      </c>
      <c r="BS84" s="160">
        <v>25</v>
      </c>
      <c r="BT84" s="157">
        <f t="shared" si="48"/>
        <v>0</v>
      </c>
      <c r="BU84" s="161">
        <f t="shared" si="49"/>
        <v>0</v>
      </c>
      <c r="BV84" s="161">
        <f t="shared" si="50"/>
        <v>0</v>
      </c>
      <c r="BW84" s="161">
        <f t="shared" si="51"/>
        <v>0</v>
      </c>
      <c r="BX84" s="161">
        <f t="shared" si="52"/>
        <v>0</v>
      </c>
      <c r="BY84" s="161">
        <f t="shared" si="53"/>
        <v>0</v>
      </c>
      <c r="BZ84" s="161">
        <f t="shared" si="54"/>
        <v>0</v>
      </c>
      <c r="CA84" s="161">
        <f t="shared" si="55"/>
        <v>0</v>
      </c>
      <c r="CB84" s="161">
        <f t="shared" si="56"/>
        <v>0</v>
      </c>
      <c r="CC84" s="161">
        <f t="shared" si="57"/>
        <v>0</v>
      </c>
      <c r="CD84" s="161" t="str">
        <f t="shared" si="19"/>
        <v/>
      </c>
      <c r="CE84" t="str">
        <f>IF(AND(CQ84=""),"",IF(CQ84=0,"",1+(MAX(CE$60:CE83))))</f>
        <v/>
      </c>
      <c r="CF84" s="85">
        <v>25</v>
      </c>
      <c r="CG84" s="157">
        <f t="shared" si="58"/>
        <v>0</v>
      </c>
      <c r="CH84" s="161">
        <f t="shared" si="59"/>
        <v>0</v>
      </c>
      <c r="CI84" s="161">
        <f t="shared" si="60"/>
        <v>0</v>
      </c>
      <c r="CJ84" s="161">
        <f t="shared" si="61"/>
        <v>0</v>
      </c>
      <c r="CK84" s="161">
        <f t="shared" si="62"/>
        <v>0</v>
      </c>
      <c r="CL84" s="161">
        <f t="shared" si="63"/>
        <v>0</v>
      </c>
      <c r="CM84" s="161">
        <f t="shared" si="64"/>
        <v>0</v>
      </c>
      <c r="CN84" s="161">
        <f t="shared" si="65"/>
        <v>0</v>
      </c>
      <c r="CO84" s="161">
        <f t="shared" si="66"/>
        <v>0</v>
      </c>
      <c r="CP84" s="161">
        <f t="shared" si="67"/>
        <v>0</v>
      </c>
      <c r="CQ84" s="161" t="str">
        <f t="shared" si="21"/>
        <v/>
      </c>
      <c r="CR84" t="str">
        <f>IF(AND(DD84=""),"",IF(DD84=0,"",1+(MAX(CR$60:CR83))))</f>
        <v/>
      </c>
      <c r="CS84" s="85">
        <v>25</v>
      </c>
      <c r="CT84" s="157">
        <f t="shared" si="68"/>
        <v>0</v>
      </c>
      <c r="CU84" s="161">
        <f t="shared" si="69"/>
        <v>0</v>
      </c>
      <c r="CV84" s="161">
        <f t="shared" si="70"/>
        <v>0</v>
      </c>
      <c r="CW84" s="161">
        <f t="shared" si="71"/>
        <v>0</v>
      </c>
      <c r="CX84" s="161">
        <f t="shared" si="72"/>
        <v>0</v>
      </c>
      <c r="CY84" s="161">
        <f t="shared" si="73"/>
        <v>0</v>
      </c>
      <c r="CZ84" s="161">
        <f t="shared" si="74"/>
        <v>0</v>
      </c>
      <c r="DA84" s="161">
        <f t="shared" si="75"/>
        <v>0</v>
      </c>
      <c r="DB84" s="161">
        <f t="shared" si="76"/>
        <v>0</v>
      </c>
      <c r="DC84" s="161">
        <f t="shared" si="77"/>
        <v>0</v>
      </c>
      <c r="DD84" s="161" t="str">
        <f t="shared" si="23"/>
        <v/>
      </c>
    </row>
    <row r="85" spans="1:108" ht="18.75">
      <c r="A85" s="14">
        <v>26</v>
      </c>
      <c r="B85" s="388"/>
      <c r="C85" s="391"/>
      <c r="D85" s="383"/>
      <c r="E85" s="384"/>
      <c r="F85" s="384"/>
      <c r="G85" s="385"/>
      <c r="H85" s="384"/>
      <c r="I85" s="384"/>
      <c r="J85" s="384"/>
      <c r="K85" s="387"/>
      <c r="L85" s="690"/>
      <c r="M85" s="32"/>
      <c r="N85" s="32"/>
      <c r="O85" s="32"/>
      <c r="AC85" t="str">
        <f t="shared" si="24"/>
        <v/>
      </c>
      <c r="AD85">
        <f t="shared" si="25"/>
        <v>1</v>
      </c>
      <c r="AE85" t="str">
        <f>IF(AND(AQ85=""),"",IF(AQ85=0,"",1+(MAX(AE$60:AE84))))</f>
        <v/>
      </c>
      <c r="AF85" s="85">
        <v>26</v>
      </c>
      <c r="AG85" s="157">
        <f t="shared" si="26"/>
        <v>0</v>
      </c>
      <c r="AH85" s="161">
        <f t="shared" si="27"/>
        <v>0</v>
      </c>
      <c r="AI85" s="161">
        <f t="shared" si="28"/>
        <v>0</v>
      </c>
      <c r="AJ85" s="161">
        <f t="shared" si="29"/>
        <v>0</v>
      </c>
      <c r="AK85" s="161">
        <f t="shared" si="30"/>
        <v>0</v>
      </c>
      <c r="AL85" s="161">
        <f t="shared" si="31"/>
        <v>0</v>
      </c>
      <c r="AM85" s="161">
        <f t="shared" si="32"/>
        <v>0</v>
      </c>
      <c r="AN85" s="161">
        <f t="shared" si="33"/>
        <v>0</v>
      </c>
      <c r="AO85" s="161">
        <f t="shared" si="34"/>
        <v>0</v>
      </c>
      <c r="AP85" s="161">
        <f t="shared" si="35"/>
        <v>0</v>
      </c>
      <c r="AQ85" s="161" t="str">
        <f t="shared" si="13"/>
        <v/>
      </c>
      <c r="AR85" t="str">
        <f>IF(AND(BD85=""),"",IF(BD85=0,"",1+(MAX(AR$60:AR84))))</f>
        <v/>
      </c>
      <c r="AS85" s="160">
        <v>26</v>
      </c>
      <c r="AT85" s="157">
        <f t="shared" si="78"/>
        <v>0</v>
      </c>
      <c r="AU85" s="158">
        <f t="shared" si="79"/>
        <v>0</v>
      </c>
      <c r="AV85" s="158">
        <f t="shared" si="80"/>
        <v>0</v>
      </c>
      <c r="AW85" s="158">
        <f t="shared" si="81"/>
        <v>0</v>
      </c>
      <c r="AX85" s="158">
        <f t="shared" si="82"/>
        <v>0</v>
      </c>
      <c r="AY85" s="158">
        <f t="shared" si="83"/>
        <v>0</v>
      </c>
      <c r="AZ85" s="158">
        <f t="shared" si="84"/>
        <v>0</v>
      </c>
      <c r="BA85" s="158">
        <f t="shared" si="85"/>
        <v>0</v>
      </c>
      <c r="BB85" s="158">
        <f t="shared" si="86"/>
        <v>0</v>
      </c>
      <c r="BC85" s="158">
        <f t="shared" si="37"/>
        <v>0</v>
      </c>
      <c r="BD85" s="161" t="str">
        <f t="shared" si="15"/>
        <v/>
      </c>
      <c r="BE85" t="str">
        <f>IF(AND(BQ85=""),"",IF(BQ85=0,"",1+(MAX(BE$60:BE84))))</f>
        <v/>
      </c>
      <c r="BF85" s="85">
        <v>26</v>
      </c>
      <c r="BG85" s="157">
        <f t="shared" si="38"/>
        <v>0</v>
      </c>
      <c r="BH85" s="161">
        <f t="shared" si="39"/>
        <v>0</v>
      </c>
      <c r="BI85" s="161">
        <f t="shared" si="40"/>
        <v>0</v>
      </c>
      <c r="BJ85" s="161">
        <f t="shared" si="41"/>
        <v>0</v>
      </c>
      <c r="BK85" s="161">
        <f t="shared" si="42"/>
        <v>0</v>
      </c>
      <c r="BL85" s="161">
        <f t="shared" si="43"/>
        <v>0</v>
      </c>
      <c r="BM85" s="161">
        <f t="shared" si="44"/>
        <v>0</v>
      </c>
      <c r="BN85" s="161">
        <f t="shared" si="45"/>
        <v>0</v>
      </c>
      <c r="BO85" s="161">
        <f t="shared" si="46"/>
        <v>0</v>
      </c>
      <c r="BP85" s="161">
        <f t="shared" si="47"/>
        <v>0</v>
      </c>
      <c r="BQ85" s="161" t="str">
        <f t="shared" si="17"/>
        <v/>
      </c>
      <c r="BR85" t="str">
        <f>IF(AND(CD85=""),"",IF(CD85=0,"",1+(MAX(BR$60:BR84))))</f>
        <v/>
      </c>
      <c r="BS85" s="160">
        <v>26</v>
      </c>
      <c r="BT85" s="157">
        <f t="shared" si="48"/>
        <v>0</v>
      </c>
      <c r="BU85" s="161">
        <f t="shared" si="49"/>
        <v>0</v>
      </c>
      <c r="BV85" s="161">
        <f t="shared" si="50"/>
        <v>0</v>
      </c>
      <c r="BW85" s="161">
        <f t="shared" si="51"/>
        <v>0</v>
      </c>
      <c r="BX85" s="161">
        <f t="shared" si="52"/>
        <v>0</v>
      </c>
      <c r="BY85" s="161">
        <f t="shared" si="53"/>
        <v>0</v>
      </c>
      <c r="BZ85" s="161">
        <f t="shared" si="54"/>
        <v>0</v>
      </c>
      <c r="CA85" s="161">
        <f t="shared" si="55"/>
        <v>0</v>
      </c>
      <c r="CB85" s="161">
        <f t="shared" si="56"/>
        <v>0</v>
      </c>
      <c r="CC85" s="161">
        <f t="shared" si="57"/>
        <v>0</v>
      </c>
      <c r="CD85" s="161" t="str">
        <f t="shared" si="19"/>
        <v/>
      </c>
      <c r="CE85" t="str">
        <f>IF(AND(CQ85=""),"",IF(CQ85=0,"",1+(MAX(CE$60:CE84))))</f>
        <v/>
      </c>
      <c r="CF85" s="85">
        <v>26</v>
      </c>
      <c r="CG85" s="157">
        <f t="shared" si="58"/>
        <v>0</v>
      </c>
      <c r="CH85" s="161">
        <f t="shared" si="59"/>
        <v>0</v>
      </c>
      <c r="CI85" s="161">
        <f t="shared" si="60"/>
        <v>0</v>
      </c>
      <c r="CJ85" s="161">
        <f t="shared" si="61"/>
        <v>0</v>
      </c>
      <c r="CK85" s="161">
        <f t="shared" si="62"/>
        <v>0</v>
      </c>
      <c r="CL85" s="161">
        <f t="shared" si="63"/>
        <v>0</v>
      </c>
      <c r="CM85" s="161">
        <f t="shared" si="64"/>
        <v>0</v>
      </c>
      <c r="CN85" s="161">
        <f t="shared" si="65"/>
        <v>0</v>
      </c>
      <c r="CO85" s="161">
        <f t="shared" si="66"/>
        <v>0</v>
      </c>
      <c r="CP85" s="161">
        <f t="shared" si="67"/>
        <v>0</v>
      </c>
      <c r="CQ85" s="161" t="str">
        <f t="shared" si="21"/>
        <v/>
      </c>
      <c r="CR85" t="str">
        <f>IF(AND(DD85=""),"",IF(DD85=0,"",1+(MAX(CR$60:CR84))))</f>
        <v/>
      </c>
      <c r="CS85" s="160">
        <v>26</v>
      </c>
      <c r="CT85" s="157">
        <f t="shared" si="68"/>
        <v>0</v>
      </c>
      <c r="CU85" s="161">
        <f t="shared" si="69"/>
        <v>0</v>
      </c>
      <c r="CV85" s="161">
        <f t="shared" si="70"/>
        <v>0</v>
      </c>
      <c r="CW85" s="161">
        <f t="shared" si="71"/>
        <v>0</v>
      </c>
      <c r="CX85" s="161">
        <f t="shared" si="72"/>
        <v>0</v>
      </c>
      <c r="CY85" s="161">
        <f t="shared" si="73"/>
        <v>0</v>
      </c>
      <c r="CZ85" s="161">
        <f t="shared" si="74"/>
        <v>0</v>
      </c>
      <c r="DA85" s="161">
        <f t="shared" si="75"/>
        <v>0</v>
      </c>
      <c r="DB85" s="161">
        <f t="shared" si="76"/>
        <v>0</v>
      </c>
      <c r="DC85" s="161">
        <f t="shared" si="77"/>
        <v>0</v>
      </c>
      <c r="DD85" s="161" t="str">
        <f t="shared" si="23"/>
        <v/>
      </c>
    </row>
    <row r="86" spans="1:108" ht="18.75">
      <c r="A86" s="14">
        <v>27</v>
      </c>
      <c r="B86" s="388"/>
      <c r="C86" s="391"/>
      <c r="D86" s="383"/>
      <c r="E86" s="384"/>
      <c r="F86" s="384"/>
      <c r="G86" s="385"/>
      <c r="H86" s="384"/>
      <c r="I86" s="384"/>
      <c r="J86" s="384"/>
      <c r="K86" s="387"/>
      <c r="L86" s="690"/>
      <c r="M86" s="32"/>
      <c r="N86" s="32"/>
      <c r="O86" s="32"/>
      <c r="AC86" t="str">
        <f t="shared" si="24"/>
        <v/>
      </c>
      <c r="AD86">
        <f t="shared" si="25"/>
        <v>1</v>
      </c>
      <c r="AE86" t="str">
        <f>IF(AND(AQ86=""),"",IF(AQ86=0,"",1+(MAX(AE$60:AE85))))</f>
        <v/>
      </c>
      <c r="AF86" s="85">
        <v>27</v>
      </c>
      <c r="AG86" s="157">
        <f t="shared" si="26"/>
        <v>0</v>
      </c>
      <c r="AH86" s="161">
        <f t="shared" si="27"/>
        <v>0</v>
      </c>
      <c r="AI86" s="161">
        <f t="shared" si="28"/>
        <v>0</v>
      </c>
      <c r="AJ86" s="161">
        <f t="shared" si="29"/>
        <v>0</v>
      </c>
      <c r="AK86" s="161">
        <f t="shared" si="30"/>
        <v>0</v>
      </c>
      <c r="AL86" s="161">
        <f t="shared" si="31"/>
        <v>0</v>
      </c>
      <c r="AM86" s="161">
        <f t="shared" si="32"/>
        <v>0</v>
      </c>
      <c r="AN86" s="161">
        <f t="shared" si="33"/>
        <v>0</v>
      </c>
      <c r="AO86" s="161">
        <f t="shared" si="34"/>
        <v>0</v>
      </c>
      <c r="AP86" s="161">
        <f t="shared" si="35"/>
        <v>0</v>
      </c>
      <c r="AQ86" s="161" t="str">
        <f t="shared" si="13"/>
        <v/>
      </c>
      <c r="AR86" t="str">
        <f>IF(AND(BD86=""),"",IF(BD86=0,"",1+(MAX(AR$60:AR85))))</f>
        <v/>
      </c>
      <c r="AS86" s="160">
        <v>27</v>
      </c>
      <c r="AT86" s="157">
        <f t="shared" si="78"/>
        <v>0</v>
      </c>
      <c r="AU86" s="158">
        <f t="shared" si="79"/>
        <v>0</v>
      </c>
      <c r="AV86" s="158">
        <f t="shared" si="80"/>
        <v>0</v>
      </c>
      <c r="AW86" s="158">
        <f t="shared" si="81"/>
        <v>0</v>
      </c>
      <c r="AX86" s="158">
        <f t="shared" si="82"/>
        <v>0</v>
      </c>
      <c r="AY86" s="158">
        <f t="shared" si="83"/>
        <v>0</v>
      </c>
      <c r="AZ86" s="158">
        <f t="shared" si="84"/>
        <v>0</v>
      </c>
      <c r="BA86" s="158">
        <f t="shared" si="85"/>
        <v>0</v>
      </c>
      <c r="BB86" s="158">
        <f t="shared" si="86"/>
        <v>0</v>
      </c>
      <c r="BC86" s="158">
        <f t="shared" si="37"/>
        <v>0</v>
      </c>
      <c r="BD86" s="161" t="str">
        <f t="shared" si="15"/>
        <v/>
      </c>
      <c r="BE86" t="str">
        <f>IF(AND(BQ86=""),"",IF(BQ86=0,"",1+(MAX(BE$60:BE85))))</f>
        <v/>
      </c>
      <c r="BF86" s="85">
        <v>27</v>
      </c>
      <c r="BG86" s="157">
        <f t="shared" si="38"/>
        <v>0</v>
      </c>
      <c r="BH86" s="161">
        <f t="shared" si="39"/>
        <v>0</v>
      </c>
      <c r="BI86" s="161">
        <f t="shared" si="40"/>
        <v>0</v>
      </c>
      <c r="BJ86" s="161">
        <f t="shared" si="41"/>
        <v>0</v>
      </c>
      <c r="BK86" s="161">
        <f t="shared" si="42"/>
        <v>0</v>
      </c>
      <c r="BL86" s="161">
        <f t="shared" si="43"/>
        <v>0</v>
      </c>
      <c r="BM86" s="161">
        <f t="shared" si="44"/>
        <v>0</v>
      </c>
      <c r="BN86" s="161">
        <f t="shared" si="45"/>
        <v>0</v>
      </c>
      <c r="BO86" s="161">
        <f t="shared" si="46"/>
        <v>0</v>
      </c>
      <c r="BP86" s="161">
        <f t="shared" si="47"/>
        <v>0</v>
      </c>
      <c r="BQ86" s="161" t="str">
        <f t="shared" si="17"/>
        <v/>
      </c>
      <c r="BR86" t="str">
        <f>IF(AND(CD86=""),"",IF(CD86=0,"",1+(MAX(BR$60:BR85))))</f>
        <v/>
      </c>
      <c r="BS86" s="160">
        <v>27</v>
      </c>
      <c r="BT86" s="157">
        <f t="shared" si="48"/>
        <v>0</v>
      </c>
      <c r="BU86" s="161">
        <f t="shared" si="49"/>
        <v>0</v>
      </c>
      <c r="BV86" s="161">
        <f t="shared" si="50"/>
        <v>0</v>
      </c>
      <c r="BW86" s="161">
        <f t="shared" si="51"/>
        <v>0</v>
      </c>
      <c r="BX86" s="161">
        <f t="shared" si="52"/>
        <v>0</v>
      </c>
      <c r="BY86" s="161">
        <f t="shared" si="53"/>
        <v>0</v>
      </c>
      <c r="BZ86" s="161">
        <f t="shared" si="54"/>
        <v>0</v>
      </c>
      <c r="CA86" s="161">
        <f t="shared" si="55"/>
        <v>0</v>
      </c>
      <c r="CB86" s="161">
        <f t="shared" si="56"/>
        <v>0</v>
      </c>
      <c r="CC86" s="161">
        <f t="shared" si="57"/>
        <v>0</v>
      </c>
      <c r="CD86" s="161" t="str">
        <f t="shared" si="19"/>
        <v/>
      </c>
      <c r="CE86" t="str">
        <f>IF(AND(CQ86=""),"",IF(CQ86=0,"",1+(MAX(CE$60:CE85))))</f>
        <v/>
      </c>
      <c r="CF86" s="85">
        <v>27</v>
      </c>
      <c r="CG86" s="157">
        <f t="shared" si="58"/>
        <v>0</v>
      </c>
      <c r="CH86" s="161">
        <f t="shared" si="59"/>
        <v>0</v>
      </c>
      <c r="CI86" s="161">
        <f t="shared" si="60"/>
        <v>0</v>
      </c>
      <c r="CJ86" s="161">
        <f t="shared" si="61"/>
        <v>0</v>
      </c>
      <c r="CK86" s="161">
        <f t="shared" si="62"/>
        <v>0</v>
      </c>
      <c r="CL86" s="161">
        <f t="shared" si="63"/>
        <v>0</v>
      </c>
      <c r="CM86" s="161">
        <f t="shared" si="64"/>
        <v>0</v>
      </c>
      <c r="CN86" s="161">
        <f t="shared" si="65"/>
        <v>0</v>
      </c>
      <c r="CO86" s="161">
        <f t="shared" si="66"/>
        <v>0</v>
      </c>
      <c r="CP86" s="161">
        <f t="shared" si="67"/>
        <v>0</v>
      </c>
      <c r="CQ86" s="161" t="str">
        <f t="shared" si="21"/>
        <v/>
      </c>
      <c r="CR86" t="str">
        <f>IF(AND(DD86=""),"",IF(DD86=0,"",1+(MAX(CR$60:CR85))))</f>
        <v/>
      </c>
      <c r="CS86" s="85">
        <v>27</v>
      </c>
      <c r="CT86" s="157">
        <f t="shared" si="68"/>
        <v>0</v>
      </c>
      <c r="CU86" s="161">
        <f t="shared" si="69"/>
        <v>0</v>
      </c>
      <c r="CV86" s="161">
        <f t="shared" si="70"/>
        <v>0</v>
      </c>
      <c r="CW86" s="161">
        <f t="shared" si="71"/>
        <v>0</v>
      </c>
      <c r="CX86" s="161">
        <f t="shared" si="72"/>
        <v>0</v>
      </c>
      <c r="CY86" s="161">
        <f t="shared" si="73"/>
        <v>0</v>
      </c>
      <c r="CZ86" s="161">
        <f t="shared" si="74"/>
        <v>0</v>
      </c>
      <c r="DA86" s="161">
        <f t="shared" si="75"/>
        <v>0</v>
      </c>
      <c r="DB86" s="161">
        <f t="shared" si="76"/>
        <v>0</v>
      </c>
      <c r="DC86" s="161">
        <f t="shared" si="77"/>
        <v>0</v>
      </c>
      <c r="DD86" s="161" t="str">
        <f t="shared" si="23"/>
        <v/>
      </c>
    </row>
    <row r="87" spans="1:108" ht="18.75">
      <c r="A87" s="14">
        <v>28</v>
      </c>
      <c r="B87" s="388"/>
      <c r="C87" s="391"/>
      <c r="D87" s="383"/>
      <c r="E87" s="384"/>
      <c r="F87" s="384"/>
      <c r="G87" s="385"/>
      <c r="H87" s="384"/>
      <c r="I87" s="384"/>
      <c r="J87" s="384"/>
      <c r="K87" s="387"/>
      <c r="L87" s="690"/>
      <c r="M87" s="32"/>
      <c r="N87" s="32"/>
      <c r="O87" s="32"/>
      <c r="AC87" t="str">
        <f t="shared" si="24"/>
        <v/>
      </c>
      <c r="AD87">
        <f t="shared" si="25"/>
        <v>1</v>
      </c>
      <c r="AE87" t="str">
        <f>IF(AND(AQ87=""),"",IF(AQ87=0,"",1+(MAX(AE$60:AE86))))</f>
        <v/>
      </c>
      <c r="AF87" s="85">
        <v>28</v>
      </c>
      <c r="AG87" s="157">
        <f t="shared" si="26"/>
        <v>0</v>
      </c>
      <c r="AH87" s="161">
        <f t="shared" si="27"/>
        <v>0</v>
      </c>
      <c r="AI87" s="161">
        <f t="shared" si="28"/>
        <v>0</v>
      </c>
      <c r="AJ87" s="161">
        <f t="shared" si="29"/>
        <v>0</v>
      </c>
      <c r="AK87" s="161">
        <f t="shared" si="30"/>
        <v>0</v>
      </c>
      <c r="AL87" s="161">
        <f t="shared" si="31"/>
        <v>0</v>
      </c>
      <c r="AM87" s="161">
        <f t="shared" si="32"/>
        <v>0</v>
      </c>
      <c r="AN87" s="161">
        <f t="shared" si="33"/>
        <v>0</v>
      </c>
      <c r="AO87" s="161">
        <f t="shared" si="34"/>
        <v>0</v>
      </c>
      <c r="AP87" s="161">
        <f t="shared" si="35"/>
        <v>0</v>
      </c>
      <c r="AQ87" s="161" t="str">
        <f t="shared" si="13"/>
        <v/>
      </c>
      <c r="AR87" t="str">
        <f>IF(AND(BD87=""),"",IF(BD87=0,"",1+(MAX(AR$60:AR86))))</f>
        <v/>
      </c>
      <c r="AS87" s="160">
        <v>28</v>
      </c>
      <c r="AT87" s="157">
        <f t="shared" si="78"/>
        <v>0</v>
      </c>
      <c r="AU87" s="158">
        <f t="shared" si="79"/>
        <v>0</v>
      </c>
      <c r="AV87" s="158">
        <f t="shared" si="80"/>
        <v>0</v>
      </c>
      <c r="AW87" s="158">
        <f t="shared" si="81"/>
        <v>0</v>
      </c>
      <c r="AX87" s="158">
        <f t="shared" si="82"/>
        <v>0</v>
      </c>
      <c r="AY87" s="158">
        <f t="shared" si="83"/>
        <v>0</v>
      </c>
      <c r="AZ87" s="158">
        <f t="shared" si="84"/>
        <v>0</v>
      </c>
      <c r="BA87" s="158">
        <f t="shared" si="85"/>
        <v>0</v>
      </c>
      <c r="BB87" s="158">
        <f t="shared" si="86"/>
        <v>0</v>
      </c>
      <c r="BC87" s="158">
        <f t="shared" si="37"/>
        <v>0</v>
      </c>
      <c r="BD87" s="161" t="str">
        <f t="shared" si="15"/>
        <v/>
      </c>
      <c r="BE87" t="str">
        <f>IF(AND(BQ87=""),"",IF(BQ87=0,"",1+(MAX(BE$60:BE86))))</f>
        <v/>
      </c>
      <c r="BF87" s="85">
        <v>28</v>
      </c>
      <c r="BG87" s="157">
        <f t="shared" si="38"/>
        <v>0</v>
      </c>
      <c r="BH87" s="161">
        <f t="shared" si="39"/>
        <v>0</v>
      </c>
      <c r="BI87" s="161">
        <f t="shared" si="40"/>
        <v>0</v>
      </c>
      <c r="BJ87" s="161">
        <f t="shared" si="41"/>
        <v>0</v>
      </c>
      <c r="BK87" s="161">
        <f t="shared" si="42"/>
        <v>0</v>
      </c>
      <c r="BL87" s="161">
        <f t="shared" si="43"/>
        <v>0</v>
      </c>
      <c r="BM87" s="161">
        <f t="shared" si="44"/>
        <v>0</v>
      </c>
      <c r="BN87" s="161">
        <f t="shared" si="45"/>
        <v>0</v>
      </c>
      <c r="BO87" s="161">
        <f t="shared" si="46"/>
        <v>0</v>
      </c>
      <c r="BP87" s="161">
        <f t="shared" si="47"/>
        <v>0</v>
      </c>
      <c r="BQ87" s="161" t="str">
        <f t="shared" si="17"/>
        <v/>
      </c>
      <c r="BR87" t="str">
        <f>IF(AND(CD87=""),"",IF(CD87=0,"",1+(MAX(BR$60:BR86))))</f>
        <v/>
      </c>
      <c r="BS87" s="160">
        <v>28</v>
      </c>
      <c r="BT87" s="157">
        <f t="shared" si="48"/>
        <v>0</v>
      </c>
      <c r="BU87" s="161">
        <f t="shared" si="49"/>
        <v>0</v>
      </c>
      <c r="BV87" s="161">
        <f t="shared" si="50"/>
        <v>0</v>
      </c>
      <c r="BW87" s="161">
        <f t="shared" si="51"/>
        <v>0</v>
      </c>
      <c r="BX87" s="161">
        <f t="shared" si="52"/>
        <v>0</v>
      </c>
      <c r="BY87" s="161">
        <f t="shared" si="53"/>
        <v>0</v>
      </c>
      <c r="BZ87" s="161">
        <f t="shared" si="54"/>
        <v>0</v>
      </c>
      <c r="CA87" s="161">
        <f t="shared" si="55"/>
        <v>0</v>
      </c>
      <c r="CB87" s="161">
        <f t="shared" si="56"/>
        <v>0</v>
      </c>
      <c r="CC87" s="161">
        <f t="shared" si="57"/>
        <v>0</v>
      </c>
      <c r="CD87" s="161" t="str">
        <f t="shared" si="19"/>
        <v/>
      </c>
      <c r="CE87" t="str">
        <f>IF(AND(CQ87=""),"",IF(CQ87=0,"",1+(MAX(CE$60:CE86))))</f>
        <v/>
      </c>
      <c r="CF87" s="85">
        <v>28</v>
      </c>
      <c r="CG87" s="157">
        <f t="shared" si="58"/>
        <v>0</v>
      </c>
      <c r="CH87" s="161">
        <f t="shared" si="59"/>
        <v>0</v>
      </c>
      <c r="CI87" s="161">
        <f t="shared" si="60"/>
        <v>0</v>
      </c>
      <c r="CJ87" s="161">
        <f t="shared" si="61"/>
        <v>0</v>
      </c>
      <c r="CK87" s="161">
        <f t="shared" si="62"/>
        <v>0</v>
      </c>
      <c r="CL87" s="161">
        <f t="shared" si="63"/>
        <v>0</v>
      </c>
      <c r="CM87" s="161">
        <f t="shared" si="64"/>
        <v>0</v>
      </c>
      <c r="CN87" s="161">
        <f t="shared" si="65"/>
        <v>0</v>
      </c>
      <c r="CO87" s="161">
        <f t="shared" si="66"/>
        <v>0</v>
      </c>
      <c r="CP87" s="161">
        <f t="shared" si="67"/>
        <v>0</v>
      </c>
      <c r="CQ87" s="161" t="str">
        <f t="shared" si="21"/>
        <v/>
      </c>
      <c r="CR87" t="str">
        <f>IF(AND(DD87=""),"",IF(DD87=0,"",1+(MAX(CR$60:CR86))))</f>
        <v/>
      </c>
      <c r="CS87" s="160">
        <v>28</v>
      </c>
      <c r="CT87" s="157">
        <f t="shared" si="68"/>
        <v>0</v>
      </c>
      <c r="CU87" s="161">
        <f t="shared" si="69"/>
        <v>0</v>
      </c>
      <c r="CV87" s="161">
        <f t="shared" si="70"/>
        <v>0</v>
      </c>
      <c r="CW87" s="161">
        <f t="shared" si="71"/>
        <v>0</v>
      </c>
      <c r="CX87" s="161">
        <f t="shared" si="72"/>
        <v>0</v>
      </c>
      <c r="CY87" s="161">
        <f t="shared" si="73"/>
        <v>0</v>
      </c>
      <c r="CZ87" s="161">
        <f t="shared" si="74"/>
        <v>0</v>
      </c>
      <c r="DA87" s="161">
        <f t="shared" si="75"/>
        <v>0</v>
      </c>
      <c r="DB87" s="161">
        <f t="shared" si="76"/>
        <v>0</v>
      </c>
      <c r="DC87" s="161">
        <f t="shared" si="77"/>
        <v>0</v>
      </c>
      <c r="DD87" s="161" t="str">
        <f t="shared" si="23"/>
        <v/>
      </c>
    </row>
    <row r="88" spans="1:108" ht="18.75">
      <c r="A88" s="14">
        <v>29</v>
      </c>
      <c r="B88" s="388"/>
      <c r="C88" s="391"/>
      <c r="D88" s="383"/>
      <c r="E88" s="384"/>
      <c r="F88" s="384"/>
      <c r="G88" s="385"/>
      <c r="H88" s="384"/>
      <c r="I88" s="384"/>
      <c r="J88" s="384"/>
      <c r="K88" s="387"/>
      <c r="L88" s="690"/>
      <c r="M88" s="32"/>
      <c r="N88" s="32"/>
      <c r="O88" s="32"/>
      <c r="AC88" t="str">
        <f t="shared" si="24"/>
        <v/>
      </c>
      <c r="AD88">
        <f t="shared" si="25"/>
        <v>1</v>
      </c>
      <c r="AE88" t="str">
        <f>IF(AND(AQ88=""),"",IF(AQ88=0,"",1+(MAX(AE$60:AE87))))</f>
        <v/>
      </c>
      <c r="AF88" s="85">
        <v>29</v>
      </c>
      <c r="AG88" s="157">
        <f t="shared" si="26"/>
        <v>0</v>
      </c>
      <c r="AH88" s="161">
        <f t="shared" si="27"/>
        <v>0</v>
      </c>
      <c r="AI88" s="161">
        <f t="shared" si="28"/>
        <v>0</v>
      </c>
      <c r="AJ88" s="161">
        <f t="shared" si="29"/>
        <v>0</v>
      </c>
      <c r="AK88" s="161">
        <f t="shared" si="30"/>
        <v>0</v>
      </c>
      <c r="AL88" s="161">
        <f t="shared" si="31"/>
        <v>0</v>
      </c>
      <c r="AM88" s="161">
        <f t="shared" si="32"/>
        <v>0</v>
      </c>
      <c r="AN88" s="161">
        <f t="shared" si="33"/>
        <v>0</v>
      </c>
      <c r="AO88" s="161">
        <f t="shared" si="34"/>
        <v>0</v>
      </c>
      <c r="AP88" s="161">
        <f t="shared" si="35"/>
        <v>0</v>
      </c>
      <c r="AQ88" s="161" t="str">
        <f t="shared" si="13"/>
        <v/>
      </c>
      <c r="AR88" t="str">
        <f>IF(AND(BD88=""),"",IF(BD88=0,"",1+(MAX(AR$60:AR87))))</f>
        <v/>
      </c>
      <c r="AS88" s="160">
        <v>29</v>
      </c>
      <c r="AT88" s="157">
        <f t="shared" si="78"/>
        <v>0</v>
      </c>
      <c r="AU88" s="158">
        <f t="shared" si="79"/>
        <v>0</v>
      </c>
      <c r="AV88" s="158">
        <f t="shared" si="80"/>
        <v>0</v>
      </c>
      <c r="AW88" s="158">
        <f t="shared" si="81"/>
        <v>0</v>
      </c>
      <c r="AX88" s="158">
        <f t="shared" si="82"/>
        <v>0</v>
      </c>
      <c r="AY88" s="158">
        <f t="shared" si="83"/>
        <v>0</v>
      </c>
      <c r="AZ88" s="158">
        <f t="shared" si="84"/>
        <v>0</v>
      </c>
      <c r="BA88" s="158">
        <f t="shared" si="85"/>
        <v>0</v>
      </c>
      <c r="BB88" s="158">
        <f t="shared" si="86"/>
        <v>0</v>
      </c>
      <c r="BC88" s="158">
        <f t="shared" si="37"/>
        <v>0</v>
      </c>
      <c r="BD88" s="161" t="str">
        <f t="shared" si="15"/>
        <v/>
      </c>
      <c r="BE88" t="str">
        <f>IF(AND(BQ88=""),"",IF(BQ88=0,"",1+(MAX(BE$60:BE87))))</f>
        <v/>
      </c>
      <c r="BF88" s="85">
        <v>29</v>
      </c>
      <c r="BG88" s="157">
        <f t="shared" si="38"/>
        <v>0</v>
      </c>
      <c r="BH88" s="161">
        <f t="shared" si="39"/>
        <v>0</v>
      </c>
      <c r="BI88" s="161">
        <f t="shared" si="40"/>
        <v>0</v>
      </c>
      <c r="BJ88" s="161">
        <f t="shared" si="41"/>
        <v>0</v>
      </c>
      <c r="BK88" s="161">
        <f t="shared" si="42"/>
        <v>0</v>
      </c>
      <c r="BL88" s="161">
        <f t="shared" si="43"/>
        <v>0</v>
      </c>
      <c r="BM88" s="161">
        <f t="shared" si="44"/>
        <v>0</v>
      </c>
      <c r="BN88" s="161">
        <f t="shared" si="45"/>
        <v>0</v>
      </c>
      <c r="BO88" s="161">
        <f t="shared" si="46"/>
        <v>0</v>
      </c>
      <c r="BP88" s="161">
        <f t="shared" si="47"/>
        <v>0</v>
      </c>
      <c r="BQ88" s="161" t="str">
        <f t="shared" si="17"/>
        <v/>
      </c>
      <c r="BR88" t="str">
        <f>IF(AND(CD88=""),"",IF(CD88=0,"",1+(MAX(BR$60:BR87))))</f>
        <v/>
      </c>
      <c r="BS88" s="160">
        <v>29</v>
      </c>
      <c r="BT88" s="157">
        <f t="shared" si="48"/>
        <v>0</v>
      </c>
      <c r="BU88" s="161">
        <f t="shared" si="49"/>
        <v>0</v>
      </c>
      <c r="BV88" s="161">
        <f t="shared" si="50"/>
        <v>0</v>
      </c>
      <c r="BW88" s="161">
        <f t="shared" si="51"/>
        <v>0</v>
      </c>
      <c r="BX88" s="161">
        <f t="shared" si="52"/>
        <v>0</v>
      </c>
      <c r="BY88" s="161">
        <f t="shared" si="53"/>
        <v>0</v>
      </c>
      <c r="BZ88" s="161">
        <f t="shared" si="54"/>
        <v>0</v>
      </c>
      <c r="CA88" s="161">
        <f t="shared" si="55"/>
        <v>0</v>
      </c>
      <c r="CB88" s="161">
        <f t="shared" si="56"/>
        <v>0</v>
      </c>
      <c r="CC88" s="161">
        <f t="shared" si="57"/>
        <v>0</v>
      </c>
      <c r="CD88" s="161" t="str">
        <f t="shared" si="19"/>
        <v/>
      </c>
      <c r="CE88" t="str">
        <f>IF(AND(CQ88=""),"",IF(CQ88=0,"",1+(MAX(CE$60:CE87))))</f>
        <v/>
      </c>
      <c r="CF88" s="85">
        <v>29</v>
      </c>
      <c r="CG88" s="157">
        <f t="shared" si="58"/>
        <v>0</v>
      </c>
      <c r="CH88" s="161">
        <f t="shared" si="59"/>
        <v>0</v>
      </c>
      <c r="CI88" s="161">
        <f t="shared" si="60"/>
        <v>0</v>
      </c>
      <c r="CJ88" s="161">
        <f t="shared" si="61"/>
        <v>0</v>
      </c>
      <c r="CK88" s="161">
        <f t="shared" si="62"/>
        <v>0</v>
      </c>
      <c r="CL88" s="161">
        <f t="shared" si="63"/>
        <v>0</v>
      </c>
      <c r="CM88" s="161">
        <f t="shared" si="64"/>
        <v>0</v>
      </c>
      <c r="CN88" s="161">
        <f t="shared" si="65"/>
        <v>0</v>
      </c>
      <c r="CO88" s="161">
        <f t="shared" si="66"/>
        <v>0</v>
      </c>
      <c r="CP88" s="161">
        <f t="shared" si="67"/>
        <v>0</v>
      </c>
      <c r="CQ88" s="161" t="str">
        <f t="shared" si="21"/>
        <v/>
      </c>
      <c r="CR88" t="str">
        <f>IF(AND(DD88=""),"",IF(DD88=0,"",1+(MAX(CR$60:CR87))))</f>
        <v/>
      </c>
      <c r="CS88" s="85">
        <v>29</v>
      </c>
      <c r="CT88" s="157">
        <f t="shared" si="68"/>
        <v>0</v>
      </c>
      <c r="CU88" s="161">
        <f t="shared" si="69"/>
        <v>0</v>
      </c>
      <c r="CV88" s="161">
        <f t="shared" si="70"/>
        <v>0</v>
      </c>
      <c r="CW88" s="161">
        <f t="shared" si="71"/>
        <v>0</v>
      </c>
      <c r="CX88" s="161">
        <f t="shared" si="72"/>
        <v>0</v>
      </c>
      <c r="CY88" s="161">
        <f t="shared" si="73"/>
        <v>0</v>
      </c>
      <c r="CZ88" s="161">
        <f t="shared" si="74"/>
        <v>0</v>
      </c>
      <c r="DA88" s="161">
        <f t="shared" si="75"/>
        <v>0</v>
      </c>
      <c r="DB88" s="161">
        <f t="shared" si="76"/>
        <v>0</v>
      </c>
      <c r="DC88" s="161">
        <f t="shared" si="77"/>
        <v>0</v>
      </c>
      <c r="DD88" s="161" t="str">
        <f t="shared" si="23"/>
        <v/>
      </c>
    </row>
    <row r="89" spans="1:108" ht="18.75">
      <c r="A89" s="14">
        <v>30</v>
      </c>
      <c r="B89" s="388"/>
      <c r="C89" s="391"/>
      <c r="D89" s="383"/>
      <c r="E89" s="384"/>
      <c r="F89" s="384"/>
      <c r="G89" s="385"/>
      <c r="H89" s="384"/>
      <c r="I89" s="384"/>
      <c r="J89" s="384"/>
      <c r="K89" s="387"/>
      <c r="L89" s="690"/>
      <c r="M89" s="32"/>
      <c r="N89" s="32"/>
      <c r="O89" s="32"/>
      <c r="AC89" t="str">
        <f t="shared" si="24"/>
        <v/>
      </c>
      <c r="AD89">
        <f t="shared" si="25"/>
        <v>1</v>
      </c>
      <c r="AE89" t="str">
        <f>IF(AND(AQ89=""),"",IF(AQ89=0,"",1+(MAX(AE$60:AE88))))</f>
        <v/>
      </c>
      <c r="AF89" s="85">
        <v>30</v>
      </c>
      <c r="AG89" s="157">
        <f t="shared" si="26"/>
        <v>0</v>
      </c>
      <c r="AH89" s="161">
        <f t="shared" si="27"/>
        <v>0</v>
      </c>
      <c r="AI89" s="161">
        <f t="shared" si="28"/>
        <v>0</v>
      </c>
      <c r="AJ89" s="161">
        <f t="shared" si="29"/>
        <v>0</v>
      </c>
      <c r="AK89" s="161">
        <f t="shared" si="30"/>
        <v>0</v>
      </c>
      <c r="AL89" s="161">
        <f t="shared" si="31"/>
        <v>0</v>
      </c>
      <c r="AM89" s="161">
        <f t="shared" si="32"/>
        <v>0</v>
      </c>
      <c r="AN89" s="161">
        <f t="shared" si="33"/>
        <v>0</v>
      </c>
      <c r="AO89" s="161">
        <f t="shared" si="34"/>
        <v>0</v>
      </c>
      <c r="AP89" s="161">
        <f t="shared" si="35"/>
        <v>0</v>
      </c>
      <c r="AQ89" s="161" t="str">
        <f t="shared" si="13"/>
        <v/>
      </c>
      <c r="AR89" t="str">
        <f>IF(AND(BD89=""),"",IF(BD89=0,"",1+(MAX(AR$60:AR88))))</f>
        <v/>
      </c>
      <c r="AS89" s="160">
        <v>30</v>
      </c>
      <c r="AT89" s="157">
        <f t="shared" si="78"/>
        <v>0</v>
      </c>
      <c r="AU89" s="158">
        <f t="shared" si="79"/>
        <v>0</v>
      </c>
      <c r="AV89" s="158">
        <f t="shared" si="80"/>
        <v>0</v>
      </c>
      <c r="AW89" s="158">
        <f t="shared" si="81"/>
        <v>0</v>
      </c>
      <c r="AX89" s="158">
        <f t="shared" si="82"/>
        <v>0</v>
      </c>
      <c r="AY89" s="158">
        <f t="shared" si="83"/>
        <v>0</v>
      </c>
      <c r="AZ89" s="158">
        <f t="shared" si="84"/>
        <v>0</v>
      </c>
      <c r="BA89" s="158">
        <f t="shared" si="85"/>
        <v>0</v>
      </c>
      <c r="BB89" s="158">
        <f t="shared" si="86"/>
        <v>0</v>
      </c>
      <c r="BC89" s="158">
        <f t="shared" si="37"/>
        <v>0</v>
      </c>
      <c r="BD89" s="161" t="str">
        <f t="shared" si="15"/>
        <v/>
      </c>
      <c r="BE89" t="str">
        <f>IF(AND(BQ89=""),"",IF(BQ89=0,"",1+(MAX(BE$60:BE88))))</f>
        <v/>
      </c>
      <c r="BF89" s="85">
        <v>30</v>
      </c>
      <c r="BG89" s="157">
        <f t="shared" si="38"/>
        <v>0</v>
      </c>
      <c r="BH89" s="161">
        <f t="shared" si="39"/>
        <v>0</v>
      </c>
      <c r="BI89" s="161">
        <f t="shared" si="40"/>
        <v>0</v>
      </c>
      <c r="BJ89" s="161">
        <f t="shared" si="41"/>
        <v>0</v>
      </c>
      <c r="BK89" s="161">
        <f t="shared" si="42"/>
        <v>0</v>
      </c>
      <c r="BL89" s="161">
        <f t="shared" si="43"/>
        <v>0</v>
      </c>
      <c r="BM89" s="161">
        <f t="shared" si="44"/>
        <v>0</v>
      </c>
      <c r="BN89" s="161">
        <f t="shared" si="45"/>
        <v>0</v>
      </c>
      <c r="BO89" s="161">
        <f t="shared" si="46"/>
        <v>0</v>
      </c>
      <c r="BP89" s="161">
        <f t="shared" si="47"/>
        <v>0</v>
      </c>
      <c r="BQ89" s="161" t="str">
        <f t="shared" si="17"/>
        <v/>
      </c>
      <c r="BR89" t="str">
        <f>IF(AND(CD89=""),"",IF(CD89=0,"",1+(MAX(BR$60:BR88))))</f>
        <v/>
      </c>
      <c r="BS89" s="160">
        <v>30</v>
      </c>
      <c r="BT89" s="157">
        <f t="shared" si="48"/>
        <v>0</v>
      </c>
      <c r="BU89" s="161">
        <f t="shared" si="49"/>
        <v>0</v>
      </c>
      <c r="BV89" s="161">
        <f t="shared" si="50"/>
        <v>0</v>
      </c>
      <c r="BW89" s="161">
        <f t="shared" si="51"/>
        <v>0</v>
      </c>
      <c r="BX89" s="161">
        <f t="shared" si="52"/>
        <v>0</v>
      </c>
      <c r="BY89" s="161">
        <f t="shared" si="53"/>
        <v>0</v>
      </c>
      <c r="BZ89" s="161">
        <f t="shared" si="54"/>
        <v>0</v>
      </c>
      <c r="CA89" s="161">
        <f t="shared" si="55"/>
        <v>0</v>
      </c>
      <c r="CB89" s="161">
        <f t="shared" si="56"/>
        <v>0</v>
      </c>
      <c r="CC89" s="161">
        <f t="shared" si="57"/>
        <v>0</v>
      </c>
      <c r="CD89" s="161" t="str">
        <f t="shared" si="19"/>
        <v/>
      </c>
      <c r="CE89" t="str">
        <f>IF(AND(CQ89=""),"",IF(CQ89=0,"",1+(MAX(CE$60:CE88))))</f>
        <v/>
      </c>
      <c r="CF89" s="85">
        <v>30</v>
      </c>
      <c r="CG89" s="157">
        <f t="shared" si="58"/>
        <v>0</v>
      </c>
      <c r="CH89" s="161">
        <f t="shared" si="59"/>
        <v>0</v>
      </c>
      <c r="CI89" s="161">
        <f t="shared" si="60"/>
        <v>0</v>
      </c>
      <c r="CJ89" s="161">
        <f t="shared" si="61"/>
        <v>0</v>
      </c>
      <c r="CK89" s="161">
        <f t="shared" si="62"/>
        <v>0</v>
      </c>
      <c r="CL89" s="161">
        <f t="shared" si="63"/>
        <v>0</v>
      </c>
      <c r="CM89" s="161">
        <f t="shared" si="64"/>
        <v>0</v>
      </c>
      <c r="CN89" s="161">
        <f t="shared" si="65"/>
        <v>0</v>
      </c>
      <c r="CO89" s="161">
        <f t="shared" si="66"/>
        <v>0</v>
      </c>
      <c r="CP89" s="161">
        <f t="shared" si="67"/>
        <v>0</v>
      </c>
      <c r="CQ89" s="161" t="str">
        <f t="shared" si="21"/>
        <v/>
      </c>
      <c r="CR89" t="str">
        <f>IF(AND(DD89=""),"",IF(DD89=0,"",1+(MAX(CR$60:CR88))))</f>
        <v/>
      </c>
      <c r="CS89" s="160">
        <v>30</v>
      </c>
      <c r="CT89" s="157">
        <f t="shared" si="68"/>
        <v>0</v>
      </c>
      <c r="CU89" s="161">
        <f t="shared" si="69"/>
        <v>0</v>
      </c>
      <c r="CV89" s="161">
        <f t="shared" si="70"/>
        <v>0</v>
      </c>
      <c r="CW89" s="161">
        <f t="shared" si="71"/>
        <v>0</v>
      </c>
      <c r="CX89" s="161">
        <f t="shared" si="72"/>
        <v>0</v>
      </c>
      <c r="CY89" s="161">
        <f t="shared" si="73"/>
        <v>0</v>
      </c>
      <c r="CZ89" s="161">
        <f t="shared" si="74"/>
        <v>0</v>
      </c>
      <c r="DA89" s="161">
        <f t="shared" si="75"/>
        <v>0</v>
      </c>
      <c r="DB89" s="161">
        <f t="shared" si="76"/>
        <v>0</v>
      </c>
      <c r="DC89" s="161">
        <f t="shared" si="77"/>
        <v>0</v>
      </c>
      <c r="DD89" s="161" t="str">
        <f t="shared" si="23"/>
        <v/>
      </c>
    </row>
    <row r="90" spans="1:108" ht="18.75">
      <c r="A90" s="14">
        <v>31</v>
      </c>
      <c r="B90" s="388"/>
      <c r="C90" s="391"/>
      <c r="D90" s="383"/>
      <c r="E90" s="384"/>
      <c r="F90" s="384"/>
      <c r="G90" s="385"/>
      <c r="H90" s="384"/>
      <c r="I90" s="384"/>
      <c r="J90" s="384"/>
      <c r="K90" s="387"/>
      <c r="L90" s="690"/>
      <c r="M90" s="32"/>
      <c r="N90" s="32"/>
      <c r="O90" s="32"/>
      <c r="AC90" t="str">
        <f t="shared" si="24"/>
        <v/>
      </c>
      <c r="AD90">
        <f t="shared" si="25"/>
        <v>1</v>
      </c>
      <c r="AE90" t="str">
        <f>IF(AND(AQ90=""),"",IF(AQ90=0,"",1+(MAX(AE$60:AE89))))</f>
        <v/>
      </c>
      <c r="AF90" s="85">
        <v>31</v>
      </c>
      <c r="AG90" s="157">
        <f t="shared" si="26"/>
        <v>0</v>
      </c>
      <c r="AH90" s="161">
        <f t="shared" si="27"/>
        <v>0</v>
      </c>
      <c r="AI90" s="161">
        <f t="shared" si="28"/>
        <v>0</v>
      </c>
      <c r="AJ90" s="161">
        <f t="shared" si="29"/>
        <v>0</v>
      </c>
      <c r="AK90" s="161">
        <f t="shared" si="30"/>
        <v>0</v>
      </c>
      <c r="AL90" s="161">
        <f t="shared" si="31"/>
        <v>0</v>
      </c>
      <c r="AM90" s="161">
        <f t="shared" si="32"/>
        <v>0</v>
      </c>
      <c r="AN90" s="161">
        <f t="shared" si="33"/>
        <v>0</v>
      </c>
      <c r="AO90" s="161">
        <f t="shared" si="34"/>
        <v>0</v>
      </c>
      <c r="AP90" s="161">
        <f t="shared" si="35"/>
        <v>0</v>
      </c>
      <c r="AQ90" s="161" t="str">
        <f t="shared" si="13"/>
        <v/>
      </c>
      <c r="AR90" t="str">
        <f>IF(AND(BD90=""),"",IF(BD90=0,"",1+(MAX(AR$60:AR89))))</f>
        <v/>
      </c>
      <c r="AS90" s="160">
        <v>31</v>
      </c>
      <c r="AT90" s="157">
        <f t="shared" si="78"/>
        <v>0</v>
      </c>
      <c r="AU90" s="158">
        <f t="shared" si="79"/>
        <v>0</v>
      </c>
      <c r="AV90" s="158">
        <f t="shared" si="80"/>
        <v>0</v>
      </c>
      <c r="AW90" s="158">
        <f t="shared" si="81"/>
        <v>0</v>
      </c>
      <c r="AX90" s="158">
        <f t="shared" si="82"/>
        <v>0</v>
      </c>
      <c r="AY90" s="158">
        <f t="shared" si="83"/>
        <v>0</v>
      </c>
      <c r="AZ90" s="158">
        <f t="shared" si="84"/>
        <v>0</v>
      </c>
      <c r="BA90" s="158">
        <f t="shared" si="85"/>
        <v>0</v>
      </c>
      <c r="BB90" s="158">
        <f t="shared" si="86"/>
        <v>0</v>
      </c>
      <c r="BC90" s="158">
        <f t="shared" si="37"/>
        <v>0</v>
      </c>
      <c r="BD90" s="161" t="str">
        <f t="shared" si="15"/>
        <v/>
      </c>
      <c r="BE90" t="str">
        <f>IF(AND(BQ90=""),"",IF(BQ90=0,"",1+(MAX(BE$60:BE89))))</f>
        <v/>
      </c>
      <c r="BF90" s="85">
        <v>31</v>
      </c>
      <c r="BG90" s="157">
        <f t="shared" si="38"/>
        <v>0</v>
      </c>
      <c r="BH90" s="161">
        <f t="shared" si="39"/>
        <v>0</v>
      </c>
      <c r="BI90" s="161">
        <f t="shared" si="40"/>
        <v>0</v>
      </c>
      <c r="BJ90" s="161">
        <f t="shared" si="41"/>
        <v>0</v>
      </c>
      <c r="BK90" s="161">
        <f t="shared" si="42"/>
        <v>0</v>
      </c>
      <c r="BL90" s="161">
        <f t="shared" si="43"/>
        <v>0</v>
      </c>
      <c r="BM90" s="161">
        <f t="shared" si="44"/>
        <v>0</v>
      </c>
      <c r="BN90" s="161">
        <f t="shared" si="45"/>
        <v>0</v>
      </c>
      <c r="BO90" s="161">
        <f t="shared" si="46"/>
        <v>0</v>
      </c>
      <c r="BP90" s="161">
        <f t="shared" si="47"/>
        <v>0</v>
      </c>
      <c r="BQ90" s="161" t="str">
        <f t="shared" si="17"/>
        <v/>
      </c>
      <c r="BR90" t="str">
        <f>IF(AND(CD90=""),"",IF(CD90=0,"",1+(MAX(BR$60:BR89))))</f>
        <v/>
      </c>
      <c r="BS90" s="160">
        <v>31</v>
      </c>
      <c r="BT90" s="157">
        <f t="shared" si="48"/>
        <v>0</v>
      </c>
      <c r="BU90" s="161">
        <f t="shared" si="49"/>
        <v>0</v>
      </c>
      <c r="BV90" s="161">
        <f t="shared" si="50"/>
        <v>0</v>
      </c>
      <c r="BW90" s="161">
        <f t="shared" si="51"/>
        <v>0</v>
      </c>
      <c r="BX90" s="161">
        <f t="shared" si="52"/>
        <v>0</v>
      </c>
      <c r="BY90" s="161">
        <f t="shared" si="53"/>
        <v>0</v>
      </c>
      <c r="BZ90" s="161">
        <f t="shared" si="54"/>
        <v>0</v>
      </c>
      <c r="CA90" s="161">
        <f t="shared" si="55"/>
        <v>0</v>
      </c>
      <c r="CB90" s="161">
        <f t="shared" si="56"/>
        <v>0</v>
      </c>
      <c r="CC90" s="161">
        <f t="shared" si="57"/>
        <v>0</v>
      </c>
      <c r="CD90" s="161" t="str">
        <f t="shared" si="19"/>
        <v/>
      </c>
      <c r="CE90" t="str">
        <f>IF(AND(CQ90=""),"",IF(CQ90=0,"",1+(MAX(CE$60:CE89))))</f>
        <v/>
      </c>
      <c r="CF90" s="85">
        <v>31</v>
      </c>
      <c r="CG90" s="157">
        <f t="shared" si="58"/>
        <v>0</v>
      </c>
      <c r="CH90" s="161">
        <f t="shared" si="59"/>
        <v>0</v>
      </c>
      <c r="CI90" s="161">
        <f t="shared" si="60"/>
        <v>0</v>
      </c>
      <c r="CJ90" s="161">
        <f t="shared" si="61"/>
        <v>0</v>
      </c>
      <c r="CK90" s="161">
        <f t="shared" si="62"/>
        <v>0</v>
      </c>
      <c r="CL90" s="161">
        <f t="shared" si="63"/>
        <v>0</v>
      </c>
      <c r="CM90" s="161">
        <f t="shared" si="64"/>
        <v>0</v>
      </c>
      <c r="CN90" s="161">
        <f t="shared" si="65"/>
        <v>0</v>
      </c>
      <c r="CO90" s="161">
        <f t="shared" si="66"/>
        <v>0</v>
      </c>
      <c r="CP90" s="161">
        <f t="shared" si="67"/>
        <v>0</v>
      </c>
      <c r="CQ90" s="161" t="str">
        <f t="shared" si="21"/>
        <v/>
      </c>
      <c r="CR90" t="str">
        <f>IF(AND(DD90=""),"",IF(DD90=0,"",1+(MAX(CR$60:CR89))))</f>
        <v/>
      </c>
      <c r="CS90" s="85">
        <v>31</v>
      </c>
      <c r="CT90" s="157">
        <f t="shared" si="68"/>
        <v>0</v>
      </c>
      <c r="CU90" s="161">
        <f t="shared" si="69"/>
        <v>0</v>
      </c>
      <c r="CV90" s="161">
        <f t="shared" si="70"/>
        <v>0</v>
      </c>
      <c r="CW90" s="161">
        <f t="shared" si="71"/>
        <v>0</v>
      </c>
      <c r="CX90" s="161">
        <f t="shared" si="72"/>
        <v>0</v>
      </c>
      <c r="CY90" s="161">
        <f t="shared" si="73"/>
        <v>0</v>
      </c>
      <c r="CZ90" s="161">
        <f t="shared" si="74"/>
        <v>0</v>
      </c>
      <c r="DA90" s="161">
        <f t="shared" si="75"/>
        <v>0</v>
      </c>
      <c r="DB90" s="161">
        <f t="shared" si="76"/>
        <v>0</v>
      </c>
      <c r="DC90" s="161">
        <f t="shared" si="77"/>
        <v>0</v>
      </c>
      <c r="DD90" s="161" t="str">
        <f t="shared" si="23"/>
        <v/>
      </c>
    </row>
    <row r="91" spans="1:108" ht="18.75">
      <c r="A91" s="14">
        <v>32</v>
      </c>
      <c r="B91" s="388"/>
      <c r="C91" s="391"/>
      <c r="D91" s="383"/>
      <c r="E91" s="384"/>
      <c r="F91" s="384"/>
      <c r="G91" s="385"/>
      <c r="H91" s="384"/>
      <c r="I91" s="384"/>
      <c r="J91" s="384"/>
      <c r="K91" s="387"/>
      <c r="L91" s="690"/>
      <c r="M91" s="32"/>
      <c r="N91" s="32"/>
      <c r="O91" s="32"/>
      <c r="AC91" t="str">
        <f t="shared" si="24"/>
        <v/>
      </c>
      <c r="AD91">
        <f t="shared" si="25"/>
        <v>1</v>
      </c>
      <c r="AE91" t="str">
        <f>IF(AND(AQ91=""),"",IF(AQ91=0,"",1+(MAX(AE$60:AE90))))</f>
        <v/>
      </c>
      <c r="AF91" s="85">
        <v>32</v>
      </c>
      <c r="AG91" s="157">
        <f t="shared" si="26"/>
        <v>0</v>
      </c>
      <c r="AH91" s="161">
        <f t="shared" si="27"/>
        <v>0</v>
      </c>
      <c r="AI91" s="161">
        <f t="shared" si="28"/>
        <v>0</v>
      </c>
      <c r="AJ91" s="161">
        <f t="shared" si="29"/>
        <v>0</v>
      </c>
      <c r="AK91" s="161">
        <f t="shared" si="30"/>
        <v>0</v>
      </c>
      <c r="AL91" s="161">
        <f t="shared" si="31"/>
        <v>0</v>
      </c>
      <c r="AM91" s="161">
        <f t="shared" si="32"/>
        <v>0</v>
      </c>
      <c r="AN91" s="161">
        <f t="shared" si="33"/>
        <v>0</v>
      </c>
      <c r="AO91" s="161">
        <f t="shared" si="34"/>
        <v>0</v>
      </c>
      <c r="AP91" s="161">
        <f t="shared" si="35"/>
        <v>0</v>
      </c>
      <c r="AQ91" s="161" t="str">
        <f t="shared" si="13"/>
        <v/>
      </c>
      <c r="AR91" t="str">
        <f>IF(AND(BD91=""),"",IF(BD91=0,"",1+(MAX(AR$60:AR90))))</f>
        <v/>
      </c>
      <c r="AS91" s="160">
        <v>32</v>
      </c>
      <c r="AT91" s="157">
        <f t="shared" si="78"/>
        <v>0</v>
      </c>
      <c r="AU91" s="158">
        <f t="shared" si="79"/>
        <v>0</v>
      </c>
      <c r="AV91" s="158">
        <f t="shared" si="80"/>
        <v>0</v>
      </c>
      <c r="AW91" s="158">
        <f t="shared" si="81"/>
        <v>0</v>
      </c>
      <c r="AX91" s="158">
        <f t="shared" si="82"/>
        <v>0</v>
      </c>
      <c r="AY91" s="158">
        <f t="shared" si="83"/>
        <v>0</v>
      </c>
      <c r="AZ91" s="158">
        <f t="shared" si="84"/>
        <v>0</v>
      </c>
      <c r="BA91" s="158">
        <f t="shared" si="85"/>
        <v>0</v>
      </c>
      <c r="BB91" s="158">
        <f t="shared" si="86"/>
        <v>0</v>
      </c>
      <c r="BC91" s="158">
        <f t="shared" si="37"/>
        <v>0</v>
      </c>
      <c r="BD91" s="161" t="str">
        <f t="shared" si="15"/>
        <v/>
      </c>
      <c r="BE91" t="str">
        <f>IF(AND(BQ91=""),"",IF(BQ91=0,"",1+(MAX(BE$60:BE90))))</f>
        <v/>
      </c>
      <c r="BF91" s="85">
        <v>32</v>
      </c>
      <c r="BG91" s="157">
        <f t="shared" si="38"/>
        <v>0</v>
      </c>
      <c r="BH91" s="161">
        <f t="shared" si="39"/>
        <v>0</v>
      </c>
      <c r="BI91" s="161">
        <f t="shared" si="40"/>
        <v>0</v>
      </c>
      <c r="BJ91" s="161">
        <f t="shared" si="41"/>
        <v>0</v>
      </c>
      <c r="BK91" s="161">
        <f t="shared" si="42"/>
        <v>0</v>
      </c>
      <c r="BL91" s="161">
        <f t="shared" si="43"/>
        <v>0</v>
      </c>
      <c r="BM91" s="161">
        <f t="shared" si="44"/>
        <v>0</v>
      </c>
      <c r="BN91" s="161">
        <f t="shared" si="45"/>
        <v>0</v>
      </c>
      <c r="BO91" s="161">
        <f t="shared" si="46"/>
        <v>0</v>
      </c>
      <c r="BP91" s="161">
        <f t="shared" si="47"/>
        <v>0</v>
      </c>
      <c r="BQ91" s="161" t="str">
        <f t="shared" si="17"/>
        <v/>
      </c>
      <c r="BR91" t="str">
        <f>IF(AND(CD91=""),"",IF(CD91=0,"",1+(MAX(BR$60:BR90))))</f>
        <v/>
      </c>
      <c r="BS91" s="160">
        <v>32</v>
      </c>
      <c r="BT91" s="157">
        <f t="shared" si="48"/>
        <v>0</v>
      </c>
      <c r="BU91" s="161">
        <f t="shared" si="49"/>
        <v>0</v>
      </c>
      <c r="BV91" s="161">
        <f t="shared" si="50"/>
        <v>0</v>
      </c>
      <c r="BW91" s="161">
        <f t="shared" si="51"/>
        <v>0</v>
      </c>
      <c r="BX91" s="161">
        <f t="shared" si="52"/>
        <v>0</v>
      </c>
      <c r="BY91" s="161">
        <f t="shared" si="53"/>
        <v>0</v>
      </c>
      <c r="BZ91" s="161">
        <f t="shared" si="54"/>
        <v>0</v>
      </c>
      <c r="CA91" s="161">
        <f t="shared" si="55"/>
        <v>0</v>
      </c>
      <c r="CB91" s="161">
        <f t="shared" si="56"/>
        <v>0</v>
      </c>
      <c r="CC91" s="161">
        <f t="shared" si="57"/>
        <v>0</v>
      </c>
      <c r="CD91" s="161" t="str">
        <f t="shared" si="19"/>
        <v/>
      </c>
      <c r="CE91" t="str">
        <f>IF(AND(CQ91=""),"",IF(CQ91=0,"",1+(MAX(CE$60:CE90))))</f>
        <v/>
      </c>
      <c r="CF91" s="85">
        <v>32</v>
      </c>
      <c r="CG91" s="157">
        <f t="shared" si="58"/>
        <v>0</v>
      </c>
      <c r="CH91" s="161">
        <f t="shared" si="59"/>
        <v>0</v>
      </c>
      <c r="CI91" s="161">
        <f t="shared" si="60"/>
        <v>0</v>
      </c>
      <c r="CJ91" s="161">
        <f t="shared" si="61"/>
        <v>0</v>
      </c>
      <c r="CK91" s="161">
        <f t="shared" si="62"/>
        <v>0</v>
      </c>
      <c r="CL91" s="161">
        <f t="shared" si="63"/>
        <v>0</v>
      </c>
      <c r="CM91" s="161">
        <f t="shared" si="64"/>
        <v>0</v>
      </c>
      <c r="CN91" s="161">
        <f t="shared" si="65"/>
        <v>0</v>
      </c>
      <c r="CO91" s="161">
        <f t="shared" si="66"/>
        <v>0</v>
      </c>
      <c r="CP91" s="161">
        <f t="shared" si="67"/>
        <v>0</v>
      </c>
      <c r="CQ91" s="161" t="str">
        <f t="shared" si="21"/>
        <v/>
      </c>
      <c r="CR91" t="str">
        <f>IF(AND(DD91=""),"",IF(DD91=0,"",1+(MAX(CR$60:CR90))))</f>
        <v/>
      </c>
      <c r="CS91" s="160">
        <v>32</v>
      </c>
      <c r="CT91" s="157">
        <f t="shared" si="68"/>
        <v>0</v>
      </c>
      <c r="CU91" s="161">
        <f t="shared" si="69"/>
        <v>0</v>
      </c>
      <c r="CV91" s="161">
        <f t="shared" si="70"/>
        <v>0</v>
      </c>
      <c r="CW91" s="161">
        <f t="shared" si="71"/>
        <v>0</v>
      </c>
      <c r="CX91" s="161">
        <f t="shared" si="72"/>
        <v>0</v>
      </c>
      <c r="CY91" s="161">
        <f t="shared" si="73"/>
        <v>0</v>
      </c>
      <c r="CZ91" s="161">
        <f t="shared" si="74"/>
        <v>0</v>
      </c>
      <c r="DA91" s="161">
        <f t="shared" si="75"/>
        <v>0</v>
      </c>
      <c r="DB91" s="161">
        <f t="shared" si="76"/>
        <v>0</v>
      </c>
      <c r="DC91" s="161">
        <f t="shared" si="77"/>
        <v>0</v>
      </c>
      <c r="DD91" s="161" t="str">
        <f t="shared" si="23"/>
        <v/>
      </c>
    </row>
    <row r="92" spans="1:108" ht="18.75">
      <c r="A92" s="14">
        <v>33</v>
      </c>
      <c r="B92" s="388"/>
      <c r="C92" s="391"/>
      <c r="D92" s="383"/>
      <c r="E92" s="384"/>
      <c r="F92" s="384"/>
      <c r="G92" s="385"/>
      <c r="H92" s="384"/>
      <c r="I92" s="384"/>
      <c r="J92" s="384"/>
      <c r="K92" s="387"/>
      <c r="L92" s="690"/>
      <c r="M92" s="32"/>
      <c r="N92" s="32"/>
      <c r="O92" s="32"/>
      <c r="AC92" t="str">
        <f t="shared" si="24"/>
        <v/>
      </c>
      <c r="AD92">
        <f t="shared" si="25"/>
        <v>1</v>
      </c>
      <c r="AE92" t="str">
        <f>IF(AND(AQ92=""),"",IF(AQ92=0,"",1+(MAX(AE$60:AE91))))</f>
        <v/>
      </c>
      <c r="AF92" s="85">
        <v>33</v>
      </c>
      <c r="AG92" s="157">
        <f t="shared" si="26"/>
        <v>0</v>
      </c>
      <c r="AH92" s="161">
        <f t="shared" si="27"/>
        <v>0</v>
      </c>
      <c r="AI92" s="161">
        <f t="shared" si="28"/>
        <v>0</v>
      </c>
      <c r="AJ92" s="161">
        <f t="shared" si="29"/>
        <v>0</v>
      </c>
      <c r="AK92" s="161">
        <f t="shared" si="30"/>
        <v>0</v>
      </c>
      <c r="AL92" s="161">
        <f t="shared" si="31"/>
        <v>0</v>
      </c>
      <c r="AM92" s="161">
        <f t="shared" si="32"/>
        <v>0</v>
      </c>
      <c r="AN92" s="161">
        <f t="shared" si="33"/>
        <v>0</v>
      </c>
      <c r="AO92" s="161">
        <f t="shared" si="34"/>
        <v>0</v>
      </c>
      <c r="AP92" s="161">
        <f t="shared" si="35"/>
        <v>0</v>
      </c>
      <c r="AQ92" s="161" t="str">
        <f t="shared" ref="AQ92:AQ109" si="87">IF(AND(K92=""),"",IF(K92=AG$58,1,0))</f>
        <v/>
      </c>
      <c r="AR92" t="str">
        <f>IF(AND(BD92=""),"",IF(BD92=0,"",1+(MAX(AR$60:AR91))))</f>
        <v/>
      </c>
      <c r="AS92" s="160">
        <v>33</v>
      </c>
      <c r="AT92" s="157">
        <f t="shared" si="78"/>
        <v>0</v>
      </c>
      <c r="AU92" s="158">
        <f t="shared" si="79"/>
        <v>0</v>
      </c>
      <c r="AV92" s="158">
        <f t="shared" si="80"/>
        <v>0</v>
      </c>
      <c r="AW92" s="158">
        <f t="shared" si="81"/>
        <v>0</v>
      </c>
      <c r="AX92" s="158">
        <f t="shared" si="82"/>
        <v>0</v>
      </c>
      <c r="AY92" s="158">
        <f t="shared" si="83"/>
        <v>0</v>
      </c>
      <c r="AZ92" s="158">
        <f t="shared" si="84"/>
        <v>0</v>
      </c>
      <c r="BA92" s="158">
        <f t="shared" si="85"/>
        <v>0</v>
      </c>
      <c r="BB92" s="158">
        <f t="shared" si="86"/>
        <v>0</v>
      </c>
      <c r="BC92" s="158">
        <f t="shared" si="37"/>
        <v>0</v>
      </c>
      <c r="BD92" s="161" t="str">
        <f t="shared" ref="BD92:BD109" si="88">IF(AND(K92=""),"",IF(K92=AT$58,1,0))</f>
        <v/>
      </c>
      <c r="BE92" t="str">
        <f>IF(AND(BQ92=""),"",IF(BQ92=0,"",1+(MAX(BE$60:BE91))))</f>
        <v/>
      </c>
      <c r="BF92" s="85">
        <v>33</v>
      </c>
      <c r="BG92" s="157">
        <f t="shared" si="38"/>
        <v>0</v>
      </c>
      <c r="BH92" s="161">
        <f t="shared" si="39"/>
        <v>0</v>
      </c>
      <c r="BI92" s="161">
        <f t="shared" si="40"/>
        <v>0</v>
      </c>
      <c r="BJ92" s="161">
        <f t="shared" si="41"/>
        <v>0</v>
      </c>
      <c r="BK92" s="161">
        <f t="shared" si="42"/>
        <v>0</v>
      </c>
      <c r="BL92" s="161">
        <f t="shared" si="43"/>
        <v>0</v>
      </c>
      <c r="BM92" s="161">
        <f t="shared" si="44"/>
        <v>0</v>
      </c>
      <c r="BN92" s="161">
        <f t="shared" si="45"/>
        <v>0</v>
      </c>
      <c r="BO92" s="161">
        <f t="shared" si="46"/>
        <v>0</v>
      </c>
      <c r="BP92" s="161">
        <f t="shared" si="47"/>
        <v>0</v>
      </c>
      <c r="BQ92" s="161" t="str">
        <f t="shared" ref="BQ92:BQ109" si="89">IF(AND(K92=""),"",IF(K92=BG$58,1,0))</f>
        <v/>
      </c>
      <c r="BR92" t="str">
        <f>IF(AND(CD92=""),"",IF(CD92=0,"",1+(MAX(BR$60:BR91))))</f>
        <v/>
      </c>
      <c r="BS92" s="160">
        <v>33</v>
      </c>
      <c r="BT92" s="157">
        <f t="shared" si="48"/>
        <v>0</v>
      </c>
      <c r="BU92" s="161">
        <f t="shared" si="49"/>
        <v>0</v>
      </c>
      <c r="BV92" s="161">
        <f t="shared" si="50"/>
        <v>0</v>
      </c>
      <c r="BW92" s="161">
        <f t="shared" si="51"/>
        <v>0</v>
      </c>
      <c r="BX92" s="161">
        <f t="shared" si="52"/>
        <v>0</v>
      </c>
      <c r="BY92" s="161">
        <f t="shared" si="53"/>
        <v>0</v>
      </c>
      <c r="BZ92" s="161">
        <f t="shared" si="54"/>
        <v>0</v>
      </c>
      <c r="CA92" s="161">
        <f t="shared" si="55"/>
        <v>0</v>
      </c>
      <c r="CB92" s="161">
        <f t="shared" si="56"/>
        <v>0</v>
      </c>
      <c r="CC92" s="161">
        <f t="shared" si="57"/>
        <v>0</v>
      </c>
      <c r="CD92" s="161" t="str">
        <f t="shared" ref="CD92:CD109" si="90">IF(AND(K92=""),"",IF(K92=BT$58,1,0))</f>
        <v/>
      </c>
      <c r="CE92" t="str">
        <f>IF(AND(CQ92=""),"",IF(CQ92=0,"",1+(MAX(CE$60:CE91))))</f>
        <v/>
      </c>
      <c r="CF92" s="85">
        <v>33</v>
      </c>
      <c r="CG92" s="157">
        <f t="shared" si="58"/>
        <v>0</v>
      </c>
      <c r="CH92" s="161">
        <f t="shared" si="59"/>
        <v>0</v>
      </c>
      <c r="CI92" s="161">
        <f t="shared" si="60"/>
        <v>0</v>
      </c>
      <c r="CJ92" s="161">
        <f t="shared" si="61"/>
        <v>0</v>
      </c>
      <c r="CK92" s="161">
        <f t="shared" si="62"/>
        <v>0</v>
      </c>
      <c r="CL92" s="161">
        <f t="shared" si="63"/>
        <v>0</v>
      </c>
      <c r="CM92" s="161">
        <f t="shared" si="64"/>
        <v>0</v>
      </c>
      <c r="CN92" s="161">
        <f t="shared" si="65"/>
        <v>0</v>
      </c>
      <c r="CO92" s="161">
        <f t="shared" si="66"/>
        <v>0</v>
      </c>
      <c r="CP92" s="161">
        <f t="shared" si="67"/>
        <v>0</v>
      </c>
      <c r="CQ92" s="161" t="str">
        <f t="shared" ref="CQ92:CQ109" si="91">IF(AND(K92=""),"",IF(K92=CG$58,1,0))</f>
        <v/>
      </c>
      <c r="CR92" t="str">
        <f>IF(AND(DD92=""),"",IF(DD92=0,"",1+(MAX(CR$60:CR91))))</f>
        <v/>
      </c>
      <c r="CS92" s="85">
        <v>33</v>
      </c>
      <c r="CT92" s="157">
        <f t="shared" si="68"/>
        <v>0</v>
      </c>
      <c r="CU92" s="161">
        <f t="shared" si="69"/>
        <v>0</v>
      </c>
      <c r="CV92" s="161">
        <f t="shared" si="70"/>
        <v>0</v>
      </c>
      <c r="CW92" s="161">
        <f t="shared" si="71"/>
        <v>0</v>
      </c>
      <c r="CX92" s="161">
        <f t="shared" si="72"/>
        <v>0</v>
      </c>
      <c r="CY92" s="161">
        <f t="shared" si="73"/>
        <v>0</v>
      </c>
      <c r="CZ92" s="161">
        <f t="shared" si="74"/>
        <v>0</v>
      </c>
      <c r="DA92" s="161">
        <f t="shared" si="75"/>
        <v>0</v>
      </c>
      <c r="DB92" s="161">
        <f t="shared" si="76"/>
        <v>0</v>
      </c>
      <c r="DC92" s="161">
        <f t="shared" si="77"/>
        <v>0</v>
      </c>
      <c r="DD92" s="161" t="str">
        <f t="shared" ref="DD92:DD110" si="92">IF(AND(K92=""),"",IF(K92=CT$58,1,0))</f>
        <v/>
      </c>
    </row>
    <row r="93" spans="1:108" ht="18.75">
      <c r="A93" s="14">
        <v>34</v>
      </c>
      <c r="B93" s="388"/>
      <c r="C93" s="391"/>
      <c r="D93" s="383"/>
      <c r="E93" s="384"/>
      <c r="F93" s="384"/>
      <c r="G93" s="385"/>
      <c r="H93" s="384"/>
      <c r="I93" s="384"/>
      <c r="J93" s="384"/>
      <c r="K93" s="387"/>
      <c r="L93" s="690"/>
      <c r="M93" s="32"/>
      <c r="N93" s="32"/>
      <c r="O93" s="32"/>
      <c r="AC93" t="str">
        <f t="shared" si="24"/>
        <v/>
      </c>
      <c r="AD93">
        <f t="shared" si="25"/>
        <v>1</v>
      </c>
      <c r="AE93" t="str">
        <f>IF(AND(AQ93=""),"",IF(AQ93=0,"",1+(MAX(AE$60:AE92))))</f>
        <v/>
      </c>
      <c r="AF93" s="85">
        <v>34</v>
      </c>
      <c r="AG93" s="157">
        <f t="shared" si="26"/>
        <v>0</v>
      </c>
      <c r="AH93" s="161">
        <f t="shared" si="27"/>
        <v>0</v>
      </c>
      <c r="AI93" s="161">
        <f t="shared" si="28"/>
        <v>0</v>
      </c>
      <c r="AJ93" s="161">
        <f t="shared" si="29"/>
        <v>0</v>
      </c>
      <c r="AK93" s="161">
        <f t="shared" si="30"/>
        <v>0</v>
      </c>
      <c r="AL93" s="161">
        <f t="shared" si="31"/>
        <v>0</v>
      </c>
      <c r="AM93" s="161">
        <f t="shared" si="32"/>
        <v>0</v>
      </c>
      <c r="AN93" s="161">
        <f t="shared" si="33"/>
        <v>0</v>
      </c>
      <c r="AO93" s="161">
        <f t="shared" si="34"/>
        <v>0</v>
      </c>
      <c r="AP93" s="161">
        <f t="shared" si="35"/>
        <v>0</v>
      </c>
      <c r="AQ93" s="161" t="str">
        <f t="shared" si="87"/>
        <v/>
      </c>
      <c r="AR93" t="str">
        <f>IF(AND(BD93=""),"",IF(BD93=0,"",1+(MAX(AR$60:AR92))))</f>
        <v/>
      </c>
      <c r="AS93" s="160">
        <v>34</v>
      </c>
      <c r="AT93" s="157">
        <f t="shared" si="78"/>
        <v>0</v>
      </c>
      <c r="AU93" s="158">
        <f t="shared" si="79"/>
        <v>0</v>
      </c>
      <c r="AV93" s="158">
        <f t="shared" si="80"/>
        <v>0</v>
      </c>
      <c r="AW93" s="158">
        <f t="shared" si="81"/>
        <v>0</v>
      </c>
      <c r="AX93" s="158">
        <f t="shared" si="82"/>
        <v>0</v>
      </c>
      <c r="AY93" s="158">
        <f t="shared" si="83"/>
        <v>0</v>
      </c>
      <c r="AZ93" s="158">
        <f t="shared" si="84"/>
        <v>0</v>
      </c>
      <c r="BA93" s="158">
        <f t="shared" si="85"/>
        <v>0</v>
      </c>
      <c r="BB93" s="158">
        <f t="shared" si="86"/>
        <v>0</v>
      </c>
      <c r="BC93" s="158">
        <f t="shared" si="37"/>
        <v>0</v>
      </c>
      <c r="BD93" s="161" t="str">
        <f t="shared" si="88"/>
        <v/>
      </c>
      <c r="BE93" t="str">
        <f>IF(AND(BQ93=""),"",IF(BQ93=0,"",1+(MAX(BE$60:BE92))))</f>
        <v/>
      </c>
      <c r="BF93" s="85">
        <v>34</v>
      </c>
      <c r="BG93" s="157">
        <f t="shared" ref="BG93:BG109" si="93">IF($K93="GAZETTED - FIX PAY",B93,0)</f>
        <v>0</v>
      </c>
      <c r="BH93" s="161">
        <f t="shared" ref="BH93:BH109" si="94">IF($K93="GAZETTED - FIX PAY",C93,0)</f>
        <v>0</v>
      </c>
      <c r="BI93" s="161">
        <f t="shared" ref="BI93:BI109" si="95">IF($K93="GAZETTED - FIX PAY",D93,0)</f>
        <v>0</v>
      </c>
      <c r="BJ93" s="161">
        <f t="shared" ref="BJ93:BJ109" si="96">IF($K93="GAZETTED - FIX PAY",E93,0)</f>
        <v>0</v>
      </c>
      <c r="BK93" s="161">
        <f t="shared" ref="BK93:BK109" si="97">IF($K93="GAZETTED - FIX PAY",F93,0)</f>
        <v>0</v>
      </c>
      <c r="BL93" s="161">
        <f t="shared" ref="BL93:BL109" si="98">IF($K93="GAZETTED - FIX PAY",G93,0)</f>
        <v>0</v>
      </c>
      <c r="BM93" s="161">
        <f t="shared" ref="BM93:BM109" si="99">IF($K93="GAZETTED - FIX PAY",H93,0)</f>
        <v>0</v>
      </c>
      <c r="BN93" s="161">
        <f t="shared" ref="BN93:BN109" si="100">IF($K93="GAZETTED - FIX PAY",I93,0)</f>
        <v>0</v>
      </c>
      <c r="BO93" s="161">
        <f t="shared" ref="BO93:BO109" si="101">IF($K93="GAZETTED - FIX PAY",J93,0)</f>
        <v>0</v>
      </c>
      <c r="BP93" s="161">
        <f t="shared" si="47"/>
        <v>0</v>
      </c>
      <c r="BQ93" s="161" t="str">
        <f t="shared" si="89"/>
        <v/>
      </c>
      <c r="BR93" t="str">
        <f>IF(AND(CD93=""),"",IF(CD93=0,"",1+(MAX(BR$60:BR92))))</f>
        <v/>
      </c>
      <c r="BS93" s="160">
        <v>34</v>
      </c>
      <c r="BT93" s="157">
        <f t="shared" ref="BT93:BT109" si="102">IF($K93="NON GAZETTED - FIX PAY",B93,0)</f>
        <v>0</v>
      </c>
      <c r="BU93" s="161">
        <f t="shared" ref="BU93:BU109" si="103">IF($K93="NON GAZETTED - FIX PAY",C93,0)</f>
        <v>0</v>
      </c>
      <c r="BV93" s="161">
        <f t="shared" ref="BV93:BV109" si="104">IF($K93="NON GAZETTED - FIX PAY",D93,0)</f>
        <v>0</v>
      </c>
      <c r="BW93" s="161">
        <f t="shared" ref="BW93:BW109" si="105">IF($K93="NON GAZETTED - FIX PAY",E93,0)</f>
        <v>0</v>
      </c>
      <c r="BX93" s="161">
        <f t="shared" ref="BX93:BX109" si="106">IF($K93="NON GAZETTED - FIX PAY",F93,0)</f>
        <v>0</v>
      </c>
      <c r="BY93" s="161">
        <f t="shared" ref="BY93:BY109" si="107">IF($K93="NON GAZETTED - FIX PAY",G93,0)</f>
        <v>0</v>
      </c>
      <c r="BZ93" s="161">
        <f t="shared" ref="BZ93:BZ109" si="108">IF($K93="NON GAZETTED - FIX PAY",H93,0)</f>
        <v>0</v>
      </c>
      <c r="CA93" s="161">
        <f t="shared" ref="CA93:CA109" si="109">IF($K93="NON GAZETTED - FIX PAY",I93,0)</f>
        <v>0</v>
      </c>
      <c r="CB93" s="161">
        <f t="shared" ref="CB93:CB109" si="110">IF($K93="NON GAZETTED - FIX PAY",J93,0)</f>
        <v>0</v>
      </c>
      <c r="CC93" s="161">
        <f t="shared" si="57"/>
        <v>0</v>
      </c>
      <c r="CD93" s="161" t="str">
        <f t="shared" si="90"/>
        <v/>
      </c>
      <c r="CE93" t="str">
        <f>IF(AND(CQ93=""),"",IF(CQ93=0,"",1+(MAX(CE$60:CE92))))</f>
        <v/>
      </c>
      <c r="CF93" s="85">
        <v>34</v>
      </c>
      <c r="CG93" s="157">
        <f t="shared" si="58"/>
        <v>0</v>
      </c>
      <c r="CH93" s="161">
        <f t="shared" si="59"/>
        <v>0</v>
      </c>
      <c r="CI93" s="161">
        <f t="shared" si="60"/>
        <v>0</v>
      </c>
      <c r="CJ93" s="161">
        <f t="shared" si="61"/>
        <v>0</v>
      </c>
      <c r="CK93" s="161">
        <f t="shared" si="62"/>
        <v>0</v>
      </c>
      <c r="CL93" s="161">
        <f t="shared" si="63"/>
        <v>0</v>
      </c>
      <c r="CM93" s="161">
        <f t="shared" si="64"/>
        <v>0</v>
      </c>
      <c r="CN93" s="161">
        <f t="shared" si="65"/>
        <v>0</v>
      </c>
      <c r="CO93" s="161">
        <f t="shared" si="66"/>
        <v>0</v>
      </c>
      <c r="CP93" s="161">
        <f t="shared" si="67"/>
        <v>0</v>
      </c>
      <c r="CQ93" s="161" t="str">
        <f t="shared" si="91"/>
        <v/>
      </c>
      <c r="CR93" t="str">
        <f>IF(AND(DD93=""),"",IF(DD93=0,"",1+(MAX(CR$60:CR92))))</f>
        <v/>
      </c>
      <c r="CS93" s="160">
        <v>34</v>
      </c>
      <c r="CT93" s="157">
        <f t="shared" si="68"/>
        <v>0</v>
      </c>
      <c r="CU93" s="161">
        <f t="shared" si="69"/>
        <v>0</v>
      </c>
      <c r="CV93" s="161">
        <f t="shared" si="70"/>
        <v>0</v>
      </c>
      <c r="CW93" s="161">
        <f t="shared" si="71"/>
        <v>0</v>
      </c>
      <c r="CX93" s="161">
        <f t="shared" si="72"/>
        <v>0</v>
      </c>
      <c r="CY93" s="161">
        <f t="shared" si="73"/>
        <v>0</v>
      </c>
      <c r="CZ93" s="161">
        <f t="shared" si="74"/>
        <v>0</v>
      </c>
      <c r="DA93" s="161">
        <f t="shared" si="75"/>
        <v>0</v>
      </c>
      <c r="DB93" s="161">
        <f t="shared" si="76"/>
        <v>0</v>
      </c>
      <c r="DC93" s="161">
        <f t="shared" si="77"/>
        <v>0</v>
      </c>
      <c r="DD93" s="161" t="str">
        <f t="shared" si="92"/>
        <v/>
      </c>
    </row>
    <row r="94" spans="1:108" ht="18.75">
      <c r="A94" s="14">
        <v>35</v>
      </c>
      <c r="B94" s="388"/>
      <c r="C94" s="391"/>
      <c r="D94" s="383"/>
      <c r="E94" s="384"/>
      <c r="F94" s="384"/>
      <c r="G94" s="385"/>
      <c r="H94" s="384"/>
      <c r="I94" s="384"/>
      <c r="J94" s="384"/>
      <c r="K94" s="387"/>
      <c r="L94" s="690"/>
      <c r="M94" s="32"/>
      <c r="N94" s="32"/>
      <c r="O94" s="32"/>
      <c r="AC94" t="str">
        <f t="shared" si="24"/>
        <v/>
      </c>
      <c r="AD94">
        <f t="shared" si="25"/>
        <v>1</v>
      </c>
      <c r="AE94" t="str">
        <f>IF(AND(AQ94=""),"",IF(AQ94=0,"",1+(MAX(AE$60:AE93))))</f>
        <v/>
      </c>
      <c r="AF94" s="85">
        <v>35</v>
      </c>
      <c r="AG94" s="157">
        <f t="shared" si="26"/>
        <v>0</v>
      </c>
      <c r="AH94" s="161">
        <f t="shared" si="27"/>
        <v>0</v>
      </c>
      <c r="AI94" s="161">
        <f t="shared" si="28"/>
        <v>0</v>
      </c>
      <c r="AJ94" s="161">
        <f t="shared" si="29"/>
        <v>0</v>
      </c>
      <c r="AK94" s="161">
        <f t="shared" si="30"/>
        <v>0</v>
      </c>
      <c r="AL94" s="161">
        <f t="shared" si="31"/>
        <v>0</v>
      </c>
      <c r="AM94" s="161">
        <f t="shared" si="32"/>
        <v>0</v>
      </c>
      <c r="AN94" s="161">
        <f t="shared" si="33"/>
        <v>0</v>
      </c>
      <c r="AO94" s="161">
        <f t="shared" si="34"/>
        <v>0</v>
      </c>
      <c r="AP94" s="161">
        <f t="shared" si="35"/>
        <v>0</v>
      </c>
      <c r="AQ94" s="161" t="str">
        <f t="shared" si="87"/>
        <v/>
      </c>
      <c r="AR94" t="str">
        <f>IF(AND(BD94=""),"",IF(BD94=0,"",1+(MAX(AR$60:AR93))))</f>
        <v/>
      </c>
      <c r="AS94" s="160">
        <v>35</v>
      </c>
      <c r="AT94" s="157">
        <f t="shared" si="78"/>
        <v>0</v>
      </c>
      <c r="AU94" s="158">
        <f t="shared" si="79"/>
        <v>0</v>
      </c>
      <c r="AV94" s="158">
        <f t="shared" si="80"/>
        <v>0</v>
      </c>
      <c r="AW94" s="158">
        <f t="shared" si="81"/>
        <v>0</v>
      </c>
      <c r="AX94" s="158">
        <f t="shared" si="82"/>
        <v>0</v>
      </c>
      <c r="AY94" s="158">
        <f t="shared" si="83"/>
        <v>0</v>
      </c>
      <c r="AZ94" s="158">
        <f t="shared" si="84"/>
        <v>0</v>
      </c>
      <c r="BA94" s="158">
        <f t="shared" si="85"/>
        <v>0</v>
      </c>
      <c r="BB94" s="158">
        <f t="shared" si="86"/>
        <v>0</v>
      </c>
      <c r="BC94" s="158">
        <f t="shared" si="37"/>
        <v>0</v>
      </c>
      <c r="BD94" s="161" t="str">
        <f t="shared" si="88"/>
        <v/>
      </c>
      <c r="BE94" t="str">
        <f>IF(AND(BQ94=""),"",IF(BQ94=0,"",1+(MAX(BE$60:BE93))))</f>
        <v/>
      </c>
      <c r="BF94" s="85">
        <v>35</v>
      </c>
      <c r="BG94" s="157">
        <f t="shared" si="93"/>
        <v>0</v>
      </c>
      <c r="BH94" s="161">
        <f t="shared" si="94"/>
        <v>0</v>
      </c>
      <c r="BI94" s="161">
        <f t="shared" si="95"/>
        <v>0</v>
      </c>
      <c r="BJ94" s="161">
        <f t="shared" si="96"/>
        <v>0</v>
      </c>
      <c r="BK94" s="161">
        <f t="shared" si="97"/>
        <v>0</v>
      </c>
      <c r="BL94" s="161">
        <f t="shared" si="98"/>
        <v>0</v>
      </c>
      <c r="BM94" s="161">
        <f t="shared" si="99"/>
        <v>0</v>
      </c>
      <c r="BN94" s="161">
        <f t="shared" si="100"/>
        <v>0</v>
      </c>
      <c r="BO94" s="161">
        <f t="shared" si="101"/>
        <v>0</v>
      </c>
      <c r="BP94" s="161">
        <f t="shared" si="47"/>
        <v>0</v>
      </c>
      <c r="BQ94" s="161" t="str">
        <f t="shared" si="89"/>
        <v/>
      </c>
      <c r="BR94" t="str">
        <f>IF(AND(CD94=""),"",IF(CD94=0,"",1+(MAX(BR$60:BR93))))</f>
        <v/>
      </c>
      <c r="BS94" s="160">
        <v>35</v>
      </c>
      <c r="BT94" s="157">
        <f t="shared" si="102"/>
        <v>0</v>
      </c>
      <c r="BU94" s="161">
        <f t="shared" si="103"/>
        <v>0</v>
      </c>
      <c r="BV94" s="161">
        <f t="shared" si="104"/>
        <v>0</v>
      </c>
      <c r="BW94" s="161">
        <f t="shared" si="105"/>
        <v>0</v>
      </c>
      <c r="BX94" s="161">
        <f t="shared" si="106"/>
        <v>0</v>
      </c>
      <c r="BY94" s="161">
        <f t="shared" si="107"/>
        <v>0</v>
      </c>
      <c r="BZ94" s="161">
        <f t="shared" si="108"/>
        <v>0</v>
      </c>
      <c r="CA94" s="161">
        <f t="shared" si="109"/>
        <v>0</v>
      </c>
      <c r="CB94" s="161">
        <f t="shared" si="110"/>
        <v>0</v>
      </c>
      <c r="CC94" s="161">
        <f t="shared" si="57"/>
        <v>0</v>
      </c>
      <c r="CD94" s="161" t="str">
        <f t="shared" si="90"/>
        <v/>
      </c>
      <c r="CE94" t="str">
        <f>IF(AND(CQ94=""),"",IF(CQ94=0,"",1+(MAX(CE$60:CE93))))</f>
        <v/>
      </c>
      <c r="CF94" s="85">
        <v>35</v>
      </c>
      <c r="CG94" s="157">
        <f t="shared" si="58"/>
        <v>0</v>
      </c>
      <c r="CH94" s="161">
        <f t="shared" si="59"/>
        <v>0</v>
      </c>
      <c r="CI94" s="161">
        <f t="shared" si="60"/>
        <v>0</v>
      </c>
      <c r="CJ94" s="161">
        <f t="shared" si="61"/>
        <v>0</v>
      </c>
      <c r="CK94" s="161">
        <f t="shared" si="62"/>
        <v>0</v>
      </c>
      <c r="CL94" s="161">
        <f t="shared" si="63"/>
        <v>0</v>
      </c>
      <c r="CM94" s="161">
        <f t="shared" si="64"/>
        <v>0</v>
      </c>
      <c r="CN94" s="161">
        <f t="shared" si="65"/>
        <v>0</v>
      </c>
      <c r="CO94" s="161">
        <f t="shared" si="66"/>
        <v>0</v>
      </c>
      <c r="CP94" s="161">
        <f t="shared" si="67"/>
        <v>0</v>
      </c>
      <c r="CQ94" s="161" t="str">
        <f t="shared" si="91"/>
        <v/>
      </c>
      <c r="CR94" t="str">
        <f>IF(AND(DD94=""),"",IF(DD94=0,"",1+(MAX(CR$60:CR93))))</f>
        <v/>
      </c>
      <c r="CS94" s="85">
        <v>35</v>
      </c>
      <c r="CT94" s="157">
        <f t="shared" si="68"/>
        <v>0</v>
      </c>
      <c r="CU94" s="161">
        <f t="shared" si="69"/>
        <v>0</v>
      </c>
      <c r="CV94" s="161">
        <f t="shared" si="70"/>
        <v>0</v>
      </c>
      <c r="CW94" s="161">
        <f t="shared" si="71"/>
        <v>0</v>
      </c>
      <c r="CX94" s="161">
        <f t="shared" si="72"/>
        <v>0</v>
      </c>
      <c r="CY94" s="161">
        <f t="shared" si="73"/>
        <v>0</v>
      </c>
      <c r="CZ94" s="161">
        <f t="shared" si="74"/>
        <v>0</v>
      </c>
      <c r="DA94" s="161">
        <f t="shared" si="75"/>
        <v>0</v>
      </c>
      <c r="DB94" s="161">
        <f t="shared" si="76"/>
        <v>0</v>
      </c>
      <c r="DC94" s="161">
        <f t="shared" si="77"/>
        <v>0</v>
      </c>
      <c r="DD94" s="161" t="str">
        <f t="shared" si="92"/>
        <v/>
      </c>
    </row>
    <row r="95" spans="1:108" ht="18.75">
      <c r="A95" s="14">
        <v>36</v>
      </c>
      <c r="B95" s="388"/>
      <c r="C95" s="391"/>
      <c r="D95" s="383"/>
      <c r="E95" s="384"/>
      <c r="F95" s="384"/>
      <c r="G95" s="385"/>
      <c r="H95" s="384"/>
      <c r="I95" s="384"/>
      <c r="J95" s="384"/>
      <c r="K95" s="387"/>
      <c r="L95" s="690"/>
      <c r="M95" s="32"/>
      <c r="N95" s="32"/>
      <c r="O95" s="32"/>
      <c r="AC95" t="str">
        <f t="shared" si="24"/>
        <v/>
      </c>
      <c r="AD95">
        <f t="shared" si="25"/>
        <v>1</v>
      </c>
      <c r="AE95" t="str">
        <f>IF(AND(AQ95=""),"",IF(AQ95=0,"",1+(MAX(AE$60:AE94))))</f>
        <v/>
      </c>
      <c r="AF95" s="85">
        <v>36</v>
      </c>
      <c r="AG95" s="157">
        <f t="shared" si="26"/>
        <v>0</v>
      </c>
      <c r="AH95" s="161">
        <f t="shared" si="27"/>
        <v>0</v>
      </c>
      <c r="AI95" s="161">
        <f t="shared" si="28"/>
        <v>0</v>
      </c>
      <c r="AJ95" s="161">
        <f t="shared" si="29"/>
        <v>0</v>
      </c>
      <c r="AK95" s="161">
        <f t="shared" si="30"/>
        <v>0</v>
      </c>
      <c r="AL95" s="161">
        <f t="shared" si="31"/>
        <v>0</v>
      </c>
      <c r="AM95" s="161">
        <f t="shared" si="32"/>
        <v>0</v>
      </c>
      <c r="AN95" s="161">
        <f t="shared" si="33"/>
        <v>0</v>
      </c>
      <c r="AO95" s="161">
        <f t="shared" si="34"/>
        <v>0</v>
      </c>
      <c r="AP95" s="161">
        <f t="shared" si="35"/>
        <v>0</v>
      </c>
      <c r="AQ95" s="161" t="str">
        <f t="shared" si="87"/>
        <v/>
      </c>
      <c r="AR95" t="str">
        <f>IF(AND(BD95=""),"",IF(BD95=0,"",1+(MAX(AR$60:AR94))))</f>
        <v/>
      </c>
      <c r="AS95" s="160">
        <v>36</v>
      </c>
      <c r="AT95" s="157">
        <f t="shared" si="78"/>
        <v>0</v>
      </c>
      <c r="AU95" s="158">
        <f t="shared" si="79"/>
        <v>0</v>
      </c>
      <c r="AV95" s="158">
        <f t="shared" si="80"/>
        <v>0</v>
      </c>
      <c r="AW95" s="158">
        <f t="shared" si="81"/>
        <v>0</v>
      </c>
      <c r="AX95" s="158">
        <f t="shared" si="82"/>
        <v>0</v>
      </c>
      <c r="AY95" s="158">
        <f t="shared" si="83"/>
        <v>0</v>
      </c>
      <c r="AZ95" s="158">
        <f t="shared" si="84"/>
        <v>0</v>
      </c>
      <c r="BA95" s="158">
        <f t="shared" si="85"/>
        <v>0</v>
      </c>
      <c r="BB95" s="158">
        <f t="shared" si="86"/>
        <v>0</v>
      </c>
      <c r="BC95" s="158">
        <f t="shared" si="37"/>
        <v>0</v>
      </c>
      <c r="BD95" s="161" t="str">
        <f t="shared" si="88"/>
        <v/>
      </c>
      <c r="BE95" t="str">
        <f>IF(AND(BQ95=""),"",IF(BQ95=0,"",1+(MAX(BE$60:BE94))))</f>
        <v/>
      </c>
      <c r="BF95" s="85">
        <v>36</v>
      </c>
      <c r="BG95" s="157">
        <f t="shared" si="93"/>
        <v>0</v>
      </c>
      <c r="BH95" s="161">
        <f t="shared" si="94"/>
        <v>0</v>
      </c>
      <c r="BI95" s="161">
        <f t="shared" si="95"/>
        <v>0</v>
      </c>
      <c r="BJ95" s="161">
        <f t="shared" si="96"/>
        <v>0</v>
      </c>
      <c r="BK95" s="161">
        <f t="shared" si="97"/>
        <v>0</v>
      </c>
      <c r="BL95" s="161">
        <f t="shared" si="98"/>
        <v>0</v>
      </c>
      <c r="BM95" s="161">
        <f t="shared" si="99"/>
        <v>0</v>
      </c>
      <c r="BN95" s="161">
        <f t="shared" si="100"/>
        <v>0</v>
      </c>
      <c r="BO95" s="161">
        <f t="shared" si="101"/>
        <v>0</v>
      </c>
      <c r="BP95" s="161">
        <f t="shared" si="47"/>
        <v>0</v>
      </c>
      <c r="BQ95" s="161" t="str">
        <f t="shared" si="89"/>
        <v/>
      </c>
      <c r="BR95" t="str">
        <f>IF(AND(CD95=""),"",IF(CD95=0,"",1+(MAX(BR$60:BR94))))</f>
        <v/>
      </c>
      <c r="BS95" s="160">
        <v>36</v>
      </c>
      <c r="BT95" s="157">
        <f t="shared" si="102"/>
        <v>0</v>
      </c>
      <c r="BU95" s="161">
        <f t="shared" si="103"/>
        <v>0</v>
      </c>
      <c r="BV95" s="161">
        <f t="shared" si="104"/>
        <v>0</v>
      </c>
      <c r="BW95" s="161">
        <f t="shared" si="105"/>
        <v>0</v>
      </c>
      <c r="BX95" s="161">
        <f t="shared" si="106"/>
        <v>0</v>
      </c>
      <c r="BY95" s="161">
        <f t="shared" si="107"/>
        <v>0</v>
      </c>
      <c r="BZ95" s="161">
        <f t="shared" si="108"/>
        <v>0</v>
      </c>
      <c r="CA95" s="161">
        <f t="shared" si="109"/>
        <v>0</v>
      </c>
      <c r="CB95" s="161">
        <f t="shared" si="110"/>
        <v>0</v>
      </c>
      <c r="CC95" s="161">
        <f t="shared" si="57"/>
        <v>0</v>
      </c>
      <c r="CD95" s="161" t="str">
        <f t="shared" si="90"/>
        <v/>
      </c>
      <c r="CE95" t="str">
        <f>IF(AND(CQ95=""),"",IF(CQ95=0,"",1+(MAX(CE$60:CE94))))</f>
        <v/>
      </c>
      <c r="CF95" s="85">
        <v>36</v>
      </c>
      <c r="CG95" s="157">
        <f t="shared" si="58"/>
        <v>0</v>
      </c>
      <c r="CH95" s="161">
        <f t="shared" si="59"/>
        <v>0</v>
      </c>
      <c r="CI95" s="161">
        <f t="shared" si="60"/>
        <v>0</v>
      </c>
      <c r="CJ95" s="161">
        <f t="shared" si="61"/>
        <v>0</v>
      </c>
      <c r="CK95" s="161">
        <f t="shared" si="62"/>
        <v>0</v>
      </c>
      <c r="CL95" s="161">
        <f t="shared" si="63"/>
        <v>0</v>
      </c>
      <c r="CM95" s="161">
        <f t="shared" si="64"/>
        <v>0</v>
      </c>
      <c r="CN95" s="161">
        <f t="shared" si="65"/>
        <v>0</v>
      </c>
      <c r="CO95" s="161">
        <f t="shared" si="66"/>
        <v>0</v>
      </c>
      <c r="CP95" s="161">
        <f t="shared" si="67"/>
        <v>0</v>
      </c>
      <c r="CQ95" s="161" t="str">
        <f t="shared" si="91"/>
        <v/>
      </c>
      <c r="CR95" t="str">
        <f>IF(AND(DD95=""),"",IF(DD95=0,"",1+(MAX(CR$60:CR94))))</f>
        <v/>
      </c>
      <c r="CS95" s="160">
        <v>36</v>
      </c>
      <c r="CT95" s="157">
        <f t="shared" si="68"/>
        <v>0</v>
      </c>
      <c r="CU95" s="161">
        <f t="shared" si="69"/>
        <v>0</v>
      </c>
      <c r="CV95" s="161">
        <f t="shared" si="70"/>
        <v>0</v>
      </c>
      <c r="CW95" s="161">
        <f t="shared" si="71"/>
        <v>0</v>
      </c>
      <c r="CX95" s="161">
        <f t="shared" si="72"/>
        <v>0</v>
      </c>
      <c r="CY95" s="161">
        <f t="shared" si="73"/>
        <v>0</v>
      </c>
      <c r="CZ95" s="161">
        <f t="shared" si="74"/>
        <v>0</v>
      </c>
      <c r="DA95" s="161">
        <f t="shared" si="75"/>
        <v>0</v>
      </c>
      <c r="DB95" s="161">
        <f t="shared" si="76"/>
        <v>0</v>
      </c>
      <c r="DC95" s="161">
        <f t="shared" si="77"/>
        <v>0</v>
      </c>
      <c r="DD95" s="161" t="str">
        <f t="shared" si="92"/>
        <v/>
      </c>
    </row>
    <row r="96" spans="1:108" ht="18.75">
      <c r="A96" s="14">
        <v>37</v>
      </c>
      <c r="B96" s="388"/>
      <c r="C96" s="391"/>
      <c r="D96" s="383"/>
      <c r="E96" s="384"/>
      <c r="F96" s="384"/>
      <c r="G96" s="385"/>
      <c r="H96" s="384"/>
      <c r="I96" s="384"/>
      <c r="J96" s="384"/>
      <c r="K96" s="387"/>
      <c r="L96" s="690"/>
      <c r="M96" s="32"/>
      <c r="N96" s="32"/>
      <c r="O96" s="32"/>
      <c r="AC96" t="str">
        <f t="shared" si="24"/>
        <v/>
      </c>
      <c r="AD96">
        <f t="shared" si="25"/>
        <v>1</v>
      </c>
      <c r="AE96" t="str">
        <f>IF(AND(AQ96=""),"",IF(AQ96=0,"",1+(MAX(AE$60:AE95))))</f>
        <v/>
      </c>
      <c r="AF96" s="85">
        <v>37</v>
      </c>
      <c r="AG96" s="157">
        <f t="shared" si="26"/>
        <v>0</v>
      </c>
      <c r="AH96" s="161">
        <f t="shared" si="27"/>
        <v>0</v>
      </c>
      <c r="AI96" s="161">
        <f t="shared" si="28"/>
        <v>0</v>
      </c>
      <c r="AJ96" s="161">
        <f t="shared" si="29"/>
        <v>0</v>
      </c>
      <c r="AK96" s="161">
        <f t="shared" si="30"/>
        <v>0</v>
      </c>
      <c r="AL96" s="161">
        <f t="shared" si="31"/>
        <v>0</v>
      </c>
      <c r="AM96" s="161">
        <f t="shared" si="32"/>
        <v>0</v>
      </c>
      <c r="AN96" s="161">
        <f t="shared" si="33"/>
        <v>0</v>
      </c>
      <c r="AO96" s="161">
        <f t="shared" si="34"/>
        <v>0</v>
      </c>
      <c r="AP96" s="161">
        <f t="shared" si="35"/>
        <v>0</v>
      </c>
      <c r="AQ96" s="161" t="str">
        <f t="shared" si="87"/>
        <v/>
      </c>
      <c r="AR96" t="str">
        <f>IF(AND(BD96=""),"",IF(BD96=0,"",1+(MAX(AR$60:AR95))))</f>
        <v/>
      </c>
      <c r="AS96" s="160">
        <v>37</v>
      </c>
      <c r="AT96" s="157">
        <f t="shared" si="78"/>
        <v>0</v>
      </c>
      <c r="AU96" s="158">
        <f t="shared" si="79"/>
        <v>0</v>
      </c>
      <c r="AV96" s="158">
        <f t="shared" si="80"/>
        <v>0</v>
      </c>
      <c r="AW96" s="158">
        <f t="shared" si="81"/>
        <v>0</v>
      </c>
      <c r="AX96" s="158">
        <f t="shared" si="82"/>
        <v>0</v>
      </c>
      <c r="AY96" s="158">
        <f t="shared" si="83"/>
        <v>0</v>
      </c>
      <c r="AZ96" s="158">
        <f t="shared" si="84"/>
        <v>0</v>
      </c>
      <c r="BA96" s="158">
        <f t="shared" si="85"/>
        <v>0</v>
      </c>
      <c r="BB96" s="158">
        <f t="shared" si="86"/>
        <v>0</v>
      </c>
      <c r="BC96" s="158">
        <f t="shared" si="37"/>
        <v>0</v>
      </c>
      <c r="BD96" s="161" t="str">
        <f t="shared" si="88"/>
        <v/>
      </c>
      <c r="BE96" t="str">
        <f>IF(AND(BQ96=""),"",IF(BQ96=0,"",1+(MAX(BE$60:BE95))))</f>
        <v/>
      </c>
      <c r="BF96" s="85">
        <v>37</v>
      </c>
      <c r="BG96" s="157">
        <f t="shared" si="93"/>
        <v>0</v>
      </c>
      <c r="BH96" s="161">
        <f t="shared" si="94"/>
        <v>0</v>
      </c>
      <c r="BI96" s="161">
        <f t="shared" si="95"/>
        <v>0</v>
      </c>
      <c r="BJ96" s="161">
        <f t="shared" si="96"/>
        <v>0</v>
      </c>
      <c r="BK96" s="161">
        <f t="shared" si="97"/>
        <v>0</v>
      </c>
      <c r="BL96" s="161">
        <f t="shared" si="98"/>
        <v>0</v>
      </c>
      <c r="BM96" s="161">
        <f t="shared" si="99"/>
        <v>0</v>
      </c>
      <c r="BN96" s="161">
        <f t="shared" si="100"/>
        <v>0</v>
      </c>
      <c r="BO96" s="161">
        <f t="shared" si="101"/>
        <v>0</v>
      </c>
      <c r="BP96" s="161">
        <f t="shared" si="47"/>
        <v>0</v>
      </c>
      <c r="BQ96" s="161" t="str">
        <f t="shared" si="89"/>
        <v/>
      </c>
      <c r="BR96" t="str">
        <f>IF(AND(CD96=""),"",IF(CD96=0,"",1+(MAX(BR$60:BR95))))</f>
        <v/>
      </c>
      <c r="BS96" s="160">
        <v>37</v>
      </c>
      <c r="BT96" s="157">
        <f t="shared" si="102"/>
        <v>0</v>
      </c>
      <c r="BU96" s="161">
        <f t="shared" si="103"/>
        <v>0</v>
      </c>
      <c r="BV96" s="161">
        <f t="shared" si="104"/>
        <v>0</v>
      </c>
      <c r="BW96" s="161">
        <f t="shared" si="105"/>
        <v>0</v>
      </c>
      <c r="BX96" s="161">
        <f t="shared" si="106"/>
        <v>0</v>
      </c>
      <c r="BY96" s="161">
        <f t="shared" si="107"/>
        <v>0</v>
      </c>
      <c r="BZ96" s="161">
        <f t="shared" si="108"/>
        <v>0</v>
      </c>
      <c r="CA96" s="161">
        <f t="shared" si="109"/>
        <v>0</v>
      </c>
      <c r="CB96" s="161">
        <f t="shared" si="110"/>
        <v>0</v>
      </c>
      <c r="CC96" s="161">
        <f t="shared" si="57"/>
        <v>0</v>
      </c>
      <c r="CD96" s="161" t="str">
        <f t="shared" si="90"/>
        <v/>
      </c>
      <c r="CE96" t="str">
        <f>IF(AND(CQ96=""),"",IF(CQ96=0,"",1+(MAX(CE$60:CE95))))</f>
        <v/>
      </c>
      <c r="CF96" s="85">
        <v>37</v>
      </c>
      <c r="CG96" s="157">
        <f t="shared" si="58"/>
        <v>0</v>
      </c>
      <c r="CH96" s="161">
        <f t="shared" si="59"/>
        <v>0</v>
      </c>
      <c r="CI96" s="161">
        <f t="shared" si="60"/>
        <v>0</v>
      </c>
      <c r="CJ96" s="161">
        <f t="shared" si="61"/>
        <v>0</v>
      </c>
      <c r="CK96" s="161">
        <f t="shared" si="62"/>
        <v>0</v>
      </c>
      <c r="CL96" s="161">
        <f t="shared" si="63"/>
        <v>0</v>
      </c>
      <c r="CM96" s="161">
        <f t="shared" si="64"/>
        <v>0</v>
      </c>
      <c r="CN96" s="161">
        <f t="shared" si="65"/>
        <v>0</v>
      </c>
      <c r="CO96" s="161">
        <f t="shared" si="66"/>
        <v>0</v>
      </c>
      <c r="CP96" s="161">
        <f t="shared" si="67"/>
        <v>0</v>
      </c>
      <c r="CQ96" s="161" t="str">
        <f t="shared" si="91"/>
        <v/>
      </c>
      <c r="CR96" t="str">
        <f>IF(AND(DD96=""),"",IF(DD96=0,"",1+(MAX(CR$60:CR95))))</f>
        <v/>
      </c>
      <c r="CS96" s="85">
        <v>37</v>
      </c>
      <c r="CT96" s="157">
        <f t="shared" si="68"/>
        <v>0</v>
      </c>
      <c r="CU96" s="161">
        <f t="shared" si="69"/>
        <v>0</v>
      </c>
      <c r="CV96" s="161">
        <f t="shared" si="70"/>
        <v>0</v>
      </c>
      <c r="CW96" s="161">
        <f t="shared" si="71"/>
        <v>0</v>
      </c>
      <c r="CX96" s="161">
        <f t="shared" si="72"/>
        <v>0</v>
      </c>
      <c r="CY96" s="161">
        <f t="shared" si="73"/>
        <v>0</v>
      </c>
      <c r="CZ96" s="161">
        <f t="shared" si="74"/>
        <v>0</v>
      </c>
      <c r="DA96" s="161">
        <f t="shared" si="75"/>
        <v>0</v>
      </c>
      <c r="DB96" s="161">
        <f t="shared" si="76"/>
        <v>0</v>
      </c>
      <c r="DC96" s="161">
        <f t="shared" si="77"/>
        <v>0</v>
      </c>
      <c r="DD96" s="161" t="str">
        <f t="shared" si="92"/>
        <v/>
      </c>
    </row>
    <row r="97" spans="1:108" ht="18.75">
      <c r="A97" s="14">
        <v>38</v>
      </c>
      <c r="B97" s="388"/>
      <c r="C97" s="391"/>
      <c r="D97" s="383"/>
      <c r="E97" s="384"/>
      <c r="F97" s="384"/>
      <c r="G97" s="385"/>
      <c r="H97" s="384"/>
      <c r="I97" s="384"/>
      <c r="J97" s="384"/>
      <c r="K97" s="387"/>
      <c r="L97" s="690"/>
      <c r="M97" s="32"/>
      <c r="N97" s="32"/>
      <c r="O97" s="32"/>
      <c r="AC97" t="str">
        <f t="shared" si="24"/>
        <v/>
      </c>
      <c r="AD97">
        <f t="shared" si="25"/>
        <v>1</v>
      </c>
      <c r="AE97" t="str">
        <f>IF(AND(AQ97=""),"",IF(AQ97=0,"",1+(MAX(AE$60:AE96))))</f>
        <v/>
      </c>
      <c r="AF97" s="85">
        <v>38</v>
      </c>
      <c r="AG97" s="157">
        <f t="shared" si="26"/>
        <v>0</v>
      </c>
      <c r="AH97" s="161">
        <f t="shared" si="27"/>
        <v>0</v>
      </c>
      <c r="AI97" s="161">
        <f t="shared" si="28"/>
        <v>0</v>
      </c>
      <c r="AJ97" s="161">
        <f t="shared" si="29"/>
        <v>0</v>
      </c>
      <c r="AK97" s="161">
        <f t="shared" si="30"/>
        <v>0</v>
      </c>
      <c r="AL97" s="161">
        <f t="shared" si="31"/>
        <v>0</v>
      </c>
      <c r="AM97" s="161">
        <f t="shared" si="32"/>
        <v>0</v>
      </c>
      <c r="AN97" s="161">
        <f t="shared" si="33"/>
        <v>0</v>
      </c>
      <c r="AO97" s="161">
        <f t="shared" si="34"/>
        <v>0</v>
      </c>
      <c r="AP97" s="161">
        <f t="shared" si="35"/>
        <v>0</v>
      </c>
      <c r="AQ97" s="161" t="str">
        <f t="shared" si="87"/>
        <v/>
      </c>
      <c r="AR97" t="str">
        <f>IF(AND(BD97=""),"",IF(BD97=0,"",1+(MAX(AR$60:AR96))))</f>
        <v/>
      </c>
      <c r="AS97" s="160">
        <v>38</v>
      </c>
      <c r="AT97" s="157">
        <f t="shared" si="78"/>
        <v>0</v>
      </c>
      <c r="AU97" s="158">
        <f t="shared" si="79"/>
        <v>0</v>
      </c>
      <c r="AV97" s="158">
        <f t="shared" si="80"/>
        <v>0</v>
      </c>
      <c r="AW97" s="158">
        <f t="shared" si="81"/>
        <v>0</v>
      </c>
      <c r="AX97" s="158">
        <f t="shared" si="82"/>
        <v>0</v>
      </c>
      <c r="AY97" s="158">
        <f t="shared" si="83"/>
        <v>0</v>
      </c>
      <c r="AZ97" s="158">
        <f t="shared" si="84"/>
        <v>0</v>
      </c>
      <c r="BA97" s="158">
        <f t="shared" si="85"/>
        <v>0</v>
      </c>
      <c r="BB97" s="158">
        <f t="shared" si="86"/>
        <v>0</v>
      </c>
      <c r="BC97" s="158">
        <f t="shared" si="37"/>
        <v>0</v>
      </c>
      <c r="BD97" s="161" t="str">
        <f t="shared" si="88"/>
        <v/>
      </c>
      <c r="BE97" t="str">
        <f>IF(AND(BQ97=""),"",IF(BQ97=0,"",1+(MAX(BE$60:BE96))))</f>
        <v/>
      </c>
      <c r="BF97" s="85">
        <v>38</v>
      </c>
      <c r="BG97" s="157">
        <f t="shared" si="93"/>
        <v>0</v>
      </c>
      <c r="BH97" s="161">
        <f t="shared" si="94"/>
        <v>0</v>
      </c>
      <c r="BI97" s="161">
        <f t="shared" si="95"/>
        <v>0</v>
      </c>
      <c r="BJ97" s="161">
        <f t="shared" si="96"/>
        <v>0</v>
      </c>
      <c r="BK97" s="161">
        <f t="shared" si="97"/>
        <v>0</v>
      </c>
      <c r="BL97" s="161">
        <f t="shared" si="98"/>
        <v>0</v>
      </c>
      <c r="BM97" s="161">
        <f t="shared" si="99"/>
        <v>0</v>
      </c>
      <c r="BN97" s="161">
        <f t="shared" si="100"/>
        <v>0</v>
      </c>
      <c r="BO97" s="161">
        <f t="shared" si="101"/>
        <v>0</v>
      </c>
      <c r="BP97" s="161">
        <f t="shared" si="47"/>
        <v>0</v>
      </c>
      <c r="BQ97" s="161" t="str">
        <f t="shared" si="89"/>
        <v/>
      </c>
      <c r="BR97" t="str">
        <f>IF(AND(CD97=""),"",IF(CD97=0,"",1+(MAX(BR$60:BR96))))</f>
        <v/>
      </c>
      <c r="BS97" s="160">
        <v>38</v>
      </c>
      <c r="BT97" s="157">
        <f t="shared" si="102"/>
        <v>0</v>
      </c>
      <c r="BU97" s="161">
        <f t="shared" si="103"/>
        <v>0</v>
      </c>
      <c r="BV97" s="161">
        <f t="shared" si="104"/>
        <v>0</v>
      </c>
      <c r="BW97" s="161">
        <f t="shared" si="105"/>
        <v>0</v>
      </c>
      <c r="BX97" s="161">
        <f t="shared" si="106"/>
        <v>0</v>
      </c>
      <c r="BY97" s="161">
        <f t="shared" si="107"/>
        <v>0</v>
      </c>
      <c r="BZ97" s="161">
        <f t="shared" si="108"/>
        <v>0</v>
      </c>
      <c r="CA97" s="161">
        <f t="shared" si="109"/>
        <v>0</v>
      </c>
      <c r="CB97" s="161">
        <f t="shared" si="110"/>
        <v>0</v>
      </c>
      <c r="CC97" s="161">
        <f t="shared" si="57"/>
        <v>0</v>
      </c>
      <c r="CD97" s="161" t="str">
        <f t="shared" si="90"/>
        <v/>
      </c>
      <c r="CE97" t="str">
        <f>IF(AND(CQ97=""),"",IF(CQ97=0,"",1+(MAX(CE$60:CE96))))</f>
        <v/>
      </c>
      <c r="CF97" s="85">
        <v>38</v>
      </c>
      <c r="CG97" s="157">
        <f t="shared" si="58"/>
        <v>0</v>
      </c>
      <c r="CH97" s="161">
        <f t="shared" si="59"/>
        <v>0</v>
      </c>
      <c r="CI97" s="161">
        <f t="shared" si="60"/>
        <v>0</v>
      </c>
      <c r="CJ97" s="161">
        <f t="shared" si="61"/>
        <v>0</v>
      </c>
      <c r="CK97" s="161">
        <f t="shared" si="62"/>
        <v>0</v>
      </c>
      <c r="CL97" s="161">
        <f t="shared" si="63"/>
        <v>0</v>
      </c>
      <c r="CM97" s="161">
        <f t="shared" si="64"/>
        <v>0</v>
      </c>
      <c r="CN97" s="161">
        <f t="shared" si="65"/>
        <v>0</v>
      </c>
      <c r="CO97" s="161">
        <f t="shared" si="66"/>
        <v>0</v>
      </c>
      <c r="CP97" s="161">
        <f t="shared" si="67"/>
        <v>0</v>
      </c>
      <c r="CQ97" s="161" t="str">
        <f t="shared" si="91"/>
        <v/>
      </c>
      <c r="CR97" t="str">
        <f>IF(AND(DD97=""),"",IF(DD97=0,"",1+(MAX(CR$60:CR96))))</f>
        <v/>
      </c>
      <c r="CS97" s="160">
        <v>38</v>
      </c>
      <c r="CT97" s="157">
        <f t="shared" si="68"/>
        <v>0</v>
      </c>
      <c r="CU97" s="161">
        <f t="shared" si="69"/>
        <v>0</v>
      </c>
      <c r="CV97" s="161">
        <f t="shared" si="70"/>
        <v>0</v>
      </c>
      <c r="CW97" s="161">
        <f t="shared" si="71"/>
        <v>0</v>
      </c>
      <c r="CX97" s="161">
        <f t="shared" si="72"/>
        <v>0</v>
      </c>
      <c r="CY97" s="161">
        <f t="shared" si="73"/>
        <v>0</v>
      </c>
      <c r="CZ97" s="161">
        <f t="shared" si="74"/>
        <v>0</v>
      </c>
      <c r="DA97" s="161">
        <f t="shared" si="75"/>
        <v>0</v>
      </c>
      <c r="DB97" s="161">
        <f t="shared" si="76"/>
        <v>0</v>
      </c>
      <c r="DC97" s="161">
        <f t="shared" si="77"/>
        <v>0</v>
      </c>
      <c r="DD97" s="161" t="str">
        <f t="shared" si="92"/>
        <v/>
      </c>
    </row>
    <row r="98" spans="1:108" ht="18.75">
      <c r="A98" s="14">
        <v>39</v>
      </c>
      <c r="B98" s="388"/>
      <c r="C98" s="391"/>
      <c r="D98" s="383"/>
      <c r="E98" s="384"/>
      <c r="F98" s="384"/>
      <c r="G98" s="385"/>
      <c r="H98" s="384"/>
      <c r="I98" s="384"/>
      <c r="J98" s="384"/>
      <c r="K98" s="387"/>
      <c r="L98" s="690"/>
      <c r="M98" s="32"/>
      <c r="N98" s="32"/>
      <c r="O98" s="32"/>
      <c r="AC98" t="str">
        <f t="shared" si="24"/>
        <v/>
      </c>
      <c r="AD98">
        <f t="shared" si="25"/>
        <v>1</v>
      </c>
      <c r="AE98" t="str">
        <f>IF(AND(AQ98=""),"",IF(AQ98=0,"",1+(MAX(AE$60:AE97))))</f>
        <v/>
      </c>
      <c r="AF98" s="85">
        <v>39</v>
      </c>
      <c r="AG98" s="157">
        <f t="shared" si="26"/>
        <v>0</v>
      </c>
      <c r="AH98" s="161">
        <f t="shared" si="27"/>
        <v>0</v>
      </c>
      <c r="AI98" s="161">
        <f t="shared" si="28"/>
        <v>0</v>
      </c>
      <c r="AJ98" s="161">
        <f t="shared" si="29"/>
        <v>0</v>
      </c>
      <c r="AK98" s="161">
        <f t="shared" si="30"/>
        <v>0</v>
      </c>
      <c r="AL98" s="161">
        <f t="shared" si="31"/>
        <v>0</v>
      </c>
      <c r="AM98" s="161">
        <f t="shared" si="32"/>
        <v>0</v>
      </c>
      <c r="AN98" s="161">
        <f t="shared" si="33"/>
        <v>0</v>
      </c>
      <c r="AO98" s="161">
        <f t="shared" si="34"/>
        <v>0</v>
      </c>
      <c r="AP98" s="161">
        <f t="shared" si="35"/>
        <v>0</v>
      </c>
      <c r="AQ98" s="161" t="str">
        <f t="shared" si="87"/>
        <v/>
      </c>
      <c r="AR98" t="str">
        <f>IF(AND(BD98=""),"",IF(BD98=0,"",1+(MAX(AR$60:AR97))))</f>
        <v/>
      </c>
      <c r="AS98" s="160">
        <v>39</v>
      </c>
      <c r="AT98" s="157">
        <f t="shared" si="78"/>
        <v>0</v>
      </c>
      <c r="AU98" s="158">
        <f t="shared" si="79"/>
        <v>0</v>
      </c>
      <c r="AV98" s="158">
        <f t="shared" si="80"/>
        <v>0</v>
      </c>
      <c r="AW98" s="158">
        <f t="shared" si="81"/>
        <v>0</v>
      </c>
      <c r="AX98" s="158">
        <f t="shared" si="82"/>
        <v>0</v>
      </c>
      <c r="AY98" s="158">
        <f t="shared" si="83"/>
        <v>0</v>
      </c>
      <c r="AZ98" s="158">
        <f t="shared" si="84"/>
        <v>0</v>
      </c>
      <c r="BA98" s="158">
        <f t="shared" si="85"/>
        <v>0</v>
      </c>
      <c r="BB98" s="158">
        <f t="shared" si="86"/>
        <v>0</v>
      </c>
      <c r="BC98" s="158">
        <f t="shared" si="37"/>
        <v>0</v>
      </c>
      <c r="BD98" s="161" t="str">
        <f t="shared" si="88"/>
        <v/>
      </c>
      <c r="BE98" t="str">
        <f>IF(AND(BQ98=""),"",IF(BQ98=0,"",1+(MAX(BE$60:BE97))))</f>
        <v/>
      </c>
      <c r="BF98" s="85">
        <v>39</v>
      </c>
      <c r="BG98" s="157">
        <f t="shared" si="93"/>
        <v>0</v>
      </c>
      <c r="BH98" s="161">
        <f t="shared" si="94"/>
        <v>0</v>
      </c>
      <c r="BI98" s="161">
        <f t="shared" si="95"/>
        <v>0</v>
      </c>
      <c r="BJ98" s="161">
        <f t="shared" si="96"/>
        <v>0</v>
      </c>
      <c r="BK98" s="161">
        <f t="shared" si="97"/>
        <v>0</v>
      </c>
      <c r="BL98" s="161">
        <f t="shared" si="98"/>
        <v>0</v>
      </c>
      <c r="BM98" s="161">
        <f t="shared" si="99"/>
        <v>0</v>
      </c>
      <c r="BN98" s="161">
        <f t="shared" si="100"/>
        <v>0</v>
      </c>
      <c r="BO98" s="161">
        <f t="shared" si="101"/>
        <v>0</v>
      </c>
      <c r="BP98" s="161">
        <f t="shared" si="47"/>
        <v>0</v>
      </c>
      <c r="BQ98" s="161" t="str">
        <f t="shared" si="89"/>
        <v/>
      </c>
      <c r="BR98" t="str">
        <f>IF(AND(CD98=""),"",IF(CD98=0,"",1+(MAX(BR$60:BR97))))</f>
        <v/>
      </c>
      <c r="BS98" s="160">
        <v>39</v>
      </c>
      <c r="BT98" s="157">
        <f t="shared" si="102"/>
        <v>0</v>
      </c>
      <c r="BU98" s="161">
        <f t="shared" si="103"/>
        <v>0</v>
      </c>
      <c r="BV98" s="161">
        <f t="shared" si="104"/>
        <v>0</v>
      </c>
      <c r="BW98" s="161">
        <f t="shared" si="105"/>
        <v>0</v>
      </c>
      <c r="BX98" s="161">
        <f t="shared" si="106"/>
        <v>0</v>
      </c>
      <c r="BY98" s="161">
        <f t="shared" si="107"/>
        <v>0</v>
      </c>
      <c r="BZ98" s="161">
        <f t="shared" si="108"/>
        <v>0</v>
      </c>
      <c r="CA98" s="161">
        <f t="shared" si="109"/>
        <v>0</v>
      </c>
      <c r="CB98" s="161">
        <f t="shared" si="110"/>
        <v>0</v>
      </c>
      <c r="CC98" s="161">
        <f t="shared" si="57"/>
        <v>0</v>
      </c>
      <c r="CD98" s="161" t="str">
        <f t="shared" si="90"/>
        <v/>
      </c>
      <c r="CE98" t="str">
        <f>IF(AND(CQ98=""),"",IF(CQ98=0,"",1+(MAX(CE$60:CE97))))</f>
        <v/>
      </c>
      <c r="CF98" s="85">
        <v>39</v>
      </c>
      <c r="CG98" s="157">
        <f t="shared" si="58"/>
        <v>0</v>
      </c>
      <c r="CH98" s="161">
        <f t="shared" si="59"/>
        <v>0</v>
      </c>
      <c r="CI98" s="161">
        <f t="shared" si="60"/>
        <v>0</v>
      </c>
      <c r="CJ98" s="161">
        <f t="shared" si="61"/>
        <v>0</v>
      </c>
      <c r="CK98" s="161">
        <f t="shared" si="62"/>
        <v>0</v>
      </c>
      <c r="CL98" s="161">
        <f t="shared" si="63"/>
        <v>0</v>
      </c>
      <c r="CM98" s="161">
        <f t="shared" si="64"/>
        <v>0</v>
      </c>
      <c r="CN98" s="161">
        <f t="shared" si="65"/>
        <v>0</v>
      </c>
      <c r="CO98" s="161">
        <f t="shared" si="66"/>
        <v>0</v>
      </c>
      <c r="CP98" s="161">
        <f t="shared" si="67"/>
        <v>0</v>
      </c>
      <c r="CQ98" s="161" t="str">
        <f t="shared" si="91"/>
        <v/>
      </c>
      <c r="CR98" t="str">
        <f>IF(AND(DD98=""),"",IF(DD98=0,"",1+(MAX(CR$60:CR97))))</f>
        <v/>
      </c>
      <c r="CS98" s="85">
        <v>39</v>
      </c>
      <c r="CT98" s="157">
        <f t="shared" si="68"/>
        <v>0</v>
      </c>
      <c r="CU98" s="161">
        <f t="shared" si="69"/>
        <v>0</v>
      </c>
      <c r="CV98" s="161">
        <f t="shared" si="70"/>
        <v>0</v>
      </c>
      <c r="CW98" s="161">
        <f t="shared" si="71"/>
        <v>0</v>
      </c>
      <c r="CX98" s="161">
        <f t="shared" si="72"/>
        <v>0</v>
      </c>
      <c r="CY98" s="161">
        <f t="shared" si="73"/>
        <v>0</v>
      </c>
      <c r="CZ98" s="161">
        <f t="shared" si="74"/>
        <v>0</v>
      </c>
      <c r="DA98" s="161">
        <f t="shared" si="75"/>
        <v>0</v>
      </c>
      <c r="DB98" s="161">
        <f t="shared" si="76"/>
        <v>0</v>
      </c>
      <c r="DC98" s="161">
        <f t="shared" si="77"/>
        <v>0</v>
      </c>
      <c r="DD98" s="161" t="str">
        <f t="shared" si="92"/>
        <v/>
      </c>
    </row>
    <row r="99" spans="1:108" ht="18.75">
      <c r="A99" s="14">
        <v>40</v>
      </c>
      <c r="B99" s="388"/>
      <c r="C99" s="391"/>
      <c r="D99" s="383"/>
      <c r="E99" s="384"/>
      <c r="F99" s="384"/>
      <c r="G99" s="385"/>
      <c r="H99" s="384"/>
      <c r="I99" s="384"/>
      <c r="J99" s="384"/>
      <c r="K99" s="387"/>
      <c r="L99" s="690"/>
      <c r="M99" s="32"/>
      <c r="N99" s="32"/>
      <c r="O99" s="32"/>
      <c r="AC99" t="str">
        <f t="shared" si="24"/>
        <v/>
      </c>
      <c r="AD99">
        <f t="shared" si="25"/>
        <v>1</v>
      </c>
      <c r="AE99" t="str">
        <f>IF(AND(AQ99=""),"",IF(AQ99=0,"",1+(MAX(AE$60:AE98))))</f>
        <v/>
      </c>
      <c r="AF99" s="85">
        <v>40</v>
      </c>
      <c r="AG99" s="157">
        <f t="shared" si="26"/>
        <v>0</v>
      </c>
      <c r="AH99" s="161">
        <f t="shared" si="27"/>
        <v>0</v>
      </c>
      <c r="AI99" s="161">
        <f t="shared" si="28"/>
        <v>0</v>
      </c>
      <c r="AJ99" s="161">
        <f t="shared" si="29"/>
        <v>0</v>
      </c>
      <c r="AK99" s="161">
        <f t="shared" si="30"/>
        <v>0</v>
      </c>
      <c r="AL99" s="161">
        <f t="shared" si="31"/>
        <v>0</v>
      </c>
      <c r="AM99" s="161">
        <f t="shared" si="32"/>
        <v>0</v>
      </c>
      <c r="AN99" s="161">
        <f t="shared" si="33"/>
        <v>0</v>
      </c>
      <c r="AO99" s="161">
        <f t="shared" si="34"/>
        <v>0</v>
      </c>
      <c r="AP99" s="161">
        <f t="shared" si="35"/>
        <v>0</v>
      </c>
      <c r="AQ99" s="161" t="str">
        <f t="shared" si="87"/>
        <v/>
      </c>
      <c r="AR99" t="str">
        <f>IF(AND(BD99=""),"",IF(BD99=0,"",1+(MAX(AR$60:AR98))))</f>
        <v/>
      </c>
      <c r="AS99" s="160">
        <v>40</v>
      </c>
      <c r="AT99" s="157">
        <f t="shared" si="78"/>
        <v>0</v>
      </c>
      <c r="AU99" s="158">
        <f t="shared" si="79"/>
        <v>0</v>
      </c>
      <c r="AV99" s="158">
        <f t="shared" si="80"/>
        <v>0</v>
      </c>
      <c r="AW99" s="158">
        <f t="shared" si="81"/>
        <v>0</v>
      </c>
      <c r="AX99" s="158">
        <f t="shared" si="82"/>
        <v>0</v>
      </c>
      <c r="AY99" s="158">
        <f t="shared" si="83"/>
        <v>0</v>
      </c>
      <c r="AZ99" s="158">
        <f t="shared" si="84"/>
        <v>0</v>
      </c>
      <c r="BA99" s="158">
        <f t="shared" si="85"/>
        <v>0</v>
      </c>
      <c r="BB99" s="158">
        <f t="shared" si="86"/>
        <v>0</v>
      </c>
      <c r="BC99" s="158">
        <f t="shared" si="37"/>
        <v>0</v>
      </c>
      <c r="BD99" s="161" t="str">
        <f t="shared" si="88"/>
        <v/>
      </c>
      <c r="BE99" t="str">
        <f>IF(AND(BQ99=""),"",IF(BQ99=0,"",1+(MAX(BE$60:BE98))))</f>
        <v/>
      </c>
      <c r="BF99" s="85">
        <v>40</v>
      </c>
      <c r="BG99" s="157">
        <f t="shared" si="93"/>
        <v>0</v>
      </c>
      <c r="BH99" s="161">
        <f t="shared" si="94"/>
        <v>0</v>
      </c>
      <c r="BI99" s="161">
        <f t="shared" si="95"/>
        <v>0</v>
      </c>
      <c r="BJ99" s="161">
        <f t="shared" si="96"/>
        <v>0</v>
      </c>
      <c r="BK99" s="161">
        <f t="shared" si="97"/>
        <v>0</v>
      </c>
      <c r="BL99" s="161">
        <f t="shared" si="98"/>
        <v>0</v>
      </c>
      <c r="BM99" s="161">
        <f t="shared" si="99"/>
        <v>0</v>
      </c>
      <c r="BN99" s="161">
        <f t="shared" si="100"/>
        <v>0</v>
      </c>
      <c r="BO99" s="161">
        <f t="shared" si="101"/>
        <v>0</v>
      </c>
      <c r="BP99" s="161">
        <f t="shared" si="47"/>
        <v>0</v>
      </c>
      <c r="BQ99" s="161" t="str">
        <f t="shared" si="89"/>
        <v/>
      </c>
      <c r="BR99" t="str">
        <f>IF(AND(CD99=""),"",IF(CD99=0,"",1+(MAX(BR$60:BR98))))</f>
        <v/>
      </c>
      <c r="BS99" s="160">
        <v>40</v>
      </c>
      <c r="BT99" s="157">
        <f t="shared" si="102"/>
        <v>0</v>
      </c>
      <c r="BU99" s="161">
        <f t="shared" si="103"/>
        <v>0</v>
      </c>
      <c r="BV99" s="161">
        <f t="shared" si="104"/>
        <v>0</v>
      </c>
      <c r="BW99" s="161">
        <f t="shared" si="105"/>
        <v>0</v>
      </c>
      <c r="BX99" s="161">
        <f t="shared" si="106"/>
        <v>0</v>
      </c>
      <c r="BY99" s="161">
        <f t="shared" si="107"/>
        <v>0</v>
      </c>
      <c r="BZ99" s="161">
        <f t="shared" si="108"/>
        <v>0</v>
      </c>
      <c r="CA99" s="161">
        <f t="shared" si="109"/>
        <v>0</v>
      </c>
      <c r="CB99" s="161">
        <f t="shared" si="110"/>
        <v>0</v>
      </c>
      <c r="CC99" s="161">
        <f t="shared" si="57"/>
        <v>0</v>
      </c>
      <c r="CD99" s="161" t="str">
        <f t="shared" si="90"/>
        <v/>
      </c>
      <c r="CE99" t="str">
        <f>IF(AND(CQ99=""),"",IF(CQ99=0,"",1+(MAX(CE$60:CE98))))</f>
        <v/>
      </c>
      <c r="CF99" s="85">
        <v>40</v>
      </c>
      <c r="CG99" s="157">
        <f t="shared" si="58"/>
        <v>0</v>
      </c>
      <c r="CH99" s="161">
        <f t="shared" si="59"/>
        <v>0</v>
      </c>
      <c r="CI99" s="161">
        <f t="shared" si="60"/>
        <v>0</v>
      </c>
      <c r="CJ99" s="161">
        <f t="shared" si="61"/>
        <v>0</v>
      </c>
      <c r="CK99" s="161">
        <f t="shared" si="62"/>
        <v>0</v>
      </c>
      <c r="CL99" s="161">
        <f t="shared" si="63"/>
        <v>0</v>
      </c>
      <c r="CM99" s="161">
        <f t="shared" si="64"/>
        <v>0</v>
      </c>
      <c r="CN99" s="161">
        <f t="shared" si="65"/>
        <v>0</v>
      </c>
      <c r="CO99" s="161">
        <f t="shared" si="66"/>
        <v>0</v>
      </c>
      <c r="CP99" s="161">
        <f t="shared" si="67"/>
        <v>0</v>
      </c>
      <c r="CQ99" s="161" t="str">
        <f t="shared" si="91"/>
        <v/>
      </c>
      <c r="CR99" t="str">
        <f>IF(AND(DD99=""),"",IF(DD99=0,"",1+(MAX(CR$60:CR98))))</f>
        <v/>
      </c>
      <c r="CS99" s="160">
        <v>40</v>
      </c>
      <c r="CT99" s="157">
        <f t="shared" si="68"/>
        <v>0</v>
      </c>
      <c r="CU99" s="161">
        <f t="shared" si="69"/>
        <v>0</v>
      </c>
      <c r="CV99" s="161">
        <f t="shared" si="70"/>
        <v>0</v>
      </c>
      <c r="CW99" s="161">
        <f t="shared" si="71"/>
        <v>0</v>
      </c>
      <c r="CX99" s="161">
        <f t="shared" si="72"/>
        <v>0</v>
      </c>
      <c r="CY99" s="161">
        <f t="shared" si="73"/>
        <v>0</v>
      </c>
      <c r="CZ99" s="161">
        <f t="shared" si="74"/>
        <v>0</v>
      </c>
      <c r="DA99" s="161">
        <f t="shared" si="75"/>
        <v>0</v>
      </c>
      <c r="DB99" s="161">
        <f t="shared" si="76"/>
        <v>0</v>
      </c>
      <c r="DC99" s="161">
        <f t="shared" si="77"/>
        <v>0</v>
      </c>
      <c r="DD99" s="161" t="str">
        <f t="shared" si="92"/>
        <v/>
      </c>
    </row>
    <row r="100" spans="1:108" ht="18.75">
      <c r="A100" s="14">
        <v>41</v>
      </c>
      <c r="B100" s="388"/>
      <c r="C100" s="391"/>
      <c r="D100" s="383"/>
      <c r="E100" s="384"/>
      <c r="F100" s="384"/>
      <c r="G100" s="385"/>
      <c r="H100" s="384"/>
      <c r="I100" s="384"/>
      <c r="J100" s="384"/>
      <c r="K100" s="387"/>
      <c r="L100" s="690"/>
      <c r="M100" s="32"/>
      <c r="N100" s="32"/>
      <c r="O100" s="32"/>
      <c r="AC100" t="str">
        <f t="shared" si="24"/>
        <v/>
      </c>
      <c r="AD100">
        <f t="shared" si="25"/>
        <v>1</v>
      </c>
      <c r="AE100" t="str">
        <f>IF(AND(AQ100=""),"",IF(AQ100=0,"",1+(MAX(AE$60:AE99))))</f>
        <v/>
      </c>
      <c r="AF100" s="85">
        <v>41</v>
      </c>
      <c r="AG100" s="157">
        <f t="shared" si="26"/>
        <v>0</v>
      </c>
      <c r="AH100" s="161">
        <f t="shared" si="27"/>
        <v>0</v>
      </c>
      <c r="AI100" s="161">
        <f t="shared" si="28"/>
        <v>0</v>
      </c>
      <c r="AJ100" s="161">
        <f t="shared" si="29"/>
        <v>0</v>
      </c>
      <c r="AK100" s="161">
        <f t="shared" si="30"/>
        <v>0</v>
      </c>
      <c r="AL100" s="161">
        <f t="shared" si="31"/>
        <v>0</v>
      </c>
      <c r="AM100" s="161">
        <f t="shared" si="32"/>
        <v>0</v>
      </c>
      <c r="AN100" s="161">
        <f t="shared" si="33"/>
        <v>0</v>
      </c>
      <c r="AO100" s="161">
        <f t="shared" si="34"/>
        <v>0</v>
      </c>
      <c r="AP100" s="161">
        <f t="shared" si="35"/>
        <v>0</v>
      </c>
      <c r="AQ100" s="161" t="str">
        <f t="shared" si="87"/>
        <v/>
      </c>
      <c r="AR100" t="str">
        <f>IF(AND(BD100=""),"",IF(BD100=0,"",1+(MAX(AR$60:AR99))))</f>
        <v/>
      </c>
      <c r="AS100" s="160">
        <v>41</v>
      </c>
      <c r="AT100" s="157">
        <f t="shared" si="78"/>
        <v>0</v>
      </c>
      <c r="AU100" s="158">
        <f t="shared" si="79"/>
        <v>0</v>
      </c>
      <c r="AV100" s="158">
        <f t="shared" si="80"/>
        <v>0</v>
      </c>
      <c r="AW100" s="158">
        <f t="shared" si="81"/>
        <v>0</v>
      </c>
      <c r="AX100" s="158">
        <f t="shared" si="82"/>
        <v>0</v>
      </c>
      <c r="AY100" s="158">
        <f t="shared" si="83"/>
        <v>0</v>
      </c>
      <c r="AZ100" s="158">
        <f t="shared" si="84"/>
        <v>0</v>
      </c>
      <c r="BA100" s="158">
        <f t="shared" si="85"/>
        <v>0</v>
      </c>
      <c r="BB100" s="158">
        <f t="shared" si="86"/>
        <v>0</v>
      </c>
      <c r="BC100" s="158">
        <f t="shared" si="37"/>
        <v>0</v>
      </c>
      <c r="BD100" s="161" t="str">
        <f t="shared" si="88"/>
        <v/>
      </c>
      <c r="BE100" t="str">
        <f>IF(AND(BQ100=""),"",IF(BQ100=0,"",1+(MAX(BE$60:BE99))))</f>
        <v/>
      </c>
      <c r="BF100" s="85">
        <v>41</v>
      </c>
      <c r="BG100" s="157">
        <f t="shared" si="93"/>
        <v>0</v>
      </c>
      <c r="BH100" s="161">
        <f t="shared" si="94"/>
        <v>0</v>
      </c>
      <c r="BI100" s="161">
        <f t="shared" si="95"/>
        <v>0</v>
      </c>
      <c r="BJ100" s="161">
        <f t="shared" si="96"/>
        <v>0</v>
      </c>
      <c r="BK100" s="161">
        <f t="shared" si="97"/>
        <v>0</v>
      </c>
      <c r="BL100" s="161">
        <f t="shared" si="98"/>
        <v>0</v>
      </c>
      <c r="BM100" s="161">
        <f t="shared" si="99"/>
        <v>0</v>
      </c>
      <c r="BN100" s="161">
        <f t="shared" si="100"/>
        <v>0</v>
      </c>
      <c r="BO100" s="161">
        <f t="shared" si="101"/>
        <v>0</v>
      </c>
      <c r="BP100" s="161">
        <f t="shared" si="47"/>
        <v>0</v>
      </c>
      <c r="BQ100" s="161" t="str">
        <f t="shared" si="89"/>
        <v/>
      </c>
      <c r="BR100" t="str">
        <f>IF(AND(CD100=""),"",IF(CD100=0,"",1+(MAX(BR$60:BR99))))</f>
        <v/>
      </c>
      <c r="BS100" s="160">
        <v>41</v>
      </c>
      <c r="BT100" s="157">
        <f t="shared" si="102"/>
        <v>0</v>
      </c>
      <c r="BU100" s="161">
        <f t="shared" si="103"/>
        <v>0</v>
      </c>
      <c r="BV100" s="161">
        <f t="shared" si="104"/>
        <v>0</v>
      </c>
      <c r="BW100" s="161">
        <f t="shared" si="105"/>
        <v>0</v>
      </c>
      <c r="BX100" s="161">
        <f t="shared" si="106"/>
        <v>0</v>
      </c>
      <c r="BY100" s="161">
        <f t="shared" si="107"/>
        <v>0</v>
      </c>
      <c r="BZ100" s="161">
        <f t="shared" si="108"/>
        <v>0</v>
      </c>
      <c r="CA100" s="161">
        <f t="shared" si="109"/>
        <v>0</v>
      </c>
      <c r="CB100" s="161">
        <f t="shared" si="110"/>
        <v>0</v>
      </c>
      <c r="CC100" s="161">
        <f t="shared" si="57"/>
        <v>0</v>
      </c>
      <c r="CD100" s="161" t="str">
        <f t="shared" si="90"/>
        <v/>
      </c>
      <c r="CE100" t="str">
        <f>IF(AND(CQ100=""),"",IF(CQ100=0,"",1+(MAX(CE$60:CE99))))</f>
        <v/>
      </c>
      <c r="CF100" s="85">
        <v>41</v>
      </c>
      <c r="CG100" s="157">
        <f t="shared" si="58"/>
        <v>0</v>
      </c>
      <c r="CH100" s="161">
        <f t="shared" si="59"/>
        <v>0</v>
      </c>
      <c r="CI100" s="161">
        <f t="shared" si="60"/>
        <v>0</v>
      </c>
      <c r="CJ100" s="161">
        <f t="shared" si="61"/>
        <v>0</v>
      </c>
      <c r="CK100" s="161">
        <f t="shared" si="62"/>
        <v>0</v>
      </c>
      <c r="CL100" s="161">
        <f t="shared" si="63"/>
        <v>0</v>
      </c>
      <c r="CM100" s="161">
        <f t="shared" si="64"/>
        <v>0</v>
      </c>
      <c r="CN100" s="161">
        <f t="shared" si="65"/>
        <v>0</v>
      </c>
      <c r="CO100" s="161">
        <f t="shared" si="66"/>
        <v>0</v>
      </c>
      <c r="CP100" s="161">
        <f t="shared" si="67"/>
        <v>0</v>
      </c>
      <c r="CQ100" s="161" t="str">
        <f t="shared" si="91"/>
        <v/>
      </c>
      <c r="CR100" t="str">
        <f>IF(AND(DD100=""),"",IF(DD100=0,"",1+(MAX(CR$60:CR99))))</f>
        <v/>
      </c>
      <c r="CS100" s="85">
        <v>41</v>
      </c>
      <c r="CT100" s="157">
        <f t="shared" si="68"/>
        <v>0</v>
      </c>
      <c r="CU100" s="161">
        <f t="shared" si="69"/>
        <v>0</v>
      </c>
      <c r="CV100" s="161">
        <f t="shared" si="70"/>
        <v>0</v>
      </c>
      <c r="CW100" s="161">
        <f t="shared" si="71"/>
        <v>0</v>
      </c>
      <c r="CX100" s="161">
        <f t="shared" si="72"/>
        <v>0</v>
      </c>
      <c r="CY100" s="161">
        <f t="shared" si="73"/>
        <v>0</v>
      </c>
      <c r="CZ100" s="161">
        <f t="shared" si="74"/>
        <v>0</v>
      </c>
      <c r="DA100" s="161">
        <f t="shared" si="75"/>
        <v>0</v>
      </c>
      <c r="DB100" s="161">
        <f t="shared" si="76"/>
        <v>0</v>
      </c>
      <c r="DC100" s="161">
        <f t="shared" si="77"/>
        <v>0</v>
      </c>
      <c r="DD100" s="161" t="str">
        <f t="shared" si="92"/>
        <v/>
      </c>
    </row>
    <row r="101" spans="1:108" ht="18.75">
      <c r="A101" s="14">
        <v>42</v>
      </c>
      <c r="B101" s="388"/>
      <c r="C101" s="391"/>
      <c r="D101" s="383"/>
      <c r="E101" s="384"/>
      <c r="F101" s="384"/>
      <c r="G101" s="385"/>
      <c r="H101" s="384"/>
      <c r="I101" s="384"/>
      <c r="J101" s="384"/>
      <c r="K101" s="387"/>
      <c r="L101" s="690"/>
      <c r="M101" s="32"/>
      <c r="N101" s="32"/>
      <c r="O101" s="32"/>
      <c r="AC101" t="str">
        <f t="shared" si="24"/>
        <v/>
      </c>
      <c r="AD101">
        <f t="shared" si="25"/>
        <v>1</v>
      </c>
      <c r="AE101" t="str">
        <f>IF(AND(AQ101=""),"",IF(AQ101=0,"",1+(MAX(AE$60:AE100))))</f>
        <v/>
      </c>
      <c r="AF101" s="85">
        <v>42</v>
      </c>
      <c r="AG101" s="157">
        <f t="shared" si="26"/>
        <v>0</v>
      </c>
      <c r="AH101" s="161">
        <f t="shared" si="27"/>
        <v>0</v>
      </c>
      <c r="AI101" s="161">
        <f t="shared" si="28"/>
        <v>0</v>
      </c>
      <c r="AJ101" s="161">
        <f t="shared" si="29"/>
        <v>0</v>
      </c>
      <c r="AK101" s="161">
        <f t="shared" si="30"/>
        <v>0</v>
      </c>
      <c r="AL101" s="161">
        <f t="shared" si="31"/>
        <v>0</v>
      </c>
      <c r="AM101" s="161">
        <f t="shared" si="32"/>
        <v>0</v>
      </c>
      <c r="AN101" s="161">
        <f t="shared" si="33"/>
        <v>0</v>
      </c>
      <c r="AO101" s="161">
        <f t="shared" si="34"/>
        <v>0</v>
      </c>
      <c r="AP101" s="161">
        <f t="shared" si="35"/>
        <v>0</v>
      </c>
      <c r="AQ101" s="161" t="str">
        <f t="shared" si="87"/>
        <v/>
      </c>
      <c r="AR101" t="str">
        <f>IF(AND(BD101=""),"",IF(BD101=0,"",1+(MAX(AR$60:AR100))))</f>
        <v/>
      </c>
      <c r="AS101" s="160">
        <v>42</v>
      </c>
      <c r="AT101" s="157">
        <f t="shared" si="78"/>
        <v>0</v>
      </c>
      <c r="AU101" s="158">
        <f t="shared" si="79"/>
        <v>0</v>
      </c>
      <c r="AV101" s="158">
        <f t="shared" si="80"/>
        <v>0</v>
      </c>
      <c r="AW101" s="158">
        <f t="shared" si="81"/>
        <v>0</v>
      </c>
      <c r="AX101" s="158">
        <f t="shared" si="82"/>
        <v>0</v>
      </c>
      <c r="AY101" s="158">
        <f t="shared" si="83"/>
        <v>0</v>
      </c>
      <c r="AZ101" s="158">
        <f t="shared" si="84"/>
        <v>0</v>
      </c>
      <c r="BA101" s="158">
        <f t="shared" si="85"/>
        <v>0</v>
      </c>
      <c r="BB101" s="158">
        <f t="shared" si="86"/>
        <v>0</v>
      </c>
      <c r="BC101" s="158">
        <f t="shared" si="37"/>
        <v>0</v>
      </c>
      <c r="BD101" s="161" t="str">
        <f t="shared" si="88"/>
        <v/>
      </c>
      <c r="BE101" t="str">
        <f>IF(AND(BQ101=""),"",IF(BQ101=0,"",1+(MAX(BE$60:BE100))))</f>
        <v/>
      </c>
      <c r="BF101" s="85">
        <v>42</v>
      </c>
      <c r="BG101" s="157">
        <f t="shared" si="93"/>
        <v>0</v>
      </c>
      <c r="BH101" s="161">
        <f t="shared" si="94"/>
        <v>0</v>
      </c>
      <c r="BI101" s="161">
        <f t="shared" si="95"/>
        <v>0</v>
      </c>
      <c r="BJ101" s="161">
        <f t="shared" si="96"/>
        <v>0</v>
      </c>
      <c r="BK101" s="161">
        <f t="shared" si="97"/>
        <v>0</v>
      </c>
      <c r="BL101" s="161">
        <f t="shared" si="98"/>
        <v>0</v>
      </c>
      <c r="BM101" s="161">
        <f t="shared" si="99"/>
        <v>0</v>
      </c>
      <c r="BN101" s="161">
        <f t="shared" si="100"/>
        <v>0</v>
      </c>
      <c r="BO101" s="161">
        <f t="shared" si="101"/>
        <v>0</v>
      </c>
      <c r="BP101" s="161">
        <f t="shared" si="47"/>
        <v>0</v>
      </c>
      <c r="BQ101" s="161" t="str">
        <f t="shared" si="89"/>
        <v/>
      </c>
      <c r="BR101" t="str">
        <f>IF(AND(CD101=""),"",IF(CD101=0,"",1+(MAX(BR$60:BR100))))</f>
        <v/>
      </c>
      <c r="BS101" s="160">
        <v>42</v>
      </c>
      <c r="BT101" s="157">
        <f t="shared" si="102"/>
        <v>0</v>
      </c>
      <c r="BU101" s="161">
        <f t="shared" si="103"/>
        <v>0</v>
      </c>
      <c r="BV101" s="161">
        <f t="shared" si="104"/>
        <v>0</v>
      </c>
      <c r="BW101" s="161">
        <f t="shared" si="105"/>
        <v>0</v>
      </c>
      <c r="BX101" s="161">
        <f t="shared" si="106"/>
        <v>0</v>
      </c>
      <c r="BY101" s="161">
        <f t="shared" si="107"/>
        <v>0</v>
      </c>
      <c r="BZ101" s="161">
        <f t="shared" si="108"/>
        <v>0</v>
      </c>
      <c r="CA101" s="161">
        <f t="shared" si="109"/>
        <v>0</v>
      </c>
      <c r="CB101" s="161">
        <f t="shared" si="110"/>
        <v>0</v>
      </c>
      <c r="CC101" s="161">
        <f t="shared" si="57"/>
        <v>0</v>
      </c>
      <c r="CD101" s="161" t="str">
        <f t="shared" si="90"/>
        <v/>
      </c>
      <c r="CE101" t="str">
        <f>IF(AND(CQ101=""),"",IF(CQ101=0,"",1+(MAX(CE$60:CE100))))</f>
        <v/>
      </c>
      <c r="CF101" s="85">
        <v>42</v>
      </c>
      <c r="CG101" s="157">
        <f t="shared" si="58"/>
        <v>0</v>
      </c>
      <c r="CH101" s="161">
        <f t="shared" si="59"/>
        <v>0</v>
      </c>
      <c r="CI101" s="161">
        <f t="shared" si="60"/>
        <v>0</v>
      </c>
      <c r="CJ101" s="161">
        <f t="shared" si="61"/>
        <v>0</v>
      </c>
      <c r="CK101" s="161">
        <f t="shared" si="62"/>
        <v>0</v>
      </c>
      <c r="CL101" s="161">
        <f t="shared" si="63"/>
        <v>0</v>
      </c>
      <c r="CM101" s="161">
        <f t="shared" si="64"/>
        <v>0</v>
      </c>
      <c r="CN101" s="161">
        <f t="shared" si="65"/>
        <v>0</v>
      </c>
      <c r="CO101" s="161">
        <f t="shared" si="66"/>
        <v>0</v>
      </c>
      <c r="CP101" s="161">
        <f t="shared" si="67"/>
        <v>0</v>
      </c>
      <c r="CQ101" s="161" t="str">
        <f t="shared" si="91"/>
        <v/>
      </c>
      <c r="CR101" t="str">
        <f>IF(AND(DD101=""),"",IF(DD101=0,"",1+(MAX(CR$60:CR100))))</f>
        <v/>
      </c>
      <c r="CS101" s="160">
        <v>42</v>
      </c>
      <c r="CT101" s="157">
        <f t="shared" si="68"/>
        <v>0</v>
      </c>
      <c r="CU101" s="161">
        <f t="shared" si="69"/>
        <v>0</v>
      </c>
      <c r="CV101" s="161">
        <f t="shared" si="70"/>
        <v>0</v>
      </c>
      <c r="CW101" s="161">
        <f t="shared" si="71"/>
        <v>0</v>
      </c>
      <c r="CX101" s="161">
        <f t="shared" si="72"/>
        <v>0</v>
      </c>
      <c r="CY101" s="161">
        <f t="shared" si="73"/>
        <v>0</v>
      </c>
      <c r="CZ101" s="161">
        <f t="shared" si="74"/>
        <v>0</v>
      </c>
      <c r="DA101" s="161">
        <f t="shared" si="75"/>
        <v>0</v>
      </c>
      <c r="DB101" s="161">
        <f t="shared" si="76"/>
        <v>0</v>
      </c>
      <c r="DC101" s="161">
        <f t="shared" si="77"/>
        <v>0</v>
      </c>
      <c r="DD101" s="161" t="str">
        <f t="shared" si="92"/>
        <v/>
      </c>
    </row>
    <row r="102" spans="1:108" ht="18.75">
      <c r="A102" s="14">
        <v>43</v>
      </c>
      <c r="B102" s="388"/>
      <c r="C102" s="391"/>
      <c r="D102" s="383"/>
      <c r="E102" s="384"/>
      <c r="F102" s="384"/>
      <c r="G102" s="385"/>
      <c r="H102" s="384"/>
      <c r="I102" s="384"/>
      <c r="J102" s="384"/>
      <c r="K102" s="387"/>
      <c r="L102" s="690"/>
      <c r="M102" s="32"/>
      <c r="N102" s="32"/>
      <c r="O102" s="32"/>
      <c r="AC102" t="str">
        <f t="shared" si="24"/>
        <v/>
      </c>
      <c r="AD102">
        <f t="shared" si="25"/>
        <v>1</v>
      </c>
      <c r="AE102" t="str">
        <f>IF(AND(AQ102=""),"",IF(AQ102=0,"",1+(MAX(AE$60:AE101))))</f>
        <v/>
      </c>
      <c r="AF102" s="85">
        <v>43</v>
      </c>
      <c r="AG102" s="157">
        <f t="shared" si="26"/>
        <v>0</v>
      </c>
      <c r="AH102" s="161">
        <f t="shared" si="27"/>
        <v>0</v>
      </c>
      <c r="AI102" s="161">
        <f t="shared" si="28"/>
        <v>0</v>
      </c>
      <c r="AJ102" s="161">
        <f t="shared" si="29"/>
        <v>0</v>
      </c>
      <c r="AK102" s="161">
        <f t="shared" si="30"/>
        <v>0</v>
      </c>
      <c r="AL102" s="161">
        <f t="shared" si="31"/>
        <v>0</v>
      </c>
      <c r="AM102" s="161">
        <f t="shared" si="32"/>
        <v>0</v>
      </c>
      <c r="AN102" s="161">
        <f t="shared" si="33"/>
        <v>0</v>
      </c>
      <c r="AO102" s="161">
        <f t="shared" si="34"/>
        <v>0</v>
      </c>
      <c r="AP102" s="161">
        <f t="shared" si="35"/>
        <v>0</v>
      </c>
      <c r="AQ102" s="161" t="str">
        <f t="shared" si="87"/>
        <v/>
      </c>
      <c r="AR102" t="str">
        <f>IF(AND(BD102=""),"",IF(BD102=0,"",1+(MAX(AR$60:AR101))))</f>
        <v/>
      </c>
      <c r="AS102" s="160">
        <v>43</v>
      </c>
      <c r="AT102" s="157">
        <f t="shared" si="78"/>
        <v>0</v>
      </c>
      <c r="AU102" s="158">
        <f t="shared" si="79"/>
        <v>0</v>
      </c>
      <c r="AV102" s="158">
        <f t="shared" si="80"/>
        <v>0</v>
      </c>
      <c r="AW102" s="158">
        <f t="shared" si="81"/>
        <v>0</v>
      </c>
      <c r="AX102" s="158">
        <f t="shared" si="82"/>
        <v>0</v>
      </c>
      <c r="AY102" s="158">
        <f t="shared" si="83"/>
        <v>0</v>
      </c>
      <c r="AZ102" s="158">
        <f t="shared" si="84"/>
        <v>0</v>
      </c>
      <c r="BA102" s="158">
        <f t="shared" si="85"/>
        <v>0</v>
      </c>
      <c r="BB102" s="158">
        <f t="shared" si="86"/>
        <v>0</v>
      </c>
      <c r="BC102" s="158">
        <f t="shared" si="37"/>
        <v>0</v>
      </c>
      <c r="BD102" s="161" t="str">
        <f t="shared" si="88"/>
        <v/>
      </c>
      <c r="BE102" t="str">
        <f>IF(AND(BQ102=""),"",IF(BQ102=0,"",1+(MAX(BE$60:BE101))))</f>
        <v/>
      </c>
      <c r="BF102" s="85">
        <v>43</v>
      </c>
      <c r="BG102" s="157">
        <f t="shared" si="93"/>
        <v>0</v>
      </c>
      <c r="BH102" s="161">
        <f t="shared" si="94"/>
        <v>0</v>
      </c>
      <c r="BI102" s="161">
        <f t="shared" si="95"/>
        <v>0</v>
      </c>
      <c r="BJ102" s="161">
        <f t="shared" si="96"/>
        <v>0</v>
      </c>
      <c r="BK102" s="161">
        <f t="shared" si="97"/>
        <v>0</v>
      </c>
      <c r="BL102" s="161">
        <f t="shared" si="98"/>
        <v>0</v>
      </c>
      <c r="BM102" s="161">
        <f t="shared" si="99"/>
        <v>0</v>
      </c>
      <c r="BN102" s="161">
        <f t="shared" si="100"/>
        <v>0</v>
      </c>
      <c r="BO102" s="161">
        <f t="shared" si="101"/>
        <v>0</v>
      </c>
      <c r="BP102" s="161">
        <f t="shared" si="47"/>
        <v>0</v>
      </c>
      <c r="BQ102" s="161" t="str">
        <f t="shared" si="89"/>
        <v/>
      </c>
      <c r="BR102" t="str">
        <f>IF(AND(CD102=""),"",IF(CD102=0,"",1+(MAX(BR$60:BR101))))</f>
        <v/>
      </c>
      <c r="BS102" s="160">
        <v>43</v>
      </c>
      <c r="BT102" s="157">
        <f t="shared" si="102"/>
        <v>0</v>
      </c>
      <c r="BU102" s="161">
        <f t="shared" si="103"/>
        <v>0</v>
      </c>
      <c r="BV102" s="161">
        <f t="shared" si="104"/>
        <v>0</v>
      </c>
      <c r="BW102" s="161">
        <f t="shared" si="105"/>
        <v>0</v>
      </c>
      <c r="BX102" s="161">
        <f t="shared" si="106"/>
        <v>0</v>
      </c>
      <c r="BY102" s="161">
        <f t="shared" si="107"/>
        <v>0</v>
      </c>
      <c r="BZ102" s="161">
        <f t="shared" si="108"/>
        <v>0</v>
      </c>
      <c r="CA102" s="161">
        <f t="shared" si="109"/>
        <v>0</v>
      </c>
      <c r="CB102" s="161">
        <f t="shared" si="110"/>
        <v>0</v>
      </c>
      <c r="CC102" s="161">
        <f t="shared" si="57"/>
        <v>0</v>
      </c>
      <c r="CD102" s="161" t="str">
        <f t="shared" si="90"/>
        <v/>
      </c>
      <c r="CE102" t="str">
        <f>IF(AND(CQ102=""),"",IF(CQ102=0,"",1+(MAX(CE$60:CE101))))</f>
        <v/>
      </c>
      <c r="CF102" s="85">
        <v>43</v>
      </c>
      <c r="CG102" s="157">
        <f t="shared" si="58"/>
        <v>0</v>
      </c>
      <c r="CH102" s="161">
        <f t="shared" si="59"/>
        <v>0</v>
      </c>
      <c r="CI102" s="161">
        <f t="shared" si="60"/>
        <v>0</v>
      </c>
      <c r="CJ102" s="161">
        <f t="shared" si="61"/>
        <v>0</v>
      </c>
      <c r="CK102" s="161">
        <f t="shared" si="62"/>
        <v>0</v>
      </c>
      <c r="CL102" s="161">
        <f t="shared" si="63"/>
        <v>0</v>
      </c>
      <c r="CM102" s="161">
        <f t="shared" si="64"/>
        <v>0</v>
      </c>
      <c r="CN102" s="161">
        <f t="shared" si="65"/>
        <v>0</v>
      </c>
      <c r="CO102" s="161">
        <f t="shared" si="66"/>
        <v>0</v>
      </c>
      <c r="CP102" s="161">
        <f t="shared" si="67"/>
        <v>0</v>
      </c>
      <c r="CQ102" s="161" t="str">
        <f t="shared" si="91"/>
        <v/>
      </c>
      <c r="CR102" t="str">
        <f>IF(AND(DD102=""),"",IF(DD102=0,"",1+(MAX(CR$60:CR101))))</f>
        <v/>
      </c>
      <c r="CS102" s="85">
        <v>43</v>
      </c>
      <c r="CT102" s="157">
        <f t="shared" si="68"/>
        <v>0</v>
      </c>
      <c r="CU102" s="161">
        <f t="shared" si="69"/>
        <v>0</v>
      </c>
      <c r="CV102" s="161">
        <f t="shared" si="70"/>
        <v>0</v>
      </c>
      <c r="CW102" s="161">
        <f t="shared" si="71"/>
        <v>0</v>
      </c>
      <c r="CX102" s="161">
        <f t="shared" si="72"/>
        <v>0</v>
      </c>
      <c r="CY102" s="161">
        <f t="shared" si="73"/>
        <v>0</v>
      </c>
      <c r="CZ102" s="161">
        <f t="shared" si="74"/>
        <v>0</v>
      </c>
      <c r="DA102" s="161">
        <f t="shared" si="75"/>
        <v>0</v>
      </c>
      <c r="DB102" s="161">
        <f t="shared" si="76"/>
        <v>0</v>
      </c>
      <c r="DC102" s="161">
        <f t="shared" si="77"/>
        <v>0</v>
      </c>
      <c r="DD102" s="161" t="str">
        <f t="shared" si="92"/>
        <v/>
      </c>
    </row>
    <row r="103" spans="1:108" ht="18.75">
      <c r="A103" s="14">
        <v>44</v>
      </c>
      <c r="B103" s="388"/>
      <c r="C103" s="391"/>
      <c r="D103" s="383"/>
      <c r="E103" s="384"/>
      <c r="F103" s="384"/>
      <c r="G103" s="385"/>
      <c r="H103" s="384"/>
      <c r="I103" s="384"/>
      <c r="J103" s="384"/>
      <c r="K103" s="387"/>
      <c r="L103" s="690"/>
      <c r="M103" s="32"/>
      <c r="N103" s="32"/>
      <c r="O103" s="32"/>
      <c r="AC103" t="str">
        <f t="shared" si="24"/>
        <v/>
      </c>
      <c r="AD103">
        <f t="shared" si="25"/>
        <v>1</v>
      </c>
      <c r="AE103" t="str">
        <f>IF(AND(AQ103=""),"",IF(AQ103=0,"",1+(MAX(AE$60:AE102))))</f>
        <v/>
      </c>
      <c r="AF103" s="85">
        <v>44</v>
      </c>
      <c r="AG103" s="157">
        <f t="shared" si="26"/>
        <v>0</v>
      </c>
      <c r="AH103" s="161">
        <f t="shared" si="27"/>
        <v>0</v>
      </c>
      <c r="AI103" s="161">
        <f t="shared" si="28"/>
        <v>0</v>
      </c>
      <c r="AJ103" s="161">
        <f t="shared" si="29"/>
        <v>0</v>
      </c>
      <c r="AK103" s="161">
        <f t="shared" si="30"/>
        <v>0</v>
      </c>
      <c r="AL103" s="161">
        <f t="shared" si="31"/>
        <v>0</v>
      </c>
      <c r="AM103" s="161">
        <f t="shared" si="32"/>
        <v>0</v>
      </c>
      <c r="AN103" s="161">
        <f t="shared" si="33"/>
        <v>0</v>
      </c>
      <c r="AO103" s="161">
        <f t="shared" si="34"/>
        <v>0</v>
      </c>
      <c r="AP103" s="161">
        <f t="shared" si="35"/>
        <v>0</v>
      </c>
      <c r="AQ103" s="161" t="str">
        <f t="shared" si="87"/>
        <v/>
      </c>
      <c r="AR103" t="str">
        <f>IF(AND(BD103=""),"",IF(BD103=0,"",1+(MAX(AR$60:AR102))))</f>
        <v/>
      </c>
      <c r="AS103" s="160">
        <v>44</v>
      </c>
      <c r="AT103" s="157">
        <f t="shared" si="78"/>
        <v>0</v>
      </c>
      <c r="AU103" s="158">
        <f t="shared" si="79"/>
        <v>0</v>
      </c>
      <c r="AV103" s="158">
        <f t="shared" si="80"/>
        <v>0</v>
      </c>
      <c r="AW103" s="158">
        <f t="shared" si="81"/>
        <v>0</v>
      </c>
      <c r="AX103" s="158">
        <f t="shared" si="82"/>
        <v>0</v>
      </c>
      <c r="AY103" s="158">
        <f t="shared" si="83"/>
        <v>0</v>
      </c>
      <c r="AZ103" s="158">
        <f t="shared" si="84"/>
        <v>0</v>
      </c>
      <c r="BA103" s="158">
        <f t="shared" si="85"/>
        <v>0</v>
      </c>
      <c r="BB103" s="158">
        <f t="shared" si="86"/>
        <v>0</v>
      </c>
      <c r="BC103" s="158">
        <f t="shared" si="37"/>
        <v>0</v>
      </c>
      <c r="BD103" s="161" t="str">
        <f t="shared" si="88"/>
        <v/>
      </c>
      <c r="BE103" t="str">
        <f>IF(AND(BQ103=""),"",IF(BQ103=0,"",1+(MAX(BE$60:BE102))))</f>
        <v/>
      </c>
      <c r="BF103" s="85">
        <v>44</v>
      </c>
      <c r="BG103" s="157">
        <f t="shared" si="93"/>
        <v>0</v>
      </c>
      <c r="BH103" s="161">
        <f t="shared" si="94"/>
        <v>0</v>
      </c>
      <c r="BI103" s="161">
        <f t="shared" si="95"/>
        <v>0</v>
      </c>
      <c r="BJ103" s="161">
        <f t="shared" si="96"/>
        <v>0</v>
      </c>
      <c r="BK103" s="161">
        <f t="shared" si="97"/>
        <v>0</v>
      </c>
      <c r="BL103" s="161">
        <f t="shared" si="98"/>
        <v>0</v>
      </c>
      <c r="BM103" s="161">
        <f t="shared" si="99"/>
        <v>0</v>
      </c>
      <c r="BN103" s="161">
        <f t="shared" si="100"/>
        <v>0</v>
      </c>
      <c r="BO103" s="161">
        <f t="shared" si="101"/>
        <v>0</v>
      </c>
      <c r="BP103" s="161">
        <f t="shared" si="47"/>
        <v>0</v>
      </c>
      <c r="BQ103" s="161" t="str">
        <f t="shared" si="89"/>
        <v/>
      </c>
      <c r="BR103" t="str">
        <f>IF(AND(CD103=""),"",IF(CD103=0,"",1+(MAX(BR$60:BR102))))</f>
        <v/>
      </c>
      <c r="BS103" s="160">
        <v>44</v>
      </c>
      <c r="BT103" s="157">
        <f t="shared" si="102"/>
        <v>0</v>
      </c>
      <c r="BU103" s="161">
        <f t="shared" si="103"/>
        <v>0</v>
      </c>
      <c r="BV103" s="161">
        <f t="shared" si="104"/>
        <v>0</v>
      </c>
      <c r="BW103" s="161">
        <f t="shared" si="105"/>
        <v>0</v>
      </c>
      <c r="BX103" s="161">
        <f t="shared" si="106"/>
        <v>0</v>
      </c>
      <c r="BY103" s="161">
        <f t="shared" si="107"/>
        <v>0</v>
      </c>
      <c r="BZ103" s="161">
        <f t="shared" si="108"/>
        <v>0</v>
      </c>
      <c r="CA103" s="161">
        <f t="shared" si="109"/>
        <v>0</v>
      </c>
      <c r="CB103" s="161">
        <f t="shared" si="110"/>
        <v>0</v>
      </c>
      <c r="CC103" s="161">
        <f t="shared" si="57"/>
        <v>0</v>
      </c>
      <c r="CD103" s="161" t="str">
        <f t="shared" si="90"/>
        <v/>
      </c>
      <c r="CE103" t="str">
        <f>IF(AND(CQ103=""),"",IF(CQ103=0,"",1+(MAX(CE$60:CE102))))</f>
        <v/>
      </c>
      <c r="CF103" s="85">
        <v>44</v>
      </c>
      <c r="CG103" s="157">
        <f t="shared" si="58"/>
        <v>0</v>
      </c>
      <c r="CH103" s="161">
        <f t="shared" si="59"/>
        <v>0</v>
      </c>
      <c r="CI103" s="161">
        <f t="shared" si="60"/>
        <v>0</v>
      </c>
      <c r="CJ103" s="161">
        <f t="shared" si="61"/>
        <v>0</v>
      </c>
      <c r="CK103" s="161">
        <f t="shared" si="62"/>
        <v>0</v>
      </c>
      <c r="CL103" s="161">
        <f t="shared" si="63"/>
        <v>0</v>
      </c>
      <c r="CM103" s="161">
        <f t="shared" si="64"/>
        <v>0</v>
      </c>
      <c r="CN103" s="161">
        <f t="shared" si="65"/>
        <v>0</v>
      </c>
      <c r="CO103" s="161">
        <f t="shared" si="66"/>
        <v>0</v>
      </c>
      <c r="CP103" s="161">
        <f t="shared" si="67"/>
        <v>0</v>
      </c>
      <c r="CQ103" s="161" t="str">
        <f t="shared" si="91"/>
        <v/>
      </c>
      <c r="CR103" t="str">
        <f>IF(AND(DD103=""),"",IF(DD103=0,"",1+(MAX(CR$60:CR102))))</f>
        <v/>
      </c>
      <c r="CS103" s="160">
        <v>44</v>
      </c>
      <c r="CT103" s="157">
        <f t="shared" si="68"/>
        <v>0</v>
      </c>
      <c r="CU103" s="161">
        <f t="shared" si="69"/>
        <v>0</v>
      </c>
      <c r="CV103" s="161">
        <f t="shared" si="70"/>
        <v>0</v>
      </c>
      <c r="CW103" s="161">
        <f t="shared" si="71"/>
        <v>0</v>
      </c>
      <c r="CX103" s="161">
        <f t="shared" si="72"/>
        <v>0</v>
      </c>
      <c r="CY103" s="161">
        <f t="shared" si="73"/>
        <v>0</v>
      </c>
      <c r="CZ103" s="161">
        <f t="shared" si="74"/>
        <v>0</v>
      </c>
      <c r="DA103" s="161">
        <f t="shared" si="75"/>
        <v>0</v>
      </c>
      <c r="DB103" s="161">
        <f t="shared" si="76"/>
        <v>0</v>
      </c>
      <c r="DC103" s="161">
        <f t="shared" si="77"/>
        <v>0</v>
      </c>
      <c r="DD103" s="161" t="str">
        <f t="shared" si="92"/>
        <v/>
      </c>
    </row>
    <row r="104" spans="1:108" ht="18.75">
      <c r="A104" s="14">
        <v>45</v>
      </c>
      <c r="B104" s="388"/>
      <c r="C104" s="391"/>
      <c r="D104" s="383"/>
      <c r="E104" s="384"/>
      <c r="F104" s="384"/>
      <c r="G104" s="385"/>
      <c r="H104" s="384"/>
      <c r="I104" s="384"/>
      <c r="J104" s="384"/>
      <c r="K104" s="387"/>
      <c r="L104" s="690"/>
      <c r="M104" s="32"/>
      <c r="N104" s="32"/>
      <c r="O104" s="32"/>
      <c r="AC104" t="str">
        <f t="shared" si="24"/>
        <v/>
      </c>
      <c r="AD104">
        <f t="shared" si="25"/>
        <v>1</v>
      </c>
      <c r="AE104" t="str">
        <f>IF(AND(AQ104=""),"",IF(AQ104=0,"",1+(MAX(AE$60:AE103))))</f>
        <v/>
      </c>
      <c r="AF104" s="85">
        <v>45</v>
      </c>
      <c r="AG104" s="157">
        <f t="shared" si="26"/>
        <v>0</v>
      </c>
      <c r="AH104" s="161">
        <f t="shared" si="27"/>
        <v>0</v>
      </c>
      <c r="AI104" s="161">
        <f t="shared" si="28"/>
        <v>0</v>
      </c>
      <c r="AJ104" s="161">
        <f t="shared" si="29"/>
        <v>0</v>
      </c>
      <c r="AK104" s="161">
        <f t="shared" si="30"/>
        <v>0</v>
      </c>
      <c r="AL104" s="161">
        <f t="shared" si="31"/>
        <v>0</v>
      </c>
      <c r="AM104" s="161">
        <f t="shared" si="32"/>
        <v>0</v>
      </c>
      <c r="AN104" s="161">
        <f t="shared" si="33"/>
        <v>0</v>
      </c>
      <c r="AO104" s="161">
        <f t="shared" si="34"/>
        <v>0</v>
      </c>
      <c r="AP104" s="161">
        <f t="shared" si="35"/>
        <v>0</v>
      </c>
      <c r="AQ104" s="161" t="str">
        <f t="shared" si="87"/>
        <v/>
      </c>
      <c r="AR104" t="str">
        <f>IF(AND(BD104=""),"",IF(BD104=0,"",1+(MAX(AR$60:AR103))))</f>
        <v/>
      </c>
      <c r="AS104" s="160">
        <v>45</v>
      </c>
      <c r="AT104" s="157">
        <f t="shared" si="78"/>
        <v>0</v>
      </c>
      <c r="AU104" s="158">
        <f t="shared" si="79"/>
        <v>0</v>
      </c>
      <c r="AV104" s="158">
        <f t="shared" si="80"/>
        <v>0</v>
      </c>
      <c r="AW104" s="158">
        <f t="shared" si="81"/>
        <v>0</v>
      </c>
      <c r="AX104" s="158">
        <f t="shared" si="82"/>
        <v>0</v>
      </c>
      <c r="AY104" s="158">
        <f t="shared" si="83"/>
        <v>0</v>
      </c>
      <c r="AZ104" s="158">
        <f t="shared" si="84"/>
        <v>0</v>
      </c>
      <c r="BA104" s="158">
        <f t="shared" si="85"/>
        <v>0</v>
      </c>
      <c r="BB104" s="158">
        <f t="shared" si="86"/>
        <v>0</v>
      </c>
      <c r="BC104" s="158">
        <f t="shared" si="37"/>
        <v>0</v>
      </c>
      <c r="BD104" s="161" t="str">
        <f t="shared" si="88"/>
        <v/>
      </c>
      <c r="BE104" t="str">
        <f>IF(AND(BQ104=""),"",IF(BQ104=0,"",1+(MAX(BE$60:BE103))))</f>
        <v/>
      </c>
      <c r="BF104" s="85">
        <v>45</v>
      </c>
      <c r="BG104" s="157">
        <f t="shared" si="93"/>
        <v>0</v>
      </c>
      <c r="BH104" s="161">
        <f t="shared" si="94"/>
        <v>0</v>
      </c>
      <c r="BI104" s="161">
        <f t="shared" si="95"/>
        <v>0</v>
      </c>
      <c r="BJ104" s="161">
        <f t="shared" si="96"/>
        <v>0</v>
      </c>
      <c r="BK104" s="161">
        <f t="shared" si="97"/>
        <v>0</v>
      </c>
      <c r="BL104" s="161">
        <f t="shared" si="98"/>
        <v>0</v>
      </c>
      <c r="BM104" s="161">
        <f t="shared" si="99"/>
        <v>0</v>
      </c>
      <c r="BN104" s="161">
        <f t="shared" si="100"/>
        <v>0</v>
      </c>
      <c r="BO104" s="161">
        <f t="shared" si="101"/>
        <v>0</v>
      </c>
      <c r="BP104" s="161">
        <f t="shared" si="47"/>
        <v>0</v>
      </c>
      <c r="BQ104" s="161" t="str">
        <f t="shared" si="89"/>
        <v/>
      </c>
      <c r="BR104" t="str">
        <f>IF(AND(CD104=""),"",IF(CD104=0,"",1+(MAX(BR$60:BR103))))</f>
        <v/>
      </c>
      <c r="BS104" s="160">
        <v>45</v>
      </c>
      <c r="BT104" s="157">
        <f t="shared" si="102"/>
        <v>0</v>
      </c>
      <c r="BU104" s="161">
        <f t="shared" si="103"/>
        <v>0</v>
      </c>
      <c r="BV104" s="161">
        <f t="shared" si="104"/>
        <v>0</v>
      </c>
      <c r="BW104" s="161">
        <f t="shared" si="105"/>
        <v>0</v>
      </c>
      <c r="BX104" s="161">
        <f t="shared" si="106"/>
        <v>0</v>
      </c>
      <c r="BY104" s="161">
        <f t="shared" si="107"/>
        <v>0</v>
      </c>
      <c r="BZ104" s="161">
        <f t="shared" si="108"/>
        <v>0</v>
      </c>
      <c r="CA104" s="161">
        <f t="shared" si="109"/>
        <v>0</v>
      </c>
      <c r="CB104" s="161">
        <f t="shared" si="110"/>
        <v>0</v>
      </c>
      <c r="CC104" s="161">
        <f t="shared" si="57"/>
        <v>0</v>
      </c>
      <c r="CD104" s="161" t="str">
        <f t="shared" si="90"/>
        <v/>
      </c>
      <c r="CE104" t="str">
        <f>IF(AND(CQ104=""),"",IF(CQ104=0,"",1+(MAX(CE$60:CE103))))</f>
        <v/>
      </c>
      <c r="CF104" s="85">
        <v>45</v>
      </c>
      <c r="CG104" s="157">
        <f t="shared" si="58"/>
        <v>0</v>
      </c>
      <c r="CH104" s="161">
        <f t="shared" si="59"/>
        <v>0</v>
      </c>
      <c r="CI104" s="161">
        <f t="shared" si="60"/>
        <v>0</v>
      </c>
      <c r="CJ104" s="161">
        <f t="shared" si="61"/>
        <v>0</v>
      </c>
      <c r="CK104" s="161">
        <f t="shared" si="62"/>
        <v>0</v>
      </c>
      <c r="CL104" s="161">
        <f t="shared" si="63"/>
        <v>0</v>
      </c>
      <c r="CM104" s="161">
        <f t="shared" si="64"/>
        <v>0</v>
      </c>
      <c r="CN104" s="161">
        <f t="shared" si="65"/>
        <v>0</v>
      </c>
      <c r="CO104" s="161">
        <f t="shared" si="66"/>
        <v>0</v>
      </c>
      <c r="CP104" s="161">
        <f t="shared" si="67"/>
        <v>0</v>
      </c>
      <c r="CQ104" s="161" t="str">
        <f t="shared" si="91"/>
        <v/>
      </c>
      <c r="CR104" t="str">
        <f>IF(AND(DD104=""),"",IF(DD104=0,"",1+(MAX(CR$60:CR103))))</f>
        <v/>
      </c>
      <c r="CS104" s="85">
        <v>45</v>
      </c>
      <c r="CT104" s="157">
        <f t="shared" si="68"/>
        <v>0</v>
      </c>
      <c r="CU104" s="161">
        <f t="shared" si="69"/>
        <v>0</v>
      </c>
      <c r="CV104" s="161">
        <f t="shared" si="70"/>
        <v>0</v>
      </c>
      <c r="CW104" s="161">
        <f t="shared" si="71"/>
        <v>0</v>
      </c>
      <c r="CX104" s="161">
        <f t="shared" si="72"/>
        <v>0</v>
      </c>
      <c r="CY104" s="161">
        <f t="shared" si="73"/>
        <v>0</v>
      </c>
      <c r="CZ104" s="161">
        <f t="shared" si="74"/>
        <v>0</v>
      </c>
      <c r="DA104" s="161">
        <f t="shared" si="75"/>
        <v>0</v>
      </c>
      <c r="DB104" s="161">
        <f t="shared" si="76"/>
        <v>0</v>
      </c>
      <c r="DC104" s="161">
        <f t="shared" si="77"/>
        <v>0</v>
      </c>
      <c r="DD104" s="161" t="str">
        <f t="shared" si="92"/>
        <v/>
      </c>
    </row>
    <row r="105" spans="1:108" ht="18.75">
      <c r="A105" s="14">
        <v>46</v>
      </c>
      <c r="B105" s="388"/>
      <c r="C105" s="391"/>
      <c r="D105" s="383"/>
      <c r="E105" s="384"/>
      <c r="F105" s="384"/>
      <c r="G105" s="385"/>
      <c r="H105" s="384"/>
      <c r="I105" s="384"/>
      <c r="J105" s="384"/>
      <c r="K105" s="387"/>
      <c r="L105" s="690"/>
      <c r="M105" s="32"/>
      <c r="N105" s="32"/>
      <c r="O105" s="32"/>
      <c r="AC105" t="str">
        <f t="shared" si="24"/>
        <v/>
      </c>
      <c r="AD105">
        <f t="shared" si="25"/>
        <v>1</v>
      </c>
      <c r="AE105" t="str">
        <f>IF(AND(AQ105=""),"",IF(AQ105=0,"",1+(MAX(AE$60:AE104))))</f>
        <v/>
      </c>
      <c r="AF105" s="85">
        <v>46</v>
      </c>
      <c r="AG105" s="157">
        <f t="shared" si="26"/>
        <v>0</v>
      </c>
      <c r="AH105" s="161">
        <f t="shared" si="27"/>
        <v>0</v>
      </c>
      <c r="AI105" s="161">
        <f t="shared" si="28"/>
        <v>0</v>
      </c>
      <c r="AJ105" s="161">
        <f t="shared" si="29"/>
        <v>0</v>
      </c>
      <c r="AK105" s="161">
        <f t="shared" si="30"/>
        <v>0</v>
      </c>
      <c r="AL105" s="161">
        <f t="shared" si="31"/>
        <v>0</v>
      </c>
      <c r="AM105" s="161">
        <f t="shared" si="32"/>
        <v>0</v>
      </c>
      <c r="AN105" s="161">
        <f t="shared" si="33"/>
        <v>0</v>
      </c>
      <c r="AO105" s="161">
        <f t="shared" si="34"/>
        <v>0</v>
      </c>
      <c r="AP105" s="161">
        <f t="shared" si="35"/>
        <v>0</v>
      </c>
      <c r="AQ105" s="161" t="str">
        <f t="shared" si="87"/>
        <v/>
      </c>
      <c r="AR105" t="str">
        <f>IF(AND(BD105=""),"",IF(BD105=0,"",1+(MAX(AR$60:AR104))))</f>
        <v/>
      </c>
      <c r="AS105" s="160">
        <v>46</v>
      </c>
      <c r="AT105" s="157">
        <f t="shared" si="78"/>
        <v>0</v>
      </c>
      <c r="AU105" s="158">
        <f t="shared" si="79"/>
        <v>0</v>
      </c>
      <c r="AV105" s="158">
        <f t="shared" si="80"/>
        <v>0</v>
      </c>
      <c r="AW105" s="158">
        <f t="shared" si="81"/>
        <v>0</v>
      </c>
      <c r="AX105" s="158">
        <f t="shared" si="82"/>
        <v>0</v>
      </c>
      <c r="AY105" s="158">
        <f t="shared" si="83"/>
        <v>0</v>
      </c>
      <c r="AZ105" s="158">
        <f t="shared" si="84"/>
        <v>0</v>
      </c>
      <c r="BA105" s="158">
        <f t="shared" si="85"/>
        <v>0</v>
      </c>
      <c r="BB105" s="158">
        <f t="shared" si="86"/>
        <v>0</v>
      </c>
      <c r="BC105" s="158">
        <f t="shared" si="37"/>
        <v>0</v>
      </c>
      <c r="BD105" s="161" t="str">
        <f t="shared" si="88"/>
        <v/>
      </c>
      <c r="BE105" t="str">
        <f>IF(AND(BQ105=""),"",IF(BQ105=0,"",1+(MAX(BE$60:BE104))))</f>
        <v/>
      </c>
      <c r="BF105" s="85">
        <v>46</v>
      </c>
      <c r="BG105" s="157">
        <f t="shared" si="93"/>
        <v>0</v>
      </c>
      <c r="BH105" s="161">
        <f t="shared" si="94"/>
        <v>0</v>
      </c>
      <c r="BI105" s="161">
        <f t="shared" si="95"/>
        <v>0</v>
      </c>
      <c r="BJ105" s="161">
        <f t="shared" si="96"/>
        <v>0</v>
      </c>
      <c r="BK105" s="161">
        <f t="shared" si="97"/>
        <v>0</v>
      </c>
      <c r="BL105" s="161">
        <f t="shared" si="98"/>
        <v>0</v>
      </c>
      <c r="BM105" s="161">
        <f t="shared" si="99"/>
        <v>0</v>
      </c>
      <c r="BN105" s="161">
        <f t="shared" si="100"/>
        <v>0</v>
      </c>
      <c r="BO105" s="161">
        <f t="shared" si="101"/>
        <v>0</v>
      </c>
      <c r="BP105" s="161">
        <f t="shared" si="47"/>
        <v>0</v>
      </c>
      <c r="BQ105" s="161" t="str">
        <f t="shared" si="89"/>
        <v/>
      </c>
      <c r="BR105" t="str">
        <f>IF(AND(CD105=""),"",IF(CD105=0,"",1+(MAX(BR$60:BR104))))</f>
        <v/>
      </c>
      <c r="BS105" s="160">
        <v>46</v>
      </c>
      <c r="BT105" s="157">
        <f t="shared" si="102"/>
        <v>0</v>
      </c>
      <c r="BU105" s="161">
        <f t="shared" si="103"/>
        <v>0</v>
      </c>
      <c r="BV105" s="161">
        <f t="shared" si="104"/>
        <v>0</v>
      </c>
      <c r="BW105" s="161">
        <f t="shared" si="105"/>
        <v>0</v>
      </c>
      <c r="BX105" s="161">
        <f t="shared" si="106"/>
        <v>0</v>
      </c>
      <c r="BY105" s="161">
        <f t="shared" si="107"/>
        <v>0</v>
      </c>
      <c r="BZ105" s="161">
        <f t="shared" si="108"/>
        <v>0</v>
      </c>
      <c r="CA105" s="161">
        <f t="shared" si="109"/>
        <v>0</v>
      </c>
      <c r="CB105" s="161">
        <f t="shared" si="110"/>
        <v>0</v>
      </c>
      <c r="CC105" s="161">
        <f t="shared" si="57"/>
        <v>0</v>
      </c>
      <c r="CD105" s="161" t="str">
        <f t="shared" si="90"/>
        <v/>
      </c>
      <c r="CE105" t="str">
        <f>IF(AND(CQ105=""),"",IF(CQ105=0,"",1+(MAX(CE$60:CE104))))</f>
        <v/>
      </c>
      <c r="CF105" s="85">
        <v>46</v>
      </c>
      <c r="CG105" s="157">
        <f t="shared" si="58"/>
        <v>0</v>
      </c>
      <c r="CH105" s="161">
        <f t="shared" si="59"/>
        <v>0</v>
      </c>
      <c r="CI105" s="161">
        <f t="shared" si="60"/>
        <v>0</v>
      </c>
      <c r="CJ105" s="161">
        <f t="shared" si="61"/>
        <v>0</v>
      </c>
      <c r="CK105" s="161">
        <f t="shared" si="62"/>
        <v>0</v>
      </c>
      <c r="CL105" s="161">
        <f t="shared" si="63"/>
        <v>0</v>
      </c>
      <c r="CM105" s="161">
        <f t="shared" si="64"/>
        <v>0</v>
      </c>
      <c r="CN105" s="161">
        <f t="shared" si="65"/>
        <v>0</v>
      </c>
      <c r="CO105" s="161">
        <f t="shared" si="66"/>
        <v>0</v>
      </c>
      <c r="CP105" s="161">
        <f t="shared" si="67"/>
        <v>0</v>
      </c>
      <c r="CQ105" s="161" t="str">
        <f t="shared" si="91"/>
        <v/>
      </c>
      <c r="CR105" t="str">
        <f>IF(AND(DD105=""),"",IF(DD105=0,"",1+(MAX(CR$60:CR104))))</f>
        <v/>
      </c>
      <c r="CS105" s="160">
        <v>46</v>
      </c>
      <c r="CT105" s="157">
        <f t="shared" si="68"/>
        <v>0</v>
      </c>
      <c r="CU105" s="161">
        <f t="shared" si="69"/>
        <v>0</v>
      </c>
      <c r="CV105" s="161">
        <f t="shared" si="70"/>
        <v>0</v>
      </c>
      <c r="CW105" s="161">
        <f t="shared" si="71"/>
        <v>0</v>
      </c>
      <c r="CX105" s="161">
        <f t="shared" si="72"/>
        <v>0</v>
      </c>
      <c r="CY105" s="161">
        <f t="shared" si="73"/>
        <v>0</v>
      </c>
      <c r="CZ105" s="161">
        <f t="shared" si="74"/>
        <v>0</v>
      </c>
      <c r="DA105" s="161">
        <f t="shared" si="75"/>
        <v>0</v>
      </c>
      <c r="DB105" s="161">
        <f t="shared" si="76"/>
        <v>0</v>
      </c>
      <c r="DC105" s="161">
        <f t="shared" si="77"/>
        <v>0</v>
      </c>
      <c r="DD105" s="161" t="str">
        <f t="shared" si="92"/>
        <v/>
      </c>
    </row>
    <row r="106" spans="1:108" ht="18.75">
      <c r="A106" s="14">
        <v>47</v>
      </c>
      <c r="B106" s="388"/>
      <c r="C106" s="391"/>
      <c r="D106" s="383"/>
      <c r="E106" s="384"/>
      <c r="F106" s="384"/>
      <c r="G106" s="385"/>
      <c r="H106" s="384"/>
      <c r="I106" s="384"/>
      <c r="J106" s="384"/>
      <c r="K106" s="387"/>
      <c r="L106" s="690"/>
      <c r="M106" s="32"/>
      <c r="N106" s="32"/>
      <c r="O106" s="32"/>
      <c r="AC106" t="str">
        <f t="shared" si="24"/>
        <v/>
      </c>
      <c r="AD106">
        <f t="shared" si="25"/>
        <v>1</v>
      </c>
      <c r="AE106" t="str">
        <f>IF(AND(AQ106=""),"",IF(AQ106=0,"",1+(MAX(AE$60:AE105))))</f>
        <v/>
      </c>
      <c r="AF106" s="85">
        <v>47</v>
      </c>
      <c r="AG106" s="157">
        <f t="shared" si="26"/>
        <v>0</v>
      </c>
      <c r="AH106" s="161">
        <f t="shared" si="27"/>
        <v>0</v>
      </c>
      <c r="AI106" s="161">
        <f t="shared" si="28"/>
        <v>0</v>
      </c>
      <c r="AJ106" s="161">
        <f t="shared" si="29"/>
        <v>0</v>
      </c>
      <c r="AK106" s="161">
        <f t="shared" si="30"/>
        <v>0</v>
      </c>
      <c r="AL106" s="161">
        <f t="shared" si="31"/>
        <v>0</v>
      </c>
      <c r="AM106" s="161">
        <f t="shared" si="32"/>
        <v>0</v>
      </c>
      <c r="AN106" s="161">
        <f t="shared" si="33"/>
        <v>0</v>
      </c>
      <c r="AO106" s="161">
        <f t="shared" si="34"/>
        <v>0</v>
      </c>
      <c r="AP106" s="161">
        <f t="shared" si="35"/>
        <v>0</v>
      </c>
      <c r="AQ106" s="161" t="str">
        <f t="shared" si="87"/>
        <v/>
      </c>
      <c r="AR106" t="str">
        <f>IF(AND(BD106=""),"",IF(BD106=0,"",1+(MAX(AR$60:AR105))))</f>
        <v/>
      </c>
      <c r="AS106" s="160">
        <v>47</v>
      </c>
      <c r="AT106" s="157">
        <f t="shared" si="78"/>
        <v>0</v>
      </c>
      <c r="AU106" s="158">
        <f t="shared" si="79"/>
        <v>0</v>
      </c>
      <c r="AV106" s="158">
        <f t="shared" si="80"/>
        <v>0</v>
      </c>
      <c r="AW106" s="158">
        <f t="shared" si="81"/>
        <v>0</v>
      </c>
      <c r="AX106" s="158">
        <f t="shared" si="82"/>
        <v>0</v>
      </c>
      <c r="AY106" s="158">
        <f t="shared" si="83"/>
        <v>0</v>
      </c>
      <c r="AZ106" s="158">
        <f t="shared" si="84"/>
        <v>0</v>
      </c>
      <c r="BA106" s="158">
        <f t="shared" si="85"/>
        <v>0</v>
      </c>
      <c r="BB106" s="158">
        <f t="shared" si="86"/>
        <v>0</v>
      </c>
      <c r="BC106" s="158">
        <f t="shared" si="37"/>
        <v>0</v>
      </c>
      <c r="BD106" s="161" t="str">
        <f t="shared" si="88"/>
        <v/>
      </c>
      <c r="BE106" t="str">
        <f>IF(AND(BQ106=""),"",IF(BQ106=0,"",1+(MAX(BE$60:BE105))))</f>
        <v/>
      </c>
      <c r="BF106" s="85">
        <v>47</v>
      </c>
      <c r="BG106" s="157">
        <f t="shared" si="93"/>
        <v>0</v>
      </c>
      <c r="BH106" s="161">
        <f t="shared" si="94"/>
        <v>0</v>
      </c>
      <c r="BI106" s="161">
        <f t="shared" si="95"/>
        <v>0</v>
      </c>
      <c r="BJ106" s="161">
        <f t="shared" si="96"/>
        <v>0</v>
      </c>
      <c r="BK106" s="161">
        <f t="shared" si="97"/>
        <v>0</v>
      </c>
      <c r="BL106" s="161">
        <f t="shared" si="98"/>
        <v>0</v>
      </c>
      <c r="BM106" s="161">
        <f t="shared" si="99"/>
        <v>0</v>
      </c>
      <c r="BN106" s="161">
        <f t="shared" si="100"/>
        <v>0</v>
      </c>
      <c r="BO106" s="161">
        <f t="shared" si="101"/>
        <v>0</v>
      </c>
      <c r="BP106" s="161">
        <f t="shared" si="47"/>
        <v>0</v>
      </c>
      <c r="BQ106" s="161" t="str">
        <f t="shared" si="89"/>
        <v/>
      </c>
      <c r="BR106" t="str">
        <f>IF(AND(CD106=""),"",IF(CD106=0,"",1+(MAX(BR$60:BR105))))</f>
        <v/>
      </c>
      <c r="BS106" s="160">
        <v>47</v>
      </c>
      <c r="BT106" s="157">
        <f t="shared" si="102"/>
        <v>0</v>
      </c>
      <c r="BU106" s="161">
        <f t="shared" si="103"/>
        <v>0</v>
      </c>
      <c r="BV106" s="161">
        <f t="shared" si="104"/>
        <v>0</v>
      </c>
      <c r="BW106" s="161">
        <f t="shared" si="105"/>
        <v>0</v>
      </c>
      <c r="BX106" s="161">
        <f t="shared" si="106"/>
        <v>0</v>
      </c>
      <c r="BY106" s="161">
        <f t="shared" si="107"/>
        <v>0</v>
      </c>
      <c r="BZ106" s="161">
        <f t="shared" si="108"/>
        <v>0</v>
      </c>
      <c r="CA106" s="161">
        <f t="shared" si="109"/>
        <v>0</v>
      </c>
      <c r="CB106" s="161">
        <f t="shared" si="110"/>
        <v>0</v>
      </c>
      <c r="CC106" s="161">
        <f t="shared" si="57"/>
        <v>0</v>
      </c>
      <c r="CD106" s="161" t="str">
        <f t="shared" si="90"/>
        <v/>
      </c>
      <c r="CE106" t="str">
        <f>IF(AND(CQ106=""),"",IF(CQ106=0,"",1+(MAX(CE$60:CE105))))</f>
        <v/>
      </c>
      <c r="CF106" s="85">
        <v>47</v>
      </c>
      <c r="CG106" s="157">
        <f t="shared" si="58"/>
        <v>0</v>
      </c>
      <c r="CH106" s="161">
        <f t="shared" si="59"/>
        <v>0</v>
      </c>
      <c r="CI106" s="161">
        <f t="shared" si="60"/>
        <v>0</v>
      </c>
      <c r="CJ106" s="161">
        <f t="shared" si="61"/>
        <v>0</v>
      </c>
      <c r="CK106" s="161">
        <f t="shared" si="62"/>
        <v>0</v>
      </c>
      <c r="CL106" s="161">
        <f t="shared" si="63"/>
        <v>0</v>
      </c>
      <c r="CM106" s="161">
        <f t="shared" si="64"/>
        <v>0</v>
      </c>
      <c r="CN106" s="161">
        <f t="shared" si="65"/>
        <v>0</v>
      </c>
      <c r="CO106" s="161">
        <f t="shared" si="66"/>
        <v>0</v>
      </c>
      <c r="CP106" s="161">
        <f t="shared" si="67"/>
        <v>0</v>
      </c>
      <c r="CQ106" s="161" t="str">
        <f t="shared" si="91"/>
        <v/>
      </c>
      <c r="CR106" t="str">
        <f>IF(AND(DD106=""),"",IF(DD106=0,"",1+(MAX(CR$60:CR105))))</f>
        <v/>
      </c>
      <c r="CS106" s="85">
        <v>47</v>
      </c>
      <c r="CT106" s="157">
        <f t="shared" si="68"/>
        <v>0</v>
      </c>
      <c r="CU106" s="161">
        <f t="shared" si="69"/>
        <v>0</v>
      </c>
      <c r="CV106" s="161">
        <f t="shared" si="70"/>
        <v>0</v>
      </c>
      <c r="CW106" s="161">
        <f t="shared" si="71"/>
        <v>0</v>
      </c>
      <c r="CX106" s="161">
        <f t="shared" si="72"/>
        <v>0</v>
      </c>
      <c r="CY106" s="161">
        <f t="shared" si="73"/>
        <v>0</v>
      </c>
      <c r="CZ106" s="161">
        <f t="shared" si="74"/>
        <v>0</v>
      </c>
      <c r="DA106" s="161">
        <f t="shared" si="75"/>
        <v>0</v>
      </c>
      <c r="DB106" s="161">
        <f t="shared" si="76"/>
        <v>0</v>
      </c>
      <c r="DC106" s="161">
        <f t="shared" si="77"/>
        <v>0</v>
      </c>
      <c r="DD106" s="161" t="str">
        <f t="shared" si="92"/>
        <v/>
      </c>
    </row>
    <row r="107" spans="1:108" ht="18.75">
      <c r="A107" s="14">
        <v>48</v>
      </c>
      <c r="B107" s="388"/>
      <c r="C107" s="391"/>
      <c r="D107" s="383"/>
      <c r="E107" s="384"/>
      <c r="F107" s="384"/>
      <c r="G107" s="385"/>
      <c r="H107" s="384"/>
      <c r="I107" s="384"/>
      <c r="J107" s="384"/>
      <c r="K107" s="387"/>
      <c r="L107" s="690"/>
      <c r="M107" s="32"/>
      <c r="N107" s="32"/>
      <c r="O107" s="32"/>
      <c r="AC107" t="str">
        <f t="shared" si="24"/>
        <v/>
      </c>
      <c r="AD107">
        <f t="shared" si="25"/>
        <v>1</v>
      </c>
      <c r="AE107" t="str">
        <f>IF(AND(AQ107=""),"",IF(AQ107=0,"",1+(MAX(AE$60:AE106))))</f>
        <v/>
      </c>
      <c r="AF107" s="85">
        <v>48</v>
      </c>
      <c r="AG107" s="157">
        <f t="shared" si="26"/>
        <v>0</v>
      </c>
      <c r="AH107" s="161">
        <f t="shared" si="27"/>
        <v>0</v>
      </c>
      <c r="AI107" s="161">
        <f t="shared" si="28"/>
        <v>0</v>
      </c>
      <c r="AJ107" s="161">
        <f t="shared" si="29"/>
        <v>0</v>
      </c>
      <c r="AK107" s="161">
        <f t="shared" si="30"/>
        <v>0</v>
      </c>
      <c r="AL107" s="161">
        <f t="shared" si="31"/>
        <v>0</v>
      </c>
      <c r="AM107" s="161">
        <f t="shared" si="32"/>
        <v>0</v>
      </c>
      <c r="AN107" s="161">
        <f t="shared" si="33"/>
        <v>0</v>
      </c>
      <c r="AO107" s="161">
        <f t="shared" si="34"/>
        <v>0</v>
      </c>
      <c r="AP107" s="161">
        <f t="shared" si="35"/>
        <v>0</v>
      </c>
      <c r="AQ107" s="161" t="str">
        <f t="shared" si="87"/>
        <v/>
      </c>
      <c r="AR107" t="str">
        <f>IF(AND(BD107=""),"",IF(BD107=0,"",1+(MAX(AR$60:AR106))))</f>
        <v/>
      </c>
      <c r="AS107" s="160">
        <v>48</v>
      </c>
      <c r="AT107" s="157">
        <f t="shared" si="78"/>
        <v>0</v>
      </c>
      <c r="AU107" s="158">
        <f t="shared" si="79"/>
        <v>0</v>
      </c>
      <c r="AV107" s="158">
        <f t="shared" si="80"/>
        <v>0</v>
      </c>
      <c r="AW107" s="158">
        <f t="shared" si="81"/>
        <v>0</v>
      </c>
      <c r="AX107" s="158">
        <f t="shared" si="82"/>
        <v>0</v>
      </c>
      <c r="AY107" s="158">
        <f t="shared" si="83"/>
        <v>0</v>
      </c>
      <c r="AZ107" s="158">
        <f t="shared" si="84"/>
        <v>0</v>
      </c>
      <c r="BA107" s="158">
        <f t="shared" si="85"/>
        <v>0</v>
      </c>
      <c r="BB107" s="158">
        <f t="shared" si="86"/>
        <v>0</v>
      </c>
      <c r="BC107" s="158">
        <f t="shared" si="37"/>
        <v>0</v>
      </c>
      <c r="BD107" s="161" t="str">
        <f t="shared" si="88"/>
        <v/>
      </c>
      <c r="BE107" t="str">
        <f>IF(AND(BQ107=""),"",IF(BQ107=0,"",1+(MAX(BE$60:BE106))))</f>
        <v/>
      </c>
      <c r="BF107" s="85">
        <v>48</v>
      </c>
      <c r="BG107" s="157">
        <f t="shared" si="93"/>
        <v>0</v>
      </c>
      <c r="BH107" s="161">
        <f t="shared" si="94"/>
        <v>0</v>
      </c>
      <c r="BI107" s="161">
        <f t="shared" si="95"/>
        <v>0</v>
      </c>
      <c r="BJ107" s="161">
        <f t="shared" si="96"/>
        <v>0</v>
      </c>
      <c r="BK107" s="161">
        <f t="shared" si="97"/>
        <v>0</v>
      </c>
      <c r="BL107" s="161">
        <f t="shared" si="98"/>
        <v>0</v>
      </c>
      <c r="BM107" s="161">
        <f t="shared" si="99"/>
        <v>0</v>
      </c>
      <c r="BN107" s="161">
        <f t="shared" si="100"/>
        <v>0</v>
      </c>
      <c r="BO107" s="161">
        <f t="shared" si="101"/>
        <v>0</v>
      </c>
      <c r="BP107" s="161">
        <f t="shared" si="47"/>
        <v>0</v>
      </c>
      <c r="BQ107" s="161" t="str">
        <f t="shared" si="89"/>
        <v/>
      </c>
      <c r="BR107" t="str">
        <f>IF(AND(CD107=""),"",IF(CD107=0,"",1+(MAX(BR$60:BR106))))</f>
        <v/>
      </c>
      <c r="BS107" s="160">
        <v>48</v>
      </c>
      <c r="BT107" s="157">
        <f t="shared" si="102"/>
        <v>0</v>
      </c>
      <c r="BU107" s="161">
        <f t="shared" si="103"/>
        <v>0</v>
      </c>
      <c r="BV107" s="161">
        <f t="shared" si="104"/>
        <v>0</v>
      </c>
      <c r="BW107" s="161">
        <f t="shared" si="105"/>
        <v>0</v>
      </c>
      <c r="BX107" s="161">
        <f t="shared" si="106"/>
        <v>0</v>
      </c>
      <c r="BY107" s="161">
        <f t="shared" si="107"/>
        <v>0</v>
      </c>
      <c r="BZ107" s="161">
        <f t="shared" si="108"/>
        <v>0</v>
      </c>
      <c r="CA107" s="161">
        <f t="shared" si="109"/>
        <v>0</v>
      </c>
      <c r="CB107" s="161">
        <f t="shared" si="110"/>
        <v>0</v>
      </c>
      <c r="CC107" s="161">
        <f t="shared" si="57"/>
        <v>0</v>
      </c>
      <c r="CD107" s="161" t="str">
        <f t="shared" si="90"/>
        <v/>
      </c>
      <c r="CE107" t="str">
        <f>IF(AND(CQ107=""),"",IF(CQ107=0,"",1+(MAX(CE$60:CE106))))</f>
        <v/>
      </c>
      <c r="CF107" s="85">
        <v>48</v>
      </c>
      <c r="CG107" s="157">
        <f t="shared" si="58"/>
        <v>0</v>
      </c>
      <c r="CH107" s="161">
        <f t="shared" si="59"/>
        <v>0</v>
      </c>
      <c r="CI107" s="161">
        <f t="shared" si="60"/>
        <v>0</v>
      </c>
      <c r="CJ107" s="161">
        <f t="shared" si="61"/>
        <v>0</v>
      </c>
      <c r="CK107" s="161">
        <f t="shared" si="62"/>
        <v>0</v>
      </c>
      <c r="CL107" s="161">
        <f t="shared" si="63"/>
        <v>0</v>
      </c>
      <c r="CM107" s="161">
        <f t="shared" si="64"/>
        <v>0</v>
      </c>
      <c r="CN107" s="161">
        <f t="shared" si="65"/>
        <v>0</v>
      </c>
      <c r="CO107" s="161">
        <f t="shared" si="66"/>
        <v>0</v>
      </c>
      <c r="CP107" s="161">
        <f t="shared" si="67"/>
        <v>0</v>
      </c>
      <c r="CQ107" s="161" t="str">
        <f t="shared" si="91"/>
        <v/>
      </c>
      <c r="CR107" t="str">
        <f>IF(AND(DD107=""),"",IF(DD107=0,"",1+(MAX(CR$60:CR106))))</f>
        <v/>
      </c>
      <c r="CS107" s="160">
        <v>48</v>
      </c>
      <c r="CT107" s="157">
        <f t="shared" si="68"/>
        <v>0</v>
      </c>
      <c r="CU107" s="161">
        <f t="shared" si="69"/>
        <v>0</v>
      </c>
      <c r="CV107" s="161">
        <f t="shared" si="70"/>
        <v>0</v>
      </c>
      <c r="CW107" s="161">
        <f t="shared" si="71"/>
        <v>0</v>
      </c>
      <c r="CX107" s="161">
        <f t="shared" si="72"/>
        <v>0</v>
      </c>
      <c r="CY107" s="161">
        <f t="shared" si="73"/>
        <v>0</v>
      </c>
      <c r="CZ107" s="161">
        <f t="shared" si="74"/>
        <v>0</v>
      </c>
      <c r="DA107" s="161">
        <f t="shared" si="75"/>
        <v>0</v>
      </c>
      <c r="DB107" s="161">
        <f t="shared" si="76"/>
        <v>0</v>
      </c>
      <c r="DC107" s="161">
        <f t="shared" si="77"/>
        <v>0</v>
      </c>
      <c r="DD107" s="161" t="str">
        <f t="shared" si="92"/>
        <v/>
      </c>
    </row>
    <row r="108" spans="1:108" ht="18.75">
      <c r="A108" s="14">
        <v>49</v>
      </c>
      <c r="B108" s="388"/>
      <c r="C108" s="391"/>
      <c r="D108" s="383"/>
      <c r="E108" s="384"/>
      <c r="F108" s="384"/>
      <c r="G108" s="385"/>
      <c r="H108" s="384"/>
      <c r="I108" s="384"/>
      <c r="J108" s="384"/>
      <c r="K108" s="387"/>
      <c r="L108" s="690"/>
      <c r="M108" s="32"/>
      <c r="N108" s="32"/>
      <c r="O108" s="32"/>
      <c r="AC108" t="str">
        <f t="shared" si="24"/>
        <v/>
      </c>
      <c r="AD108">
        <f t="shared" si="25"/>
        <v>1</v>
      </c>
      <c r="AE108" t="str">
        <f>IF(AND(AQ108=""),"",IF(AQ108=0,"",1+(MAX(AE$60:AE107))))</f>
        <v/>
      </c>
      <c r="AF108" s="85">
        <v>49</v>
      </c>
      <c r="AG108" s="157">
        <f t="shared" si="26"/>
        <v>0</v>
      </c>
      <c r="AH108" s="161">
        <f t="shared" si="27"/>
        <v>0</v>
      </c>
      <c r="AI108" s="161">
        <f t="shared" si="28"/>
        <v>0</v>
      </c>
      <c r="AJ108" s="161">
        <f t="shared" si="29"/>
        <v>0</v>
      </c>
      <c r="AK108" s="161">
        <f t="shared" si="30"/>
        <v>0</v>
      </c>
      <c r="AL108" s="161">
        <f t="shared" si="31"/>
        <v>0</v>
      </c>
      <c r="AM108" s="161">
        <f t="shared" si="32"/>
        <v>0</v>
      </c>
      <c r="AN108" s="161">
        <f t="shared" si="33"/>
        <v>0</v>
      </c>
      <c r="AO108" s="161">
        <f t="shared" si="34"/>
        <v>0</v>
      </c>
      <c r="AP108" s="161">
        <f t="shared" si="35"/>
        <v>0</v>
      </c>
      <c r="AQ108" s="161" t="str">
        <f t="shared" si="87"/>
        <v/>
      </c>
      <c r="AR108" t="str">
        <f>IF(AND(BD108=""),"",IF(BD108=0,"",1+(MAX(AR$60:AR107))))</f>
        <v/>
      </c>
      <c r="AS108" s="160">
        <v>49</v>
      </c>
      <c r="AT108" s="157">
        <f t="shared" si="78"/>
        <v>0</v>
      </c>
      <c r="AU108" s="158">
        <f t="shared" si="79"/>
        <v>0</v>
      </c>
      <c r="AV108" s="158">
        <f t="shared" si="80"/>
        <v>0</v>
      </c>
      <c r="AW108" s="158">
        <f t="shared" si="81"/>
        <v>0</v>
      </c>
      <c r="AX108" s="158">
        <f t="shared" si="82"/>
        <v>0</v>
      </c>
      <c r="AY108" s="158">
        <f t="shared" si="83"/>
        <v>0</v>
      </c>
      <c r="AZ108" s="158">
        <f t="shared" si="84"/>
        <v>0</v>
      </c>
      <c r="BA108" s="158">
        <f t="shared" si="85"/>
        <v>0</v>
      </c>
      <c r="BB108" s="158">
        <f t="shared" si="86"/>
        <v>0</v>
      </c>
      <c r="BC108" s="158">
        <f t="shared" si="37"/>
        <v>0</v>
      </c>
      <c r="BD108" s="161" t="str">
        <f t="shared" si="88"/>
        <v/>
      </c>
      <c r="BE108" t="str">
        <f>IF(AND(BQ108=""),"",IF(BQ108=0,"",1+(MAX(BE$60:BE107))))</f>
        <v/>
      </c>
      <c r="BF108" s="85">
        <v>49</v>
      </c>
      <c r="BG108" s="157">
        <f t="shared" si="93"/>
        <v>0</v>
      </c>
      <c r="BH108" s="161">
        <f t="shared" si="94"/>
        <v>0</v>
      </c>
      <c r="BI108" s="161">
        <f t="shared" si="95"/>
        <v>0</v>
      </c>
      <c r="BJ108" s="161">
        <f t="shared" si="96"/>
        <v>0</v>
      </c>
      <c r="BK108" s="161">
        <f t="shared" si="97"/>
        <v>0</v>
      </c>
      <c r="BL108" s="161">
        <f t="shared" si="98"/>
        <v>0</v>
      </c>
      <c r="BM108" s="161">
        <f t="shared" si="99"/>
        <v>0</v>
      </c>
      <c r="BN108" s="161">
        <f t="shared" si="100"/>
        <v>0</v>
      </c>
      <c r="BO108" s="161">
        <f t="shared" si="101"/>
        <v>0</v>
      </c>
      <c r="BP108" s="161">
        <f t="shared" si="47"/>
        <v>0</v>
      </c>
      <c r="BQ108" s="161" t="str">
        <f t="shared" si="89"/>
        <v/>
      </c>
      <c r="BR108" t="str">
        <f>IF(AND(CD108=""),"",IF(CD108=0,"",1+(MAX(BR$60:BR107))))</f>
        <v/>
      </c>
      <c r="BS108" s="160">
        <v>49</v>
      </c>
      <c r="BT108" s="157">
        <f t="shared" si="102"/>
        <v>0</v>
      </c>
      <c r="BU108" s="161">
        <f t="shared" si="103"/>
        <v>0</v>
      </c>
      <c r="BV108" s="161">
        <f t="shared" si="104"/>
        <v>0</v>
      </c>
      <c r="BW108" s="161">
        <f t="shared" si="105"/>
        <v>0</v>
      </c>
      <c r="BX108" s="161">
        <f t="shared" si="106"/>
        <v>0</v>
      </c>
      <c r="BY108" s="161">
        <f t="shared" si="107"/>
        <v>0</v>
      </c>
      <c r="BZ108" s="161">
        <f t="shared" si="108"/>
        <v>0</v>
      </c>
      <c r="CA108" s="161">
        <f t="shared" si="109"/>
        <v>0</v>
      </c>
      <c r="CB108" s="161">
        <f t="shared" si="110"/>
        <v>0</v>
      </c>
      <c r="CC108" s="161">
        <f t="shared" si="57"/>
        <v>0</v>
      </c>
      <c r="CD108" s="161" t="str">
        <f t="shared" si="90"/>
        <v/>
      </c>
      <c r="CE108" t="str">
        <f>IF(AND(CQ108=""),"",IF(CQ108=0,"",1+(MAX(CE$60:CE107))))</f>
        <v/>
      </c>
      <c r="CF108" s="85">
        <v>49</v>
      </c>
      <c r="CG108" s="157">
        <f t="shared" si="58"/>
        <v>0</v>
      </c>
      <c r="CH108" s="161">
        <f t="shared" si="59"/>
        <v>0</v>
      </c>
      <c r="CI108" s="161">
        <f t="shared" si="60"/>
        <v>0</v>
      </c>
      <c r="CJ108" s="161">
        <f t="shared" si="61"/>
        <v>0</v>
      </c>
      <c r="CK108" s="161">
        <f t="shared" si="62"/>
        <v>0</v>
      </c>
      <c r="CL108" s="161">
        <f t="shared" si="63"/>
        <v>0</v>
      </c>
      <c r="CM108" s="161">
        <f t="shared" si="64"/>
        <v>0</v>
      </c>
      <c r="CN108" s="161">
        <f t="shared" si="65"/>
        <v>0</v>
      </c>
      <c r="CO108" s="161">
        <f t="shared" si="66"/>
        <v>0</v>
      </c>
      <c r="CP108" s="161">
        <f t="shared" si="67"/>
        <v>0</v>
      </c>
      <c r="CQ108" s="161" t="str">
        <f t="shared" si="91"/>
        <v/>
      </c>
      <c r="CR108" t="str">
        <f>IF(AND(DD108=""),"",IF(DD108=0,"",1+(MAX(CR$60:CR107))))</f>
        <v/>
      </c>
      <c r="CS108" s="85">
        <v>49</v>
      </c>
      <c r="CT108" s="157">
        <f t="shared" si="68"/>
        <v>0</v>
      </c>
      <c r="CU108" s="161">
        <f t="shared" si="69"/>
        <v>0</v>
      </c>
      <c r="CV108" s="161">
        <f t="shared" si="70"/>
        <v>0</v>
      </c>
      <c r="CW108" s="161">
        <f t="shared" si="71"/>
        <v>0</v>
      </c>
      <c r="CX108" s="161">
        <f t="shared" si="72"/>
        <v>0</v>
      </c>
      <c r="CY108" s="161">
        <f t="shared" si="73"/>
        <v>0</v>
      </c>
      <c r="CZ108" s="161">
        <f t="shared" si="74"/>
        <v>0</v>
      </c>
      <c r="DA108" s="161">
        <f t="shared" si="75"/>
        <v>0</v>
      </c>
      <c r="DB108" s="161">
        <f t="shared" si="76"/>
        <v>0</v>
      </c>
      <c r="DC108" s="161">
        <f t="shared" si="77"/>
        <v>0</v>
      </c>
      <c r="DD108" s="161" t="str">
        <f t="shared" si="92"/>
        <v/>
      </c>
    </row>
    <row r="109" spans="1:108" ht="18.75">
      <c r="A109" s="14">
        <v>50</v>
      </c>
      <c r="B109" s="388"/>
      <c r="C109" s="391"/>
      <c r="D109" s="383"/>
      <c r="E109" s="386"/>
      <c r="F109" s="384"/>
      <c r="G109" s="385"/>
      <c r="H109" s="384"/>
      <c r="I109" s="384"/>
      <c r="J109" s="384"/>
      <c r="K109" s="387"/>
      <c r="L109" s="690"/>
      <c r="M109" s="32"/>
      <c r="N109" s="32"/>
      <c r="O109" s="32"/>
      <c r="AC109" t="str">
        <f t="shared" si="24"/>
        <v/>
      </c>
      <c r="AE109" t="str">
        <f>IF(AND(AQ109=""),"",IF(AQ109=0,"",1+(MAX(AE$60:AE108))))</f>
        <v/>
      </c>
      <c r="AF109" s="85">
        <v>50</v>
      </c>
      <c r="AG109" s="157">
        <f t="shared" si="26"/>
        <v>0</v>
      </c>
      <c r="AH109" s="161">
        <f t="shared" si="27"/>
        <v>0</v>
      </c>
      <c r="AI109" s="161">
        <f t="shared" si="28"/>
        <v>0</v>
      </c>
      <c r="AJ109" s="161">
        <f t="shared" si="29"/>
        <v>0</v>
      </c>
      <c r="AK109" s="161">
        <f t="shared" si="30"/>
        <v>0</v>
      </c>
      <c r="AL109" s="161">
        <f t="shared" si="31"/>
        <v>0</v>
      </c>
      <c r="AM109" s="161">
        <f t="shared" si="32"/>
        <v>0</v>
      </c>
      <c r="AN109" s="161">
        <f t="shared" si="33"/>
        <v>0</v>
      </c>
      <c r="AO109" s="161">
        <f t="shared" si="34"/>
        <v>0</v>
      </c>
      <c r="AP109" s="161">
        <f t="shared" si="35"/>
        <v>0</v>
      </c>
      <c r="AQ109" s="161" t="str">
        <f t="shared" si="87"/>
        <v/>
      </c>
      <c r="AR109" t="str">
        <f>IF(AND(BD109=""),"",IF(BD109=0,"",1+(MAX(AR$60:AR108))))</f>
        <v/>
      </c>
      <c r="AS109" s="160">
        <v>50</v>
      </c>
      <c r="AT109" s="157">
        <f t="shared" si="78"/>
        <v>0</v>
      </c>
      <c r="AU109" s="158">
        <f t="shared" si="79"/>
        <v>0</v>
      </c>
      <c r="AV109" s="158">
        <f t="shared" si="80"/>
        <v>0</v>
      </c>
      <c r="AW109" s="158">
        <f t="shared" si="81"/>
        <v>0</v>
      </c>
      <c r="AX109" s="158">
        <f t="shared" si="82"/>
        <v>0</v>
      </c>
      <c r="AY109" s="158">
        <f t="shared" si="83"/>
        <v>0</v>
      </c>
      <c r="AZ109" s="158">
        <f t="shared" si="84"/>
        <v>0</v>
      </c>
      <c r="BA109" s="158">
        <f t="shared" si="85"/>
        <v>0</v>
      </c>
      <c r="BB109" s="158">
        <f t="shared" si="86"/>
        <v>0</v>
      </c>
      <c r="BC109" s="158">
        <f t="shared" si="37"/>
        <v>0</v>
      </c>
      <c r="BD109" s="161" t="str">
        <f t="shared" si="88"/>
        <v/>
      </c>
      <c r="BE109" t="str">
        <f>IF(AND(BQ109=""),"",IF(BQ109=0,"",1+(MAX(BE$60:BE108))))</f>
        <v/>
      </c>
      <c r="BF109" s="85">
        <v>50</v>
      </c>
      <c r="BG109" s="157">
        <f t="shared" si="93"/>
        <v>0</v>
      </c>
      <c r="BH109" s="161">
        <f t="shared" si="94"/>
        <v>0</v>
      </c>
      <c r="BI109" s="161">
        <f t="shared" si="95"/>
        <v>0</v>
      </c>
      <c r="BJ109" s="161">
        <f t="shared" si="96"/>
        <v>0</v>
      </c>
      <c r="BK109" s="161">
        <f t="shared" si="97"/>
        <v>0</v>
      </c>
      <c r="BL109" s="161">
        <f t="shared" si="98"/>
        <v>0</v>
      </c>
      <c r="BM109" s="161">
        <f t="shared" si="99"/>
        <v>0</v>
      </c>
      <c r="BN109" s="161">
        <f t="shared" si="100"/>
        <v>0</v>
      </c>
      <c r="BO109" s="161">
        <f t="shared" si="101"/>
        <v>0</v>
      </c>
      <c r="BP109" s="161">
        <f t="shared" si="47"/>
        <v>0</v>
      </c>
      <c r="BQ109" s="161" t="str">
        <f t="shared" si="89"/>
        <v/>
      </c>
      <c r="BR109" t="str">
        <f>IF(AND(CD109=""),"",IF(CD109=0,"",1+(MAX(BR$60:BR108))))</f>
        <v/>
      </c>
      <c r="BS109" s="160">
        <v>50</v>
      </c>
      <c r="BT109" s="157">
        <f t="shared" si="102"/>
        <v>0</v>
      </c>
      <c r="BU109" s="161">
        <f t="shared" si="103"/>
        <v>0</v>
      </c>
      <c r="BV109" s="161">
        <f t="shared" si="104"/>
        <v>0</v>
      </c>
      <c r="BW109" s="161">
        <f t="shared" si="105"/>
        <v>0</v>
      </c>
      <c r="BX109" s="161">
        <f t="shared" si="106"/>
        <v>0</v>
      </c>
      <c r="BY109" s="161">
        <f t="shared" si="107"/>
        <v>0</v>
      </c>
      <c r="BZ109" s="161">
        <f t="shared" si="108"/>
        <v>0</v>
      </c>
      <c r="CA109" s="161">
        <f t="shared" si="109"/>
        <v>0</v>
      </c>
      <c r="CB109" s="161">
        <f t="shared" si="110"/>
        <v>0</v>
      </c>
      <c r="CC109" s="161">
        <f t="shared" si="57"/>
        <v>0</v>
      </c>
      <c r="CD109" s="161" t="str">
        <f t="shared" si="90"/>
        <v/>
      </c>
      <c r="CE109" t="str">
        <f>IF(AND(CQ109=""),"",IF(CQ109=0,"",1+(MAX(CE$60:CE108))))</f>
        <v/>
      </c>
      <c r="CF109" s="85">
        <v>50</v>
      </c>
      <c r="CG109" s="157">
        <f t="shared" si="58"/>
        <v>0</v>
      </c>
      <c r="CH109" s="161">
        <f t="shared" si="59"/>
        <v>0</v>
      </c>
      <c r="CI109" s="161">
        <f t="shared" si="60"/>
        <v>0</v>
      </c>
      <c r="CJ109" s="161">
        <f t="shared" si="61"/>
        <v>0</v>
      </c>
      <c r="CK109" s="161">
        <f t="shared" si="62"/>
        <v>0</v>
      </c>
      <c r="CL109" s="161">
        <f t="shared" si="63"/>
        <v>0</v>
      </c>
      <c r="CM109" s="161">
        <f t="shared" si="64"/>
        <v>0</v>
      </c>
      <c r="CN109" s="161">
        <f t="shared" si="65"/>
        <v>0</v>
      </c>
      <c r="CO109" s="161">
        <f t="shared" si="66"/>
        <v>0</v>
      </c>
      <c r="CP109" s="161">
        <f t="shared" si="67"/>
        <v>0</v>
      </c>
      <c r="CQ109" s="161" t="str">
        <f t="shared" si="91"/>
        <v/>
      </c>
      <c r="CR109" t="str">
        <f>IF(AND(DD109=""),"",IF(DD109=0,"",1+(MAX(CR$60:CR108))))</f>
        <v/>
      </c>
      <c r="CS109" s="160">
        <v>50</v>
      </c>
      <c r="CT109" s="157">
        <f t="shared" si="68"/>
        <v>0</v>
      </c>
      <c r="CU109" s="161">
        <f t="shared" si="69"/>
        <v>0</v>
      </c>
      <c r="CV109" s="161">
        <f t="shared" si="70"/>
        <v>0</v>
      </c>
      <c r="CW109" s="161">
        <f t="shared" si="71"/>
        <v>0</v>
      </c>
      <c r="CX109" s="161">
        <f t="shared" si="72"/>
        <v>0</v>
      </c>
      <c r="CY109" s="161">
        <f t="shared" si="73"/>
        <v>0</v>
      </c>
      <c r="CZ109" s="161">
        <f t="shared" si="74"/>
        <v>0</v>
      </c>
      <c r="DA109" s="161">
        <f t="shared" si="75"/>
        <v>0</v>
      </c>
      <c r="DB109" s="161">
        <f t="shared" si="76"/>
        <v>0</v>
      </c>
      <c r="DC109" s="161">
        <f t="shared" si="77"/>
        <v>0</v>
      </c>
      <c r="DD109" s="161" t="str">
        <f t="shared" si="92"/>
        <v/>
      </c>
    </row>
    <row r="110" spans="1:108" ht="23.25">
      <c r="A110" s="719" t="s">
        <v>364</v>
      </c>
      <c r="B110" s="719"/>
      <c r="C110" s="719"/>
      <c r="D110" s="719"/>
      <c r="E110" s="719"/>
      <c r="F110" s="719"/>
      <c r="G110" s="719"/>
      <c r="H110" s="719"/>
      <c r="I110" s="719"/>
      <c r="J110" s="719"/>
      <c r="K110" s="719"/>
      <c r="L110" s="665"/>
      <c r="M110" s="32"/>
      <c r="N110" s="32"/>
      <c r="O110" s="32"/>
      <c r="AC110" t="str">
        <f t="shared" si="24"/>
        <v/>
      </c>
      <c r="CT110" s="157">
        <f t="shared" si="68"/>
        <v>0</v>
      </c>
      <c r="CU110" s="161">
        <f t="shared" si="69"/>
        <v>0</v>
      </c>
      <c r="CV110" s="161">
        <f t="shared" si="70"/>
        <v>0</v>
      </c>
      <c r="CW110" s="161">
        <f t="shared" si="71"/>
        <v>0</v>
      </c>
      <c r="CX110" s="161">
        <f t="shared" si="72"/>
        <v>0</v>
      </c>
      <c r="CY110" s="161">
        <f t="shared" si="73"/>
        <v>0</v>
      </c>
      <c r="CZ110" s="161">
        <f t="shared" si="74"/>
        <v>0</v>
      </c>
      <c r="DA110" s="161">
        <f t="shared" si="75"/>
        <v>0</v>
      </c>
      <c r="DB110" s="161">
        <f t="shared" si="76"/>
        <v>0</v>
      </c>
      <c r="DC110" s="161">
        <f t="shared" si="77"/>
        <v>0</v>
      </c>
      <c r="DD110" s="161" t="str">
        <f t="shared" si="92"/>
        <v/>
      </c>
    </row>
    <row r="111" spans="1:108">
      <c r="A111" s="716" t="s">
        <v>7</v>
      </c>
      <c r="B111" s="716" t="s">
        <v>46</v>
      </c>
      <c r="C111" s="716" t="s">
        <v>67</v>
      </c>
      <c r="D111" s="716" t="s">
        <v>68</v>
      </c>
      <c r="E111" s="393" t="s">
        <v>69</v>
      </c>
      <c r="F111" s="393" t="s">
        <v>70</v>
      </c>
      <c r="G111" s="393" t="s">
        <v>70</v>
      </c>
      <c r="H111" s="393" t="s">
        <v>70</v>
      </c>
      <c r="I111" s="393" t="s">
        <v>70</v>
      </c>
      <c r="J111" s="393" t="s">
        <v>70</v>
      </c>
      <c r="K111" s="717" t="s">
        <v>71</v>
      </c>
      <c r="L111" s="683"/>
      <c r="M111" s="32"/>
      <c r="N111" s="32"/>
      <c r="O111" s="32"/>
    </row>
    <row r="112" spans="1:108">
      <c r="A112" s="716"/>
      <c r="B112" s="716"/>
      <c r="C112" s="716"/>
      <c r="D112" s="716"/>
      <c r="E112" s="394">
        <v>42825</v>
      </c>
      <c r="F112" s="393" t="s">
        <v>72</v>
      </c>
      <c r="G112" s="393" t="s">
        <v>4</v>
      </c>
      <c r="H112" s="393" t="s">
        <v>547</v>
      </c>
      <c r="I112" s="393" t="s">
        <v>548</v>
      </c>
      <c r="J112" s="393" t="s">
        <v>633</v>
      </c>
      <c r="K112" s="718"/>
      <c r="L112" s="684"/>
      <c r="M112" s="32"/>
      <c r="N112" s="32"/>
      <c r="O112" s="32"/>
    </row>
    <row r="113" spans="1:15" ht="18.75">
      <c r="A113" s="30">
        <v>1</v>
      </c>
      <c r="B113" s="389" t="str">
        <f t="shared" ref="B113:C114" si="111">B60</f>
        <v>Jherh m"kk ikfy;k</v>
      </c>
      <c r="C113" s="390" t="str">
        <f t="shared" si="111"/>
        <v>PRINCIPAL</v>
      </c>
      <c r="D113" s="392" t="s">
        <v>555</v>
      </c>
      <c r="E113" s="396">
        <v>0</v>
      </c>
      <c r="F113" s="396">
        <v>0</v>
      </c>
      <c r="G113" s="396">
        <v>0</v>
      </c>
      <c r="H113" s="396">
        <v>0</v>
      </c>
      <c r="I113" s="396">
        <v>4000</v>
      </c>
      <c r="J113" s="396">
        <v>0</v>
      </c>
      <c r="K113" s="395">
        <f>SUM(E113:J113)</f>
        <v>4000</v>
      </c>
      <c r="L113" s="685"/>
      <c r="M113" s="32"/>
      <c r="N113" s="32"/>
      <c r="O113" s="32"/>
    </row>
    <row r="114" spans="1:15" ht="18.75">
      <c r="A114" s="30">
        <v>2</v>
      </c>
      <c r="B114" s="389" t="str">
        <f t="shared" si="111"/>
        <v>Jh ;ksxsUnz</v>
      </c>
      <c r="C114" s="390" t="s">
        <v>61</v>
      </c>
      <c r="D114" s="392" t="s">
        <v>555</v>
      </c>
      <c r="E114" s="396">
        <v>0</v>
      </c>
      <c r="F114" s="396">
        <v>0</v>
      </c>
      <c r="G114" s="396">
        <v>0</v>
      </c>
      <c r="H114" s="396">
        <v>0</v>
      </c>
      <c r="I114" s="396">
        <v>500</v>
      </c>
      <c r="J114" s="396">
        <v>0</v>
      </c>
      <c r="K114" s="395">
        <f t="shared" ref="K114:K152" si="112">SUM(E114:J114)</f>
        <v>500</v>
      </c>
      <c r="L114" s="685"/>
      <c r="M114" s="32"/>
      <c r="N114" s="32"/>
      <c r="O114" s="32"/>
    </row>
    <row r="115" spans="1:15" ht="18.75">
      <c r="A115" s="30">
        <v>3</v>
      </c>
      <c r="B115" s="389"/>
      <c r="C115" s="390"/>
      <c r="D115" s="392"/>
      <c r="E115" s="396"/>
      <c r="F115" s="396"/>
      <c r="G115" s="396"/>
      <c r="H115" s="396"/>
      <c r="I115" s="396"/>
      <c r="J115" s="396"/>
      <c r="K115" s="395">
        <f t="shared" si="112"/>
        <v>0</v>
      </c>
      <c r="L115" s="685"/>
      <c r="M115" s="32"/>
      <c r="N115" s="32"/>
      <c r="O115" s="32"/>
    </row>
    <row r="116" spans="1:15" ht="18.75">
      <c r="A116" s="30">
        <v>4</v>
      </c>
      <c r="B116" s="389"/>
      <c r="C116" s="390"/>
      <c r="D116" s="392"/>
      <c r="E116" s="396"/>
      <c r="F116" s="396"/>
      <c r="G116" s="396"/>
      <c r="H116" s="396"/>
      <c r="I116" s="396"/>
      <c r="J116" s="396"/>
      <c r="K116" s="395">
        <f t="shared" si="112"/>
        <v>0</v>
      </c>
      <c r="L116" s="685"/>
      <c r="M116" s="32"/>
      <c r="N116" s="32"/>
      <c r="O116" s="32"/>
    </row>
    <row r="117" spans="1:15" ht="18.75">
      <c r="A117" s="30">
        <v>5</v>
      </c>
      <c r="B117" s="389"/>
      <c r="C117" s="390"/>
      <c r="D117" s="392"/>
      <c r="E117" s="396"/>
      <c r="F117" s="396"/>
      <c r="G117" s="396"/>
      <c r="H117" s="396"/>
      <c r="I117" s="396"/>
      <c r="J117" s="396"/>
      <c r="K117" s="395">
        <f t="shared" si="112"/>
        <v>0</v>
      </c>
      <c r="L117" s="685"/>
      <c r="M117" s="32"/>
      <c r="N117" s="32"/>
      <c r="O117" s="32"/>
    </row>
    <row r="118" spans="1:15" ht="18.75">
      <c r="A118" s="30">
        <v>6</v>
      </c>
      <c r="B118" s="389"/>
      <c r="C118" s="390"/>
      <c r="D118" s="392"/>
      <c r="E118" s="396"/>
      <c r="F118" s="396"/>
      <c r="G118" s="396"/>
      <c r="H118" s="396"/>
      <c r="I118" s="396"/>
      <c r="J118" s="396"/>
      <c r="K118" s="395">
        <f t="shared" si="112"/>
        <v>0</v>
      </c>
      <c r="L118" s="685"/>
      <c r="M118" s="32"/>
      <c r="N118" s="32"/>
      <c r="O118" s="32"/>
    </row>
    <row r="119" spans="1:15" ht="18.75">
      <c r="A119" s="30">
        <v>7</v>
      </c>
      <c r="B119" s="389"/>
      <c r="C119" s="390"/>
      <c r="D119" s="392"/>
      <c r="E119" s="396"/>
      <c r="F119" s="396"/>
      <c r="G119" s="396"/>
      <c r="H119" s="396"/>
      <c r="I119" s="396"/>
      <c r="J119" s="396"/>
      <c r="K119" s="395">
        <f t="shared" si="112"/>
        <v>0</v>
      </c>
      <c r="L119" s="685"/>
      <c r="M119" s="32"/>
      <c r="N119" s="32"/>
      <c r="O119" s="32"/>
    </row>
    <row r="120" spans="1:15" ht="18.75">
      <c r="A120" s="30">
        <v>8</v>
      </c>
      <c r="B120" s="389"/>
      <c r="C120" s="390"/>
      <c r="D120" s="392"/>
      <c r="E120" s="396"/>
      <c r="F120" s="396"/>
      <c r="G120" s="396"/>
      <c r="H120" s="396"/>
      <c r="I120" s="396"/>
      <c r="J120" s="396"/>
      <c r="K120" s="395">
        <f t="shared" si="112"/>
        <v>0</v>
      </c>
      <c r="L120" s="685"/>
      <c r="M120" s="32"/>
      <c r="N120" s="32"/>
      <c r="O120" s="32"/>
    </row>
    <row r="121" spans="1:15" ht="18.75">
      <c r="A121" s="30">
        <v>9</v>
      </c>
      <c r="B121" s="389"/>
      <c r="C121" s="390"/>
      <c r="D121" s="392"/>
      <c r="E121" s="396"/>
      <c r="F121" s="396"/>
      <c r="G121" s="396"/>
      <c r="H121" s="396"/>
      <c r="I121" s="396"/>
      <c r="J121" s="396"/>
      <c r="K121" s="395">
        <f t="shared" si="112"/>
        <v>0</v>
      </c>
      <c r="L121" s="685"/>
      <c r="M121" s="32"/>
      <c r="N121" s="32"/>
      <c r="O121" s="32"/>
    </row>
    <row r="122" spans="1:15" ht="18.75">
      <c r="A122" s="30">
        <v>10</v>
      </c>
      <c r="B122" s="389"/>
      <c r="C122" s="390"/>
      <c r="D122" s="392"/>
      <c r="E122" s="396"/>
      <c r="F122" s="396"/>
      <c r="G122" s="396"/>
      <c r="H122" s="396"/>
      <c r="I122" s="396"/>
      <c r="J122" s="396"/>
      <c r="K122" s="395">
        <f t="shared" si="112"/>
        <v>0</v>
      </c>
      <c r="L122" s="685"/>
      <c r="M122" s="32"/>
      <c r="N122" s="32"/>
      <c r="O122" s="32"/>
    </row>
    <row r="123" spans="1:15" ht="18.75">
      <c r="A123" s="30">
        <v>11</v>
      </c>
      <c r="B123" s="389"/>
      <c r="C123" s="390"/>
      <c r="D123" s="392"/>
      <c r="E123" s="396"/>
      <c r="F123" s="396"/>
      <c r="G123" s="396"/>
      <c r="H123" s="396"/>
      <c r="I123" s="396"/>
      <c r="J123" s="396"/>
      <c r="K123" s="395">
        <f t="shared" si="112"/>
        <v>0</v>
      </c>
      <c r="L123" s="685"/>
      <c r="M123" s="32"/>
      <c r="N123" s="32"/>
      <c r="O123" s="32"/>
    </row>
    <row r="124" spans="1:15" ht="18.75">
      <c r="A124" s="30">
        <v>12</v>
      </c>
      <c r="B124" s="389"/>
      <c r="C124" s="390"/>
      <c r="D124" s="392"/>
      <c r="E124" s="396"/>
      <c r="F124" s="396"/>
      <c r="G124" s="396"/>
      <c r="H124" s="396"/>
      <c r="I124" s="396"/>
      <c r="J124" s="396"/>
      <c r="K124" s="395">
        <f t="shared" si="112"/>
        <v>0</v>
      </c>
      <c r="L124" s="685"/>
      <c r="M124" s="32"/>
      <c r="N124" s="32"/>
      <c r="O124" s="32"/>
    </row>
    <row r="125" spans="1:15" ht="18.75">
      <c r="A125" s="30">
        <v>13</v>
      </c>
      <c r="B125" s="389"/>
      <c r="C125" s="390"/>
      <c r="D125" s="392"/>
      <c r="E125" s="396"/>
      <c r="F125" s="396"/>
      <c r="G125" s="396"/>
      <c r="H125" s="396"/>
      <c r="I125" s="396"/>
      <c r="J125" s="396"/>
      <c r="K125" s="395">
        <f t="shared" si="112"/>
        <v>0</v>
      </c>
      <c r="L125" s="685"/>
      <c r="M125" s="32"/>
      <c r="N125" s="32"/>
      <c r="O125" s="32"/>
    </row>
    <row r="126" spans="1:15" ht="18.75">
      <c r="A126" s="30">
        <v>14</v>
      </c>
      <c r="B126" s="389"/>
      <c r="C126" s="390"/>
      <c r="D126" s="392"/>
      <c r="E126" s="396"/>
      <c r="F126" s="396"/>
      <c r="G126" s="396"/>
      <c r="H126" s="396"/>
      <c r="I126" s="396"/>
      <c r="J126" s="396"/>
      <c r="K126" s="395">
        <f t="shared" si="112"/>
        <v>0</v>
      </c>
      <c r="L126" s="685"/>
      <c r="M126" s="32"/>
      <c r="N126" s="32"/>
      <c r="O126" s="32"/>
    </row>
    <row r="127" spans="1:15" ht="18.75">
      <c r="A127" s="30">
        <v>15</v>
      </c>
      <c r="B127" s="389"/>
      <c r="C127" s="390"/>
      <c r="D127" s="392"/>
      <c r="E127" s="396"/>
      <c r="F127" s="396"/>
      <c r="G127" s="396"/>
      <c r="H127" s="396"/>
      <c r="I127" s="396"/>
      <c r="J127" s="396"/>
      <c r="K127" s="395">
        <f t="shared" si="112"/>
        <v>0</v>
      </c>
      <c r="L127" s="685"/>
      <c r="M127" s="32"/>
      <c r="N127" s="32"/>
      <c r="O127" s="32"/>
    </row>
    <row r="128" spans="1:15" ht="18.75">
      <c r="A128" s="30">
        <v>16</v>
      </c>
      <c r="B128" s="389"/>
      <c r="C128" s="390"/>
      <c r="D128" s="392"/>
      <c r="E128" s="396"/>
      <c r="F128" s="396"/>
      <c r="G128" s="396"/>
      <c r="H128" s="396"/>
      <c r="I128" s="396"/>
      <c r="J128" s="396"/>
      <c r="K128" s="395">
        <f t="shared" si="112"/>
        <v>0</v>
      </c>
      <c r="L128" s="685"/>
      <c r="M128" s="32"/>
      <c r="N128" s="32"/>
      <c r="O128" s="32"/>
    </row>
    <row r="129" spans="1:15" ht="18.75">
      <c r="A129" s="30">
        <v>17</v>
      </c>
      <c r="B129" s="389"/>
      <c r="C129" s="390"/>
      <c r="D129" s="392"/>
      <c r="E129" s="396"/>
      <c r="F129" s="396"/>
      <c r="G129" s="396"/>
      <c r="H129" s="396"/>
      <c r="I129" s="396"/>
      <c r="J129" s="396"/>
      <c r="K129" s="395">
        <f t="shared" si="112"/>
        <v>0</v>
      </c>
      <c r="L129" s="685"/>
      <c r="M129" s="32"/>
      <c r="N129" s="32"/>
      <c r="O129" s="32"/>
    </row>
    <row r="130" spans="1:15" ht="18.75">
      <c r="A130" s="30">
        <v>18</v>
      </c>
      <c r="B130" s="389"/>
      <c r="C130" s="390"/>
      <c r="D130" s="392"/>
      <c r="E130" s="396"/>
      <c r="F130" s="396"/>
      <c r="G130" s="396"/>
      <c r="H130" s="396"/>
      <c r="I130" s="396"/>
      <c r="J130" s="396"/>
      <c r="K130" s="395">
        <f t="shared" si="112"/>
        <v>0</v>
      </c>
      <c r="L130" s="685"/>
      <c r="M130" s="32"/>
      <c r="N130" s="32"/>
      <c r="O130" s="32"/>
    </row>
    <row r="131" spans="1:15" ht="18.75">
      <c r="A131" s="30">
        <v>19</v>
      </c>
      <c r="B131" s="389"/>
      <c r="C131" s="390"/>
      <c r="D131" s="392"/>
      <c r="E131" s="396"/>
      <c r="F131" s="396"/>
      <c r="G131" s="396"/>
      <c r="H131" s="396"/>
      <c r="I131" s="396"/>
      <c r="J131" s="396"/>
      <c r="K131" s="395">
        <f t="shared" si="112"/>
        <v>0</v>
      </c>
      <c r="L131" s="685"/>
      <c r="M131" s="32"/>
      <c r="N131" s="32"/>
      <c r="O131" s="32"/>
    </row>
    <row r="132" spans="1:15" ht="18.75">
      <c r="A132" s="30">
        <v>20</v>
      </c>
      <c r="B132" s="389"/>
      <c r="C132" s="390"/>
      <c r="D132" s="392"/>
      <c r="E132" s="396"/>
      <c r="F132" s="396"/>
      <c r="G132" s="396"/>
      <c r="H132" s="396"/>
      <c r="I132" s="396"/>
      <c r="J132" s="396"/>
      <c r="K132" s="395">
        <f t="shared" si="112"/>
        <v>0</v>
      </c>
      <c r="L132" s="685"/>
      <c r="M132" s="32"/>
      <c r="N132" s="32"/>
      <c r="O132" s="32"/>
    </row>
    <row r="133" spans="1:15" ht="18.75">
      <c r="A133" s="30">
        <v>21</v>
      </c>
      <c r="B133" s="389"/>
      <c r="C133" s="390"/>
      <c r="D133" s="392"/>
      <c r="E133" s="396"/>
      <c r="F133" s="396"/>
      <c r="G133" s="396"/>
      <c r="H133" s="396"/>
      <c r="I133" s="396"/>
      <c r="J133" s="396"/>
      <c r="K133" s="395">
        <f t="shared" si="112"/>
        <v>0</v>
      </c>
      <c r="L133" s="685"/>
      <c r="M133" s="32"/>
      <c r="N133" s="32"/>
      <c r="O133" s="32"/>
    </row>
    <row r="134" spans="1:15" ht="18.75">
      <c r="A134" s="30">
        <v>22</v>
      </c>
      <c r="B134" s="389"/>
      <c r="C134" s="390"/>
      <c r="D134" s="392"/>
      <c r="E134" s="396"/>
      <c r="F134" s="396"/>
      <c r="G134" s="396"/>
      <c r="H134" s="396"/>
      <c r="I134" s="396"/>
      <c r="J134" s="396"/>
      <c r="K134" s="395">
        <f t="shared" si="112"/>
        <v>0</v>
      </c>
      <c r="L134" s="685"/>
      <c r="M134" s="32"/>
      <c r="N134" s="32"/>
      <c r="O134" s="32"/>
    </row>
    <row r="135" spans="1:15" ht="18.75">
      <c r="A135" s="30">
        <v>23</v>
      </c>
      <c r="B135" s="389"/>
      <c r="C135" s="390"/>
      <c r="D135" s="392"/>
      <c r="E135" s="396"/>
      <c r="F135" s="396"/>
      <c r="G135" s="396"/>
      <c r="H135" s="396"/>
      <c r="I135" s="396"/>
      <c r="J135" s="396"/>
      <c r="K135" s="395">
        <f t="shared" si="112"/>
        <v>0</v>
      </c>
      <c r="L135" s="685"/>
      <c r="M135" s="32"/>
      <c r="N135" s="32"/>
      <c r="O135" s="32"/>
    </row>
    <row r="136" spans="1:15" ht="18.75">
      <c r="A136" s="30">
        <v>24</v>
      </c>
      <c r="B136" s="389"/>
      <c r="C136" s="390"/>
      <c r="D136" s="392"/>
      <c r="E136" s="396"/>
      <c r="F136" s="396"/>
      <c r="G136" s="396"/>
      <c r="H136" s="396"/>
      <c r="I136" s="396"/>
      <c r="J136" s="396"/>
      <c r="K136" s="395">
        <f t="shared" si="112"/>
        <v>0</v>
      </c>
      <c r="L136" s="685"/>
      <c r="M136" s="32"/>
      <c r="N136" s="32"/>
      <c r="O136" s="32"/>
    </row>
    <row r="137" spans="1:15" ht="18.75">
      <c r="A137" s="30">
        <v>25</v>
      </c>
      <c r="B137" s="389"/>
      <c r="C137" s="390"/>
      <c r="D137" s="392"/>
      <c r="E137" s="396"/>
      <c r="F137" s="396"/>
      <c r="G137" s="396"/>
      <c r="H137" s="396"/>
      <c r="I137" s="396"/>
      <c r="J137" s="396"/>
      <c r="K137" s="395">
        <f t="shared" si="112"/>
        <v>0</v>
      </c>
      <c r="L137" s="685"/>
      <c r="M137" s="32"/>
      <c r="N137" s="32"/>
      <c r="O137" s="32"/>
    </row>
    <row r="138" spans="1:15" ht="18.75">
      <c r="A138" s="30">
        <v>26</v>
      </c>
      <c r="B138" s="389"/>
      <c r="C138" s="390"/>
      <c r="D138" s="392"/>
      <c r="E138" s="396"/>
      <c r="F138" s="396"/>
      <c r="G138" s="396"/>
      <c r="H138" s="396"/>
      <c r="I138" s="396"/>
      <c r="J138" s="396"/>
      <c r="K138" s="395">
        <f t="shared" si="112"/>
        <v>0</v>
      </c>
      <c r="L138" s="685"/>
      <c r="M138" s="32"/>
      <c r="N138" s="32"/>
      <c r="O138" s="32"/>
    </row>
    <row r="139" spans="1:15" ht="18.75">
      <c r="A139" s="30">
        <v>27</v>
      </c>
      <c r="B139" s="389"/>
      <c r="C139" s="390"/>
      <c r="D139" s="392"/>
      <c r="E139" s="396"/>
      <c r="F139" s="396"/>
      <c r="G139" s="396"/>
      <c r="H139" s="396"/>
      <c r="I139" s="396"/>
      <c r="J139" s="396"/>
      <c r="K139" s="395">
        <f t="shared" si="112"/>
        <v>0</v>
      </c>
      <c r="L139" s="685"/>
      <c r="M139" s="32"/>
      <c r="N139" s="32"/>
      <c r="O139" s="32"/>
    </row>
    <row r="140" spans="1:15" ht="18.75">
      <c r="A140" s="30">
        <v>28</v>
      </c>
      <c r="B140" s="389"/>
      <c r="C140" s="390"/>
      <c r="D140" s="392"/>
      <c r="E140" s="396"/>
      <c r="F140" s="396"/>
      <c r="G140" s="396"/>
      <c r="H140" s="396"/>
      <c r="I140" s="396"/>
      <c r="J140" s="396"/>
      <c r="K140" s="395">
        <f t="shared" si="112"/>
        <v>0</v>
      </c>
      <c r="L140" s="685"/>
      <c r="M140" s="32"/>
      <c r="N140" s="32"/>
      <c r="O140" s="32"/>
    </row>
    <row r="141" spans="1:15" ht="18.75">
      <c r="A141" s="30">
        <v>29</v>
      </c>
      <c r="B141" s="389"/>
      <c r="C141" s="390"/>
      <c r="D141" s="392"/>
      <c r="E141" s="396"/>
      <c r="F141" s="396"/>
      <c r="G141" s="396"/>
      <c r="H141" s="396"/>
      <c r="I141" s="396"/>
      <c r="J141" s="396"/>
      <c r="K141" s="395">
        <f t="shared" si="112"/>
        <v>0</v>
      </c>
      <c r="L141" s="685"/>
      <c r="M141" s="32"/>
      <c r="N141" s="32"/>
      <c r="O141" s="32"/>
    </row>
    <row r="142" spans="1:15" ht="18.75">
      <c r="A142" s="30">
        <v>30</v>
      </c>
      <c r="B142" s="389"/>
      <c r="C142" s="390"/>
      <c r="D142" s="392"/>
      <c r="E142" s="396"/>
      <c r="F142" s="396"/>
      <c r="G142" s="396"/>
      <c r="H142" s="396"/>
      <c r="I142" s="396"/>
      <c r="J142" s="396"/>
      <c r="K142" s="395">
        <f t="shared" si="112"/>
        <v>0</v>
      </c>
      <c r="L142" s="685"/>
      <c r="M142" s="32"/>
      <c r="N142" s="32"/>
      <c r="O142" s="32"/>
    </row>
    <row r="143" spans="1:15" ht="18.75">
      <c r="A143" s="30">
        <v>31</v>
      </c>
      <c r="B143" s="389"/>
      <c r="C143" s="390"/>
      <c r="D143" s="392"/>
      <c r="E143" s="396"/>
      <c r="F143" s="396"/>
      <c r="G143" s="396"/>
      <c r="H143" s="396"/>
      <c r="I143" s="396"/>
      <c r="J143" s="396"/>
      <c r="K143" s="395">
        <f t="shared" si="112"/>
        <v>0</v>
      </c>
      <c r="L143" s="685"/>
      <c r="M143" s="32"/>
      <c r="N143" s="32"/>
      <c r="O143" s="32"/>
    </row>
    <row r="144" spans="1:15" ht="18.75">
      <c r="A144" s="30">
        <v>32</v>
      </c>
      <c r="B144" s="389"/>
      <c r="C144" s="390"/>
      <c r="D144" s="392"/>
      <c r="E144" s="396"/>
      <c r="F144" s="396"/>
      <c r="G144" s="396"/>
      <c r="H144" s="396"/>
      <c r="I144" s="396"/>
      <c r="J144" s="396"/>
      <c r="K144" s="395">
        <f t="shared" si="112"/>
        <v>0</v>
      </c>
      <c r="L144" s="685"/>
      <c r="M144" s="32"/>
      <c r="N144" s="32"/>
      <c r="O144" s="32"/>
    </row>
    <row r="145" spans="1:15" ht="18.75">
      <c r="A145" s="30">
        <v>33</v>
      </c>
      <c r="B145" s="389"/>
      <c r="C145" s="390"/>
      <c r="D145" s="392"/>
      <c r="E145" s="396"/>
      <c r="F145" s="396"/>
      <c r="G145" s="396"/>
      <c r="H145" s="396"/>
      <c r="I145" s="396"/>
      <c r="J145" s="396"/>
      <c r="K145" s="395">
        <f t="shared" si="112"/>
        <v>0</v>
      </c>
      <c r="L145" s="685"/>
      <c r="M145" s="32"/>
      <c r="N145" s="32"/>
      <c r="O145" s="32"/>
    </row>
    <row r="146" spans="1:15" ht="18.75">
      <c r="A146" s="30">
        <v>34</v>
      </c>
      <c r="B146" s="389"/>
      <c r="C146" s="390"/>
      <c r="D146" s="392"/>
      <c r="E146" s="396"/>
      <c r="F146" s="396"/>
      <c r="G146" s="396"/>
      <c r="H146" s="396"/>
      <c r="I146" s="396"/>
      <c r="J146" s="396"/>
      <c r="K146" s="395">
        <f t="shared" si="112"/>
        <v>0</v>
      </c>
      <c r="L146" s="685"/>
      <c r="M146" s="32"/>
      <c r="N146" s="32"/>
      <c r="O146" s="32"/>
    </row>
    <row r="147" spans="1:15" ht="18.75">
      <c r="A147" s="30">
        <v>35</v>
      </c>
      <c r="B147" s="389"/>
      <c r="C147" s="390"/>
      <c r="D147" s="392"/>
      <c r="E147" s="396"/>
      <c r="F147" s="396"/>
      <c r="G147" s="396"/>
      <c r="H147" s="396"/>
      <c r="I147" s="396"/>
      <c r="J147" s="396"/>
      <c r="K147" s="395">
        <f t="shared" si="112"/>
        <v>0</v>
      </c>
      <c r="L147" s="685"/>
      <c r="M147" s="32"/>
      <c r="N147" s="32"/>
      <c r="O147" s="32"/>
    </row>
    <row r="148" spans="1:15" ht="18.75">
      <c r="A148" s="30">
        <v>36</v>
      </c>
      <c r="B148" s="389"/>
      <c r="C148" s="390"/>
      <c r="D148" s="392"/>
      <c r="E148" s="396"/>
      <c r="F148" s="396"/>
      <c r="G148" s="396"/>
      <c r="H148" s="396"/>
      <c r="I148" s="396"/>
      <c r="J148" s="396"/>
      <c r="K148" s="395">
        <f t="shared" si="112"/>
        <v>0</v>
      </c>
      <c r="L148" s="685"/>
      <c r="M148" s="32"/>
      <c r="N148" s="32"/>
      <c r="O148" s="32"/>
    </row>
    <row r="149" spans="1:15" ht="18.75">
      <c r="A149" s="30">
        <v>37</v>
      </c>
      <c r="B149" s="389"/>
      <c r="C149" s="390"/>
      <c r="D149" s="392"/>
      <c r="E149" s="396"/>
      <c r="F149" s="396"/>
      <c r="G149" s="396"/>
      <c r="H149" s="396"/>
      <c r="I149" s="396"/>
      <c r="J149" s="396"/>
      <c r="K149" s="395">
        <f t="shared" si="112"/>
        <v>0</v>
      </c>
      <c r="L149" s="685"/>
      <c r="M149" s="32"/>
      <c r="N149" s="32"/>
      <c r="O149" s="32"/>
    </row>
    <row r="150" spans="1:15" ht="18.75">
      <c r="A150" s="30">
        <v>38</v>
      </c>
      <c r="B150" s="389"/>
      <c r="C150" s="390"/>
      <c r="D150" s="392"/>
      <c r="E150" s="396"/>
      <c r="F150" s="396"/>
      <c r="G150" s="396"/>
      <c r="H150" s="396"/>
      <c r="I150" s="396"/>
      <c r="J150" s="396"/>
      <c r="K150" s="395">
        <f t="shared" si="112"/>
        <v>0</v>
      </c>
      <c r="L150" s="685"/>
      <c r="M150" s="32"/>
      <c r="N150" s="32"/>
      <c r="O150" s="32"/>
    </row>
    <row r="151" spans="1:15" ht="18.75">
      <c r="A151" s="30">
        <v>39</v>
      </c>
      <c r="B151" s="389"/>
      <c r="C151" s="390"/>
      <c r="D151" s="392"/>
      <c r="E151" s="396"/>
      <c r="F151" s="396"/>
      <c r="G151" s="396"/>
      <c r="H151" s="396"/>
      <c r="I151" s="396"/>
      <c r="J151" s="396"/>
      <c r="K151" s="395">
        <f t="shared" si="112"/>
        <v>0</v>
      </c>
      <c r="L151" s="685"/>
      <c r="M151" s="32"/>
      <c r="N151" s="32"/>
      <c r="O151" s="32"/>
    </row>
    <row r="152" spans="1:15" ht="18.75">
      <c r="A152" s="30">
        <v>40</v>
      </c>
      <c r="B152" s="389"/>
      <c r="C152" s="390"/>
      <c r="D152" s="392"/>
      <c r="E152" s="396"/>
      <c r="F152" s="396"/>
      <c r="G152" s="396"/>
      <c r="H152" s="396"/>
      <c r="I152" s="396"/>
      <c r="J152" s="396"/>
      <c r="K152" s="395">
        <f t="shared" si="112"/>
        <v>0</v>
      </c>
      <c r="L152" s="685"/>
      <c r="M152" s="32"/>
      <c r="N152" s="32"/>
      <c r="O152" s="32"/>
    </row>
    <row r="153" spans="1:15" ht="18.75">
      <c r="A153" s="30"/>
      <c r="B153" s="398" t="s">
        <v>38</v>
      </c>
      <c r="C153" s="399"/>
      <c r="D153" s="400"/>
      <c r="E153" s="401">
        <f t="shared" ref="E153:J153" si="113">SUM(E113:E128)</f>
        <v>0</v>
      </c>
      <c r="F153" s="401">
        <f t="shared" si="113"/>
        <v>0</v>
      </c>
      <c r="G153" s="401">
        <f t="shared" si="113"/>
        <v>0</v>
      </c>
      <c r="H153" s="401">
        <f t="shared" si="113"/>
        <v>0</v>
      </c>
      <c r="I153" s="401">
        <f t="shared" si="113"/>
        <v>4500</v>
      </c>
      <c r="J153" s="401">
        <f t="shared" si="113"/>
        <v>0</v>
      </c>
      <c r="K153" s="397">
        <f>SUM(E153:J153)</f>
        <v>4500</v>
      </c>
      <c r="L153" s="686"/>
      <c r="M153" s="32"/>
      <c r="N153" s="32"/>
      <c r="O153" s="32"/>
    </row>
    <row r="154" spans="1:15" ht="23.25">
      <c r="A154" s="719" t="s">
        <v>365</v>
      </c>
      <c r="B154" s="719"/>
      <c r="C154" s="719"/>
      <c r="D154" s="719"/>
      <c r="E154" s="719"/>
      <c r="F154" s="719"/>
      <c r="G154" s="719"/>
      <c r="H154" s="719"/>
      <c r="I154" s="719"/>
      <c r="J154" s="719"/>
      <c r="K154" s="719"/>
      <c r="L154" s="665"/>
      <c r="M154" s="32"/>
      <c r="N154" s="32"/>
      <c r="O154" s="32"/>
    </row>
    <row r="155" spans="1:15">
      <c r="A155" s="716" t="s">
        <v>7</v>
      </c>
      <c r="B155" s="716" t="s">
        <v>46</v>
      </c>
      <c r="C155" s="716" t="s">
        <v>67</v>
      </c>
      <c r="D155" s="716" t="s">
        <v>68</v>
      </c>
      <c r="E155" s="393" t="s">
        <v>69</v>
      </c>
      <c r="F155" s="393" t="s">
        <v>70</v>
      </c>
      <c r="G155" s="393" t="s">
        <v>70</v>
      </c>
      <c r="H155" s="393" t="s">
        <v>70</v>
      </c>
      <c r="I155" s="393" t="s">
        <v>70</v>
      </c>
      <c r="J155" s="393" t="s">
        <v>70</v>
      </c>
      <c r="K155" s="717" t="s">
        <v>71</v>
      </c>
      <c r="L155" s="683"/>
      <c r="M155" s="32"/>
      <c r="N155" s="32"/>
      <c r="O155" s="32"/>
    </row>
    <row r="156" spans="1:15">
      <c r="A156" s="716"/>
      <c r="B156" s="716"/>
      <c r="C156" s="716"/>
      <c r="D156" s="716"/>
      <c r="E156" s="394">
        <f>E112</f>
        <v>42825</v>
      </c>
      <c r="F156" s="394" t="str">
        <f t="shared" ref="F156:J156" si="114">F112</f>
        <v>2017-18</v>
      </c>
      <c r="G156" s="394" t="str">
        <f t="shared" si="114"/>
        <v>2018-19</v>
      </c>
      <c r="H156" s="394" t="str">
        <f t="shared" si="114"/>
        <v>2019-20</v>
      </c>
      <c r="I156" s="394" t="str">
        <f t="shared" si="114"/>
        <v>2020-21</v>
      </c>
      <c r="J156" s="394" t="str">
        <f t="shared" si="114"/>
        <v>2021-22</v>
      </c>
      <c r="K156" s="718"/>
      <c r="L156" s="684"/>
      <c r="M156" s="32"/>
      <c r="N156" s="32"/>
      <c r="O156" s="32"/>
    </row>
    <row r="157" spans="1:15" ht="18.75">
      <c r="A157" s="30">
        <v>1</v>
      </c>
      <c r="B157" s="496" t="str">
        <f t="shared" ref="B157:B158" si="115">B113</f>
        <v>Jherh m"kk ikfy;k</v>
      </c>
      <c r="C157" s="390" t="str">
        <f t="shared" ref="C157" si="116">C60</f>
        <v>PRINCIPAL</v>
      </c>
      <c r="D157" s="392" t="s">
        <v>555</v>
      </c>
      <c r="E157" s="396">
        <v>0</v>
      </c>
      <c r="F157" s="396">
        <v>0</v>
      </c>
      <c r="G157" s="396">
        <v>0</v>
      </c>
      <c r="H157" s="396">
        <v>0</v>
      </c>
      <c r="I157" s="396">
        <v>0</v>
      </c>
      <c r="J157" s="396">
        <v>0</v>
      </c>
      <c r="K157" s="395">
        <f>SUM(E157:J157)</f>
        <v>0</v>
      </c>
      <c r="L157" s="685"/>
      <c r="M157" s="32"/>
      <c r="N157" s="32"/>
      <c r="O157" s="32"/>
    </row>
    <row r="158" spans="1:15" ht="18.75">
      <c r="A158" s="30">
        <v>2</v>
      </c>
      <c r="B158" s="496" t="str">
        <f t="shared" si="115"/>
        <v>Jh ;ksxsUnz</v>
      </c>
      <c r="C158" s="390" t="s">
        <v>61</v>
      </c>
      <c r="D158" s="392" t="s">
        <v>555</v>
      </c>
      <c r="E158" s="396">
        <v>0</v>
      </c>
      <c r="F158" s="396">
        <v>0</v>
      </c>
      <c r="G158" s="396">
        <v>0</v>
      </c>
      <c r="H158" s="396">
        <v>0</v>
      </c>
      <c r="I158" s="396">
        <v>1000</v>
      </c>
      <c r="J158" s="396">
        <v>0</v>
      </c>
      <c r="K158" s="395">
        <f t="shared" ref="K158:K196" si="117">SUM(E158:J158)</f>
        <v>1000</v>
      </c>
      <c r="L158" s="685"/>
      <c r="M158" s="32"/>
      <c r="N158" s="32"/>
      <c r="O158" s="32"/>
    </row>
    <row r="159" spans="1:15" ht="18.75">
      <c r="A159" s="30">
        <v>3</v>
      </c>
      <c r="B159" s="496"/>
      <c r="C159" s="390"/>
      <c r="D159" s="392"/>
      <c r="E159" s="396"/>
      <c r="F159" s="396"/>
      <c r="G159" s="396"/>
      <c r="H159" s="396"/>
      <c r="I159" s="396"/>
      <c r="J159" s="396"/>
      <c r="K159" s="395">
        <f t="shared" si="117"/>
        <v>0</v>
      </c>
      <c r="L159" s="685"/>
      <c r="M159" s="32"/>
      <c r="N159" s="32"/>
      <c r="O159" s="32"/>
    </row>
    <row r="160" spans="1:15" ht="18.75">
      <c r="A160" s="30">
        <v>4</v>
      </c>
      <c r="B160" s="496"/>
      <c r="C160" s="390"/>
      <c r="D160" s="392"/>
      <c r="E160" s="396"/>
      <c r="F160" s="396"/>
      <c r="G160" s="396"/>
      <c r="H160" s="396"/>
      <c r="I160" s="396"/>
      <c r="J160" s="396"/>
      <c r="K160" s="395">
        <f t="shared" si="117"/>
        <v>0</v>
      </c>
      <c r="L160" s="685"/>
      <c r="M160" s="32"/>
      <c r="N160" s="32"/>
      <c r="O160" s="32"/>
    </row>
    <row r="161" spans="1:15" ht="18.75">
      <c r="A161" s="30">
        <v>5</v>
      </c>
      <c r="B161" s="496"/>
      <c r="C161" s="390"/>
      <c r="D161" s="392"/>
      <c r="E161" s="396"/>
      <c r="F161" s="396"/>
      <c r="G161" s="396"/>
      <c r="H161" s="396"/>
      <c r="I161" s="396"/>
      <c r="J161" s="396"/>
      <c r="K161" s="395">
        <f t="shared" si="117"/>
        <v>0</v>
      </c>
      <c r="L161" s="685"/>
      <c r="M161" s="32"/>
      <c r="N161" s="32"/>
      <c r="O161" s="32"/>
    </row>
    <row r="162" spans="1:15" ht="18.75">
      <c r="A162" s="30">
        <v>6</v>
      </c>
      <c r="B162" s="496"/>
      <c r="C162" s="390"/>
      <c r="D162" s="392"/>
      <c r="E162" s="396"/>
      <c r="F162" s="396"/>
      <c r="G162" s="396"/>
      <c r="H162" s="396"/>
      <c r="I162" s="396"/>
      <c r="J162" s="396"/>
      <c r="K162" s="395">
        <f t="shared" si="117"/>
        <v>0</v>
      </c>
      <c r="L162" s="685"/>
      <c r="M162" s="32"/>
      <c r="N162" s="32"/>
      <c r="O162" s="32"/>
    </row>
    <row r="163" spans="1:15" ht="18.75">
      <c r="A163" s="30">
        <v>7</v>
      </c>
      <c r="B163" s="496"/>
      <c r="C163" s="390"/>
      <c r="D163" s="392"/>
      <c r="E163" s="396"/>
      <c r="F163" s="396"/>
      <c r="G163" s="396"/>
      <c r="H163" s="396"/>
      <c r="I163" s="396"/>
      <c r="J163" s="396"/>
      <c r="K163" s="395">
        <f t="shared" si="117"/>
        <v>0</v>
      </c>
      <c r="L163" s="685"/>
      <c r="M163" s="32"/>
      <c r="N163" s="32"/>
      <c r="O163" s="32"/>
    </row>
    <row r="164" spans="1:15" ht="18.75">
      <c r="A164" s="30">
        <v>8</v>
      </c>
      <c r="B164" s="496"/>
      <c r="C164" s="390"/>
      <c r="D164" s="392"/>
      <c r="E164" s="396"/>
      <c r="F164" s="396"/>
      <c r="G164" s="396"/>
      <c r="H164" s="396"/>
      <c r="I164" s="396"/>
      <c r="J164" s="396"/>
      <c r="K164" s="395">
        <f t="shared" si="117"/>
        <v>0</v>
      </c>
      <c r="L164" s="685"/>
      <c r="M164" s="32"/>
      <c r="N164" s="32"/>
      <c r="O164" s="32"/>
    </row>
    <row r="165" spans="1:15" ht="18.75">
      <c r="A165" s="30">
        <v>9</v>
      </c>
      <c r="B165" s="496"/>
      <c r="C165" s="390"/>
      <c r="D165" s="392"/>
      <c r="E165" s="396"/>
      <c r="F165" s="396"/>
      <c r="G165" s="396"/>
      <c r="H165" s="396"/>
      <c r="I165" s="396"/>
      <c r="J165" s="396"/>
      <c r="K165" s="395">
        <f t="shared" si="117"/>
        <v>0</v>
      </c>
      <c r="L165" s="685"/>
      <c r="M165" s="32"/>
      <c r="N165" s="32"/>
      <c r="O165" s="32"/>
    </row>
    <row r="166" spans="1:15" ht="18.75">
      <c r="A166" s="30">
        <v>10</v>
      </c>
      <c r="B166" s="496"/>
      <c r="C166" s="390"/>
      <c r="D166" s="392"/>
      <c r="E166" s="396"/>
      <c r="F166" s="396"/>
      <c r="G166" s="396"/>
      <c r="H166" s="396"/>
      <c r="I166" s="396"/>
      <c r="J166" s="396"/>
      <c r="K166" s="395">
        <f t="shared" si="117"/>
        <v>0</v>
      </c>
      <c r="L166" s="685"/>
      <c r="M166" s="32"/>
      <c r="N166" s="32"/>
      <c r="O166" s="32"/>
    </row>
    <row r="167" spans="1:15" ht="18.75">
      <c r="A167" s="30">
        <v>11</v>
      </c>
      <c r="B167" s="496"/>
      <c r="C167" s="390"/>
      <c r="D167" s="392"/>
      <c r="E167" s="396"/>
      <c r="F167" s="396"/>
      <c r="G167" s="396"/>
      <c r="H167" s="396"/>
      <c r="I167" s="396"/>
      <c r="J167" s="396"/>
      <c r="K167" s="395">
        <f t="shared" si="117"/>
        <v>0</v>
      </c>
      <c r="L167" s="685"/>
      <c r="M167" s="32"/>
      <c r="N167" s="32"/>
      <c r="O167" s="32"/>
    </row>
    <row r="168" spans="1:15" ht="18.75">
      <c r="A168" s="30">
        <v>12</v>
      </c>
      <c r="B168" s="496"/>
      <c r="C168" s="390"/>
      <c r="D168" s="392"/>
      <c r="E168" s="396"/>
      <c r="F168" s="396"/>
      <c r="G168" s="396"/>
      <c r="H168" s="396"/>
      <c r="I168" s="396"/>
      <c r="J168" s="396"/>
      <c r="K168" s="395">
        <f t="shared" si="117"/>
        <v>0</v>
      </c>
      <c r="L168" s="685"/>
      <c r="M168" s="32"/>
      <c r="N168" s="32"/>
      <c r="O168" s="32"/>
    </row>
    <row r="169" spans="1:15" ht="18.75">
      <c r="A169" s="30">
        <v>13</v>
      </c>
      <c r="B169" s="496"/>
      <c r="C169" s="390"/>
      <c r="D169" s="392"/>
      <c r="E169" s="396"/>
      <c r="F169" s="396"/>
      <c r="G169" s="396"/>
      <c r="H169" s="396"/>
      <c r="I169" s="396"/>
      <c r="J169" s="396"/>
      <c r="K169" s="395">
        <f t="shared" si="117"/>
        <v>0</v>
      </c>
      <c r="L169" s="685"/>
      <c r="M169" s="32"/>
      <c r="N169" s="32"/>
      <c r="O169" s="32"/>
    </row>
    <row r="170" spans="1:15" ht="18.75">
      <c r="A170" s="30">
        <v>14</v>
      </c>
      <c r="B170" s="496"/>
      <c r="C170" s="390"/>
      <c r="D170" s="392"/>
      <c r="E170" s="396"/>
      <c r="F170" s="396"/>
      <c r="G170" s="396"/>
      <c r="H170" s="396"/>
      <c r="I170" s="396"/>
      <c r="J170" s="396"/>
      <c r="K170" s="395">
        <f t="shared" si="117"/>
        <v>0</v>
      </c>
      <c r="L170" s="685"/>
      <c r="M170" s="32"/>
      <c r="N170" s="32"/>
      <c r="O170" s="32"/>
    </row>
    <row r="171" spans="1:15" ht="18.75">
      <c r="A171" s="30">
        <v>15</v>
      </c>
      <c r="B171" s="496"/>
      <c r="C171" s="390"/>
      <c r="D171" s="392"/>
      <c r="E171" s="396"/>
      <c r="F171" s="396"/>
      <c r="G171" s="396"/>
      <c r="H171" s="396"/>
      <c r="I171" s="396"/>
      <c r="J171" s="396"/>
      <c r="K171" s="395">
        <f t="shared" si="117"/>
        <v>0</v>
      </c>
      <c r="L171" s="685"/>
      <c r="M171" s="32"/>
      <c r="N171" s="32"/>
      <c r="O171" s="32"/>
    </row>
    <row r="172" spans="1:15" ht="18.75">
      <c r="A172" s="30">
        <v>16</v>
      </c>
      <c r="B172" s="496"/>
      <c r="C172" s="390"/>
      <c r="D172" s="392"/>
      <c r="E172" s="396"/>
      <c r="F172" s="396"/>
      <c r="G172" s="396"/>
      <c r="H172" s="396"/>
      <c r="I172" s="396"/>
      <c r="J172" s="396"/>
      <c r="K172" s="395">
        <f t="shared" si="117"/>
        <v>0</v>
      </c>
      <c r="L172" s="685"/>
      <c r="M172" s="32"/>
      <c r="N172" s="32"/>
      <c r="O172" s="32"/>
    </row>
    <row r="173" spans="1:15" ht="18.75">
      <c r="A173" s="30">
        <v>17</v>
      </c>
      <c r="B173" s="496"/>
      <c r="C173" s="390"/>
      <c r="D173" s="392"/>
      <c r="E173" s="396"/>
      <c r="F173" s="396"/>
      <c r="G173" s="396"/>
      <c r="H173" s="396"/>
      <c r="I173" s="396"/>
      <c r="J173" s="396"/>
      <c r="K173" s="395">
        <f t="shared" si="117"/>
        <v>0</v>
      </c>
      <c r="L173" s="685"/>
      <c r="M173" s="32"/>
      <c r="N173" s="32"/>
      <c r="O173" s="32"/>
    </row>
    <row r="174" spans="1:15" ht="18.75">
      <c r="A174" s="30">
        <v>18</v>
      </c>
      <c r="B174" s="496"/>
      <c r="C174" s="390"/>
      <c r="D174" s="392"/>
      <c r="E174" s="396"/>
      <c r="F174" s="396"/>
      <c r="G174" s="396"/>
      <c r="H174" s="396"/>
      <c r="I174" s="396"/>
      <c r="J174" s="396"/>
      <c r="K174" s="395">
        <f t="shared" si="117"/>
        <v>0</v>
      </c>
      <c r="L174" s="685"/>
      <c r="M174" s="32"/>
      <c r="N174" s="32"/>
      <c r="O174" s="32"/>
    </row>
    <row r="175" spans="1:15" ht="18.75">
      <c r="A175" s="30">
        <v>19</v>
      </c>
      <c r="B175" s="496"/>
      <c r="C175" s="390"/>
      <c r="D175" s="392"/>
      <c r="E175" s="396"/>
      <c r="F175" s="396"/>
      <c r="G175" s="396"/>
      <c r="H175" s="396"/>
      <c r="I175" s="396"/>
      <c r="J175" s="396"/>
      <c r="K175" s="395">
        <f t="shared" si="117"/>
        <v>0</v>
      </c>
      <c r="L175" s="685"/>
      <c r="M175" s="32"/>
      <c r="N175" s="32"/>
      <c r="O175" s="32"/>
    </row>
    <row r="176" spans="1:15" ht="18.75">
      <c r="A176" s="30">
        <v>20</v>
      </c>
      <c r="B176" s="496"/>
      <c r="C176" s="390"/>
      <c r="D176" s="392"/>
      <c r="E176" s="396"/>
      <c r="F176" s="396"/>
      <c r="G176" s="396"/>
      <c r="H176" s="396"/>
      <c r="I176" s="396"/>
      <c r="J176" s="396"/>
      <c r="K176" s="395">
        <f t="shared" si="117"/>
        <v>0</v>
      </c>
      <c r="L176" s="685"/>
      <c r="M176" s="32"/>
      <c r="N176" s="32"/>
      <c r="O176" s="32"/>
    </row>
    <row r="177" spans="1:15" ht="18.75">
      <c r="A177" s="30">
        <v>21</v>
      </c>
      <c r="B177" s="496"/>
      <c r="C177" s="390"/>
      <c r="D177" s="392"/>
      <c r="E177" s="396"/>
      <c r="F177" s="396"/>
      <c r="G177" s="396"/>
      <c r="H177" s="396"/>
      <c r="I177" s="396"/>
      <c r="J177" s="396"/>
      <c r="K177" s="395">
        <f t="shared" si="117"/>
        <v>0</v>
      </c>
      <c r="L177" s="685"/>
      <c r="M177" s="32"/>
      <c r="N177" s="32"/>
      <c r="O177" s="32"/>
    </row>
    <row r="178" spans="1:15" ht="18.75">
      <c r="A178" s="30">
        <v>22</v>
      </c>
      <c r="B178" s="496"/>
      <c r="C178" s="390"/>
      <c r="D178" s="392"/>
      <c r="E178" s="396"/>
      <c r="F178" s="396"/>
      <c r="G178" s="396"/>
      <c r="H178" s="396"/>
      <c r="I178" s="396"/>
      <c r="J178" s="396"/>
      <c r="K178" s="395">
        <f t="shared" si="117"/>
        <v>0</v>
      </c>
      <c r="L178" s="685"/>
      <c r="M178" s="32"/>
      <c r="N178" s="32"/>
      <c r="O178" s="32"/>
    </row>
    <row r="179" spans="1:15" ht="18.75">
      <c r="A179" s="30">
        <v>23</v>
      </c>
      <c r="B179" s="496"/>
      <c r="C179" s="390"/>
      <c r="D179" s="392"/>
      <c r="E179" s="396"/>
      <c r="F179" s="396"/>
      <c r="G179" s="396"/>
      <c r="H179" s="396"/>
      <c r="I179" s="396"/>
      <c r="J179" s="396"/>
      <c r="K179" s="395">
        <f t="shared" si="117"/>
        <v>0</v>
      </c>
      <c r="L179" s="685"/>
      <c r="M179" s="32"/>
      <c r="N179" s="32"/>
      <c r="O179" s="32"/>
    </row>
    <row r="180" spans="1:15" ht="18.75">
      <c r="A180" s="30">
        <v>24</v>
      </c>
      <c r="B180" s="496"/>
      <c r="C180" s="390"/>
      <c r="D180" s="392"/>
      <c r="E180" s="396"/>
      <c r="F180" s="396"/>
      <c r="G180" s="396"/>
      <c r="H180" s="396"/>
      <c r="I180" s="396"/>
      <c r="J180" s="396"/>
      <c r="K180" s="395">
        <f t="shared" si="117"/>
        <v>0</v>
      </c>
      <c r="L180" s="685"/>
      <c r="M180" s="32"/>
      <c r="N180" s="32"/>
      <c r="O180" s="32"/>
    </row>
    <row r="181" spans="1:15" ht="18.75">
      <c r="A181" s="30">
        <v>25</v>
      </c>
      <c r="B181" s="496"/>
      <c r="C181" s="390"/>
      <c r="D181" s="392"/>
      <c r="E181" s="396"/>
      <c r="F181" s="396"/>
      <c r="G181" s="396"/>
      <c r="H181" s="396"/>
      <c r="I181" s="396"/>
      <c r="J181" s="396"/>
      <c r="K181" s="395">
        <f t="shared" si="117"/>
        <v>0</v>
      </c>
      <c r="L181" s="685"/>
      <c r="M181" s="32"/>
      <c r="N181" s="32"/>
      <c r="O181" s="32"/>
    </row>
    <row r="182" spans="1:15" ht="18.75">
      <c r="A182" s="30">
        <v>26</v>
      </c>
      <c r="B182" s="496"/>
      <c r="C182" s="390"/>
      <c r="D182" s="392"/>
      <c r="E182" s="396"/>
      <c r="F182" s="396"/>
      <c r="G182" s="396"/>
      <c r="H182" s="396"/>
      <c r="I182" s="396"/>
      <c r="J182" s="396"/>
      <c r="K182" s="395">
        <f t="shared" si="117"/>
        <v>0</v>
      </c>
      <c r="L182" s="685"/>
      <c r="M182" s="32"/>
      <c r="N182" s="32"/>
      <c r="O182" s="32"/>
    </row>
    <row r="183" spans="1:15" ht="18.75">
      <c r="A183" s="30">
        <v>27</v>
      </c>
      <c r="B183" s="496"/>
      <c r="C183" s="390"/>
      <c r="D183" s="392"/>
      <c r="E183" s="396"/>
      <c r="F183" s="396"/>
      <c r="G183" s="396"/>
      <c r="H183" s="396"/>
      <c r="I183" s="396"/>
      <c r="J183" s="396"/>
      <c r="K183" s="395">
        <f t="shared" si="117"/>
        <v>0</v>
      </c>
      <c r="L183" s="685"/>
      <c r="M183" s="32"/>
      <c r="N183" s="32"/>
      <c r="O183" s="32"/>
    </row>
    <row r="184" spans="1:15" ht="18.75">
      <c r="A184" s="30">
        <v>28</v>
      </c>
      <c r="B184" s="496"/>
      <c r="C184" s="390"/>
      <c r="D184" s="392"/>
      <c r="E184" s="396"/>
      <c r="F184" s="396"/>
      <c r="G184" s="396"/>
      <c r="H184" s="396"/>
      <c r="I184" s="396"/>
      <c r="J184" s="396"/>
      <c r="K184" s="395">
        <f t="shared" si="117"/>
        <v>0</v>
      </c>
      <c r="L184" s="685"/>
      <c r="M184" s="32"/>
      <c r="N184" s="32"/>
      <c r="O184" s="32"/>
    </row>
    <row r="185" spans="1:15" ht="18.75">
      <c r="A185" s="30">
        <v>29</v>
      </c>
      <c r="B185" s="496"/>
      <c r="C185" s="390"/>
      <c r="D185" s="392"/>
      <c r="E185" s="396"/>
      <c r="F185" s="396"/>
      <c r="G185" s="396"/>
      <c r="H185" s="396"/>
      <c r="I185" s="396"/>
      <c r="J185" s="396"/>
      <c r="K185" s="395">
        <f t="shared" si="117"/>
        <v>0</v>
      </c>
      <c r="L185" s="685"/>
      <c r="M185" s="32"/>
      <c r="N185" s="32"/>
      <c r="O185" s="32"/>
    </row>
    <row r="186" spans="1:15" ht="18.75">
      <c r="A186" s="30">
        <v>30</v>
      </c>
      <c r="B186" s="496"/>
      <c r="C186" s="390"/>
      <c r="D186" s="392"/>
      <c r="E186" s="396"/>
      <c r="F186" s="396"/>
      <c r="G186" s="396"/>
      <c r="H186" s="396"/>
      <c r="I186" s="396"/>
      <c r="J186" s="396"/>
      <c r="K186" s="395">
        <f t="shared" si="117"/>
        <v>0</v>
      </c>
      <c r="L186" s="685"/>
      <c r="M186" s="32"/>
      <c r="N186" s="32"/>
      <c r="O186" s="32"/>
    </row>
    <row r="187" spans="1:15" ht="18.75">
      <c r="A187" s="30">
        <v>31</v>
      </c>
      <c r="B187" s="496"/>
      <c r="C187" s="390"/>
      <c r="D187" s="392"/>
      <c r="E187" s="396"/>
      <c r="F187" s="396"/>
      <c r="G187" s="396"/>
      <c r="H187" s="396"/>
      <c r="I187" s="396"/>
      <c r="J187" s="396"/>
      <c r="K187" s="395">
        <f t="shared" si="117"/>
        <v>0</v>
      </c>
      <c r="L187" s="685"/>
      <c r="M187" s="32"/>
      <c r="N187" s="32"/>
      <c r="O187" s="32"/>
    </row>
    <row r="188" spans="1:15" ht="18.75">
      <c r="A188" s="30">
        <v>32</v>
      </c>
      <c r="B188" s="496"/>
      <c r="C188" s="390"/>
      <c r="D188" s="392"/>
      <c r="E188" s="396"/>
      <c r="F188" s="396"/>
      <c r="G188" s="396"/>
      <c r="H188" s="396"/>
      <c r="I188" s="396"/>
      <c r="J188" s="396"/>
      <c r="K188" s="395">
        <f t="shared" si="117"/>
        <v>0</v>
      </c>
      <c r="L188" s="685"/>
      <c r="M188" s="32"/>
      <c r="N188" s="32"/>
      <c r="O188" s="32"/>
    </row>
    <row r="189" spans="1:15" ht="18.75">
      <c r="A189" s="30">
        <v>33</v>
      </c>
      <c r="B189" s="496"/>
      <c r="C189" s="390"/>
      <c r="D189" s="392"/>
      <c r="E189" s="396"/>
      <c r="F189" s="396"/>
      <c r="G189" s="396"/>
      <c r="H189" s="396"/>
      <c r="I189" s="396"/>
      <c r="J189" s="396"/>
      <c r="K189" s="395">
        <f t="shared" si="117"/>
        <v>0</v>
      </c>
      <c r="L189" s="685"/>
      <c r="M189" s="32"/>
      <c r="N189" s="32"/>
      <c r="O189" s="32"/>
    </row>
    <row r="190" spans="1:15" ht="18.75">
      <c r="A190" s="30">
        <v>34</v>
      </c>
      <c r="B190" s="496"/>
      <c r="C190" s="390"/>
      <c r="D190" s="392"/>
      <c r="E190" s="396"/>
      <c r="F190" s="396"/>
      <c r="G190" s="396"/>
      <c r="H190" s="396"/>
      <c r="I190" s="396"/>
      <c r="J190" s="396"/>
      <c r="K190" s="395">
        <f t="shared" si="117"/>
        <v>0</v>
      </c>
      <c r="L190" s="685"/>
      <c r="M190" s="32"/>
      <c r="N190" s="32"/>
      <c r="O190" s="32"/>
    </row>
    <row r="191" spans="1:15" ht="18.75">
      <c r="A191" s="30">
        <v>35</v>
      </c>
      <c r="B191" s="496"/>
      <c r="C191" s="390"/>
      <c r="D191" s="392"/>
      <c r="E191" s="396"/>
      <c r="F191" s="396"/>
      <c r="G191" s="396"/>
      <c r="H191" s="396"/>
      <c r="I191" s="396"/>
      <c r="J191" s="396"/>
      <c r="K191" s="395">
        <f t="shared" si="117"/>
        <v>0</v>
      </c>
      <c r="L191" s="685"/>
      <c r="M191" s="32"/>
      <c r="N191" s="32"/>
      <c r="O191" s="32"/>
    </row>
    <row r="192" spans="1:15" ht="18.75">
      <c r="A192" s="30">
        <v>36</v>
      </c>
      <c r="B192" s="496"/>
      <c r="C192" s="390"/>
      <c r="D192" s="392"/>
      <c r="E192" s="396"/>
      <c r="F192" s="396"/>
      <c r="G192" s="396"/>
      <c r="H192" s="396"/>
      <c r="I192" s="396"/>
      <c r="J192" s="396"/>
      <c r="K192" s="395">
        <f t="shared" si="117"/>
        <v>0</v>
      </c>
      <c r="L192" s="685"/>
      <c r="M192" s="32"/>
      <c r="N192" s="32"/>
      <c r="O192" s="32"/>
    </row>
    <row r="193" spans="1:15" ht="18.75">
      <c r="A193" s="30">
        <v>37</v>
      </c>
      <c r="B193" s="496"/>
      <c r="C193" s="390"/>
      <c r="D193" s="392"/>
      <c r="E193" s="396"/>
      <c r="F193" s="396"/>
      <c r="G193" s="396"/>
      <c r="H193" s="396"/>
      <c r="I193" s="396"/>
      <c r="J193" s="396"/>
      <c r="K193" s="395">
        <f t="shared" si="117"/>
        <v>0</v>
      </c>
      <c r="L193" s="685"/>
      <c r="M193" s="32"/>
      <c r="N193" s="32"/>
      <c r="O193" s="32"/>
    </row>
    <row r="194" spans="1:15" ht="18.75">
      <c r="A194" s="30">
        <v>38</v>
      </c>
      <c r="B194" s="496"/>
      <c r="C194" s="390"/>
      <c r="D194" s="392"/>
      <c r="E194" s="396"/>
      <c r="F194" s="396"/>
      <c r="G194" s="396"/>
      <c r="H194" s="396"/>
      <c r="I194" s="396"/>
      <c r="J194" s="396"/>
      <c r="K194" s="395">
        <f t="shared" si="117"/>
        <v>0</v>
      </c>
      <c r="L194" s="685"/>
      <c r="M194" s="32"/>
      <c r="N194" s="32"/>
      <c r="O194" s="32"/>
    </row>
    <row r="195" spans="1:15" ht="18.75">
      <c r="A195" s="30">
        <v>39</v>
      </c>
      <c r="B195" s="496"/>
      <c r="C195" s="390"/>
      <c r="D195" s="392"/>
      <c r="E195" s="396"/>
      <c r="F195" s="396"/>
      <c r="G195" s="396"/>
      <c r="H195" s="396"/>
      <c r="I195" s="396"/>
      <c r="J195" s="396"/>
      <c r="K195" s="395">
        <f t="shared" si="117"/>
        <v>0</v>
      </c>
      <c r="L195" s="685"/>
      <c r="M195" s="32"/>
      <c r="N195" s="32"/>
      <c r="O195" s="32"/>
    </row>
    <row r="196" spans="1:15" ht="18.75">
      <c r="A196" s="30">
        <v>40</v>
      </c>
      <c r="B196" s="496"/>
      <c r="C196" s="390"/>
      <c r="D196" s="392"/>
      <c r="E196" s="396"/>
      <c r="F196" s="396"/>
      <c r="G196" s="396"/>
      <c r="H196" s="396"/>
      <c r="I196" s="396"/>
      <c r="J196" s="396"/>
      <c r="K196" s="395">
        <f t="shared" si="117"/>
        <v>0</v>
      </c>
      <c r="L196" s="685"/>
      <c r="M196" s="32"/>
      <c r="N196" s="32"/>
      <c r="O196" s="32"/>
    </row>
    <row r="197" spans="1:15" ht="18.75">
      <c r="A197" s="31"/>
      <c r="B197" s="31" t="s">
        <v>38</v>
      </c>
      <c r="C197" s="31"/>
      <c r="D197" s="31"/>
      <c r="E197" s="395">
        <f t="shared" ref="E197:J197" si="118">SUM(E157:E172)</f>
        <v>0</v>
      </c>
      <c r="F197" s="395">
        <f t="shared" si="118"/>
        <v>0</v>
      </c>
      <c r="G197" s="395">
        <f t="shared" si="118"/>
        <v>0</v>
      </c>
      <c r="H197" s="395">
        <f t="shared" si="118"/>
        <v>0</v>
      </c>
      <c r="I197" s="395">
        <f t="shared" si="118"/>
        <v>1000</v>
      </c>
      <c r="J197" s="395">
        <f t="shared" si="118"/>
        <v>0</v>
      </c>
      <c r="K197" s="395">
        <f>SUM(E197:J197)</f>
        <v>1000</v>
      </c>
      <c r="L197" s="685"/>
      <c r="M197" s="32"/>
      <c r="N197" s="32"/>
      <c r="O197" s="32"/>
    </row>
    <row r="198" spans="1:15">
      <c r="A198" s="33"/>
      <c r="B198" s="34"/>
      <c r="C198" s="35"/>
      <c r="D198" s="35"/>
      <c r="E198" s="33"/>
      <c r="F198" s="33"/>
      <c r="G198" s="33"/>
      <c r="H198" s="33"/>
      <c r="I198" s="33"/>
      <c r="J198" s="33"/>
      <c r="K198" s="33"/>
      <c r="L198" s="33"/>
      <c r="M198" s="32"/>
      <c r="N198" s="32"/>
      <c r="O198" s="32"/>
    </row>
    <row r="199" spans="1:15">
      <c r="A199" s="33"/>
      <c r="B199" s="34"/>
      <c r="C199" s="35"/>
      <c r="D199" s="35"/>
      <c r="E199" s="33"/>
      <c r="F199" s="33"/>
      <c r="G199" s="33"/>
      <c r="H199" s="33"/>
      <c r="I199" s="33"/>
      <c r="J199" s="33"/>
      <c r="K199" s="33"/>
      <c r="L199" s="33"/>
      <c r="M199" s="32"/>
      <c r="N199" s="32"/>
      <c r="O199" s="32"/>
    </row>
    <row r="200" spans="1:15">
      <c r="A200" s="33"/>
      <c r="B200" s="34"/>
      <c r="C200" s="35"/>
      <c r="D200" s="35"/>
      <c r="E200" s="33"/>
      <c r="F200" s="33"/>
      <c r="G200" s="33"/>
      <c r="H200" s="33"/>
      <c r="I200" s="33"/>
      <c r="J200" s="33"/>
      <c r="K200" s="33"/>
      <c r="L200" s="33"/>
      <c r="M200" s="32"/>
      <c r="N200" s="32"/>
      <c r="O200" s="32"/>
    </row>
    <row r="201" spans="1:15">
      <c r="A201" s="8"/>
      <c r="B201" s="9"/>
      <c r="C201" s="10"/>
      <c r="D201" s="10"/>
      <c r="E201" s="8"/>
      <c r="F201" s="8"/>
      <c r="G201" s="8"/>
      <c r="H201" s="8"/>
      <c r="I201" s="8"/>
      <c r="J201" s="8"/>
      <c r="K201" s="8"/>
      <c r="L201" s="8"/>
    </row>
    <row r="202" spans="1:15" hidden="1">
      <c r="A202" s="8"/>
      <c r="B202" s="9"/>
      <c r="C202" s="10"/>
      <c r="D202" s="10"/>
      <c r="E202" s="8"/>
      <c r="F202" s="8"/>
      <c r="G202" s="8"/>
      <c r="H202" s="8"/>
      <c r="I202" s="8"/>
      <c r="J202" s="8"/>
      <c r="K202" s="8"/>
      <c r="L202" s="8"/>
    </row>
    <row r="203" spans="1:15" hidden="1">
      <c r="A203" s="8"/>
      <c r="B203" s="9"/>
      <c r="C203" s="10"/>
      <c r="D203" s="10"/>
      <c r="E203" s="8"/>
      <c r="F203" s="8"/>
      <c r="G203" s="8"/>
      <c r="H203" s="8"/>
      <c r="I203" s="8"/>
      <c r="J203" s="8"/>
      <c r="K203" s="8"/>
      <c r="L203" s="8"/>
    </row>
    <row r="204" spans="1:15" hidden="1">
      <c r="A204" s="8"/>
      <c r="B204" s="9"/>
      <c r="C204" s="10"/>
      <c r="D204" s="10"/>
      <c r="E204" s="8"/>
      <c r="F204" s="8"/>
      <c r="G204" s="8"/>
      <c r="H204" s="8"/>
      <c r="I204" s="8"/>
      <c r="J204" s="8"/>
      <c r="K204" s="8"/>
      <c r="L204" s="8"/>
    </row>
    <row r="205" spans="1:15" hidden="1">
      <c r="A205" s="8"/>
      <c r="B205" s="9"/>
      <c r="C205" s="10"/>
      <c r="D205" s="10"/>
      <c r="E205" s="8"/>
      <c r="F205" s="8"/>
      <c r="G205" s="8"/>
      <c r="H205" s="8"/>
      <c r="I205" s="8"/>
      <c r="J205" s="8"/>
      <c r="K205" s="8"/>
      <c r="L205" s="8"/>
    </row>
    <row r="206" spans="1:15"/>
    <row r="207" spans="1:15">
      <c r="C207" s="494" t="s">
        <v>54</v>
      </c>
    </row>
    <row r="208" spans="1:15">
      <c r="C208" s="494" t="s">
        <v>201</v>
      </c>
    </row>
    <row r="209" spans="3:3">
      <c r="C209" s="494" t="s">
        <v>203</v>
      </c>
    </row>
    <row r="210" spans="3:3">
      <c r="C210" s="494" t="s">
        <v>205</v>
      </c>
    </row>
    <row r="211" spans="3:3">
      <c r="C211" s="494" t="s">
        <v>207</v>
      </c>
    </row>
    <row r="212" spans="3:3">
      <c r="C212" s="494" t="s">
        <v>561</v>
      </c>
    </row>
    <row r="213" spans="3:3">
      <c r="C213" s="494" t="s">
        <v>210</v>
      </c>
    </row>
    <row r="214" spans="3:3">
      <c r="C214" s="494" t="s">
        <v>212</v>
      </c>
    </row>
    <row r="215" spans="3:3">
      <c r="C215" s="494" t="s">
        <v>61</v>
      </c>
    </row>
    <row r="216" spans="3:3">
      <c r="C216" s="495" t="s">
        <v>215</v>
      </c>
    </row>
    <row r="217" spans="3:3">
      <c r="C217" s="494" t="s">
        <v>64</v>
      </c>
    </row>
    <row r="218" spans="3:3">
      <c r="C218" s="494" t="s">
        <v>218</v>
      </c>
    </row>
    <row r="219" spans="3:3">
      <c r="C219" s="494" t="s">
        <v>63</v>
      </c>
    </row>
    <row r="220" spans="3:3">
      <c r="C220" s="494" t="s">
        <v>221</v>
      </c>
    </row>
    <row r="221" spans="3:3">
      <c r="C221" s="494" t="s">
        <v>223</v>
      </c>
    </row>
    <row r="222" spans="3:3">
      <c r="C222" s="494" t="s">
        <v>225</v>
      </c>
    </row>
    <row r="223" spans="3:3">
      <c r="C223" s="494" t="s">
        <v>227</v>
      </c>
    </row>
    <row r="224" spans="3:3">
      <c r="C224" s="494" t="s">
        <v>65</v>
      </c>
    </row>
    <row r="225" spans="3:3">
      <c r="C225" s="494" t="s">
        <v>562</v>
      </c>
    </row>
    <row r="226" spans="3:3">
      <c r="C226" s="494" t="s">
        <v>66</v>
      </c>
    </row>
    <row r="227" spans="3:3">
      <c r="C227" s="494" t="s">
        <v>233</v>
      </c>
    </row>
    <row r="228" spans="3:3">
      <c r="C228" s="494" t="s">
        <v>235</v>
      </c>
    </row>
    <row r="229" spans="3:3">
      <c r="C229" s="493"/>
    </row>
    <row r="230" spans="3:3">
      <c r="C230" s="493"/>
    </row>
    <row r="231" spans="3:3">
      <c r="C231" s="493"/>
    </row>
    <row r="232" spans="3:3">
      <c r="C232" s="493"/>
    </row>
    <row r="233" spans="3:3"/>
    <row r="234" spans="3:3"/>
    <row r="235" spans="3:3"/>
    <row r="236" spans="3:3"/>
  </sheetData>
  <protectedRanges>
    <protectedRange sqref="D16:D23" name="Range1"/>
  </protectedRanges>
  <mergeCells count="77">
    <mergeCell ref="Q3:U3"/>
    <mergeCell ref="CS58:CS59"/>
    <mergeCell ref="CT58:DA58"/>
    <mergeCell ref="BG58:BN58"/>
    <mergeCell ref="BS58:BS59"/>
    <mergeCell ref="BT58:CA58"/>
    <mergeCell ref="CF58:CF59"/>
    <mergeCell ref="CG58:CN58"/>
    <mergeCell ref="AF58:AF59"/>
    <mergeCell ref="AG58:AN58"/>
    <mergeCell ref="AS58:AS59"/>
    <mergeCell ref="AT58:BA58"/>
    <mergeCell ref="BF58:BF59"/>
    <mergeCell ref="F8:H8"/>
    <mergeCell ref="A1:B1"/>
    <mergeCell ref="A2:B2"/>
    <mergeCell ref="A3:B3"/>
    <mergeCell ref="A4:B4"/>
    <mergeCell ref="A5:B5"/>
    <mergeCell ref="C3:D3"/>
    <mergeCell ref="C4:D4"/>
    <mergeCell ref="A6:I6"/>
    <mergeCell ref="A7:A9"/>
    <mergeCell ref="B7:B9"/>
    <mergeCell ref="C7:C8"/>
    <mergeCell ref="D7:I7"/>
    <mergeCell ref="G3:I3"/>
    <mergeCell ref="G4:I4"/>
    <mergeCell ref="D1:I1"/>
    <mergeCell ref="A35:A37"/>
    <mergeCell ref="B35:B37"/>
    <mergeCell ref="C35:I35"/>
    <mergeCell ref="E36:G36"/>
    <mergeCell ref="I36:I37"/>
    <mergeCell ref="C111:C112"/>
    <mergeCell ref="D111:D112"/>
    <mergeCell ref="G58:G59"/>
    <mergeCell ref="H58:H59"/>
    <mergeCell ref="I58:I59"/>
    <mergeCell ref="A110:K110"/>
    <mergeCell ref="A58:A59"/>
    <mergeCell ref="E58:E59"/>
    <mergeCell ref="F58:F59"/>
    <mergeCell ref="C58:C59"/>
    <mergeCell ref="D58:D59"/>
    <mergeCell ref="I48:J48"/>
    <mergeCell ref="A56:K56"/>
    <mergeCell ref="B58:B59"/>
    <mergeCell ref="D2:I2"/>
    <mergeCell ref="C5:D5"/>
    <mergeCell ref="E5:I5"/>
    <mergeCell ref="K47:K49"/>
    <mergeCell ref="B48:C48"/>
    <mergeCell ref="D48:E48"/>
    <mergeCell ref="J7:J9"/>
    <mergeCell ref="A46:I46"/>
    <mergeCell ref="A47:A49"/>
    <mergeCell ref="B47:E47"/>
    <mergeCell ref="F47:F49"/>
    <mergeCell ref="G47:J47"/>
    <mergeCell ref="A34:I34"/>
    <mergeCell ref="K7:K9"/>
    <mergeCell ref="J35:J37"/>
    <mergeCell ref="K35:K37"/>
    <mergeCell ref="M8:O9"/>
    <mergeCell ref="A155:A156"/>
    <mergeCell ref="B155:B156"/>
    <mergeCell ref="C155:C156"/>
    <mergeCell ref="D155:D156"/>
    <mergeCell ref="A111:A112"/>
    <mergeCell ref="B111:B112"/>
    <mergeCell ref="K155:K156"/>
    <mergeCell ref="K111:K112"/>
    <mergeCell ref="A154:K154"/>
    <mergeCell ref="J58:J59"/>
    <mergeCell ref="K58:K59"/>
    <mergeCell ref="G48:H48"/>
  </mergeCells>
  <dataValidations count="7">
    <dataValidation type="list" allowBlank="1" showInputMessage="1" showErrorMessage="1" sqref="C1">
      <formula1>"Principal,Head Master"</formula1>
    </dataValidation>
    <dataValidation type="list" allowBlank="1" showInputMessage="1" showErrorMessage="1" sqref="I60:J109">
      <formula1>"YES,NO"</formula1>
    </dataValidation>
    <dataValidation type="list" allowBlank="1" showInputMessage="1" showErrorMessage="1" sqref="H60:H109">
      <formula1>"MALE,FEMALE"</formula1>
    </dataValidation>
    <dataValidation type="list" allowBlank="1" showInputMessage="1" showErrorMessage="1" sqref="K60:L109">
      <formula1>"GAZETTED - REGULAR,NON GAZETTED - REGULAR,GAZETTED - FIX PAY,NON GAZETTED - FIX PAY,GAZETTED - SANVIDA,NON GAZETTED - SANVIDA"</formula1>
    </dataValidation>
    <dataValidation type="list" allowBlank="1" showInputMessage="1" showErrorMessage="1" sqref="C153">
      <formula1>$C$207:$C$229</formula1>
    </dataValidation>
    <dataValidation type="list" allowBlank="1" showInputMessage="1" showErrorMessage="1" sqref="C157:C196 C113:C152 C60:C109">
      <formula1>$C$207:$C$232</formula1>
    </dataValidation>
    <dataValidation type="list" allowBlank="1" showInputMessage="1" showErrorMessage="1" sqref="C5:D5">
      <formula1>$Q$4:$Q$24</formula1>
    </dataValidation>
  </dataValidation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codeName="Sheet20">
    <tabColor rgb="FF00B050"/>
    <pageSetUpPr fitToPage="1"/>
  </sheetPr>
  <dimension ref="A1:BL19"/>
  <sheetViews>
    <sheetView showGridLines="0" view="pageBreakPreview" zoomScaleSheetLayoutView="100" workbookViewId="0">
      <selection activeCell="G19" sqref="G19"/>
    </sheetView>
  </sheetViews>
  <sheetFormatPr defaultColWidth="9.125" defaultRowHeight="15"/>
  <cols>
    <col min="1" max="1" width="5.75" style="282" customWidth="1"/>
    <col min="2" max="2" width="19" style="282" customWidth="1"/>
    <col min="3" max="5" width="16.625" style="282" customWidth="1"/>
    <col min="6" max="6" width="17" style="282" customWidth="1"/>
    <col min="7" max="7" width="9" style="282" bestFit="1" customWidth="1"/>
    <col min="8" max="8" width="10.875" style="282" bestFit="1" customWidth="1"/>
    <col min="9" max="9" width="8.25" style="282" customWidth="1"/>
    <col min="10" max="10" width="10.375" style="282" customWidth="1"/>
    <col min="11" max="11" width="10.625" style="282" customWidth="1"/>
    <col min="12" max="12" width="9.125" style="282"/>
    <col min="13" max="37" width="9.125" style="282" hidden="1" customWidth="1"/>
    <col min="38" max="64" width="3.875" style="282" hidden="1" customWidth="1"/>
    <col min="65" max="16384" width="9.125" style="282"/>
  </cols>
  <sheetData>
    <row r="1" spans="1:64" ht="18">
      <c r="A1" s="281"/>
      <c r="B1" s="281"/>
      <c r="C1" s="281"/>
      <c r="D1" s="281"/>
      <c r="E1" s="281"/>
      <c r="F1" s="281"/>
      <c r="G1" s="281"/>
      <c r="H1" s="281"/>
      <c r="I1" s="987">
        <f>Summary!$C$1</f>
        <v>30695</v>
      </c>
      <c r="J1" s="987"/>
      <c r="K1" s="987"/>
    </row>
    <row r="2" spans="1:64" ht="19.5">
      <c r="A2" s="988" t="str">
        <f>Summary!$A$3</f>
        <v>Principal Mahatma Gandhi Government School (English Medium) Bar, PALI</v>
      </c>
      <c r="B2" s="988"/>
      <c r="C2" s="988"/>
      <c r="D2" s="988"/>
      <c r="E2" s="988"/>
      <c r="F2" s="988"/>
      <c r="G2" s="988"/>
      <c r="H2" s="988"/>
      <c r="I2" s="988"/>
      <c r="J2" s="988"/>
      <c r="K2" s="988"/>
      <c r="M2" s="283" t="s">
        <v>318</v>
      </c>
      <c r="N2" s="284">
        <v>1300</v>
      </c>
      <c r="O2" s="284">
        <v>1400</v>
      </c>
      <c r="P2" s="284">
        <v>1650</v>
      </c>
      <c r="Q2" s="284">
        <v>1800</v>
      </c>
      <c r="R2" s="284">
        <v>1850</v>
      </c>
      <c r="S2" s="284">
        <v>1900</v>
      </c>
      <c r="T2" s="284">
        <v>2000</v>
      </c>
      <c r="U2" s="284">
        <v>2100</v>
      </c>
      <c r="V2" s="284">
        <v>2400</v>
      </c>
      <c r="W2" s="284">
        <v>2800</v>
      </c>
      <c r="X2" s="284">
        <v>3200</v>
      </c>
      <c r="Y2" s="284">
        <v>3600</v>
      </c>
      <c r="Z2" s="284">
        <v>4200</v>
      </c>
      <c r="AA2" s="284">
        <v>4800</v>
      </c>
      <c r="AB2" s="284">
        <v>5400</v>
      </c>
      <c r="AC2" s="284">
        <v>6000</v>
      </c>
      <c r="AD2" s="284">
        <v>6600</v>
      </c>
      <c r="AE2" s="284">
        <v>6800</v>
      </c>
      <c r="AF2" s="284">
        <v>7200</v>
      </c>
      <c r="AG2" s="284">
        <v>7600</v>
      </c>
      <c r="AH2" s="284">
        <v>8200</v>
      </c>
      <c r="AI2" s="284">
        <v>8700</v>
      </c>
      <c r="AJ2" s="284">
        <v>8900</v>
      </c>
      <c r="AK2" s="284">
        <v>10000</v>
      </c>
    </row>
    <row r="3" spans="1:64" ht="15.75">
      <c r="A3" s="986" t="s">
        <v>432</v>
      </c>
      <c r="B3" s="986"/>
      <c r="C3" s="986"/>
      <c r="D3" s="986"/>
      <c r="E3" s="986"/>
      <c r="F3" s="986"/>
      <c r="G3" s="986"/>
      <c r="H3" s="986"/>
      <c r="I3" s="986"/>
      <c r="J3" s="986"/>
      <c r="K3" s="986"/>
      <c r="M3" s="283" t="s">
        <v>433</v>
      </c>
      <c r="N3" s="285">
        <v>4850</v>
      </c>
      <c r="O3" s="285">
        <v>5050</v>
      </c>
      <c r="P3" s="285">
        <v>5300</v>
      </c>
      <c r="Q3" s="285">
        <v>5600</v>
      </c>
      <c r="R3" s="285">
        <v>5900</v>
      </c>
      <c r="S3" s="285">
        <v>6100</v>
      </c>
      <c r="T3" s="285">
        <v>6400</v>
      </c>
      <c r="U3" s="285">
        <v>6750</v>
      </c>
      <c r="V3" s="285">
        <v>7900</v>
      </c>
      <c r="W3" s="285">
        <v>8950</v>
      </c>
      <c r="X3" s="285">
        <v>10000</v>
      </c>
      <c r="Y3" s="285">
        <v>11100</v>
      </c>
      <c r="Z3" s="285">
        <v>13050</v>
      </c>
      <c r="AA3" s="285">
        <v>15000</v>
      </c>
      <c r="AB3" s="285">
        <v>16800</v>
      </c>
      <c r="AC3" s="285">
        <v>18200</v>
      </c>
      <c r="AD3" s="285">
        <v>20200</v>
      </c>
      <c r="AE3" s="285">
        <v>21300</v>
      </c>
      <c r="AF3" s="285">
        <v>22600</v>
      </c>
      <c r="AG3" s="285">
        <v>23950</v>
      </c>
      <c r="AH3" s="285">
        <v>26650</v>
      </c>
      <c r="AI3" s="285">
        <v>36900</v>
      </c>
      <c r="AJ3" s="285">
        <v>38900</v>
      </c>
      <c r="AK3" s="285">
        <v>43800</v>
      </c>
      <c r="AL3" s="286" t="s">
        <v>434</v>
      </c>
      <c r="AM3" s="286" t="s">
        <v>435</v>
      </c>
      <c r="AN3" s="287" t="s">
        <v>436</v>
      </c>
      <c r="AO3" s="286" t="s">
        <v>437</v>
      </c>
      <c r="AP3" s="286" t="s">
        <v>438</v>
      </c>
      <c r="AQ3" s="286" t="s">
        <v>439</v>
      </c>
      <c r="AR3" s="286" t="s">
        <v>440</v>
      </c>
      <c r="AS3" s="286" t="s">
        <v>441</v>
      </c>
      <c r="AT3" s="286" t="s">
        <v>442</v>
      </c>
      <c r="AU3" s="286" t="s">
        <v>443</v>
      </c>
      <c r="AV3" s="286" t="s">
        <v>444</v>
      </c>
      <c r="AW3" s="287" t="s">
        <v>445</v>
      </c>
      <c r="AX3" s="286" t="s">
        <v>446</v>
      </c>
      <c r="AY3" s="286" t="s">
        <v>447</v>
      </c>
      <c r="AZ3" s="286" t="s">
        <v>448</v>
      </c>
      <c r="BA3" s="286" t="s">
        <v>449</v>
      </c>
      <c r="BB3" s="286" t="s">
        <v>450</v>
      </c>
      <c r="BC3" s="286" t="s">
        <v>451</v>
      </c>
      <c r="BD3" s="286" t="s">
        <v>452</v>
      </c>
      <c r="BE3" s="286" t="s">
        <v>453</v>
      </c>
      <c r="BF3" s="286" t="s">
        <v>454</v>
      </c>
      <c r="BG3" s="286" t="s">
        <v>455</v>
      </c>
      <c r="BH3" s="286" t="s">
        <v>456</v>
      </c>
      <c r="BI3" s="286" t="s">
        <v>457</v>
      </c>
      <c r="BJ3" s="286" t="s">
        <v>458</v>
      </c>
      <c r="BK3" s="286" t="s">
        <v>459</v>
      </c>
      <c r="BL3" s="287" t="s">
        <v>460</v>
      </c>
    </row>
    <row r="4" spans="1:64" ht="15.75">
      <c r="A4" s="986" t="str">
        <f>'Fix Pay'!A4:K4</f>
        <v>For FY - 2021-22 (April 2021 to March 2022)</v>
      </c>
      <c r="B4" s="986"/>
      <c r="C4" s="986"/>
      <c r="D4" s="986"/>
      <c r="E4" s="986"/>
      <c r="F4" s="986"/>
      <c r="G4" s="986"/>
      <c r="H4" s="986"/>
      <c r="I4" s="986"/>
      <c r="J4" s="986"/>
      <c r="K4" s="986"/>
    </row>
    <row r="5" spans="1:64" ht="18.75">
      <c r="A5" s="985" t="s">
        <v>461</v>
      </c>
      <c r="B5" s="985"/>
      <c r="C5" s="985"/>
      <c r="D5" s="985"/>
      <c r="E5" s="985"/>
      <c r="F5" s="985"/>
      <c r="G5" s="985"/>
      <c r="H5" s="985"/>
      <c r="I5" s="985"/>
      <c r="J5" s="985"/>
      <c r="K5" s="985"/>
    </row>
    <row r="6" spans="1:64" ht="15.75" customHeight="1">
      <c r="A6" s="981" t="str">
        <f>[1]Summary!A5</f>
        <v>BUDGET HEAD : 2202-GENERAL EDUCATION, 02-SECONDARY EDUCATION, 109-GOVT. SEC. SCHOOL, (27)-BOYS SCHOOL (01) (STATE FUND)</v>
      </c>
      <c r="B6" s="981"/>
      <c r="C6" s="981"/>
      <c r="D6" s="981"/>
      <c r="E6" s="981"/>
      <c r="F6" s="981"/>
      <c r="G6" s="981"/>
      <c r="H6" s="981"/>
      <c r="I6" s="981"/>
      <c r="J6" s="981"/>
      <c r="K6" s="981"/>
    </row>
    <row r="7" spans="1:64" ht="63.75" customHeight="1">
      <c r="A7" s="141" t="s">
        <v>359</v>
      </c>
      <c r="B7" s="141" t="s">
        <v>462</v>
      </c>
      <c r="C7" s="141" t="s">
        <v>47</v>
      </c>
      <c r="D7" s="288" t="s">
        <v>463</v>
      </c>
      <c r="E7" s="288" t="s">
        <v>464</v>
      </c>
      <c r="F7" s="141" t="s">
        <v>465</v>
      </c>
      <c r="G7" s="141" t="s">
        <v>318</v>
      </c>
      <c r="H7" s="141" t="str">
        <f>'Fix Pay'!H7</f>
        <v>Salary on 1st March 21</v>
      </c>
      <c r="I7" s="141" t="str">
        <f>'Fix Pay'!I7</f>
        <v>Salary of 12 Month</v>
      </c>
      <c r="J7" s="141" t="str">
        <f>'Fix Pay'!J7</f>
        <v>Budget Estimate For FY 
2022-23</v>
      </c>
      <c r="K7" s="141" t="str">
        <f>'Fix Pay'!K7</f>
        <v>Revised Estimate For FY 
2021-22</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289">
        <v>1</v>
      </c>
      <c r="B9" s="290" t="s">
        <v>467</v>
      </c>
      <c r="C9" s="291"/>
      <c r="D9" s="292" t="s">
        <v>467</v>
      </c>
      <c r="E9" s="292" t="s">
        <v>467</v>
      </c>
      <c r="F9" s="293" t="str">
        <f t="shared" ref="F9" si="0">IF(AND(G9&gt;=1300,G9&lt;=1650),"4750-7440 PB-1s",IF(AND(G9&gt;=1700,G9&lt;=2800),"5200-20200 PB-1",IF(AND(G9&gt;=3200,G9&lt;=5400),"9300-34800 PB-2",IF(AND(G9&gt;=6000,G9&lt;=8200),"15600-39100 PB-3",IF(AND(G9&gt;=8700,G9&lt;=10000),"37400-67000 PB-4",IF(G9="FIX PAY","FIX PAY",""))))))</f>
        <v/>
      </c>
      <c r="G9" s="294"/>
      <c r="H9" s="294"/>
      <c r="I9" s="295">
        <f>H9*12</f>
        <v>0</v>
      </c>
      <c r="J9" s="142">
        <f>I9</f>
        <v>0</v>
      </c>
      <c r="K9" s="142">
        <f>J9</f>
        <v>0</v>
      </c>
    </row>
    <row r="10" spans="1:64" s="300" customFormat="1" ht="33" customHeight="1">
      <c r="A10" s="289"/>
      <c r="B10" s="296" t="s">
        <v>71</v>
      </c>
      <c r="C10" s="297"/>
      <c r="D10" s="298"/>
      <c r="E10" s="298"/>
      <c r="F10" s="299"/>
      <c r="G10" s="294"/>
      <c r="H10" s="294">
        <f>SUM(H9:H9)</f>
        <v>0</v>
      </c>
      <c r="I10" s="294">
        <f>SUM(I9:I9)</f>
        <v>0</v>
      </c>
      <c r="J10" s="294">
        <f>SUM(J9:J9)</f>
        <v>0</v>
      </c>
      <c r="K10" s="294">
        <f>SUM(K9:K9)</f>
        <v>0</v>
      </c>
      <c r="AL10" s="282"/>
      <c r="AM10" s="282"/>
      <c r="AN10" s="28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row>
    <row r="11" spans="1:64" s="301" customFormat="1" ht="15.75">
      <c r="A11" s="526" t="s">
        <v>558</v>
      </c>
      <c r="B11" s="313"/>
      <c r="C11" s="313"/>
      <c r="D11" s="313"/>
      <c r="E11" s="313"/>
      <c r="F11" s="313"/>
      <c r="G11" s="313"/>
      <c r="H11" s="313"/>
      <c r="I11" s="145"/>
      <c r="J11" s="145"/>
      <c r="K11" s="145"/>
    </row>
    <row r="12" spans="1:64" s="301" customFormat="1" ht="15" customHeight="1">
      <c r="A12" s="145"/>
      <c r="B12" s="145"/>
      <c r="C12" s="145"/>
      <c r="D12" s="145"/>
      <c r="E12" s="145"/>
      <c r="F12" s="145"/>
      <c r="G12" s="145"/>
      <c r="H12" s="145"/>
      <c r="I12" s="145"/>
      <c r="J12" s="145"/>
      <c r="K12" s="145"/>
    </row>
    <row r="13" spans="1:64" s="301" customFormat="1" ht="15" customHeight="1">
      <c r="A13" s="145"/>
      <c r="B13" s="145"/>
      <c r="C13" s="145"/>
      <c r="D13" s="145"/>
      <c r="E13" s="145"/>
      <c r="F13" s="145"/>
      <c r="G13" s="145"/>
      <c r="H13" s="145"/>
      <c r="I13" s="145"/>
      <c r="J13" s="145"/>
      <c r="K13" s="145"/>
    </row>
    <row r="14" spans="1:64" s="301" customFormat="1" ht="15" customHeight="1">
      <c r="A14" s="145"/>
      <c r="B14" s="145"/>
      <c r="C14" s="145"/>
      <c r="D14" s="145"/>
      <c r="E14" s="145"/>
      <c r="F14" s="145"/>
      <c r="G14" s="145"/>
      <c r="H14" s="145"/>
      <c r="I14" s="855" t="str">
        <f>CONCATENATE("¼ ",Master!G3,"½")</f>
        <v>¼ m"kk ikfy;k½</v>
      </c>
      <c r="J14" s="855"/>
      <c r="K14" s="855"/>
    </row>
    <row r="15" spans="1:64" s="301" customFormat="1" ht="16.5">
      <c r="A15" s="145"/>
      <c r="B15" s="145"/>
      <c r="C15" s="145"/>
      <c r="D15" s="145"/>
      <c r="E15" s="145"/>
      <c r="F15" s="145"/>
      <c r="G15" s="145"/>
      <c r="H15" s="145"/>
      <c r="I15" s="886" t="str">
        <f>Master!C2</f>
        <v>iz/kkukpk;Z</v>
      </c>
      <c r="J15" s="886"/>
      <c r="K15" s="886"/>
    </row>
    <row r="16" spans="1:64" s="301" customFormat="1" ht="15" customHeight="1">
      <c r="A16" s="145"/>
      <c r="B16" s="145"/>
      <c r="C16" s="145"/>
      <c r="D16" s="145"/>
      <c r="E16" s="145"/>
      <c r="F16" s="145"/>
      <c r="G16" s="145"/>
      <c r="H16" s="145"/>
      <c r="I16" s="887" t="str">
        <f>Master!D2</f>
        <v>egkRek xka/kh jktdh; fo|ky; ¼vaxzsth ek/;e½ cj ] ikyh</v>
      </c>
      <c r="J16" s="887"/>
      <c r="K16" s="887"/>
    </row>
    <row r="17" spans="1:11" s="301" customFormat="1" ht="15" customHeight="1">
      <c r="A17" s="145"/>
      <c r="B17" s="145"/>
      <c r="C17" s="145"/>
      <c r="D17" s="145"/>
      <c r="E17" s="145"/>
      <c r="F17" s="145"/>
      <c r="G17" s="145"/>
      <c r="H17" s="145"/>
      <c r="I17" s="887"/>
      <c r="J17" s="887"/>
      <c r="K17" s="887"/>
    </row>
    <row r="18" spans="1:11" s="301" customFormat="1" ht="15" customHeight="1">
      <c r="A18" s="145"/>
      <c r="B18" s="145"/>
      <c r="C18" s="145"/>
      <c r="D18" s="145"/>
      <c r="E18" s="145"/>
      <c r="F18" s="145"/>
      <c r="G18" s="145"/>
      <c r="H18" s="145"/>
      <c r="I18" s="887"/>
      <c r="J18" s="887"/>
      <c r="K18" s="887"/>
    </row>
    <row r="19" spans="1:11" s="301" customFormat="1">
      <c r="A19" s="313"/>
      <c r="B19" s="313"/>
      <c r="C19" s="313"/>
      <c r="D19" s="313"/>
      <c r="E19" s="313"/>
      <c r="F19" s="313"/>
      <c r="G19" s="313"/>
      <c r="H19" s="313"/>
      <c r="I19" s="313"/>
      <c r="J19" s="313"/>
      <c r="K19" s="313"/>
    </row>
  </sheetData>
  <protectedRanges>
    <protectedRange sqref="I10:K10 H9:H10" name="Range1_3"/>
    <protectedRange sqref="G10" name="Range1_4"/>
    <protectedRange sqref="G9" name="Range1"/>
  </protectedRanges>
  <mergeCells count="9">
    <mergeCell ref="I14:K14"/>
    <mergeCell ref="I15:K15"/>
    <mergeCell ref="I16:K18"/>
    <mergeCell ref="A6:K6"/>
    <mergeCell ref="I1:K1"/>
    <mergeCell ref="A2:K2"/>
    <mergeCell ref="A3:K3"/>
    <mergeCell ref="A4:K4"/>
    <mergeCell ref="A5:K5"/>
  </mergeCells>
  <conditionalFormatting sqref="A11">
    <cfRule type="containsText" dxfId="8" priority="2" operator="containsText" text="in fjDr">
      <formula>NOT(ISERROR(SEARCH("in fjDr",A11)))</formula>
    </cfRule>
  </conditionalFormatting>
  <conditionalFormatting sqref="A11">
    <cfRule type="containsText" dxfId="7" priority="1" operator="containsText" text="in fjDr">
      <formula>NOT(ISERROR(SEARCH("in fjDr",A11)))</formula>
    </cfRule>
  </conditionalFormatting>
  <dataValidations count="3">
    <dataValidation type="list" allowBlank="1" showInputMessage="1" showErrorMessage="1" errorTitle="POST" error="SELECT POST FROM LIST" promptTitle="POST ENTRY" sqref="C9">
      <formula1>"ASSISTANT,TEACHER-II,PTI II,LIBRARIAN II,LAB ASST,CLERK GRADE I,PTI  III,TEACHER-III,LIBRARIAN III,LAB ASST,CLERK GRADE II,FIELDMAN &amp; FIELD REC,LAB BOY,DRIVER,JAMADAR,PEON"</formula1>
    </dataValidation>
    <dataValidation type="list" errorStyle="information" allowBlank="1" showInputMessage="1" showErrorMessage="1" sqref="H9">
      <formula1>"4850,5050,5300,5600,5900,6100,6400,6750,7900,8950,10000,11100,13050,15000,16800,18200,20200,21300,22600,23950,26650,36900,38900,43800"</formula1>
    </dataValidation>
    <dataValidation type="list" allowBlank="1" showInputMessage="1" showErrorMessage="1" sqref="G9">
      <formula1>"FIX PAY,1300,1400,1650,1700,1750,1800,1850,1900,2000,2100,2400,2800,3200,3600,4200,4800,5400,6000,6600,6800,7200,7600,8200,8700,8900,9500,10000"</formula1>
    </dataValidation>
  </dataValidations>
  <pageMargins left="0.45" right="0.45" top="0.75" bottom="0.5" header="0.3" footer="0.3"/>
  <pageSetup paperSize="9" scale="97" orientation="landscape" blackAndWhite="1" horizontalDpi="300" verticalDpi="300" r:id="rId1"/>
</worksheet>
</file>

<file path=xl/worksheets/sheet21.xml><?xml version="1.0" encoding="utf-8"?>
<worksheet xmlns="http://schemas.openxmlformats.org/spreadsheetml/2006/main" xmlns:r="http://schemas.openxmlformats.org/officeDocument/2006/relationships">
  <sheetPr codeName="Sheet21">
    <tabColor rgb="FF00B050"/>
  </sheetPr>
  <dimension ref="A1:O42"/>
  <sheetViews>
    <sheetView showGridLines="0" view="pageBreakPreview" zoomScale="110" zoomScaleSheetLayoutView="110" workbookViewId="0">
      <selection activeCell="G8" sqref="G8"/>
    </sheetView>
  </sheetViews>
  <sheetFormatPr defaultColWidth="9.125" defaultRowHeight="15"/>
  <cols>
    <col min="1" max="1" width="3.125" style="314" customWidth="1"/>
    <col min="2" max="2" width="10.375" style="314" customWidth="1"/>
    <col min="3" max="3" width="5.125" style="314" bestFit="1" customWidth="1"/>
    <col min="4" max="4" width="35.625" style="314" customWidth="1"/>
    <col min="5" max="6" width="17.75" style="314" customWidth="1"/>
    <col min="7" max="7" width="9.75" style="49" customWidth="1"/>
    <col min="8" max="8" width="9.75" style="314" customWidth="1"/>
    <col min="9" max="16384" width="9.125" style="314"/>
  </cols>
  <sheetData>
    <row r="1" spans="1:15" ht="16.5" customHeight="1">
      <c r="A1" s="322"/>
      <c r="B1" s="322"/>
      <c r="C1" s="322"/>
      <c r="D1" s="322"/>
      <c r="E1" s="1001">
        <f>Summary!$C$1</f>
        <v>30695</v>
      </c>
      <c r="F1" s="1001"/>
    </row>
    <row r="2" spans="1:15" ht="30" customHeight="1">
      <c r="A2" s="972" t="str">
        <f>Summary!$A$2</f>
        <v>iz/kkukpk;Z egkRek xka/kh jktdh; fo|ky; ¼vaxzsth ek/;e½ cj ] ikyh</v>
      </c>
      <c r="B2" s="972"/>
      <c r="C2" s="972"/>
      <c r="D2" s="972"/>
      <c r="E2" s="972"/>
      <c r="F2" s="972"/>
      <c r="H2" s="315"/>
    </row>
    <row r="3" spans="1:15" ht="16.5">
      <c r="A3" s="1002" t="s">
        <v>764</v>
      </c>
      <c r="B3" s="1002"/>
      <c r="C3" s="1002"/>
      <c r="D3" s="1002"/>
      <c r="E3" s="1002"/>
      <c r="F3" s="1002"/>
      <c r="H3" s="316"/>
    </row>
    <row r="4" spans="1:15" ht="15.75">
      <c r="A4" s="1000" t="s">
        <v>470</v>
      </c>
      <c r="B4" s="1000"/>
      <c r="C4" s="1000"/>
      <c r="D4" s="1000"/>
      <c r="E4" s="568"/>
      <c r="F4" s="568" t="s">
        <v>636</v>
      </c>
    </row>
    <row r="5" spans="1:15" ht="15.75">
      <c r="A5" s="1000" t="s">
        <v>471</v>
      </c>
      <c r="B5" s="1000"/>
      <c r="C5" s="1000"/>
      <c r="D5" s="1000"/>
      <c r="E5" s="568"/>
      <c r="F5" s="568"/>
      <c r="H5" s="317"/>
    </row>
    <row r="6" spans="1:15" ht="59.25" customHeight="1">
      <c r="A6" s="990" t="s">
        <v>39</v>
      </c>
      <c r="B6" s="990"/>
      <c r="C6" s="990"/>
      <c r="D6" s="990"/>
      <c r="E6" s="569" t="s">
        <v>765</v>
      </c>
      <c r="F6" s="569" t="s">
        <v>766</v>
      </c>
      <c r="H6" s="318"/>
      <c r="I6" s="318"/>
      <c r="J6" s="318"/>
      <c r="K6" s="318"/>
      <c r="L6" s="318"/>
      <c r="M6" s="318"/>
      <c r="N6" s="318"/>
      <c r="O6" s="318"/>
    </row>
    <row r="7" spans="1:15" ht="41.1" customHeight="1">
      <c r="A7" s="991" t="s">
        <v>472</v>
      </c>
      <c r="B7" s="994" t="s">
        <v>473</v>
      </c>
      <c r="C7" s="570" t="s">
        <v>472</v>
      </c>
      <c r="D7" s="571" t="s">
        <v>474</v>
      </c>
      <c r="E7" s="319"/>
      <c r="F7" s="320"/>
      <c r="H7" s="318"/>
      <c r="I7" s="318"/>
      <c r="J7" s="318"/>
      <c r="K7" s="318"/>
      <c r="L7" s="318"/>
      <c r="M7" s="318"/>
      <c r="N7" s="318"/>
      <c r="O7" s="318"/>
    </row>
    <row r="8" spans="1:15" ht="41.1" customHeight="1">
      <c r="A8" s="992"/>
      <c r="B8" s="995"/>
      <c r="C8" s="570" t="s">
        <v>475</v>
      </c>
      <c r="D8" s="572" t="s">
        <v>476</v>
      </c>
      <c r="E8" s="320">
        <v>0</v>
      </c>
      <c r="F8" s="320">
        <v>0</v>
      </c>
      <c r="H8" s="318"/>
      <c r="I8" s="318"/>
      <c r="J8" s="318"/>
      <c r="K8" s="318"/>
      <c r="L8" s="318"/>
      <c r="M8" s="318"/>
      <c r="N8" s="318"/>
      <c r="O8" s="318"/>
    </row>
    <row r="9" spans="1:15" ht="41.1" customHeight="1">
      <c r="A9" s="993"/>
      <c r="B9" s="996"/>
      <c r="C9" s="570" t="s">
        <v>477</v>
      </c>
      <c r="D9" s="572" t="s">
        <v>476</v>
      </c>
      <c r="E9" s="320">
        <v>0</v>
      </c>
      <c r="F9" s="320">
        <v>0</v>
      </c>
      <c r="H9" s="318"/>
      <c r="I9" s="318"/>
      <c r="J9" s="318"/>
      <c r="K9" s="318"/>
      <c r="L9" s="318"/>
      <c r="M9" s="318"/>
      <c r="N9" s="318"/>
      <c r="O9" s="318"/>
    </row>
    <row r="10" spans="1:15" ht="41.1" customHeight="1">
      <c r="A10" s="997" t="s">
        <v>478</v>
      </c>
      <c r="B10" s="997"/>
      <c r="C10" s="997"/>
      <c r="D10" s="997"/>
      <c r="E10" s="321">
        <f>SUM(E7:E9)</f>
        <v>0</v>
      </c>
      <c r="F10" s="321">
        <f>SUM(F7:F9)</f>
        <v>0</v>
      </c>
      <c r="H10" s="318"/>
      <c r="I10" s="318"/>
      <c r="J10" s="318"/>
      <c r="K10" s="318"/>
      <c r="L10" s="318"/>
      <c r="M10" s="318"/>
      <c r="N10" s="318"/>
      <c r="O10" s="318"/>
    </row>
    <row r="11" spans="1:15" ht="41.1" customHeight="1">
      <c r="A11" s="991" t="s">
        <v>479</v>
      </c>
      <c r="B11" s="994" t="s">
        <v>480</v>
      </c>
      <c r="C11" s="573" t="s">
        <v>472</v>
      </c>
      <c r="D11" s="572" t="s">
        <v>481</v>
      </c>
      <c r="E11" s="320">
        <v>0</v>
      </c>
      <c r="F11" s="320">
        <v>0</v>
      </c>
      <c r="H11" s="318"/>
      <c r="I11" s="318"/>
      <c r="J11" s="318"/>
      <c r="K11" s="318"/>
      <c r="L11" s="318"/>
      <c r="M11" s="318"/>
      <c r="N11" s="318"/>
      <c r="O11" s="318"/>
    </row>
    <row r="12" spans="1:15" ht="41.1" customHeight="1">
      <c r="A12" s="992"/>
      <c r="B12" s="995"/>
      <c r="C12" s="573" t="s">
        <v>479</v>
      </c>
      <c r="D12" s="574" t="s">
        <v>482</v>
      </c>
      <c r="E12" s="320">
        <v>0</v>
      </c>
      <c r="F12" s="320">
        <v>0</v>
      </c>
      <c r="H12" s="318"/>
      <c r="I12" s="318"/>
      <c r="J12" s="318"/>
      <c r="K12" s="318"/>
      <c r="L12" s="318"/>
      <c r="M12" s="318"/>
      <c r="N12" s="318"/>
      <c r="O12" s="318"/>
    </row>
    <row r="13" spans="1:15" ht="41.1" customHeight="1">
      <c r="A13" s="993"/>
      <c r="B13" s="996"/>
      <c r="C13" s="573" t="s">
        <v>483</v>
      </c>
      <c r="D13" s="572" t="s">
        <v>484</v>
      </c>
      <c r="E13" s="320">
        <v>0</v>
      </c>
      <c r="F13" s="320">
        <v>0</v>
      </c>
      <c r="H13" s="318"/>
      <c r="I13" s="318"/>
      <c r="J13" s="318"/>
      <c r="K13" s="318"/>
      <c r="L13" s="318"/>
      <c r="M13" s="318"/>
      <c r="N13" s="318"/>
      <c r="O13" s="318"/>
    </row>
    <row r="14" spans="1:15" ht="45" customHeight="1">
      <c r="A14" s="989" t="s">
        <v>485</v>
      </c>
      <c r="B14" s="989"/>
      <c r="C14" s="989"/>
      <c r="D14" s="989"/>
      <c r="E14" s="321">
        <f>SUM(E10:E13)</f>
        <v>0</v>
      </c>
      <c r="F14" s="321">
        <f>SUM(F10:F13)</f>
        <v>0</v>
      </c>
      <c r="H14" s="318"/>
      <c r="I14" s="318"/>
      <c r="J14" s="318"/>
      <c r="K14" s="318"/>
      <c r="L14" s="318"/>
      <c r="M14" s="318"/>
      <c r="N14" s="318"/>
      <c r="O14" s="318"/>
    </row>
    <row r="15" spans="1:15">
      <c r="A15" s="998" t="s">
        <v>558</v>
      </c>
      <c r="B15" s="998"/>
      <c r="C15" s="998"/>
      <c r="D15" s="998"/>
      <c r="E15" s="323"/>
      <c r="F15" s="323"/>
      <c r="H15" s="318"/>
      <c r="I15" s="318"/>
      <c r="J15" s="318"/>
      <c r="K15" s="318"/>
      <c r="L15" s="318"/>
      <c r="M15" s="318"/>
      <c r="N15" s="318"/>
      <c r="O15" s="318"/>
    </row>
    <row r="16" spans="1:15">
      <c r="A16" s="999"/>
      <c r="B16" s="999"/>
      <c r="C16" s="999"/>
      <c r="D16" s="999"/>
      <c r="E16" s="323"/>
      <c r="F16" s="323"/>
      <c r="H16" s="318"/>
      <c r="I16" s="318"/>
      <c r="J16" s="318"/>
      <c r="K16" s="318"/>
      <c r="L16" s="318"/>
      <c r="M16" s="318"/>
      <c r="N16" s="318"/>
      <c r="O16" s="318"/>
    </row>
    <row r="17" spans="1:15">
      <c r="A17" s="533"/>
      <c r="B17" s="533"/>
      <c r="C17" s="533"/>
      <c r="D17" s="533"/>
      <c r="E17" s="323"/>
      <c r="F17" s="323"/>
      <c r="H17" s="318"/>
      <c r="I17" s="318"/>
      <c r="J17" s="318"/>
      <c r="K17" s="318"/>
      <c r="L17" s="318"/>
      <c r="M17" s="318"/>
      <c r="N17" s="318"/>
      <c r="O17" s="318"/>
    </row>
    <row r="18" spans="1:15">
      <c r="A18" s="323"/>
      <c r="B18" s="323"/>
      <c r="C18" s="323"/>
      <c r="D18" s="323"/>
      <c r="E18" s="898" t="str">
        <f>CONCATENATE("¼ ",Master!G3,"½")</f>
        <v>¼ m"kk ikfy;k½</v>
      </c>
      <c r="F18" s="898"/>
      <c r="H18" s="318"/>
      <c r="I18" s="318"/>
      <c r="J18" s="318"/>
      <c r="K18" s="318"/>
      <c r="L18" s="318"/>
      <c r="M18" s="318"/>
      <c r="N18" s="318"/>
      <c r="O18" s="318"/>
    </row>
    <row r="19" spans="1:15" ht="16.5">
      <c r="A19" s="323"/>
      <c r="B19" s="323"/>
      <c r="C19" s="323"/>
      <c r="D19" s="323"/>
      <c r="E19" s="886" t="str">
        <f>Master!C2</f>
        <v>iz/kkukpk;Z</v>
      </c>
      <c r="F19" s="886"/>
      <c r="H19" s="318"/>
      <c r="I19" s="318"/>
      <c r="J19" s="318"/>
      <c r="K19" s="318"/>
      <c r="L19" s="318"/>
      <c r="M19" s="318"/>
      <c r="N19" s="318"/>
      <c r="O19" s="318"/>
    </row>
    <row r="20" spans="1:15" ht="56.25" customHeight="1">
      <c r="A20" s="323"/>
      <c r="B20" s="323"/>
      <c r="C20" s="323"/>
      <c r="D20" s="323"/>
      <c r="E20" s="887" t="str">
        <f>Master!D2</f>
        <v>egkRek xka/kh jktdh; fo|ky; ¼vaxzsth ek/;e½ cj ] ikyh</v>
      </c>
      <c r="F20" s="887"/>
      <c r="H20" s="318"/>
      <c r="I20" s="318"/>
      <c r="J20" s="318"/>
      <c r="K20" s="318"/>
      <c r="L20" s="318"/>
      <c r="M20" s="318"/>
      <c r="N20" s="318"/>
      <c r="O20" s="318"/>
    </row>
    <row r="21" spans="1:15">
      <c r="A21" s="318"/>
      <c r="B21" s="318"/>
      <c r="C21" s="318"/>
      <c r="D21" s="318"/>
      <c r="E21" s="318"/>
      <c r="F21" s="318"/>
      <c r="H21" s="318"/>
      <c r="I21" s="318"/>
      <c r="J21" s="318"/>
      <c r="K21" s="318"/>
      <c r="L21" s="318"/>
      <c r="M21" s="318"/>
      <c r="N21" s="318"/>
      <c r="O21" s="318"/>
    </row>
    <row r="22" spans="1:15">
      <c r="A22" s="318"/>
      <c r="B22" s="318"/>
      <c r="C22" s="318"/>
      <c r="D22" s="318"/>
      <c r="E22" s="318"/>
      <c r="F22" s="318"/>
      <c r="H22" s="318"/>
      <c r="I22" s="318"/>
      <c r="J22" s="318"/>
      <c r="K22" s="318"/>
      <c r="L22" s="318"/>
      <c r="M22" s="318"/>
      <c r="N22" s="318"/>
      <c r="O22" s="318"/>
    </row>
    <row r="23" spans="1:15">
      <c r="A23" s="318"/>
      <c r="B23" s="318"/>
      <c r="C23" s="318"/>
      <c r="D23" s="318"/>
      <c r="E23" s="318"/>
      <c r="F23" s="318"/>
      <c r="H23" s="318"/>
      <c r="I23" s="318"/>
      <c r="J23" s="318"/>
      <c r="K23" s="318"/>
      <c r="L23" s="318"/>
      <c r="M23" s="318"/>
      <c r="N23" s="318"/>
      <c r="O23" s="318"/>
    </row>
    <row r="24" spans="1:15">
      <c r="A24" s="318"/>
      <c r="B24" s="318"/>
      <c r="C24" s="318"/>
      <c r="D24" s="318"/>
      <c r="E24" s="318"/>
      <c r="F24" s="318"/>
      <c r="H24" s="318"/>
      <c r="I24" s="318"/>
      <c r="J24" s="318"/>
      <c r="K24" s="318"/>
      <c r="L24" s="318"/>
      <c r="M24" s="318"/>
      <c r="N24" s="318"/>
      <c r="O24" s="318"/>
    </row>
    <row r="25" spans="1:15">
      <c r="A25" s="318"/>
      <c r="B25" s="318"/>
      <c r="C25" s="318"/>
      <c r="D25" s="318"/>
      <c r="E25" s="318"/>
      <c r="F25" s="318"/>
      <c r="H25" s="318"/>
      <c r="I25" s="318"/>
      <c r="J25" s="318"/>
      <c r="K25" s="318"/>
      <c r="L25" s="318"/>
      <c r="M25" s="318"/>
      <c r="N25" s="318"/>
      <c r="O25" s="318"/>
    </row>
    <row r="26" spans="1:15">
      <c r="A26" s="318"/>
      <c r="B26" s="318"/>
      <c r="C26" s="318"/>
      <c r="D26" s="318"/>
      <c r="E26" s="318"/>
      <c r="F26" s="318"/>
      <c r="H26" s="318"/>
      <c r="I26" s="318"/>
      <c r="J26" s="318"/>
      <c r="K26" s="318"/>
      <c r="L26" s="318"/>
      <c r="M26" s="318"/>
      <c r="N26" s="318"/>
      <c r="O26" s="318"/>
    </row>
    <row r="27" spans="1:15">
      <c r="A27" s="318"/>
      <c r="B27" s="318"/>
      <c r="C27" s="318"/>
      <c r="D27" s="318"/>
      <c r="E27" s="318"/>
      <c r="F27" s="318"/>
      <c r="H27" s="318"/>
      <c r="I27" s="318"/>
      <c r="J27" s="318"/>
      <c r="K27" s="318"/>
      <c r="L27" s="318"/>
      <c r="M27" s="318"/>
      <c r="N27" s="318"/>
      <c r="O27" s="318"/>
    </row>
    <row r="28" spans="1:15">
      <c r="A28" s="318"/>
      <c r="B28" s="318"/>
      <c r="C28" s="318"/>
      <c r="D28" s="318"/>
      <c r="E28" s="318"/>
      <c r="F28" s="318"/>
      <c r="H28" s="318"/>
      <c r="I28" s="318"/>
      <c r="J28" s="318"/>
      <c r="K28" s="318"/>
      <c r="L28" s="318"/>
      <c r="M28" s="318"/>
      <c r="N28" s="318"/>
      <c r="O28" s="318"/>
    </row>
    <row r="29" spans="1:15">
      <c r="A29" s="318"/>
      <c r="B29" s="318"/>
      <c r="C29" s="318"/>
      <c r="D29" s="318"/>
      <c r="E29" s="318"/>
      <c r="F29" s="318"/>
      <c r="H29" s="318"/>
      <c r="I29" s="318"/>
      <c r="J29" s="318"/>
      <c r="K29" s="318"/>
      <c r="L29" s="318"/>
      <c r="M29" s="318"/>
      <c r="N29" s="318"/>
      <c r="O29" s="318"/>
    </row>
    <row r="30" spans="1:15">
      <c r="A30" s="318"/>
      <c r="B30" s="318"/>
      <c r="C30" s="318"/>
      <c r="D30" s="318"/>
      <c r="E30" s="318"/>
      <c r="F30" s="318"/>
      <c r="H30" s="318"/>
      <c r="I30" s="318"/>
      <c r="J30" s="318"/>
      <c r="K30" s="318"/>
      <c r="L30" s="318"/>
      <c r="M30" s="318"/>
      <c r="N30" s="318"/>
      <c r="O30" s="318"/>
    </row>
    <row r="31" spans="1:15">
      <c r="A31" s="318"/>
      <c r="B31" s="318"/>
      <c r="C31" s="318"/>
      <c r="D31" s="318"/>
      <c r="E31" s="318"/>
      <c r="F31" s="318"/>
      <c r="H31" s="318"/>
      <c r="I31" s="318"/>
      <c r="J31" s="318"/>
      <c r="K31" s="318"/>
      <c r="L31" s="318"/>
      <c r="M31" s="318"/>
      <c r="N31" s="318"/>
      <c r="O31" s="318"/>
    </row>
    <row r="32" spans="1:15">
      <c r="A32" s="318"/>
      <c r="B32" s="318"/>
      <c r="C32" s="318"/>
      <c r="D32" s="318"/>
      <c r="E32" s="318"/>
      <c r="F32" s="318"/>
      <c r="H32" s="318"/>
      <c r="I32" s="318"/>
      <c r="J32" s="318"/>
      <c r="K32" s="318"/>
      <c r="L32" s="318"/>
      <c r="M32" s="318"/>
      <c r="N32" s="318"/>
      <c r="O32" s="318"/>
    </row>
    <row r="33" spans="1:15">
      <c r="A33" s="318"/>
      <c r="B33" s="318"/>
      <c r="C33" s="318"/>
      <c r="D33" s="318"/>
      <c r="E33" s="318"/>
      <c r="F33" s="318"/>
      <c r="H33" s="318"/>
      <c r="I33" s="318"/>
      <c r="J33" s="318"/>
      <c r="K33" s="318"/>
      <c r="L33" s="318"/>
      <c r="M33" s="318"/>
      <c r="N33" s="318"/>
      <c r="O33" s="318"/>
    </row>
    <row r="34" spans="1:15">
      <c r="A34" s="318"/>
      <c r="B34" s="318"/>
      <c r="C34" s="318"/>
      <c r="D34" s="318"/>
      <c r="E34" s="318"/>
      <c r="F34" s="318"/>
      <c r="H34" s="318"/>
      <c r="I34" s="318"/>
      <c r="J34" s="318"/>
      <c r="K34" s="318"/>
      <c r="L34" s="318"/>
      <c r="M34" s="318"/>
      <c r="N34" s="318"/>
      <c r="O34" s="318"/>
    </row>
    <row r="35" spans="1:15">
      <c r="A35" s="318"/>
      <c r="B35" s="318"/>
      <c r="C35" s="318"/>
      <c r="D35" s="318"/>
      <c r="E35" s="318"/>
      <c r="F35" s="318"/>
      <c r="H35" s="318"/>
      <c r="I35" s="318"/>
      <c r="J35" s="318"/>
      <c r="K35" s="318"/>
      <c r="L35" s="318"/>
      <c r="M35" s="318"/>
      <c r="N35" s="318"/>
      <c r="O35" s="318"/>
    </row>
    <row r="36" spans="1:15">
      <c r="A36" s="318"/>
      <c r="B36" s="318"/>
      <c r="C36" s="318"/>
      <c r="D36" s="318"/>
      <c r="E36" s="318"/>
      <c r="F36" s="318"/>
      <c r="H36" s="318"/>
      <c r="I36" s="318"/>
      <c r="J36" s="318"/>
      <c r="K36" s="318"/>
      <c r="L36" s="318"/>
      <c r="M36" s="318"/>
      <c r="N36" s="318"/>
      <c r="O36" s="318"/>
    </row>
    <row r="37" spans="1:15">
      <c r="A37" s="318"/>
      <c r="B37" s="318"/>
      <c r="C37" s="318"/>
      <c r="D37" s="318"/>
      <c r="E37" s="318"/>
      <c r="F37" s="318"/>
      <c r="H37" s="318"/>
      <c r="I37" s="318"/>
      <c r="J37" s="318"/>
      <c r="K37" s="318"/>
      <c r="L37" s="318"/>
      <c r="M37" s="318"/>
      <c r="N37" s="318"/>
      <c r="O37" s="318"/>
    </row>
    <row r="38" spans="1:15">
      <c r="A38" s="318"/>
      <c r="B38" s="318"/>
      <c r="C38" s="318"/>
      <c r="D38" s="318"/>
      <c r="E38" s="318"/>
      <c r="F38" s="318"/>
      <c r="H38" s="318"/>
      <c r="I38" s="318"/>
      <c r="J38" s="318"/>
      <c r="K38" s="318"/>
      <c r="L38" s="318"/>
      <c r="M38" s="318"/>
      <c r="N38" s="318"/>
      <c r="O38" s="318"/>
    </row>
    <row r="39" spans="1:15">
      <c r="A39" s="318"/>
      <c r="B39" s="318"/>
      <c r="C39" s="318"/>
      <c r="D39" s="318"/>
      <c r="E39" s="318"/>
      <c r="F39" s="318"/>
      <c r="H39" s="318"/>
      <c r="I39" s="318"/>
      <c r="J39" s="318"/>
      <c r="K39" s="318"/>
      <c r="L39" s="318"/>
      <c r="M39" s="318"/>
      <c r="N39" s="318"/>
      <c r="O39" s="318"/>
    </row>
    <row r="40" spans="1:15">
      <c r="A40" s="318"/>
      <c r="B40" s="318"/>
      <c r="C40" s="318"/>
      <c r="D40" s="318"/>
      <c r="E40" s="318"/>
      <c r="F40" s="318"/>
      <c r="H40" s="318"/>
      <c r="I40" s="318"/>
      <c r="J40" s="318"/>
      <c r="K40" s="318"/>
      <c r="L40" s="318"/>
      <c r="M40" s="318"/>
      <c r="N40" s="318"/>
      <c r="O40" s="318"/>
    </row>
    <row r="41" spans="1:15">
      <c r="A41" s="318"/>
      <c r="B41" s="318"/>
      <c r="C41" s="318"/>
      <c r="D41" s="318"/>
      <c r="E41" s="318"/>
      <c r="F41" s="318"/>
      <c r="H41" s="318"/>
      <c r="I41" s="318"/>
      <c r="J41" s="318"/>
      <c r="K41" s="318"/>
      <c r="L41" s="318"/>
      <c r="M41" s="318"/>
      <c r="N41" s="318"/>
      <c r="O41" s="318"/>
    </row>
    <row r="42" spans="1:15">
      <c r="A42" s="318"/>
      <c r="B42" s="318"/>
      <c r="C42" s="318"/>
      <c r="D42" s="318"/>
      <c r="E42" s="318"/>
      <c r="F42" s="318"/>
      <c r="H42" s="318"/>
      <c r="I42" s="318"/>
      <c r="J42" s="318"/>
      <c r="K42" s="318"/>
      <c r="L42" s="318"/>
      <c r="M42" s="318"/>
      <c r="N42" s="318"/>
      <c r="O42" s="318"/>
    </row>
  </sheetData>
  <mergeCells count="16">
    <mergeCell ref="A5:D5"/>
    <mergeCell ref="E1:F1"/>
    <mergeCell ref="A2:F2"/>
    <mergeCell ref="A3:F3"/>
    <mergeCell ref="A4:D4"/>
    <mergeCell ref="A14:D14"/>
    <mergeCell ref="E19:F19"/>
    <mergeCell ref="E20:F20"/>
    <mergeCell ref="A6:D6"/>
    <mergeCell ref="A7:A9"/>
    <mergeCell ref="B7:B9"/>
    <mergeCell ref="A10:D10"/>
    <mergeCell ref="A11:A13"/>
    <mergeCell ref="B11:B13"/>
    <mergeCell ref="A15:D16"/>
    <mergeCell ref="E18:F18"/>
  </mergeCells>
  <conditionalFormatting sqref="A15">
    <cfRule type="containsText" dxfId="6" priority="1" operator="containsText" text="in fjDr">
      <formula>NOT(ISERROR(SEARCH("in fjDr",A15)))</formula>
    </cfRule>
  </conditionalFormatting>
  <pageMargins left="0.65" right="0.41" top="0.75" bottom="0.75" header="0.3" footer="0.3"/>
  <pageSetup paperSize="9" orientation="portrait" blackAndWhite="1" horizontalDpi="300" verticalDpi="300" r:id="rId1"/>
</worksheet>
</file>

<file path=xl/worksheets/sheet22.xml><?xml version="1.0" encoding="utf-8"?>
<worksheet xmlns="http://schemas.openxmlformats.org/spreadsheetml/2006/main" xmlns:r="http://schemas.openxmlformats.org/officeDocument/2006/relationships">
  <sheetPr codeName="Sheet22">
    <tabColor rgb="FFFFFF00"/>
    <pageSetUpPr fitToPage="1"/>
  </sheetPr>
  <dimension ref="A1:K18"/>
  <sheetViews>
    <sheetView showGridLines="0" view="pageBreakPreview" zoomScale="110" zoomScaleSheetLayoutView="110" workbookViewId="0">
      <selection activeCell="M10" sqref="M10"/>
    </sheetView>
  </sheetViews>
  <sheetFormatPr defaultColWidth="9.125" defaultRowHeight="15"/>
  <cols>
    <col min="1" max="1" width="6.625" style="56" customWidth="1"/>
    <col min="2" max="2" width="12.75" style="56" customWidth="1"/>
    <col min="3" max="3" width="10.875" style="56" customWidth="1"/>
    <col min="4" max="4" width="12.25" style="56" customWidth="1"/>
    <col min="5" max="5" width="14.25" style="56" customWidth="1"/>
    <col min="6" max="6" width="12" style="51" customWidth="1"/>
    <col min="7" max="7" width="9.125" style="51"/>
    <col min="8" max="8" width="13.375" style="51" customWidth="1"/>
    <col min="9" max="9" width="12.25" style="51" customWidth="1"/>
    <col min="10" max="10" width="14.625" style="51" customWidth="1"/>
    <col min="11" max="11" width="14.25" style="51" customWidth="1"/>
    <col min="12" max="16384" width="9.125" style="51"/>
  </cols>
  <sheetData>
    <row r="1" spans="1:11" ht="15.75">
      <c r="A1" s="198"/>
      <c r="B1" s="198"/>
      <c r="C1" s="198"/>
      <c r="D1" s="1003"/>
      <c r="E1" s="1003"/>
      <c r="F1" s="147"/>
      <c r="I1" s="894">
        <f>Summary!$C$1</f>
        <v>30695</v>
      </c>
      <c r="J1" s="894"/>
      <c r="K1" s="894"/>
    </row>
    <row r="2" spans="1:11" ht="20.25">
      <c r="A2" s="972" t="str">
        <f>Summary!$A$2</f>
        <v>iz/kkukpk;Z egkRek xka/kh jktdh; fo|ky; ¼vaxzsth ek/;e½ cj ] ikyh</v>
      </c>
      <c r="B2" s="972"/>
      <c r="C2" s="972"/>
      <c r="D2" s="972"/>
      <c r="E2" s="972"/>
      <c r="F2" s="972"/>
      <c r="G2" s="972"/>
      <c r="H2" s="972"/>
      <c r="I2" s="972"/>
      <c r="J2" s="972"/>
      <c r="K2" s="972"/>
    </row>
    <row r="3" spans="1:11" ht="20.25">
      <c r="A3" s="972" t="s">
        <v>495</v>
      </c>
      <c r="B3" s="972"/>
      <c r="C3" s="972"/>
      <c r="D3" s="972"/>
      <c r="E3" s="972"/>
      <c r="F3" s="972"/>
      <c r="G3" s="972"/>
      <c r="H3" s="972"/>
      <c r="I3" s="972"/>
      <c r="J3" s="972"/>
      <c r="K3" s="972"/>
    </row>
    <row r="4" spans="1:11" ht="16.5" customHeight="1">
      <c r="A4" s="973" t="str">
        <f>Summary!A5</f>
        <v>BUDGET HEAD : 2202-GENERAL EDUCATION, 02-SECONDARY EDUCATION, 109-GOVT. SEC. SCHOOL, (02)-GIRLS SCHOOL (STATE FUND)</v>
      </c>
      <c r="B4" s="973"/>
      <c r="C4" s="973"/>
      <c r="D4" s="973"/>
      <c r="E4" s="973"/>
      <c r="F4" s="973"/>
      <c r="G4" s="973"/>
      <c r="H4" s="973"/>
      <c r="I4" s="973"/>
      <c r="J4" s="973"/>
      <c r="K4" s="973"/>
    </row>
    <row r="5" spans="1:11" ht="37.5">
      <c r="A5" s="331" t="s">
        <v>496</v>
      </c>
      <c r="B5" s="331" t="s">
        <v>497</v>
      </c>
      <c r="C5" s="331" t="s">
        <v>431</v>
      </c>
      <c r="D5" s="331" t="s">
        <v>387</v>
      </c>
      <c r="E5" s="331" t="s">
        <v>41</v>
      </c>
      <c r="F5" s="331" t="s">
        <v>498</v>
      </c>
      <c r="G5" s="331" t="s">
        <v>387</v>
      </c>
      <c r="H5" s="331" t="s">
        <v>41</v>
      </c>
      <c r="I5" s="331" t="s">
        <v>429</v>
      </c>
      <c r="J5" s="709" t="s">
        <v>767</v>
      </c>
      <c r="K5" s="331" t="s">
        <v>499</v>
      </c>
    </row>
    <row r="6" spans="1:11" ht="15.75">
      <c r="A6" s="334">
        <v>1</v>
      </c>
      <c r="B6" s="334">
        <v>4</v>
      </c>
      <c r="C6" s="334">
        <v>5</v>
      </c>
      <c r="D6" s="334">
        <v>6</v>
      </c>
      <c r="E6" s="334" t="s">
        <v>500</v>
      </c>
      <c r="F6" s="334">
        <v>8</v>
      </c>
      <c r="G6" s="334">
        <v>9</v>
      </c>
      <c r="H6" s="334" t="s">
        <v>501</v>
      </c>
      <c r="I6" s="334" t="s">
        <v>502</v>
      </c>
      <c r="J6" s="334">
        <v>12</v>
      </c>
      <c r="K6" s="334" t="s">
        <v>503</v>
      </c>
    </row>
    <row r="7" spans="1:11" ht="64.5" customHeight="1">
      <c r="A7" s="337">
        <v>1</v>
      </c>
      <c r="B7" s="338">
        <v>0</v>
      </c>
      <c r="C7" s="338">
        <v>0</v>
      </c>
      <c r="D7" s="337">
        <v>1950</v>
      </c>
      <c r="E7" s="337">
        <f>C7*D7</f>
        <v>0</v>
      </c>
      <c r="F7" s="338">
        <v>1</v>
      </c>
      <c r="G7" s="337">
        <v>1650</v>
      </c>
      <c r="H7" s="337">
        <f>F7*G7</f>
        <v>1650</v>
      </c>
      <c r="I7" s="337">
        <f>E7+H7</f>
        <v>1650</v>
      </c>
      <c r="J7" s="338">
        <v>1650</v>
      </c>
      <c r="K7" s="337">
        <v>0</v>
      </c>
    </row>
    <row r="8" spans="1:11" ht="15" customHeight="1">
      <c r="A8" s="198"/>
      <c r="B8" s="1004" t="s">
        <v>558</v>
      </c>
      <c r="C8" s="1004"/>
      <c r="D8" s="1004"/>
      <c r="E8" s="1004"/>
      <c r="F8" s="1004"/>
    </row>
    <row r="9" spans="1:11" ht="15" customHeight="1">
      <c r="A9" s="198"/>
      <c r="B9" s="1004"/>
      <c r="C9" s="1004"/>
      <c r="D9" s="1004"/>
      <c r="E9" s="1004"/>
      <c r="F9" s="1004"/>
    </row>
    <row r="10" spans="1:11" ht="15" customHeight="1">
      <c r="A10" s="198"/>
      <c r="B10" s="1004"/>
      <c r="C10" s="1004"/>
      <c r="D10" s="1004"/>
      <c r="E10" s="1004"/>
      <c r="F10" s="1004"/>
    </row>
    <row r="11" spans="1:11" ht="15" customHeight="1">
      <c r="A11" s="198"/>
      <c r="B11" s="1004"/>
      <c r="C11" s="1004"/>
      <c r="D11" s="1004"/>
      <c r="E11" s="1004"/>
      <c r="F11" s="1004"/>
      <c r="I11" s="1005" t="str">
        <f>CONCATENATE("¼ ",Master!G3,"½")</f>
        <v>¼ m"kk ikfy;k½</v>
      </c>
      <c r="J11" s="1005"/>
      <c r="K11" s="1005"/>
    </row>
    <row r="12" spans="1:11" ht="16.5">
      <c r="A12" s="198"/>
      <c r="B12" s="1004"/>
      <c r="C12" s="1004"/>
      <c r="D12" s="1004"/>
      <c r="E12" s="1004"/>
      <c r="F12" s="1004"/>
      <c r="I12" s="886" t="str">
        <f>Master!C2</f>
        <v>iz/kkukpk;Z</v>
      </c>
      <c r="J12" s="886"/>
      <c r="K12" s="886"/>
    </row>
    <row r="13" spans="1:11" ht="15" customHeight="1">
      <c r="A13" s="198"/>
      <c r="B13" s="198"/>
      <c r="C13" s="276"/>
      <c r="D13" s="849"/>
      <c r="E13" s="849"/>
      <c r="F13" s="211"/>
      <c r="I13" s="887" t="str">
        <f>Master!D2</f>
        <v>egkRek xka/kh jktdh; fo|ky; ¼vaxzsth ek/;e½ cj ] ikyh</v>
      </c>
      <c r="J13" s="887"/>
      <c r="K13" s="887"/>
    </row>
    <row r="14" spans="1:11" ht="18.75" customHeight="1">
      <c r="A14" s="198"/>
      <c r="B14" s="198"/>
      <c r="C14" s="211"/>
      <c r="D14" s="849"/>
      <c r="E14" s="849"/>
      <c r="F14" s="211"/>
      <c r="I14" s="887"/>
      <c r="J14" s="887"/>
      <c r="K14" s="887"/>
    </row>
    <row r="15" spans="1:11" ht="15" customHeight="1">
      <c r="A15" s="198"/>
      <c r="B15" s="198"/>
      <c r="C15" s="211"/>
      <c r="D15" s="849"/>
      <c r="E15" s="849"/>
      <c r="F15" s="211"/>
      <c r="I15" s="887"/>
      <c r="J15" s="887"/>
      <c r="K15" s="887"/>
    </row>
    <row r="16" spans="1:11" ht="15" customHeight="1">
      <c r="A16" s="276"/>
      <c r="B16" s="276"/>
      <c r="C16" s="276"/>
      <c r="D16" s="211"/>
      <c r="E16" s="211"/>
      <c r="F16" s="211"/>
    </row>
    <row r="17" spans="1:6">
      <c r="A17" s="276"/>
      <c r="B17" s="276"/>
      <c r="C17" s="276"/>
      <c r="D17" s="276"/>
      <c r="E17" s="276"/>
      <c r="F17" s="147"/>
    </row>
    <row r="18" spans="1:6">
      <c r="A18" s="276"/>
      <c r="B18" s="276"/>
      <c r="C18" s="276"/>
      <c r="D18" s="276"/>
      <c r="E18" s="276"/>
      <c r="F18" s="147"/>
    </row>
  </sheetData>
  <mergeCells count="10">
    <mergeCell ref="D13:E15"/>
    <mergeCell ref="I1:K1"/>
    <mergeCell ref="A2:K2"/>
    <mergeCell ref="A3:K3"/>
    <mergeCell ref="A4:K4"/>
    <mergeCell ref="I13:K15"/>
    <mergeCell ref="I12:K12"/>
    <mergeCell ref="D1:E1"/>
    <mergeCell ref="B8:F12"/>
    <mergeCell ref="I11:K11"/>
  </mergeCells>
  <conditionalFormatting sqref="B8:B11">
    <cfRule type="containsText" dxfId="5" priority="1" operator="containsText" text="in fjDr">
      <formula>NOT(ISERROR(SEARCH("in fjDr",B8)))</formula>
    </cfRule>
  </conditionalFormatting>
  <pageMargins left="0.7" right="0.7" top="0.75" bottom="0.75" header="0.3" footer="0.3"/>
  <pageSetup paperSize="9" scale="99" orientation="landscape" blackAndWhite="1" horizontalDpi="300" verticalDpi="300" r:id="rId1"/>
</worksheet>
</file>

<file path=xl/worksheets/sheet23.xml><?xml version="1.0" encoding="utf-8"?>
<worksheet xmlns="http://schemas.openxmlformats.org/spreadsheetml/2006/main" xmlns:r="http://schemas.openxmlformats.org/officeDocument/2006/relationships">
  <sheetPr codeName="Sheet23">
    <tabColor rgb="FFFFFF00"/>
    <pageSetUpPr fitToPage="1"/>
  </sheetPr>
  <dimension ref="A1:K46"/>
  <sheetViews>
    <sheetView showGridLines="0" view="pageBreakPreview" zoomScale="112" zoomScaleSheetLayoutView="112" workbookViewId="0">
      <selection activeCell="G13" sqref="G13"/>
    </sheetView>
  </sheetViews>
  <sheetFormatPr defaultColWidth="9.125" defaultRowHeight="15"/>
  <cols>
    <col min="1" max="1" width="5.375" style="56" customWidth="1"/>
    <col min="2" max="2" width="17" style="56" customWidth="1"/>
    <col min="3" max="3" width="16.625" style="56" customWidth="1"/>
    <col min="4" max="4" width="14.875" style="56" customWidth="1"/>
    <col min="5" max="5" width="15.75" style="56" customWidth="1"/>
    <col min="6" max="6" width="15.625" style="51" customWidth="1"/>
    <col min="7" max="7" width="17.875" style="51" customWidth="1"/>
    <col min="8" max="8" width="17" style="51" customWidth="1"/>
    <col min="9" max="9" width="17.625" style="51" customWidth="1"/>
    <col min="10" max="10" width="14.625" style="51" customWidth="1"/>
    <col min="11" max="11" width="14.25" style="51" customWidth="1"/>
    <col min="12" max="16384" width="9.125" style="51"/>
  </cols>
  <sheetData>
    <row r="1" spans="1:11" ht="15.75">
      <c r="A1" s="198"/>
      <c r="B1" s="198"/>
      <c r="C1" s="198"/>
      <c r="D1" s="1003"/>
      <c r="E1" s="1003"/>
      <c r="F1" s="147"/>
      <c r="H1" s="894">
        <f>Summary!$C$1</f>
        <v>30695</v>
      </c>
      <c r="I1" s="894"/>
      <c r="J1" s="329"/>
      <c r="K1" s="329"/>
    </row>
    <row r="2" spans="1:11" ht="20.25">
      <c r="A2" s="972" t="str">
        <f>Summary!$A$2</f>
        <v>iz/kkukpk;Z egkRek xka/kh jktdh; fo|ky; ¼vaxzsth ek/;e½ cj ] ikyh</v>
      </c>
      <c r="B2" s="972"/>
      <c r="C2" s="972"/>
      <c r="D2" s="972"/>
      <c r="E2" s="972"/>
      <c r="F2" s="972"/>
      <c r="G2" s="972"/>
      <c r="H2" s="972"/>
      <c r="I2" s="972"/>
      <c r="J2" s="340"/>
      <c r="K2" s="340"/>
    </row>
    <row r="3" spans="1:11" ht="20.25">
      <c r="A3" s="972" t="s">
        <v>511</v>
      </c>
      <c r="B3" s="972"/>
      <c r="C3" s="972"/>
      <c r="D3" s="972"/>
      <c r="E3" s="972"/>
      <c r="F3" s="972"/>
      <c r="G3" s="972"/>
      <c r="H3" s="972"/>
      <c r="I3" s="972"/>
      <c r="J3" s="340"/>
      <c r="K3" s="340"/>
    </row>
    <row r="4" spans="1:11" ht="16.5" customHeight="1">
      <c r="A4" s="1007" t="str">
        <f>Summary!A5</f>
        <v>BUDGET HEAD : 2202-GENERAL EDUCATION, 02-SECONDARY EDUCATION, 109-GOVT. SEC. SCHOOL, (02)-GIRLS SCHOOL (STATE FUND)</v>
      </c>
      <c r="B4" s="1007"/>
      <c r="C4" s="1007"/>
      <c r="D4" s="1007"/>
      <c r="E4" s="1007"/>
      <c r="F4" s="1007"/>
      <c r="G4" s="1007"/>
      <c r="H4" s="1007"/>
      <c r="I4" s="1007"/>
      <c r="J4" s="341"/>
      <c r="K4" s="341"/>
    </row>
    <row r="5" spans="1:11" ht="18.75">
      <c r="A5" s="1006" t="s">
        <v>584</v>
      </c>
      <c r="B5" s="1006"/>
      <c r="C5" s="1006"/>
      <c r="D5" s="1006"/>
      <c r="E5" s="1006"/>
      <c r="F5" s="1006"/>
      <c r="G5" s="1006"/>
      <c r="H5" s="1006"/>
      <c r="I5" s="1006"/>
    </row>
    <row r="6" spans="1:11" ht="32.25" customHeight="1">
      <c r="A6" s="342" t="s">
        <v>509</v>
      </c>
      <c r="B6" s="342" t="s">
        <v>504</v>
      </c>
      <c r="C6" s="342" t="s">
        <v>505</v>
      </c>
      <c r="D6" s="342" t="s">
        <v>507</v>
      </c>
      <c r="E6" s="342" t="s">
        <v>508</v>
      </c>
      <c r="F6" s="342" t="s">
        <v>510</v>
      </c>
      <c r="G6" s="342" t="s">
        <v>506</v>
      </c>
      <c r="H6" s="342" t="s">
        <v>352</v>
      </c>
      <c r="I6" s="343" t="s">
        <v>585</v>
      </c>
    </row>
    <row r="7" spans="1:11" ht="15.75">
      <c r="A7" s="333">
        <v>1</v>
      </c>
      <c r="B7" s="336" t="str">
        <f>IF(AND(Master!B60=""),"",Master!B60)</f>
        <v>Jherh m"kk ikfy;k</v>
      </c>
      <c r="C7" s="333" t="str">
        <f>IF(AND(Master!C60=""),"",Master!C60)</f>
        <v>PRINCIPAL</v>
      </c>
      <c r="D7" s="333"/>
      <c r="E7" s="333"/>
      <c r="F7" s="333"/>
      <c r="G7" s="333"/>
      <c r="H7" s="342">
        <f>IF(AND(B7=""),"",D7+E7+F7+G7)</f>
        <v>0</v>
      </c>
      <c r="I7" s="333"/>
    </row>
    <row r="8" spans="1:11" ht="15.75">
      <c r="A8" s="333">
        <v>2</v>
      </c>
      <c r="B8" s="336" t="str">
        <f>IF(AND(Master!B61=""),"",Master!B61)</f>
        <v>Jh ;ksxsUnz</v>
      </c>
      <c r="C8" s="333" t="str">
        <f>IF(AND(Master!C61=""),"",Master!C61)</f>
        <v>TEACHER-II</v>
      </c>
      <c r="D8" s="333"/>
      <c r="E8" s="333"/>
      <c r="F8" s="333"/>
      <c r="G8" s="333"/>
      <c r="H8" s="342">
        <f t="shared" ref="H8:H37" si="0">IF(AND(B8=""),"",D8+E8+F8+G8)</f>
        <v>0</v>
      </c>
      <c r="I8" s="333"/>
    </row>
    <row r="9" spans="1:11" ht="15.75">
      <c r="A9" s="333">
        <v>3</v>
      </c>
      <c r="B9" s="336" t="str">
        <f>IF(AND(Master!B62=""),"",Master!B62)</f>
        <v>Jh lqjs'k pUn flaxkfM+;k</v>
      </c>
      <c r="C9" s="333" t="str">
        <f>IF(AND(Master!C62=""),"",Master!C62)</f>
        <v>TEACHER-II</v>
      </c>
      <c r="D9" s="333"/>
      <c r="E9" s="333"/>
      <c r="F9" s="333"/>
      <c r="G9" s="333"/>
      <c r="H9" s="342">
        <f t="shared" si="0"/>
        <v>0</v>
      </c>
      <c r="I9" s="333"/>
    </row>
    <row r="10" spans="1:11" ht="15.75">
      <c r="A10" s="333">
        <v>4</v>
      </c>
      <c r="B10" s="336" t="str">
        <f>IF(AND(Master!B63=""),"",Master!B63)</f>
        <v>Jh jkds'k dqekj 'kekZ</v>
      </c>
      <c r="C10" s="333" t="str">
        <f>IF(AND(Master!C63=""),"",Master!C63)</f>
        <v>TEACHER-II</v>
      </c>
      <c r="D10" s="333"/>
      <c r="E10" s="333"/>
      <c r="F10" s="333"/>
      <c r="G10" s="333"/>
      <c r="H10" s="342">
        <f t="shared" si="0"/>
        <v>0</v>
      </c>
      <c r="I10" s="333"/>
    </row>
    <row r="11" spans="1:11" ht="15.75">
      <c r="A11" s="333">
        <v>5</v>
      </c>
      <c r="B11" s="336" t="str">
        <f>IF(AND(Master!B64=""),"",Master!B64)</f>
        <v>Jh ghjkyky tkV</v>
      </c>
      <c r="C11" s="333" t="str">
        <f>IF(AND(Master!C64=""),"",Master!C64)</f>
        <v>TEACHER-II</v>
      </c>
      <c r="D11" s="333"/>
      <c r="E11" s="333"/>
      <c r="F11" s="333"/>
      <c r="G11" s="333"/>
      <c r="H11" s="342">
        <f t="shared" si="0"/>
        <v>0</v>
      </c>
      <c r="I11" s="333"/>
    </row>
    <row r="12" spans="1:11" ht="15.75">
      <c r="A12" s="333">
        <v>6</v>
      </c>
      <c r="B12" s="336" t="str">
        <f>IF(AND(Master!B65=""),"",Master!B65)</f>
        <v>Jh 'kjn 'kekZ</v>
      </c>
      <c r="C12" s="333" t="str">
        <f>IF(AND(Master!C65=""),"",Master!C65)</f>
        <v>TEACHER-II</v>
      </c>
      <c r="D12" s="333"/>
      <c r="E12" s="333"/>
      <c r="F12" s="333"/>
      <c r="G12" s="333"/>
      <c r="H12" s="342">
        <f t="shared" si="0"/>
        <v>0</v>
      </c>
      <c r="I12" s="333"/>
    </row>
    <row r="13" spans="1:11" ht="15.75">
      <c r="A13" s="333">
        <v>7</v>
      </c>
      <c r="B13" s="336" t="str">
        <f>IF(AND(Master!B66=""),"",Master!B66)</f>
        <v>Jh jk/ks';ke</v>
      </c>
      <c r="C13" s="333" t="str">
        <f>IF(AND(Master!C66=""),"",Master!C66)</f>
        <v>TEACHER-II</v>
      </c>
      <c r="D13" s="333"/>
      <c r="E13" s="333"/>
      <c r="F13" s="333"/>
      <c r="G13" s="333"/>
      <c r="H13" s="342">
        <f t="shared" si="0"/>
        <v>0</v>
      </c>
      <c r="I13" s="333"/>
    </row>
    <row r="14" spans="1:11" ht="15.75">
      <c r="A14" s="333">
        <v>8</v>
      </c>
      <c r="B14" s="336" t="str">
        <f>IF(AND(Master!B67=""),"",Master!B67)</f>
        <v>Jh izdk'k pUn</v>
      </c>
      <c r="C14" s="333" t="str">
        <f>IF(AND(Master!C67=""),"",Master!C67)</f>
        <v>TEACHER-III</v>
      </c>
      <c r="D14" s="333"/>
      <c r="E14" s="333"/>
      <c r="F14" s="333"/>
      <c r="G14" s="333"/>
      <c r="H14" s="342">
        <f t="shared" si="0"/>
        <v>0</v>
      </c>
      <c r="I14" s="333"/>
    </row>
    <row r="15" spans="1:11" ht="15.75">
      <c r="A15" s="333">
        <v>9</v>
      </c>
      <c r="B15" s="336" t="str">
        <f>IF(AND(Master!B68=""),"",Master!B68)</f>
        <v>Jherh eerk yokfu;k</v>
      </c>
      <c r="C15" s="333" t="str">
        <f>IF(AND(Master!C68=""),"",Master!C68)</f>
        <v>TEACHER-III</v>
      </c>
      <c r="D15" s="333"/>
      <c r="E15" s="333"/>
      <c r="F15" s="333"/>
      <c r="G15" s="333"/>
      <c r="H15" s="342">
        <f t="shared" si="0"/>
        <v>0</v>
      </c>
      <c r="I15" s="333"/>
    </row>
    <row r="16" spans="1:11" ht="15.75">
      <c r="A16" s="333">
        <v>10</v>
      </c>
      <c r="B16" s="336" t="str">
        <f>IF(AND(Master!B69=""),"",Master!B69)</f>
        <v>Jh lEirjkt</v>
      </c>
      <c r="C16" s="333" t="str">
        <f>IF(AND(Master!C69=""),"",Master!C69)</f>
        <v>TEACHER-III</v>
      </c>
      <c r="D16" s="333"/>
      <c r="E16" s="333"/>
      <c r="F16" s="333"/>
      <c r="G16" s="333"/>
      <c r="H16" s="342">
        <f t="shared" si="0"/>
        <v>0</v>
      </c>
      <c r="I16" s="333"/>
    </row>
    <row r="17" spans="1:9" ht="15.75">
      <c r="A17" s="333">
        <v>11</v>
      </c>
      <c r="B17" s="336" t="str">
        <f>IF(AND(Master!B70=""),"",Master!B70)</f>
        <v>Jh eukst ikpksjh</v>
      </c>
      <c r="C17" s="333" t="str">
        <f>IF(AND(Master!C70=""),"",Master!C70)</f>
        <v>TEACHER-III</v>
      </c>
      <c r="D17" s="333"/>
      <c r="E17" s="333"/>
      <c r="F17" s="333"/>
      <c r="G17" s="333"/>
      <c r="H17" s="342">
        <f t="shared" si="0"/>
        <v>0</v>
      </c>
      <c r="I17" s="333"/>
    </row>
    <row r="18" spans="1:9" ht="15.75">
      <c r="A18" s="333">
        <v>12</v>
      </c>
      <c r="B18" s="336" t="str">
        <f>IF(AND(Master!B71=""),"",Master!B71)</f>
        <v>Jh iznhiflag</v>
      </c>
      <c r="C18" s="333" t="str">
        <f>IF(AND(Master!C71=""),"",Master!C71)</f>
        <v>TEACHER-III</v>
      </c>
      <c r="D18" s="333"/>
      <c r="E18" s="333"/>
      <c r="F18" s="333"/>
      <c r="G18" s="333"/>
      <c r="H18" s="342">
        <f t="shared" si="0"/>
        <v>0</v>
      </c>
      <c r="I18" s="333"/>
    </row>
    <row r="19" spans="1:9" ht="15.75">
      <c r="A19" s="333">
        <v>13</v>
      </c>
      <c r="B19" s="336" t="str">
        <f>IF(AND(Master!B72=""),"",Master!B72)</f>
        <v>Jh vfHkeU;q flag</v>
      </c>
      <c r="C19" s="333" t="str">
        <f>IF(AND(Master!C72=""),"",Master!C72)</f>
        <v>TEACHER-III</v>
      </c>
      <c r="D19" s="333"/>
      <c r="E19" s="333"/>
      <c r="F19" s="333"/>
      <c r="G19" s="333"/>
      <c r="H19" s="342">
        <f t="shared" si="0"/>
        <v>0</v>
      </c>
      <c r="I19" s="333"/>
    </row>
    <row r="20" spans="1:9" ht="15.75">
      <c r="A20" s="333">
        <v>14</v>
      </c>
      <c r="B20" s="336" t="str">
        <f>IF(AND(Master!B73=""),"",Master!B73)</f>
        <v>Jh iq"isUn toM+k</v>
      </c>
      <c r="C20" s="333" t="str">
        <f>IF(AND(Master!C73=""),"",Master!C73)</f>
        <v>TEACHER-III</v>
      </c>
      <c r="D20" s="333"/>
      <c r="E20" s="333"/>
      <c r="F20" s="333"/>
      <c r="G20" s="333"/>
      <c r="H20" s="342">
        <f t="shared" si="0"/>
        <v>0</v>
      </c>
      <c r="I20" s="333"/>
    </row>
    <row r="21" spans="1:9" ht="15.75">
      <c r="A21" s="333">
        <v>15</v>
      </c>
      <c r="B21" s="336" t="str">
        <f>IF(AND(Master!B74=""),"",Master!B74)</f>
        <v>Jh lq[kohjflag</v>
      </c>
      <c r="C21" s="333" t="str">
        <f>IF(AND(Master!C74=""),"",Master!C74)</f>
        <v>TEACHER-III</v>
      </c>
      <c r="D21" s="333"/>
      <c r="E21" s="333"/>
      <c r="F21" s="333"/>
      <c r="G21" s="333"/>
      <c r="H21" s="342">
        <f t="shared" si="0"/>
        <v>0</v>
      </c>
      <c r="I21" s="333"/>
    </row>
    <row r="22" spans="1:9" ht="15.75">
      <c r="A22" s="333">
        <v>16</v>
      </c>
      <c r="B22" s="336" t="str">
        <f>IF(AND(Master!B75=""),"",Master!B75)</f>
        <v>Jh izoh.k lksyadh</v>
      </c>
      <c r="C22" s="333" t="str">
        <f>IF(AND(Master!C75=""),"",Master!C75)</f>
        <v>LIBRARIAN III</v>
      </c>
      <c r="D22" s="333"/>
      <c r="E22" s="333"/>
      <c r="F22" s="333"/>
      <c r="G22" s="333"/>
      <c r="H22" s="342">
        <f t="shared" si="0"/>
        <v>0</v>
      </c>
      <c r="I22" s="333"/>
    </row>
    <row r="23" spans="1:9" ht="15.75">
      <c r="A23" s="333">
        <v>17</v>
      </c>
      <c r="B23" s="336" t="str">
        <f>IF(AND(Master!B76=""),"",Master!B76)</f>
        <v>Jherh 'kkjnk pkS/kjh</v>
      </c>
      <c r="C23" s="333" t="str">
        <f>IF(AND(Master!C76=""),"",Master!C76)</f>
        <v>PTI  III</v>
      </c>
      <c r="D23" s="333"/>
      <c r="E23" s="333"/>
      <c r="F23" s="333"/>
      <c r="G23" s="333"/>
      <c r="H23" s="342">
        <f t="shared" si="0"/>
        <v>0</v>
      </c>
      <c r="I23" s="333"/>
    </row>
    <row r="24" spans="1:9" ht="15.75">
      <c r="A24" s="333">
        <v>18</v>
      </c>
      <c r="B24" s="336" t="str">
        <f>IF(AND(Master!B77=""),"",Master!B77)</f>
        <v>Jh eqds'k dqekj</v>
      </c>
      <c r="C24" s="333" t="str">
        <f>IF(AND(Master!C77=""),"",Master!C77)</f>
        <v>LAB ASST</v>
      </c>
      <c r="D24" s="333"/>
      <c r="E24" s="333"/>
      <c r="F24" s="333"/>
      <c r="G24" s="333"/>
      <c r="H24" s="342">
        <f t="shared" si="0"/>
        <v>0</v>
      </c>
      <c r="I24" s="333"/>
    </row>
    <row r="25" spans="1:9" ht="15.75">
      <c r="A25" s="333">
        <v>19</v>
      </c>
      <c r="B25" s="336" t="str">
        <f>IF(AND(Master!B78=""),"",Master!B78)</f>
        <v xml:space="preserve">Jh jkds'k dqekj </v>
      </c>
      <c r="C25" s="333" t="str">
        <f>IF(AND(Master!C78=""),"",Master!C78)</f>
        <v>CLERK GRADE II</v>
      </c>
      <c r="D25" s="333"/>
      <c r="E25" s="333"/>
      <c r="F25" s="333"/>
      <c r="G25" s="333"/>
      <c r="H25" s="342">
        <f t="shared" si="0"/>
        <v>0</v>
      </c>
      <c r="I25" s="333"/>
    </row>
    <row r="26" spans="1:9" ht="15.75">
      <c r="A26" s="333">
        <v>20</v>
      </c>
      <c r="B26" s="336" t="str">
        <f>IF(AND(Master!B79=""),"",Master!B79)</f>
        <v xml:space="preserve">Jh fueZy dqekj </v>
      </c>
      <c r="C26" s="333" t="str">
        <f>IF(AND(Master!C79=""),"",Master!C79)</f>
        <v>CLERK GRADE III</v>
      </c>
      <c r="D26" s="333"/>
      <c r="E26" s="333"/>
      <c r="F26" s="333"/>
      <c r="G26" s="333"/>
      <c r="H26" s="342">
        <f t="shared" si="0"/>
        <v>0</v>
      </c>
      <c r="I26" s="333"/>
    </row>
    <row r="27" spans="1:9" ht="15.75">
      <c r="A27" s="333">
        <v>21</v>
      </c>
      <c r="B27" s="336" t="str">
        <f>IF(AND(Master!B80=""),"",Master!B80)</f>
        <v>fjDr in</v>
      </c>
      <c r="C27" s="333" t="str">
        <f>IF(AND(Master!C80=""),"",Master!C80)</f>
        <v>PEON</v>
      </c>
      <c r="D27" s="333"/>
      <c r="E27" s="333"/>
      <c r="F27" s="333"/>
      <c r="G27" s="333"/>
      <c r="H27" s="342">
        <f t="shared" si="0"/>
        <v>0</v>
      </c>
      <c r="I27" s="333"/>
    </row>
    <row r="28" spans="1:9" ht="15.75">
      <c r="A28" s="333">
        <v>22</v>
      </c>
      <c r="B28" s="336" t="str">
        <f>IF(AND(Master!B81=""),"",Master!B81)</f>
        <v>fjDr in</v>
      </c>
      <c r="C28" s="333" t="str">
        <f>IF(AND(Master!C81=""),"",Master!C81)</f>
        <v>PEON</v>
      </c>
      <c r="D28" s="333"/>
      <c r="E28" s="333"/>
      <c r="F28" s="333"/>
      <c r="G28" s="333"/>
      <c r="H28" s="342">
        <f t="shared" si="0"/>
        <v>0</v>
      </c>
      <c r="I28" s="333"/>
    </row>
    <row r="29" spans="1:9" ht="15.75">
      <c r="A29" s="333">
        <v>23</v>
      </c>
      <c r="B29" s="336" t="str">
        <f>IF(AND(Master!B82=""),"",Master!B82)</f>
        <v>fjDr in</v>
      </c>
      <c r="C29" s="333" t="str">
        <f>IF(AND(Master!C82=""),"",Master!C82)</f>
        <v>PEON</v>
      </c>
      <c r="D29" s="333"/>
      <c r="E29" s="333"/>
      <c r="F29" s="333"/>
      <c r="G29" s="333"/>
      <c r="H29" s="342">
        <f t="shared" si="0"/>
        <v>0</v>
      </c>
      <c r="I29" s="333"/>
    </row>
    <row r="30" spans="1:9" ht="15.75">
      <c r="A30" s="333">
        <v>24</v>
      </c>
      <c r="B30" s="336" t="str">
        <f>IF(AND(Master!B83=""),"",Master!B83)</f>
        <v/>
      </c>
      <c r="C30" s="333" t="str">
        <f>IF(AND(Master!C83=""),"",Master!C83)</f>
        <v/>
      </c>
      <c r="D30" s="333"/>
      <c r="E30" s="333"/>
      <c r="F30" s="333"/>
      <c r="G30" s="333"/>
      <c r="H30" s="342" t="str">
        <f t="shared" si="0"/>
        <v/>
      </c>
      <c r="I30" s="333"/>
    </row>
    <row r="31" spans="1:9" ht="15.75">
      <c r="A31" s="333">
        <v>25</v>
      </c>
      <c r="B31" s="336" t="str">
        <f>IF(AND(Master!B84=""),"",Master!B84)</f>
        <v/>
      </c>
      <c r="C31" s="333" t="str">
        <f>IF(AND(Master!C84=""),"",Master!C84)</f>
        <v/>
      </c>
      <c r="D31" s="333"/>
      <c r="E31" s="333"/>
      <c r="F31" s="333"/>
      <c r="G31" s="333"/>
      <c r="H31" s="342" t="str">
        <f t="shared" si="0"/>
        <v/>
      </c>
      <c r="I31" s="333"/>
    </row>
    <row r="32" spans="1:9" ht="15.75">
      <c r="A32" s="333">
        <v>26</v>
      </c>
      <c r="B32" s="336" t="str">
        <f>IF(AND(Master!B85=""),"",Master!B85)</f>
        <v/>
      </c>
      <c r="C32" s="333" t="str">
        <f>IF(AND(Master!C85=""),"",Master!C85)</f>
        <v/>
      </c>
      <c r="D32" s="333"/>
      <c r="E32" s="333"/>
      <c r="F32" s="333"/>
      <c r="G32" s="333"/>
      <c r="H32" s="342" t="str">
        <f t="shared" si="0"/>
        <v/>
      </c>
      <c r="I32" s="333"/>
    </row>
    <row r="33" spans="1:11" ht="15.75">
      <c r="A33" s="333">
        <v>27</v>
      </c>
      <c r="B33" s="336" t="str">
        <f>IF(AND(Master!B86=""),"",Master!B86)</f>
        <v/>
      </c>
      <c r="C33" s="333" t="str">
        <f>IF(AND(Master!C86=""),"",Master!C86)</f>
        <v/>
      </c>
      <c r="D33" s="333"/>
      <c r="E33" s="333"/>
      <c r="F33" s="333"/>
      <c r="G33" s="333"/>
      <c r="H33" s="342" t="str">
        <f t="shared" si="0"/>
        <v/>
      </c>
      <c r="I33" s="333"/>
    </row>
    <row r="34" spans="1:11" ht="15.75">
      <c r="A34" s="333">
        <v>28</v>
      </c>
      <c r="B34" s="336" t="str">
        <f>IF(AND(Master!B87=""),"",Master!B87)</f>
        <v/>
      </c>
      <c r="C34" s="333" t="str">
        <f>IF(AND(Master!C87=""),"",Master!C87)</f>
        <v/>
      </c>
      <c r="D34" s="333"/>
      <c r="E34" s="333"/>
      <c r="F34" s="333"/>
      <c r="G34" s="333"/>
      <c r="H34" s="342" t="str">
        <f t="shared" si="0"/>
        <v/>
      </c>
      <c r="I34" s="333"/>
    </row>
    <row r="35" spans="1:11" ht="15.75">
      <c r="A35" s="333">
        <v>29</v>
      </c>
      <c r="B35" s="336" t="str">
        <f>IF(AND(Master!B88=""),"",Master!B88)</f>
        <v/>
      </c>
      <c r="C35" s="333" t="str">
        <f>IF(AND(Master!C88=""),"",Master!C88)</f>
        <v/>
      </c>
      <c r="D35" s="333"/>
      <c r="E35" s="333"/>
      <c r="F35" s="333"/>
      <c r="G35" s="333"/>
      <c r="H35" s="342" t="str">
        <f t="shared" si="0"/>
        <v/>
      </c>
      <c r="I35" s="333"/>
    </row>
    <row r="36" spans="1:11" ht="15.75">
      <c r="A36" s="333">
        <v>30</v>
      </c>
      <c r="B36" s="336" t="str">
        <f>IF(AND(Master!B89=""),"",Master!B89)</f>
        <v/>
      </c>
      <c r="C36" s="333" t="str">
        <f>IF(AND(Master!C89=""),"",Master!C89)</f>
        <v/>
      </c>
      <c r="D36" s="333"/>
      <c r="E36" s="333"/>
      <c r="F36" s="333"/>
      <c r="G36" s="333"/>
      <c r="H36" s="342" t="str">
        <f t="shared" si="0"/>
        <v/>
      </c>
      <c r="I36" s="333"/>
    </row>
    <row r="37" spans="1:11" ht="15.75">
      <c r="A37" s="333">
        <v>31</v>
      </c>
      <c r="B37" s="336" t="str">
        <f>IF(AND(Master!B90=""),"",Master!B90)</f>
        <v/>
      </c>
      <c r="C37" s="333" t="str">
        <f>IF(AND(Master!C90=""),"",Master!C90)</f>
        <v/>
      </c>
      <c r="D37" s="333"/>
      <c r="E37" s="333"/>
      <c r="F37" s="333"/>
      <c r="G37" s="333"/>
      <c r="H37" s="342" t="str">
        <f t="shared" si="0"/>
        <v/>
      </c>
      <c r="I37" s="333"/>
    </row>
    <row r="38" spans="1:11" ht="18.75" customHeight="1">
      <c r="A38" s="198"/>
      <c r="B38" s="1008" t="s">
        <v>558</v>
      </c>
      <c r="C38" s="1008"/>
      <c r="D38" s="1008"/>
      <c r="E38" s="1008"/>
      <c r="F38" s="1008"/>
    </row>
    <row r="39" spans="1:11" ht="18.75" customHeight="1">
      <c r="A39" s="198"/>
      <c r="B39" s="1004"/>
      <c r="C39" s="1004"/>
      <c r="D39" s="1004"/>
      <c r="E39" s="1004"/>
      <c r="F39" s="1004"/>
    </row>
    <row r="40" spans="1:11" ht="18.75" customHeight="1">
      <c r="A40" s="198"/>
      <c r="B40" s="1004"/>
      <c r="C40" s="1004"/>
      <c r="D40" s="1004"/>
      <c r="E40" s="1004"/>
      <c r="F40" s="1004"/>
      <c r="H40" s="1005" t="str">
        <f>CONCATENATE("¼ ",Master!G3,"½")</f>
        <v>¼ m"kk ikfy;k½</v>
      </c>
      <c r="I40" s="1005"/>
    </row>
    <row r="41" spans="1:11" ht="18.75">
      <c r="A41" s="198"/>
      <c r="B41" s="1004"/>
      <c r="C41" s="1004"/>
      <c r="D41" s="1004"/>
      <c r="E41" s="1004"/>
      <c r="F41" s="1004"/>
      <c r="H41" s="886" t="str">
        <f>Master!C2</f>
        <v>iz/kkukpk;Z</v>
      </c>
      <c r="I41" s="886"/>
      <c r="J41" s="266"/>
      <c r="K41" s="266"/>
    </row>
    <row r="42" spans="1:11" ht="18.75" customHeight="1">
      <c r="A42" s="198"/>
      <c r="B42" s="198"/>
      <c r="C42" s="276"/>
      <c r="D42" s="109"/>
      <c r="E42" s="109"/>
      <c r="F42" s="211"/>
      <c r="H42" s="887" t="str">
        <f>Master!D2</f>
        <v>egkRek xka/kh jktdh; fo|ky; ¼vaxzsth ek/;e½ cj ] ikyh</v>
      </c>
      <c r="I42" s="887"/>
      <c r="J42" s="109"/>
      <c r="K42" s="109"/>
    </row>
    <row r="43" spans="1:11" ht="18.75" customHeight="1">
      <c r="A43" s="198"/>
      <c r="B43" s="198"/>
      <c r="C43" s="211"/>
      <c r="D43" s="109"/>
      <c r="E43" s="109"/>
      <c r="F43" s="211"/>
      <c r="H43" s="887"/>
      <c r="I43" s="887"/>
      <c r="J43" s="109"/>
      <c r="K43" s="109"/>
    </row>
    <row r="44" spans="1:11" ht="15" customHeight="1">
      <c r="A44" s="276"/>
      <c r="B44" s="276"/>
      <c r="C44" s="276"/>
      <c r="D44" s="211"/>
      <c r="E44" s="211"/>
      <c r="F44" s="211"/>
    </row>
    <row r="45" spans="1:11">
      <c r="A45" s="276"/>
      <c r="B45" s="276"/>
      <c r="C45" s="276"/>
      <c r="D45" s="276"/>
      <c r="E45" s="276"/>
      <c r="F45" s="147"/>
    </row>
    <row r="46" spans="1:11">
      <c r="A46" s="276"/>
      <c r="B46" s="276"/>
      <c r="C46" s="276"/>
      <c r="D46" s="276"/>
      <c r="E46" s="276"/>
      <c r="F46" s="147"/>
    </row>
  </sheetData>
  <mergeCells count="10">
    <mergeCell ref="H41:I41"/>
    <mergeCell ref="H42:I43"/>
    <mergeCell ref="D1:E1"/>
    <mergeCell ref="A5:I5"/>
    <mergeCell ref="H1:I1"/>
    <mergeCell ref="A2:I2"/>
    <mergeCell ref="A3:I3"/>
    <mergeCell ref="A4:I4"/>
    <mergeCell ref="B38:F41"/>
    <mergeCell ref="H40:I40"/>
  </mergeCells>
  <conditionalFormatting sqref="B38:B40">
    <cfRule type="containsText" dxfId="4" priority="1" operator="containsText" text="in fjDr">
      <formula>NOT(ISERROR(SEARCH("in fjDr",B38)))</formula>
    </cfRule>
  </conditionalFormatting>
  <pageMargins left="0.62" right="0.36" top="0.39" bottom="0.39" header="0.3" footer="0.3"/>
  <pageSetup paperSize="9" scale="99" fitToHeight="2" orientation="landscape" blackAndWhite="1" horizontalDpi="300" verticalDpi="300" r:id="rId1"/>
  <drawing r:id="rId2"/>
</worksheet>
</file>

<file path=xl/worksheets/sheet24.xml><?xml version="1.0" encoding="utf-8"?>
<worksheet xmlns="http://schemas.openxmlformats.org/spreadsheetml/2006/main" xmlns:r="http://schemas.openxmlformats.org/officeDocument/2006/relationships">
  <sheetPr codeName="Sheet24">
    <tabColor rgb="FFFFFF00"/>
    <pageSetUpPr fitToPage="1"/>
  </sheetPr>
  <dimension ref="A1:H19"/>
  <sheetViews>
    <sheetView showGridLines="0" view="pageBreakPreview" zoomScale="110" zoomScaleSheetLayoutView="110" workbookViewId="0">
      <selection activeCell="J10" sqref="J10"/>
    </sheetView>
  </sheetViews>
  <sheetFormatPr defaultColWidth="9.125" defaultRowHeight="15"/>
  <cols>
    <col min="1" max="1" width="6.375" style="330" customWidth="1"/>
    <col min="2" max="2" width="13.125" style="330" customWidth="1"/>
    <col min="3" max="3" width="28" style="330" customWidth="1"/>
    <col min="4" max="4" width="16.375" style="330" customWidth="1"/>
    <col min="5" max="5" width="12.25" style="330" customWidth="1"/>
    <col min="6" max="6" width="19.25" style="330" customWidth="1"/>
    <col min="7" max="7" width="18.375" style="330" customWidth="1"/>
    <col min="8" max="8" width="17.875" style="330" customWidth="1"/>
    <col min="9" max="16384" width="9.125" style="330"/>
  </cols>
  <sheetData>
    <row r="1" spans="1:8" ht="26.25" customHeight="1">
      <c r="A1" s="1013" t="str">
        <f>Summary!A2</f>
        <v>iz/kkukpk;Z egkRek xka/kh jktdh; fo|ky; ¼vaxzsth ek/;e½ cj ] ikyh</v>
      </c>
      <c r="B1" s="1013"/>
      <c r="C1" s="1013"/>
      <c r="D1" s="1013"/>
      <c r="E1" s="1013"/>
      <c r="F1" s="1013"/>
      <c r="G1" s="1013"/>
      <c r="H1" s="1013"/>
    </row>
    <row r="2" spans="1:8" ht="18.75" customHeight="1">
      <c r="A2" s="344"/>
      <c r="B2" s="344"/>
      <c r="G2" s="894">
        <f>Summary!$C$1</f>
        <v>30695</v>
      </c>
      <c r="H2" s="894"/>
    </row>
    <row r="3" spans="1:8" ht="18.75" customHeight="1">
      <c r="A3" s="1014" t="s">
        <v>512</v>
      </c>
      <c r="B3" s="1014"/>
      <c r="C3" s="1014"/>
      <c r="D3" s="1014"/>
      <c r="E3" s="1014"/>
      <c r="F3" s="1014"/>
      <c r="G3" s="1014"/>
      <c r="H3" s="1014"/>
    </row>
    <row r="4" spans="1:8" ht="18.75" customHeight="1">
      <c r="A4" s="1011">
        <f>Summary!$C$1</f>
        <v>30695</v>
      </c>
      <c r="B4" s="1011"/>
      <c r="C4" s="1012" t="str">
        <f>Summary!A5</f>
        <v>BUDGET HEAD : 2202-GENERAL EDUCATION, 02-SECONDARY EDUCATION, 109-GOVT. SEC. SCHOOL, (02)-GIRLS SCHOOL (STATE FUND)</v>
      </c>
      <c r="D4" s="1012"/>
      <c r="E4" s="1012"/>
      <c r="F4" s="1012"/>
      <c r="G4" s="1012"/>
      <c r="H4" s="1012"/>
    </row>
    <row r="5" spans="1:8" ht="29.25" customHeight="1">
      <c r="A5" s="1015" t="s">
        <v>768</v>
      </c>
      <c r="B5" s="1015"/>
      <c r="C5" s="1015"/>
      <c r="D5" s="1015"/>
      <c r="E5" s="1015"/>
      <c r="F5" s="1015"/>
      <c r="G5" s="1015"/>
      <c r="H5" s="1015"/>
    </row>
    <row r="6" spans="1:8" ht="18.75" customHeight="1">
      <c r="A6" s="1009"/>
      <c r="B6" s="1009"/>
      <c r="C6" s="1009"/>
      <c r="D6" s="1009"/>
      <c r="E6" s="1009"/>
      <c r="F6" s="1009"/>
      <c r="G6" s="1009"/>
      <c r="H6" s="1009"/>
    </row>
    <row r="7" spans="1:8" s="346" customFormat="1" ht="75.75" customHeight="1">
      <c r="A7" s="345" t="s">
        <v>513</v>
      </c>
      <c r="B7" s="345" t="s">
        <v>514</v>
      </c>
      <c r="C7" s="345" t="s">
        <v>515</v>
      </c>
      <c r="D7" s="345" t="s">
        <v>516</v>
      </c>
      <c r="E7" s="345" t="s">
        <v>517</v>
      </c>
      <c r="F7" s="345" t="s">
        <v>518</v>
      </c>
      <c r="G7" s="345" t="s">
        <v>519</v>
      </c>
      <c r="H7" s="345" t="s">
        <v>520</v>
      </c>
    </row>
    <row r="8" spans="1:8" s="346" customFormat="1" ht="20.25" customHeight="1">
      <c r="A8" s="345">
        <v>1</v>
      </c>
      <c r="B8" s="345">
        <v>2</v>
      </c>
      <c r="C8" s="345">
        <v>3</v>
      </c>
      <c r="D8" s="345">
        <v>4</v>
      </c>
      <c r="E8" s="345">
        <v>5</v>
      </c>
      <c r="F8" s="345">
        <v>6</v>
      </c>
      <c r="G8" s="345">
        <v>7</v>
      </c>
      <c r="H8" s="345">
        <v>8</v>
      </c>
    </row>
    <row r="9" spans="1:8" s="349" customFormat="1" ht="37.5" customHeight="1">
      <c r="A9" s="347"/>
      <c r="B9" s="347"/>
      <c r="C9" s="348"/>
      <c r="D9" s="347"/>
      <c r="E9" s="347"/>
      <c r="F9" s="347"/>
      <c r="G9" s="347"/>
      <c r="H9" s="347"/>
    </row>
    <row r="10" spans="1:8" s="349" customFormat="1" ht="37.5" customHeight="1">
      <c r="A10" s="347"/>
      <c r="B10" s="347"/>
      <c r="C10" s="348"/>
      <c r="D10" s="347"/>
      <c r="E10" s="350" t="s">
        <v>521</v>
      </c>
      <c r="F10" s="347"/>
      <c r="G10" s="347"/>
      <c r="H10" s="347"/>
    </row>
    <row r="11" spans="1:8" s="349" customFormat="1" ht="37.5" customHeight="1">
      <c r="A11" s="347"/>
      <c r="B11" s="347"/>
      <c r="C11" s="348"/>
      <c r="D11" s="347"/>
      <c r="E11" s="347"/>
      <c r="F11" s="347"/>
      <c r="G11" s="347"/>
      <c r="H11" s="347"/>
    </row>
    <row r="12" spans="1:8" s="349" customFormat="1" ht="37.5" customHeight="1">
      <c r="A12" s="347"/>
      <c r="B12" s="347"/>
      <c r="C12" s="348"/>
      <c r="D12" s="348"/>
      <c r="E12" s="347"/>
      <c r="F12" s="347"/>
      <c r="G12" s="347" t="s">
        <v>429</v>
      </c>
      <c r="H12" s="347">
        <f>SUM(H9:H11)</f>
        <v>0</v>
      </c>
    </row>
    <row r="13" spans="1:8">
      <c r="A13" s="1008" t="s">
        <v>558</v>
      </c>
      <c r="B13" s="1008"/>
      <c r="C13" s="1008"/>
      <c r="D13" s="1008"/>
      <c r="E13" s="1008"/>
    </row>
    <row r="14" spans="1:8">
      <c r="A14" s="1004"/>
      <c r="B14" s="1004"/>
      <c r="C14" s="1004"/>
      <c r="D14" s="1004"/>
      <c r="E14" s="1004"/>
    </row>
    <row r="15" spans="1:8">
      <c r="A15" s="1004"/>
      <c r="B15" s="1004"/>
      <c r="C15" s="1004"/>
      <c r="D15" s="1004"/>
      <c r="E15" s="1004"/>
    </row>
    <row r="16" spans="1:8" ht="15.75">
      <c r="A16" s="1004"/>
      <c r="B16" s="1004"/>
      <c r="C16" s="1004"/>
      <c r="D16" s="1004"/>
      <c r="E16" s="1004"/>
      <c r="F16" s="1010" t="str">
        <f>CONCATENATE("¼ ",Master!G3,"½")</f>
        <v>¼ m"kk ikfy;k½</v>
      </c>
      <c r="G16" s="1010"/>
      <c r="H16" s="1010"/>
    </row>
    <row r="17" spans="1:8" ht="16.5">
      <c r="A17" s="1004"/>
      <c r="B17" s="1004"/>
      <c r="C17" s="1004"/>
      <c r="D17" s="1004"/>
      <c r="E17" s="1004"/>
      <c r="F17" s="886" t="str">
        <f>Master!C2</f>
        <v>iz/kkukpk;Z</v>
      </c>
      <c r="G17" s="886"/>
      <c r="H17" s="886"/>
    </row>
    <row r="18" spans="1:8" ht="18.75" customHeight="1">
      <c r="F18" s="887" t="str">
        <f>Master!D2</f>
        <v>egkRek xka/kh jktdh; fo|ky; ¼vaxzsth ek/;e½ cj ] ikyh</v>
      </c>
      <c r="G18" s="887"/>
      <c r="H18" s="887"/>
    </row>
    <row r="19" spans="1:8" ht="15" customHeight="1">
      <c r="F19" s="887"/>
      <c r="G19" s="887"/>
      <c r="H19" s="887"/>
    </row>
  </sheetData>
  <mergeCells count="11">
    <mergeCell ref="A4:B4"/>
    <mergeCell ref="C4:H4"/>
    <mergeCell ref="A1:H1"/>
    <mergeCell ref="A3:H3"/>
    <mergeCell ref="A5:H5"/>
    <mergeCell ref="G2:H2"/>
    <mergeCell ref="A6:H6"/>
    <mergeCell ref="A13:E17"/>
    <mergeCell ref="F17:H17"/>
    <mergeCell ref="F18:H19"/>
    <mergeCell ref="F16:H16"/>
  </mergeCells>
  <conditionalFormatting sqref="A13:A16">
    <cfRule type="containsText" dxfId="3" priority="1" operator="containsText" text="in fjDr">
      <formula>NOT(ISERROR(SEARCH("in fjDr",A13)))</formula>
    </cfRule>
  </conditionalFormatting>
  <pageMargins left="0.7" right="0.7" top="0.75" bottom="0.75" header="0.3" footer="0.3"/>
  <pageSetup paperSize="9" scale="99" orientation="landscape" blackAndWhite="1" horizontalDpi="300" verticalDpi="300" r:id="rId1"/>
  <drawing r:id="rId2"/>
</worksheet>
</file>

<file path=xl/worksheets/sheet25.xml><?xml version="1.0" encoding="utf-8"?>
<worksheet xmlns="http://schemas.openxmlformats.org/spreadsheetml/2006/main" xmlns:r="http://schemas.openxmlformats.org/officeDocument/2006/relationships">
  <sheetPr codeName="Sheet25">
    <tabColor theme="9" tint="-0.249977111117893"/>
    <pageSetUpPr fitToPage="1"/>
  </sheetPr>
  <dimension ref="A1:V129"/>
  <sheetViews>
    <sheetView showGridLines="0" view="pageBreakPreview" zoomScaleSheetLayoutView="100" workbookViewId="0">
      <selection activeCell="I6" sqref="I6:I7"/>
    </sheetView>
  </sheetViews>
  <sheetFormatPr defaultRowHeight="15"/>
  <cols>
    <col min="1" max="1" width="3.75" style="330" customWidth="1"/>
    <col min="2" max="2" width="20.625" style="330" customWidth="1"/>
    <col min="3" max="3" width="4.875" style="330" customWidth="1"/>
    <col min="4" max="4" width="16.125" style="330" customWidth="1"/>
    <col min="5" max="5" width="9.375" style="330" customWidth="1"/>
    <col min="6" max="6" width="7.125" style="330" customWidth="1"/>
    <col min="7" max="7" width="7.75" style="330" customWidth="1"/>
    <col min="8" max="8" width="8.625" style="330" customWidth="1"/>
    <col min="9" max="9" width="8.875" style="330" customWidth="1"/>
    <col min="10" max="10" width="8" style="330" customWidth="1"/>
    <col min="11" max="11" width="10.125" style="330" customWidth="1"/>
    <col min="12" max="12" width="6.875" style="554" customWidth="1"/>
    <col min="13" max="13" width="11.375" style="330" customWidth="1"/>
    <col min="14" max="14" width="7.25" style="330" customWidth="1"/>
    <col min="15" max="15" width="10.375" style="330" customWidth="1"/>
    <col min="16" max="16" width="10.625" style="330" customWidth="1"/>
    <col min="17" max="17" width="9.875" style="330" customWidth="1"/>
    <col min="18" max="18" width="10" style="554" customWidth="1"/>
    <col min="19" max="19" width="10.125" style="554" customWidth="1"/>
    <col min="20" max="20" width="9.75" style="554" customWidth="1"/>
    <col min="21" max="21" width="12.375" style="330" customWidth="1"/>
    <col min="22" max="22" width="6" style="330" customWidth="1"/>
    <col min="23" max="255" width="9.125" style="330"/>
    <col min="256" max="256" width="2.875" style="330" customWidth="1"/>
    <col min="257" max="257" width="3.75" style="330" customWidth="1"/>
    <col min="258" max="258" width="20" style="330" customWidth="1"/>
    <col min="259" max="259" width="17.875" style="330" customWidth="1"/>
    <col min="260" max="261" width="7.875" style="330" customWidth="1"/>
    <col min="262" max="262" width="14.875" style="330" customWidth="1"/>
    <col min="263" max="263" width="8.875" style="330" customWidth="1"/>
    <col min="264" max="264" width="7.125" style="330" customWidth="1"/>
    <col min="265" max="265" width="6.875" style="330" customWidth="1"/>
    <col min="266" max="266" width="5.875" style="330" customWidth="1"/>
    <col min="267" max="267" width="7.75" style="330" customWidth="1"/>
    <col min="268" max="268" width="7.875" style="330" customWidth="1"/>
    <col min="269" max="269" width="7.125" style="330" customWidth="1"/>
    <col min="270" max="270" width="5" style="330" customWidth="1"/>
    <col min="271" max="271" width="6.875" style="330" customWidth="1"/>
    <col min="272" max="272" width="10" style="330" customWidth="1"/>
    <col min="273" max="273" width="5.375" style="330" customWidth="1"/>
    <col min="274" max="274" width="5.75" style="330" customWidth="1"/>
    <col min="275" max="275" width="10" style="330" customWidth="1"/>
    <col min="276" max="276" width="5.25" style="330" customWidth="1"/>
    <col min="277" max="511" width="9.125" style="330"/>
    <col min="512" max="512" width="2.875" style="330" customWidth="1"/>
    <col min="513" max="513" width="3.75" style="330" customWidth="1"/>
    <col min="514" max="514" width="20" style="330" customWidth="1"/>
    <col min="515" max="515" width="17.875" style="330" customWidth="1"/>
    <col min="516" max="517" width="7.875" style="330" customWidth="1"/>
    <col min="518" max="518" width="14.875" style="330" customWidth="1"/>
    <col min="519" max="519" width="8.875" style="330" customWidth="1"/>
    <col min="520" max="520" width="7.125" style="330" customWidth="1"/>
    <col min="521" max="521" width="6.875" style="330" customWidth="1"/>
    <col min="522" max="522" width="5.875" style="330" customWidth="1"/>
    <col min="523" max="523" width="7.75" style="330" customWidth="1"/>
    <col min="524" max="524" width="7.875" style="330" customWidth="1"/>
    <col min="525" max="525" width="7.125" style="330" customWidth="1"/>
    <col min="526" max="526" width="5" style="330" customWidth="1"/>
    <col min="527" max="527" width="6.875" style="330" customWidth="1"/>
    <col min="528" max="528" width="10" style="330" customWidth="1"/>
    <col min="529" max="529" width="5.375" style="330" customWidth="1"/>
    <col min="530" max="530" width="5.75" style="330" customWidth="1"/>
    <col min="531" max="531" width="10" style="330" customWidth="1"/>
    <col min="532" max="532" width="5.25" style="330" customWidth="1"/>
    <col min="533" max="767" width="9.125" style="330"/>
    <col min="768" max="768" width="2.875" style="330" customWidth="1"/>
    <col min="769" max="769" width="3.75" style="330" customWidth="1"/>
    <col min="770" max="770" width="20" style="330" customWidth="1"/>
    <col min="771" max="771" width="17.875" style="330" customWidth="1"/>
    <col min="772" max="773" width="7.875" style="330" customWidth="1"/>
    <col min="774" max="774" width="14.875" style="330" customWidth="1"/>
    <col min="775" max="775" width="8.875" style="330" customWidth="1"/>
    <col min="776" max="776" width="7.125" style="330" customWidth="1"/>
    <col min="777" max="777" width="6.875" style="330" customWidth="1"/>
    <col min="778" max="778" width="5.875" style="330" customWidth="1"/>
    <col min="779" max="779" width="7.75" style="330" customWidth="1"/>
    <col min="780" max="780" width="7.875" style="330" customWidth="1"/>
    <col min="781" max="781" width="7.125" style="330" customWidth="1"/>
    <col min="782" max="782" width="5" style="330" customWidth="1"/>
    <col min="783" max="783" width="6.875" style="330" customWidth="1"/>
    <col min="784" max="784" width="10" style="330" customWidth="1"/>
    <col min="785" max="785" width="5.375" style="330" customWidth="1"/>
    <col min="786" max="786" width="5.75" style="330" customWidth="1"/>
    <col min="787" max="787" width="10" style="330" customWidth="1"/>
    <col min="788" max="788" width="5.25" style="330" customWidth="1"/>
    <col min="789" max="1023" width="9.125" style="330"/>
    <col min="1024" max="1024" width="2.875" style="330" customWidth="1"/>
    <col min="1025" max="1025" width="3.75" style="330" customWidth="1"/>
    <col min="1026" max="1026" width="20" style="330" customWidth="1"/>
    <col min="1027" max="1027" width="17.875" style="330" customWidth="1"/>
    <col min="1028" max="1029" width="7.875" style="330" customWidth="1"/>
    <col min="1030" max="1030" width="14.875" style="330" customWidth="1"/>
    <col min="1031" max="1031" width="8.875" style="330" customWidth="1"/>
    <col min="1032" max="1032" width="7.125" style="330" customWidth="1"/>
    <col min="1033" max="1033" width="6.875" style="330" customWidth="1"/>
    <col min="1034" max="1034" width="5.875" style="330" customWidth="1"/>
    <col min="1035" max="1035" width="7.75" style="330" customWidth="1"/>
    <col min="1036" max="1036" width="7.875" style="330" customWidth="1"/>
    <col min="1037" max="1037" width="7.125" style="330" customWidth="1"/>
    <col min="1038" max="1038" width="5" style="330" customWidth="1"/>
    <col min="1039" max="1039" width="6.875" style="330" customWidth="1"/>
    <col min="1040" max="1040" width="10" style="330" customWidth="1"/>
    <col min="1041" max="1041" width="5.375" style="330" customWidth="1"/>
    <col min="1042" max="1042" width="5.75" style="330" customWidth="1"/>
    <col min="1043" max="1043" width="10" style="330" customWidth="1"/>
    <col min="1044" max="1044" width="5.25" style="330" customWidth="1"/>
    <col min="1045" max="1279" width="9.125" style="330"/>
    <col min="1280" max="1280" width="2.875" style="330" customWidth="1"/>
    <col min="1281" max="1281" width="3.75" style="330" customWidth="1"/>
    <col min="1282" max="1282" width="20" style="330" customWidth="1"/>
    <col min="1283" max="1283" width="17.875" style="330" customWidth="1"/>
    <col min="1284" max="1285" width="7.875" style="330" customWidth="1"/>
    <col min="1286" max="1286" width="14.875" style="330" customWidth="1"/>
    <col min="1287" max="1287" width="8.875" style="330" customWidth="1"/>
    <col min="1288" max="1288" width="7.125" style="330" customWidth="1"/>
    <col min="1289" max="1289" width="6.875" style="330" customWidth="1"/>
    <col min="1290" max="1290" width="5.875" style="330" customWidth="1"/>
    <col min="1291" max="1291" width="7.75" style="330" customWidth="1"/>
    <col min="1292" max="1292" width="7.875" style="330" customWidth="1"/>
    <col min="1293" max="1293" width="7.125" style="330" customWidth="1"/>
    <col min="1294" max="1294" width="5" style="330" customWidth="1"/>
    <col min="1295" max="1295" width="6.875" style="330" customWidth="1"/>
    <col min="1296" max="1296" width="10" style="330" customWidth="1"/>
    <col min="1297" max="1297" width="5.375" style="330" customWidth="1"/>
    <col min="1298" max="1298" width="5.75" style="330" customWidth="1"/>
    <col min="1299" max="1299" width="10" style="330" customWidth="1"/>
    <col min="1300" max="1300" width="5.25" style="330" customWidth="1"/>
    <col min="1301" max="1535" width="9.125" style="330"/>
    <col min="1536" max="1536" width="2.875" style="330" customWidth="1"/>
    <col min="1537" max="1537" width="3.75" style="330" customWidth="1"/>
    <col min="1538" max="1538" width="20" style="330" customWidth="1"/>
    <col min="1539" max="1539" width="17.875" style="330" customWidth="1"/>
    <col min="1540" max="1541" width="7.875" style="330" customWidth="1"/>
    <col min="1542" max="1542" width="14.875" style="330" customWidth="1"/>
    <col min="1543" max="1543" width="8.875" style="330" customWidth="1"/>
    <col min="1544" max="1544" width="7.125" style="330" customWidth="1"/>
    <col min="1545" max="1545" width="6.875" style="330" customWidth="1"/>
    <col min="1546" max="1546" width="5.875" style="330" customWidth="1"/>
    <col min="1547" max="1547" width="7.75" style="330" customWidth="1"/>
    <col min="1548" max="1548" width="7.875" style="330" customWidth="1"/>
    <col min="1549" max="1549" width="7.125" style="330" customWidth="1"/>
    <col min="1550" max="1550" width="5" style="330" customWidth="1"/>
    <col min="1551" max="1551" width="6.875" style="330" customWidth="1"/>
    <col min="1552" max="1552" width="10" style="330" customWidth="1"/>
    <col min="1553" max="1553" width="5.375" style="330" customWidth="1"/>
    <col min="1554" max="1554" width="5.75" style="330" customWidth="1"/>
    <col min="1555" max="1555" width="10" style="330" customWidth="1"/>
    <col min="1556" max="1556" width="5.25" style="330" customWidth="1"/>
    <col min="1557" max="1791" width="9.125" style="330"/>
    <col min="1792" max="1792" width="2.875" style="330" customWidth="1"/>
    <col min="1793" max="1793" width="3.75" style="330" customWidth="1"/>
    <col min="1794" max="1794" width="20" style="330" customWidth="1"/>
    <col min="1795" max="1795" width="17.875" style="330" customWidth="1"/>
    <col min="1796" max="1797" width="7.875" style="330" customWidth="1"/>
    <col min="1798" max="1798" width="14.875" style="330" customWidth="1"/>
    <col min="1799" max="1799" width="8.875" style="330" customWidth="1"/>
    <col min="1800" max="1800" width="7.125" style="330" customWidth="1"/>
    <col min="1801" max="1801" width="6.875" style="330" customWidth="1"/>
    <col min="1802" max="1802" width="5.875" style="330" customWidth="1"/>
    <col min="1803" max="1803" width="7.75" style="330" customWidth="1"/>
    <col min="1804" max="1804" width="7.875" style="330" customWidth="1"/>
    <col min="1805" max="1805" width="7.125" style="330" customWidth="1"/>
    <col min="1806" max="1806" width="5" style="330" customWidth="1"/>
    <col min="1807" max="1807" width="6.875" style="330" customWidth="1"/>
    <col min="1808" max="1808" width="10" style="330" customWidth="1"/>
    <col min="1809" max="1809" width="5.375" style="330" customWidth="1"/>
    <col min="1810" max="1810" width="5.75" style="330" customWidth="1"/>
    <col min="1811" max="1811" width="10" style="330" customWidth="1"/>
    <col min="1812" max="1812" width="5.25" style="330" customWidth="1"/>
    <col min="1813" max="2047" width="9.125" style="330"/>
    <col min="2048" max="2048" width="2.875" style="330" customWidth="1"/>
    <col min="2049" max="2049" width="3.75" style="330" customWidth="1"/>
    <col min="2050" max="2050" width="20" style="330" customWidth="1"/>
    <col min="2051" max="2051" width="17.875" style="330" customWidth="1"/>
    <col min="2052" max="2053" width="7.875" style="330" customWidth="1"/>
    <col min="2054" max="2054" width="14.875" style="330" customWidth="1"/>
    <col min="2055" max="2055" width="8.875" style="330" customWidth="1"/>
    <col min="2056" max="2056" width="7.125" style="330" customWidth="1"/>
    <col min="2057" max="2057" width="6.875" style="330" customWidth="1"/>
    <col min="2058" max="2058" width="5.875" style="330" customWidth="1"/>
    <col min="2059" max="2059" width="7.75" style="330" customWidth="1"/>
    <col min="2060" max="2060" width="7.875" style="330" customWidth="1"/>
    <col min="2061" max="2061" width="7.125" style="330" customWidth="1"/>
    <col min="2062" max="2062" width="5" style="330" customWidth="1"/>
    <col min="2063" max="2063" width="6.875" style="330" customWidth="1"/>
    <col min="2064" max="2064" width="10" style="330" customWidth="1"/>
    <col min="2065" max="2065" width="5.375" style="330" customWidth="1"/>
    <col min="2066" max="2066" width="5.75" style="330" customWidth="1"/>
    <col min="2067" max="2067" width="10" style="330" customWidth="1"/>
    <col min="2068" max="2068" width="5.25" style="330" customWidth="1"/>
    <col min="2069" max="2303" width="9.125" style="330"/>
    <col min="2304" max="2304" width="2.875" style="330" customWidth="1"/>
    <col min="2305" max="2305" width="3.75" style="330" customWidth="1"/>
    <col min="2306" max="2306" width="20" style="330" customWidth="1"/>
    <col min="2307" max="2307" width="17.875" style="330" customWidth="1"/>
    <col min="2308" max="2309" width="7.875" style="330" customWidth="1"/>
    <col min="2310" max="2310" width="14.875" style="330" customWidth="1"/>
    <col min="2311" max="2311" width="8.875" style="330" customWidth="1"/>
    <col min="2312" max="2312" width="7.125" style="330" customWidth="1"/>
    <col min="2313" max="2313" width="6.875" style="330" customWidth="1"/>
    <col min="2314" max="2314" width="5.875" style="330" customWidth="1"/>
    <col min="2315" max="2315" width="7.75" style="330" customWidth="1"/>
    <col min="2316" max="2316" width="7.875" style="330" customWidth="1"/>
    <col min="2317" max="2317" width="7.125" style="330" customWidth="1"/>
    <col min="2318" max="2318" width="5" style="330" customWidth="1"/>
    <col min="2319" max="2319" width="6.875" style="330" customWidth="1"/>
    <col min="2320" max="2320" width="10" style="330" customWidth="1"/>
    <col min="2321" max="2321" width="5.375" style="330" customWidth="1"/>
    <col min="2322" max="2322" width="5.75" style="330" customWidth="1"/>
    <col min="2323" max="2323" width="10" style="330" customWidth="1"/>
    <col min="2324" max="2324" width="5.25" style="330" customWidth="1"/>
    <col min="2325" max="2559" width="9.125" style="330"/>
    <col min="2560" max="2560" width="2.875" style="330" customWidth="1"/>
    <col min="2561" max="2561" width="3.75" style="330" customWidth="1"/>
    <col min="2562" max="2562" width="20" style="330" customWidth="1"/>
    <col min="2563" max="2563" width="17.875" style="330" customWidth="1"/>
    <col min="2564" max="2565" width="7.875" style="330" customWidth="1"/>
    <col min="2566" max="2566" width="14.875" style="330" customWidth="1"/>
    <col min="2567" max="2567" width="8.875" style="330" customWidth="1"/>
    <col min="2568" max="2568" width="7.125" style="330" customWidth="1"/>
    <col min="2569" max="2569" width="6.875" style="330" customWidth="1"/>
    <col min="2570" max="2570" width="5.875" style="330" customWidth="1"/>
    <col min="2571" max="2571" width="7.75" style="330" customWidth="1"/>
    <col min="2572" max="2572" width="7.875" style="330" customWidth="1"/>
    <col min="2573" max="2573" width="7.125" style="330" customWidth="1"/>
    <col min="2574" max="2574" width="5" style="330" customWidth="1"/>
    <col min="2575" max="2575" width="6.875" style="330" customWidth="1"/>
    <col min="2576" max="2576" width="10" style="330" customWidth="1"/>
    <col min="2577" max="2577" width="5.375" style="330" customWidth="1"/>
    <col min="2578" max="2578" width="5.75" style="330" customWidth="1"/>
    <col min="2579" max="2579" width="10" style="330" customWidth="1"/>
    <col min="2580" max="2580" width="5.25" style="330" customWidth="1"/>
    <col min="2581" max="2815" width="9.125" style="330"/>
    <col min="2816" max="2816" width="2.875" style="330" customWidth="1"/>
    <col min="2817" max="2817" width="3.75" style="330" customWidth="1"/>
    <col min="2818" max="2818" width="20" style="330" customWidth="1"/>
    <col min="2819" max="2819" width="17.875" style="330" customWidth="1"/>
    <col min="2820" max="2821" width="7.875" style="330" customWidth="1"/>
    <col min="2822" max="2822" width="14.875" style="330" customWidth="1"/>
    <col min="2823" max="2823" width="8.875" style="330" customWidth="1"/>
    <col min="2824" max="2824" width="7.125" style="330" customWidth="1"/>
    <col min="2825" max="2825" width="6.875" style="330" customWidth="1"/>
    <col min="2826" max="2826" width="5.875" style="330" customWidth="1"/>
    <col min="2827" max="2827" width="7.75" style="330" customWidth="1"/>
    <col min="2828" max="2828" width="7.875" style="330" customWidth="1"/>
    <col min="2829" max="2829" width="7.125" style="330" customWidth="1"/>
    <col min="2830" max="2830" width="5" style="330" customWidth="1"/>
    <col min="2831" max="2831" width="6.875" style="330" customWidth="1"/>
    <col min="2832" max="2832" width="10" style="330" customWidth="1"/>
    <col min="2833" max="2833" width="5.375" style="330" customWidth="1"/>
    <col min="2834" max="2834" width="5.75" style="330" customWidth="1"/>
    <col min="2835" max="2835" width="10" style="330" customWidth="1"/>
    <col min="2836" max="2836" width="5.25" style="330" customWidth="1"/>
    <col min="2837" max="3071" width="9.125" style="330"/>
    <col min="3072" max="3072" width="2.875" style="330" customWidth="1"/>
    <col min="3073" max="3073" width="3.75" style="330" customWidth="1"/>
    <col min="3074" max="3074" width="20" style="330" customWidth="1"/>
    <col min="3075" max="3075" width="17.875" style="330" customWidth="1"/>
    <col min="3076" max="3077" width="7.875" style="330" customWidth="1"/>
    <col min="3078" max="3078" width="14.875" style="330" customWidth="1"/>
    <col min="3079" max="3079" width="8.875" style="330" customWidth="1"/>
    <col min="3080" max="3080" width="7.125" style="330" customWidth="1"/>
    <col min="3081" max="3081" width="6.875" style="330" customWidth="1"/>
    <col min="3082" max="3082" width="5.875" style="330" customWidth="1"/>
    <col min="3083" max="3083" width="7.75" style="330" customWidth="1"/>
    <col min="3084" max="3084" width="7.875" style="330" customWidth="1"/>
    <col min="3085" max="3085" width="7.125" style="330" customWidth="1"/>
    <col min="3086" max="3086" width="5" style="330" customWidth="1"/>
    <col min="3087" max="3087" width="6.875" style="330" customWidth="1"/>
    <col min="3088" max="3088" width="10" style="330" customWidth="1"/>
    <col min="3089" max="3089" width="5.375" style="330" customWidth="1"/>
    <col min="3090" max="3090" width="5.75" style="330" customWidth="1"/>
    <col min="3091" max="3091" width="10" style="330" customWidth="1"/>
    <col min="3092" max="3092" width="5.25" style="330" customWidth="1"/>
    <col min="3093" max="3327" width="9.125" style="330"/>
    <col min="3328" max="3328" width="2.875" style="330" customWidth="1"/>
    <col min="3329" max="3329" width="3.75" style="330" customWidth="1"/>
    <col min="3330" max="3330" width="20" style="330" customWidth="1"/>
    <col min="3331" max="3331" width="17.875" style="330" customWidth="1"/>
    <col min="3332" max="3333" width="7.875" style="330" customWidth="1"/>
    <col min="3334" max="3334" width="14.875" style="330" customWidth="1"/>
    <col min="3335" max="3335" width="8.875" style="330" customWidth="1"/>
    <col min="3336" max="3336" width="7.125" style="330" customWidth="1"/>
    <col min="3337" max="3337" width="6.875" style="330" customWidth="1"/>
    <col min="3338" max="3338" width="5.875" style="330" customWidth="1"/>
    <col min="3339" max="3339" width="7.75" style="330" customWidth="1"/>
    <col min="3340" max="3340" width="7.875" style="330" customWidth="1"/>
    <col min="3341" max="3341" width="7.125" style="330" customWidth="1"/>
    <col min="3342" max="3342" width="5" style="330" customWidth="1"/>
    <col min="3343" max="3343" width="6.875" style="330" customWidth="1"/>
    <col min="3344" max="3344" width="10" style="330" customWidth="1"/>
    <col min="3345" max="3345" width="5.375" style="330" customWidth="1"/>
    <col min="3346" max="3346" width="5.75" style="330" customWidth="1"/>
    <col min="3347" max="3347" width="10" style="330" customWidth="1"/>
    <col min="3348" max="3348" width="5.25" style="330" customWidth="1"/>
    <col min="3349" max="3583" width="9.125" style="330"/>
    <col min="3584" max="3584" width="2.875" style="330" customWidth="1"/>
    <col min="3585" max="3585" width="3.75" style="330" customWidth="1"/>
    <col min="3586" max="3586" width="20" style="330" customWidth="1"/>
    <col min="3587" max="3587" width="17.875" style="330" customWidth="1"/>
    <col min="3588" max="3589" width="7.875" style="330" customWidth="1"/>
    <col min="3590" max="3590" width="14.875" style="330" customWidth="1"/>
    <col min="3591" max="3591" width="8.875" style="330" customWidth="1"/>
    <col min="3592" max="3592" width="7.125" style="330" customWidth="1"/>
    <col min="3593" max="3593" width="6.875" style="330" customWidth="1"/>
    <col min="3594" max="3594" width="5.875" style="330" customWidth="1"/>
    <col min="3595" max="3595" width="7.75" style="330" customWidth="1"/>
    <col min="3596" max="3596" width="7.875" style="330" customWidth="1"/>
    <col min="3597" max="3597" width="7.125" style="330" customWidth="1"/>
    <col min="3598" max="3598" width="5" style="330" customWidth="1"/>
    <col min="3599" max="3599" width="6.875" style="330" customWidth="1"/>
    <col min="3600" max="3600" width="10" style="330" customWidth="1"/>
    <col min="3601" max="3601" width="5.375" style="330" customWidth="1"/>
    <col min="3602" max="3602" width="5.75" style="330" customWidth="1"/>
    <col min="3603" max="3603" width="10" style="330" customWidth="1"/>
    <col min="3604" max="3604" width="5.25" style="330" customWidth="1"/>
    <col min="3605" max="3839" width="9.125" style="330"/>
    <col min="3840" max="3840" width="2.875" style="330" customWidth="1"/>
    <col min="3841" max="3841" width="3.75" style="330" customWidth="1"/>
    <col min="3842" max="3842" width="20" style="330" customWidth="1"/>
    <col min="3843" max="3843" width="17.875" style="330" customWidth="1"/>
    <col min="3844" max="3845" width="7.875" style="330" customWidth="1"/>
    <col min="3846" max="3846" width="14.875" style="330" customWidth="1"/>
    <col min="3847" max="3847" width="8.875" style="330" customWidth="1"/>
    <col min="3848" max="3848" width="7.125" style="330" customWidth="1"/>
    <col min="3849" max="3849" width="6.875" style="330" customWidth="1"/>
    <col min="3850" max="3850" width="5.875" style="330" customWidth="1"/>
    <col min="3851" max="3851" width="7.75" style="330" customWidth="1"/>
    <col min="3852" max="3852" width="7.875" style="330" customWidth="1"/>
    <col min="3853" max="3853" width="7.125" style="330" customWidth="1"/>
    <col min="3854" max="3854" width="5" style="330" customWidth="1"/>
    <col min="3855" max="3855" width="6.875" style="330" customWidth="1"/>
    <col min="3856" max="3856" width="10" style="330" customWidth="1"/>
    <col min="3857" max="3857" width="5.375" style="330" customWidth="1"/>
    <col min="3858" max="3858" width="5.75" style="330" customWidth="1"/>
    <col min="3859" max="3859" width="10" style="330" customWidth="1"/>
    <col min="3860" max="3860" width="5.25" style="330" customWidth="1"/>
    <col min="3861" max="4095" width="9.125" style="330"/>
    <col min="4096" max="4096" width="2.875" style="330" customWidth="1"/>
    <col min="4097" max="4097" width="3.75" style="330" customWidth="1"/>
    <col min="4098" max="4098" width="20" style="330" customWidth="1"/>
    <col min="4099" max="4099" width="17.875" style="330" customWidth="1"/>
    <col min="4100" max="4101" width="7.875" style="330" customWidth="1"/>
    <col min="4102" max="4102" width="14.875" style="330" customWidth="1"/>
    <col min="4103" max="4103" width="8.875" style="330" customWidth="1"/>
    <col min="4104" max="4104" width="7.125" style="330" customWidth="1"/>
    <col min="4105" max="4105" width="6.875" style="330" customWidth="1"/>
    <col min="4106" max="4106" width="5.875" style="330" customWidth="1"/>
    <col min="4107" max="4107" width="7.75" style="330" customWidth="1"/>
    <col min="4108" max="4108" width="7.875" style="330" customWidth="1"/>
    <col min="4109" max="4109" width="7.125" style="330" customWidth="1"/>
    <col min="4110" max="4110" width="5" style="330" customWidth="1"/>
    <col min="4111" max="4111" width="6.875" style="330" customWidth="1"/>
    <col min="4112" max="4112" width="10" style="330" customWidth="1"/>
    <col min="4113" max="4113" width="5.375" style="330" customWidth="1"/>
    <col min="4114" max="4114" width="5.75" style="330" customWidth="1"/>
    <col min="4115" max="4115" width="10" style="330" customWidth="1"/>
    <col min="4116" max="4116" width="5.25" style="330" customWidth="1"/>
    <col min="4117" max="4351" width="9.125" style="330"/>
    <col min="4352" max="4352" width="2.875" style="330" customWidth="1"/>
    <col min="4353" max="4353" width="3.75" style="330" customWidth="1"/>
    <col min="4354" max="4354" width="20" style="330" customWidth="1"/>
    <col min="4355" max="4355" width="17.875" style="330" customWidth="1"/>
    <col min="4356" max="4357" width="7.875" style="330" customWidth="1"/>
    <col min="4358" max="4358" width="14.875" style="330" customWidth="1"/>
    <col min="4359" max="4359" width="8.875" style="330" customWidth="1"/>
    <col min="4360" max="4360" width="7.125" style="330" customWidth="1"/>
    <col min="4361" max="4361" width="6.875" style="330" customWidth="1"/>
    <col min="4362" max="4362" width="5.875" style="330" customWidth="1"/>
    <col min="4363" max="4363" width="7.75" style="330" customWidth="1"/>
    <col min="4364" max="4364" width="7.875" style="330" customWidth="1"/>
    <col min="4365" max="4365" width="7.125" style="330" customWidth="1"/>
    <col min="4366" max="4366" width="5" style="330" customWidth="1"/>
    <col min="4367" max="4367" width="6.875" style="330" customWidth="1"/>
    <col min="4368" max="4368" width="10" style="330" customWidth="1"/>
    <col min="4369" max="4369" width="5.375" style="330" customWidth="1"/>
    <col min="4370" max="4370" width="5.75" style="330" customWidth="1"/>
    <col min="4371" max="4371" width="10" style="330" customWidth="1"/>
    <col min="4372" max="4372" width="5.25" style="330" customWidth="1"/>
    <col min="4373" max="4607" width="9.125" style="330"/>
    <col min="4608" max="4608" width="2.875" style="330" customWidth="1"/>
    <col min="4609" max="4609" width="3.75" style="330" customWidth="1"/>
    <col min="4610" max="4610" width="20" style="330" customWidth="1"/>
    <col min="4611" max="4611" width="17.875" style="330" customWidth="1"/>
    <col min="4612" max="4613" width="7.875" style="330" customWidth="1"/>
    <col min="4614" max="4614" width="14.875" style="330" customWidth="1"/>
    <col min="4615" max="4615" width="8.875" style="330" customWidth="1"/>
    <col min="4616" max="4616" width="7.125" style="330" customWidth="1"/>
    <col min="4617" max="4617" width="6.875" style="330" customWidth="1"/>
    <col min="4618" max="4618" width="5.875" style="330" customWidth="1"/>
    <col min="4619" max="4619" width="7.75" style="330" customWidth="1"/>
    <col min="4620" max="4620" width="7.875" style="330" customWidth="1"/>
    <col min="4621" max="4621" width="7.125" style="330" customWidth="1"/>
    <col min="4622" max="4622" width="5" style="330" customWidth="1"/>
    <col min="4623" max="4623" width="6.875" style="330" customWidth="1"/>
    <col min="4624" max="4624" width="10" style="330" customWidth="1"/>
    <col min="4625" max="4625" width="5.375" style="330" customWidth="1"/>
    <col min="4626" max="4626" width="5.75" style="330" customWidth="1"/>
    <col min="4627" max="4627" width="10" style="330" customWidth="1"/>
    <col min="4628" max="4628" width="5.25" style="330" customWidth="1"/>
    <col min="4629" max="4863" width="9.125" style="330"/>
    <col min="4864" max="4864" width="2.875" style="330" customWidth="1"/>
    <col min="4865" max="4865" width="3.75" style="330" customWidth="1"/>
    <col min="4866" max="4866" width="20" style="330" customWidth="1"/>
    <col min="4867" max="4867" width="17.875" style="330" customWidth="1"/>
    <col min="4868" max="4869" width="7.875" style="330" customWidth="1"/>
    <col min="4870" max="4870" width="14.875" style="330" customWidth="1"/>
    <col min="4871" max="4871" width="8.875" style="330" customWidth="1"/>
    <col min="4872" max="4872" width="7.125" style="330" customWidth="1"/>
    <col min="4873" max="4873" width="6.875" style="330" customWidth="1"/>
    <col min="4874" max="4874" width="5.875" style="330" customWidth="1"/>
    <col min="4875" max="4875" width="7.75" style="330" customWidth="1"/>
    <col min="4876" max="4876" width="7.875" style="330" customWidth="1"/>
    <col min="4877" max="4877" width="7.125" style="330" customWidth="1"/>
    <col min="4878" max="4878" width="5" style="330" customWidth="1"/>
    <col min="4879" max="4879" width="6.875" style="330" customWidth="1"/>
    <col min="4880" max="4880" width="10" style="330" customWidth="1"/>
    <col min="4881" max="4881" width="5.375" style="330" customWidth="1"/>
    <col min="4882" max="4882" width="5.75" style="330" customWidth="1"/>
    <col min="4883" max="4883" width="10" style="330" customWidth="1"/>
    <col min="4884" max="4884" width="5.25" style="330" customWidth="1"/>
    <col min="4885" max="5119" width="9.125" style="330"/>
    <col min="5120" max="5120" width="2.875" style="330" customWidth="1"/>
    <col min="5121" max="5121" width="3.75" style="330" customWidth="1"/>
    <col min="5122" max="5122" width="20" style="330" customWidth="1"/>
    <col min="5123" max="5123" width="17.875" style="330" customWidth="1"/>
    <col min="5124" max="5125" width="7.875" style="330" customWidth="1"/>
    <col min="5126" max="5126" width="14.875" style="330" customWidth="1"/>
    <col min="5127" max="5127" width="8.875" style="330" customWidth="1"/>
    <col min="5128" max="5128" width="7.125" style="330" customWidth="1"/>
    <col min="5129" max="5129" width="6.875" style="330" customWidth="1"/>
    <col min="5130" max="5130" width="5.875" style="330" customWidth="1"/>
    <col min="5131" max="5131" width="7.75" style="330" customWidth="1"/>
    <col min="5132" max="5132" width="7.875" style="330" customWidth="1"/>
    <col min="5133" max="5133" width="7.125" style="330" customWidth="1"/>
    <col min="5134" max="5134" width="5" style="330" customWidth="1"/>
    <col min="5135" max="5135" width="6.875" style="330" customWidth="1"/>
    <col min="5136" max="5136" width="10" style="330" customWidth="1"/>
    <col min="5137" max="5137" width="5.375" style="330" customWidth="1"/>
    <col min="5138" max="5138" width="5.75" style="330" customWidth="1"/>
    <col min="5139" max="5139" width="10" style="330" customWidth="1"/>
    <col min="5140" max="5140" width="5.25" style="330" customWidth="1"/>
    <col min="5141" max="5375" width="9.125" style="330"/>
    <col min="5376" max="5376" width="2.875" style="330" customWidth="1"/>
    <col min="5377" max="5377" width="3.75" style="330" customWidth="1"/>
    <col min="5378" max="5378" width="20" style="330" customWidth="1"/>
    <col min="5379" max="5379" width="17.875" style="330" customWidth="1"/>
    <col min="5380" max="5381" width="7.875" style="330" customWidth="1"/>
    <col min="5382" max="5382" width="14.875" style="330" customWidth="1"/>
    <col min="5383" max="5383" width="8.875" style="330" customWidth="1"/>
    <col min="5384" max="5384" width="7.125" style="330" customWidth="1"/>
    <col min="5385" max="5385" width="6.875" style="330" customWidth="1"/>
    <col min="5386" max="5386" width="5.875" style="330" customWidth="1"/>
    <col min="5387" max="5387" width="7.75" style="330" customWidth="1"/>
    <col min="5388" max="5388" width="7.875" style="330" customWidth="1"/>
    <col min="5389" max="5389" width="7.125" style="330" customWidth="1"/>
    <col min="5390" max="5390" width="5" style="330" customWidth="1"/>
    <col min="5391" max="5391" width="6.875" style="330" customWidth="1"/>
    <col min="5392" max="5392" width="10" style="330" customWidth="1"/>
    <col min="5393" max="5393" width="5.375" style="330" customWidth="1"/>
    <col min="5394" max="5394" width="5.75" style="330" customWidth="1"/>
    <col min="5395" max="5395" width="10" style="330" customWidth="1"/>
    <col min="5396" max="5396" width="5.25" style="330" customWidth="1"/>
    <col min="5397" max="5631" width="9.125" style="330"/>
    <col min="5632" max="5632" width="2.875" style="330" customWidth="1"/>
    <col min="5633" max="5633" width="3.75" style="330" customWidth="1"/>
    <col min="5634" max="5634" width="20" style="330" customWidth="1"/>
    <col min="5635" max="5635" width="17.875" style="330" customWidth="1"/>
    <col min="5636" max="5637" width="7.875" style="330" customWidth="1"/>
    <col min="5638" max="5638" width="14.875" style="330" customWidth="1"/>
    <col min="5639" max="5639" width="8.875" style="330" customWidth="1"/>
    <col min="5640" max="5640" width="7.125" style="330" customWidth="1"/>
    <col min="5641" max="5641" width="6.875" style="330" customWidth="1"/>
    <col min="5642" max="5642" width="5.875" style="330" customWidth="1"/>
    <col min="5643" max="5643" width="7.75" style="330" customWidth="1"/>
    <col min="5644" max="5644" width="7.875" style="330" customWidth="1"/>
    <col min="5645" max="5645" width="7.125" style="330" customWidth="1"/>
    <col min="5646" max="5646" width="5" style="330" customWidth="1"/>
    <col min="5647" max="5647" width="6.875" style="330" customWidth="1"/>
    <col min="5648" max="5648" width="10" style="330" customWidth="1"/>
    <col min="5649" max="5649" width="5.375" style="330" customWidth="1"/>
    <col min="5650" max="5650" width="5.75" style="330" customWidth="1"/>
    <col min="5651" max="5651" width="10" style="330" customWidth="1"/>
    <col min="5652" max="5652" width="5.25" style="330" customWidth="1"/>
    <col min="5653" max="5887" width="9.125" style="330"/>
    <col min="5888" max="5888" width="2.875" style="330" customWidth="1"/>
    <col min="5889" max="5889" width="3.75" style="330" customWidth="1"/>
    <col min="5890" max="5890" width="20" style="330" customWidth="1"/>
    <col min="5891" max="5891" width="17.875" style="330" customWidth="1"/>
    <col min="5892" max="5893" width="7.875" style="330" customWidth="1"/>
    <col min="5894" max="5894" width="14.875" style="330" customWidth="1"/>
    <col min="5895" max="5895" width="8.875" style="330" customWidth="1"/>
    <col min="5896" max="5896" width="7.125" style="330" customWidth="1"/>
    <col min="5897" max="5897" width="6.875" style="330" customWidth="1"/>
    <col min="5898" max="5898" width="5.875" style="330" customWidth="1"/>
    <col min="5899" max="5899" width="7.75" style="330" customWidth="1"/>
    <col min="5900" max="5900" width="7.875" style="330" customWidth="1"/>
    <col min="5901" max="5901" width="7.125" style="330" customWidth="1"/>
    <col min="5902" max="5902" width="5" style="330" customWidth="1"/>
    <col min="5903" max="5903" width="6.875" style="330" customWidth="1"/>
    <col min="5904" max="5904" width="10" style="330" customWidth="1"/>
    <col min="5905" max="5905" width="5.375" style="330" customWidth="1"/>
    <col min="5906" max="5906" width="5.75" style="330" customWidth="1"/>
    <col min="5907" max="5907" width="10" style="330" customWidth="1"/>
    <col min="5908" max="5908" width="5.25" style="330" customWidth="1"/>
    <col min="5909" max="6143" width="9.125" style="330"/>
    <col min="6144" max="6144" width="2.875" style="330" customWidth="1"/>
    <col min="6145" max="6145" width="3.75" style="330" customWidth="1"/>
    <col min="6146" max="6146" width="20" style="330" customWidth="1"/>
    <col min="6147" max="6147" width="17.875" style="330" customWidth="1"/>
    <col min="6148" max="6149" width="7.875" style="330" customWidth="1"/>
    <col min="6150" max="6150" width="14.875" style="330" customWidth="1"/>
    <col min="6151" max="6151" width="8.875" style="330" customWidth="1"/>
    <col min="6152" max="6152" width="7.125" style="330" customWidth="1"/>
    <col min="6153" max="6153" width="6.875" style="330" customWidth="1"/>
    <col min="6154" max="6154" width="5.875" style="330" customWidth="1"/>
    <col min="6155" max="6155" width="7.75" style="330" customWidth="1"/>
    <col min="6156" max="6156" width="7.875" style="330" customWidth="1"/>
    <col min="6157" max="6157" width="7.125" style="330" customWidth="1"/>
    <col min="6158" max="6158" width="5" style="330" customWidth="1"/>
    <col min="6159" max="6159" width="6.875" style="330" customWidth="1"/>
    <col min="6160" max="6160" width="10" style="330" customWidth="1"/>
    <col min="6161" max="6161" width="5.375" style="330" customWidth="1"/>
    <col min="6162" max="6162" width="5.75" style="330" customWidth="1"/>
    <col min="6163" max="6163" width="10" style="330" customWidth="1"/>
    <col min="6164" max="6164" width="5.25" style="330" customWidth="1"/>
    <col min="6165" max="6399" width="9.125" style="330"/>
    <col min="6400" max="6400" width="2.875" style="330" customWidth="1"/>
    <col min="6401" max="6401" width="3.75" style="330" customWidth="1"/>
    <col min="6402" max="6402" width="20" style="330" customWidth="1"/>
    <col min="6403" max="6403" width="17.875" style="330" customWidth="1"/>
    <col min="6404" max="6405" width="7.875" style="330" customWidth="1"/>
    <col min="6406" max="6406" width="14.875" style="330" customWidth="1"/>
    <col min="6407" max="6407" width="8.875" style="330" customWidth="1"/>
    <col min="6408" max="6408" width="7.125" style="330" customWidth="1"/>
    <col min="6409" max="6409" width="6.875" style="330" customWidth="1"/>
    <col min="6410" max="6410" width="5.875" style="330" customWidth="1"/>
    <col min="6411" max="6411" width="7.75" style="330" customWidth="1"/>
    <col min="6412" max="6412" width="7.875" style="330" customWidth="1"/>
    <col min="6413" max="6413" width="7.125" style="330" customWidth="1"/>
    <col min="6414" max="6414" width="5" style="330" customWidth="1"/>
    <col min="6415" max="6415" width="6.875" style="330" customWidth="1"/>
    <col min="6416" max="6416" width="10" style="330" customWidth="1"/>
    <col min="6417" max="6417" width="5.375" style="330" customWidth="1"/>
    <col min="6418" max="6418" width="5.75" style="330" customWidth="1"/>
    <col min="6419" max="6419" width="10" style="330" customWidth="1"/>
    <col min="6420" max="6420" width="5.25" style="330" customWidth="1"/>
    <col min="6421" max="6655" width="9.125" style="330"/>
    <col min="6656" max="6656" width="2.875" style="330" customWidth="1"/>
    <col min="6657" max="6657" width="3.75" style="330" customWidth="1"/>
    <col min="6658" max="6658" width="20" style="330" customWidth="1"/>
    <col min="6659" max="6659" width="17.875" style="330" customWidth="1"/>
    <col min="6660" max="6661" width="7.875" style="330" customWidth="1"/>
    <col min="6662" max="6662" width="14.875" style="330" customWidth="1"/>
    <col min="6663" max="6663" width="8.875" style="330" customWidth="1"/>
    <col min="6664" max="6664" width="7.125" style="330" customWidth="1"/>
    <col min="6665" max="6665" width="6.875" style="330" customWidth="1"/>
    <col min="6666" max="6666" width="5.875" style="330" customWidth="1"/>
    <col min="6667" max="6667" width="7.75" style="330" customWidth="1"/>
    <col min="6668" max="6668" width="7.875" style="330" customWidth="1"/>
    <col min="6669" max="6669" width="7.125" style="330" customWidth="1"/>
    <col min="6670" max="6670" width="5" style="330" customWidth="1"/>
    <col min="6671" max="6671" width="6.875" style="330" customWidth="1"/>
    <col min="6672" max="6672" width="10" style="330" customWidth="1"/>
    <col min="6673" max="6673" width="5.375" style="330" customWidth="1"/>
    <col min="6674" max="6674" width="5.75" style="330" customWidth="1"/>
    <col min="6675" max="6675" width="10" style="330" customWidth="1"/>
    <col min="6676" max="6676" width="5.25" style="330" customWidth="1"/>
    <col min="6677" max="6911" width="9.125" style="330"/>
    <col min="6912" max="6912" width="2.875" style="330" customWidth="1"/>
    <col min="6913" max="6913" width="3.75" style="330" customWidth="1"/>
    <col min="6914" max="6914" width="20" style="330" customWidth="1"/>
    <col min="6915" max="6915" width="17.875" style="330" customWidth="1"/>
    <col min="6916" max="6917" width="7.875" style="330" customWidth="1"/>
    <col min="6918" max="6918" width="14.875" style="330" customWidth="1"/>
    <col min="6919" max="6919" width="8.875" style="330" customWidth="1"/>
    <col min="6920" max="6920" width="7.125" style="330" customWidth="1"/>
    <col min="6921" max="6921" width="6.875" style="330" customWidth="1"/>
    <col min="6922" max="6922" width="5.875" style="330" customWidth="1"/>
    <col min="6923" max="6923" width="7.75" style="330" customWidth="1"/>
    <col min="6924" max="6924" width="7.875" style="330" customWidth="1"/>
    <col min="6925" max="6925" width="7.125" style="330" customWidth="1"/>
    <col min="6926" max="6926" width="5" style="330" customWidth="1"/>
    <col min="6927" max="6927" width="6.875" style="330" customWidth="1"/>
    <col min="6928" max="6928" width="10" style="330" customWidth="1"/>
    <col min="6929" max="6929" width="5.375" style="330" customWidth="1"/>
    <col min="6930" max="6930" width="5.75" style="330" customWidth="1"/>
    <col min="6931" max="6931" width="10" style="330" customWidth="1"/>
    <col min="6932" max="6932" width="5.25" style="330" customWidth="1"/>
    <col min="6933" max="7167" width="9.125" style="330"/>
    <col min="7168" max="7168" width="2.875" style="330" customWidth="1"/>
    <col min="7169" max="7169" width="3.75" style="330" customWidth="1"/>
    <col min="7170" max="7170" width="20" style="330" customWidth="1"/>
    <col min="7171" max="7171" width="17.875" style="330" customWidth="1"/>
    <col min="7172" max="7173" width="7.875" style="330" customWidth="1"/>
    <col min="7174" max="7174" width="14.875" style="330" customWidth="1"/>
    <col min="7175" max="7175" width="8.875" style="330" customWidth="1"/>
    <col min="7176" max="7176" width="7.125" style="330" customWidth="1"/>
    <col min="7177" max="7177" width="6.875" style="330" customWidth="1"/>
    <col min="7178" max="7178" width="5.875" style="330" customWidth="1"/>
    <col min="7179" max="7179" width="7.75" style="330" customWidth="1"/>
    <col min="7180" max="7180" width="7.875" style="330" customWidth="1"/>
    <col min="7181" max="7181" width="7.125" style="330" customWidth="1"/>
    <col min="7182" max="7182" width="5" style="330" customWidth="1"/>
    <col min="7183" max="7183" width="6.875" style="330" customWidth="1"/>
    <col min="7184" max="7184" width="10" style="330" customWidth="1"/>
    <col min="7185" max="7185" width="5.375" style="330" customWidth="1"/>
    <col min="7186" max="7186" width="5.75" style="330" customWidth="1"/>
    <col min="7187" max="7187" width="10" style="330" customWidth="1"/>
    <col min="7188" max="7188" width="5.25" style="330" customWidth="1"/>
    <col min="7189" max="7423" width="9.125" style="330"/>
    <col min="7424" max="7424" width="2.875" style="330" customWidth="1"/>
    <col min="7425" max="7425" width="3.75" style="330" customWidth="1"/>
    <col min="7426" max="7426" width="20" style="330" customWidth="1"/>
    <col min="7427" max="7427" width="17.875" style="330" customWidth="1"/>
    <col min="7428" max="7429" width="7.875" style="330" customWidth="1"/>
    <col min="7430" max="7430" width="14.875" style="330" customWidth="1"/>
    <col min="7431" max="7431" width="8.875" style="330" customWidth="1"/>
    <col min="7432" max="7432" width="7.125" style="330" customWidth="1"/>
    <col min="7433" max="7433" width="6.875" style="330" customWidth="1"/>
    <col min="7434" max="7434" width="5.875" style="330" customWidth="1"/>
    <col min="7435" max="7435" width="7.75" style="330" customWidth="1"/>
    <col min="7436" max="7436" width="7.875" style="330" customWidth="1"/>
    <col min="7437" max="7437" width="7.125" style="330" customWidth="1"/>
    <col min="7438" max="7438" width="5" style="330" customWidth="1"/>
    <col min="7439" max="7439" width="6.875" style="330" customWidth="1"/>
    <col min="7440" max="7440" width="10" style="330" customWidth="1"/>
    <col min="7441" max="7441" width="5.375" style="330" customWidth="1"/>
    <col min="7442" max="7442" width="5.75" style="330" customWidth="1"/>
    <col min="7443" max="7443" width="10" style="330" customWidth="1"/>
    <col min="7444" max="7444" width="5.25" style="330" customWidth="1"/>
    <col min="7445" max="7679" width="9.125" style="330"/>
    <col min="7680" max="7680" width="2.875" style="330" customWidth="1"/>
    <col min="7681" max="7681" width="3.75" style="330" customWidth="1"/>
    <col min="7682" max="7682" width="20" style="330" customWidth="1"/>
    <col min="7683" max="7683" width="17.875" style="330" customWidth="1"/>
    <col min="7684" max="7685" width="7.875" style="330" customWidth="1"/>
    <col min="7686" max="7686" width="14.875" style="330" customWidth="1"/>
    <col min="7687" max="7687" width="8.875" style="330" customWidth="1"/>
    <col min="7688" max="7688" width="7.125" style="330" customWidth="1"/>
    <col min="7689" max="7689" width="6.875" style="330" customWidth="1"/>
    <col min="7690" max="7690" width="5.875" style="330" customWidth="1"/>
    <col min="7691" max="7691" width="7.75" style="330" customWidth="1"/>
    <col min="7692" max="7692" width="7.875" style="330" customWidth="1"/>
    <col min="7693" max="7693" width="7.125" style="330" customWidth="1"/>
    <col min="7694" max="7694" width="5" style="330" customWidth="1"/>
    <col min="7695" max="7695" width="6.875" style="330" customWidth="1"/>
    <col min="7696" max="7696" width="10" style="330" customWidth="1"/>
    <col min="7697" max="7697" width="5.375" style="330" customWidth="1"/>
    <col min="7698" max="7698" width="5.75" style="330" customWidth="1"/>
    <col min="7699" max="7699" width="10" style="330" customWidth="1"/>
    <col min="7700" max="7700" width="5.25" style="330" customWidth="1"/>
    <col min="7701" max="7935" width="9.125" style="330"/>
    <col min="7936" max="7936" width="2.875" style="330" customWidth="1"/>
    <col min="7937" max="7937" width="3.75" style="330" customWidth="1"/>
    <col min="7938" max="7938" width="20" style="330" customWidth="1"/>
    <col min="7939" max="7939" width="17.875" style="330" customWidth="1"/>
    <col min="7940" max="7941" width="7.875" style="330" customWidth="1"/>
    <col min="7942" max="7942" width="14.875" style="330" customWidth="1"/>
    <col min="7943" max="7943" width="8.875" style="330" customWidth="1"/>
    <col min="7944" max="7944" width="7.125" style="330" customWidth="1"/>
    <col min="7945" max="7945" width="6.875" style="330" customWidth="1"/>
    <col min="7946" max="7946" width="5.875" style="330" customWidth="1"/>
    <col min="7947" max="7947" width="7.75" style="330" customWidth="1"/>
    <col min="7948" max="7948" width="7.875" style="330" customWidth="1"/>
    <col min="7949" max="7949" width="7.125" style="330" customWidth="1"/>
    <col min="7950" max="7950" width="5" style="330" customWidth="1"/>
    <col min="7951" max="7951" width="6.875" style="330" customWidth="1"/>
    <col min="7952" max="7952" width="10" style="330" customWidth="1"/>
    <col min="7953" max="7953" width="5.375" style="330" customWidth="1"/>
    <col min="7954" max="7954" width="5.75" style="330" customWidth="1"/>
    <col min="7955" max="7955" width="10" style="330" customWidth="1"/>
    <col min="7956" max="7956" width="5.25" style="330" customWidth="1"/>
    <col min="7957" max="8191" width="9.125" style="330"/>
    <col min="8192" max="8192" width="2.875" style="330" customWidth="1"/>
    <col min="8193" max="8193" width="3.75" style="330" customWidth="1"/>
    <col min="8194" max="8194" width="20" style="330" customWidth="1"/>
    <col min="8195" max="8195" width="17.875" style="330" customWidth="1"/>
    <col min="8196" max="8197" width="7.875" style="330" customWidth="1"/>
    <col min="8198" max="8198" width="14.875" style="330" customWidth="1"/>
    <col min="8199" max="8199" width="8.875" style="330" customWidth="1"/>
    <col min="8200" max="8200" width="7.125" style="330" customWidth="1"/>
    <col min="8201" max="8201" width="6.875" style="330" customWidth="1"/>
    <col min="8202" max="8202" width="5.875" style="330" customWidth="1"/>
    <col min="8203" max="8203" width="7.75" style="330" customWidth="1"/>
    <col min="8204" max="8204" width="7.875" style="330" customWidth="1"/>
    <col min="8205" max="8205" width="7.125" style="330" customWidth="1"/>
    <col min="8206" max="8206" width="5" style="330" customWidth="1"/>
    <col min="8207" max="8207" width="6.875" style="330" customWidth="1"/>
    <col min="8208" max="8208" width="10" style="330" customWidth="1"/>
    <col min="8209" max="8209" width="5.375" style="330" customWidth="1"/>
    <col min="8210" max="8210" width="5.75" style="330" customWidth="1"/>
    <col min="8211" max="8211" width="10" style="330" customWidth="1"/>
    <col min="8212" max="8212" width="5.25" style="330" customWidth="1"/>
    <col min="8213" max="8447" width="9.125" style="330"/>
    <col min="8448" max="8448" width="2.875" style="330" customWidth="1"/>
    <col min="8449" max="8449" width="3.75" style="330" customWidth="1"/>
    <col min="8450" max="8450" width="20" style="330" customWidth="1"/>
    <col min="8451" max="8451" width="17.875" style="330" customWidth="1"/>
    <col min="8452" max="8453" width="7.875" style="330" customWidth="1"/>
    <col min="8454" max="8454" width="14.875" style="330" customWidth="1"/>
    <col min="8455" max="8455" width="8.875" style="330" customWidth="1"/>
    <col min="8456" max="8456" width="7.125" style="330" customWidth="1"/>
    <col min="8457" max="8457" width="6.875" style="330" customWidth="1"/>
    <col min="8458" max="8458" width="5.875" style="330" customWidth="1"/>
    <col min="8459" max="8459" width="7.75" style="330" customWidth="1"/>
    <col min="8460" max="8460" width="7.875" style="330" customWidth="1"/>
    <col min="8461" max="8461" width="7.125" style="330" customWidth="1"/>
    <col min="8462" max="8462" width="5" style="330" customWidth="1"/>
    <col min="8463" max="8463" width="6.875" style="330" customWidth="1"/>
    <col min="8464" max="8464" width="10" style="330" customWidth="1"/>
    <col min="8465" max="8465" width="5.375" style="330" customWidth="1"/>
    <col min="8466" max="8466" width="5.75" style="330" customWidth="1"/>
    <col min="8467" max="8467" width="10" style="330" customWidth="1"/>
    <col min="8468" max="8468" width="5.25" style="330" customWidth="1"/>
    <col min="8469" max="8703" width="9.125" style="330"/>
    <col min="8704" max="8704" width="2.875" style="330" customWidth="1"/>
    <col min="8705" max="8705" width="3.75" style="330" customWidth="1"/>
    <col min="8706" max="8706" width="20" style="330" customWidth="1"/>
    <col min="8707" max="8707" width="17.875" style="330" customWidth="1"/>
    <col min="8708" max="8709" width="7.875" style="330" customWidth="1"/>
    <col min="8710" max="8710" width="14.875" style="330" customWidth="1"/>
    <col min="8711" max="8711" width="8.875" style="330" customWidth="1"/>
    <col min="8712" max="8712" width="7.125" style="330" customWidth="1"/>
    <col min="8713" max="8713" width="6.875" style="330" customWidth="1"/>
    <col min="8714" max="8714" width="5.875" style="330" customWidth="1"/>
    <col min="8715" max="8715" width="7.75" style="330" customWidth="1"/>
    <col min="8716" max="8716" width="7.875" style="330" customWidth="1"/>
    <col min="8717" max="8717" width="7.125" style="330" customWidth="1"/>
    <col min="8718" max="8718" width="5" style="330" customWidth="1"/>
    <col min="8719" max="8719" width="6.875" style="330" customWidth="1"/>
    <col min="8720" max="8720" width="10" style="330" customWidth="1"/>
    <col min="8721" max="8721" width="5.375" style="330" customWidth="1"/>
    <col min="8722" max="8722" width="5.75" style="330" customWidth="1"/>
    <col min="8723" max="8723" width="10" style="330" customWidth="1"/>
    <col min="8724" max="8724" width="5.25" style="330" customWidth="1"/>
    <col min="8725" max="8959" width="9.125" style="330"/>
    <col min="8960" max="8960" width="2.875" style="330" customWidth="1"/>
    <col min="8961" max="8961" width="3.75" style="330" customWidth="1"/>
    <col min="8962" max="8962" width="20" style="330" customWidth="1"/>
    <col min="8963" max="8963" width="17.875" style="330" customWidth="1"/>
    <col min="8964" max="8965" width="7.875" style="330" customWidth="1"/>
    <col min="8966" max="8966" width="14.875" style="330" customWidth="1"/>
    <col min="8967" max="8967" width="8.875" style="330" customWidth="1"/>
    <col min="8968" max="8968" width="7.125" style="330" customWidth="1"/>
    <col min="8969" max="8969" width="6.875" style="330" customWidth="1"/>
    <col min="8970" max="8970" width="5.875" style="330" customWidth="1"/>
    <col min="8971" max="8971" width="7.75" style="330" customWidth="1"/>
    <col min="8972" max="8972" width="7.875" style="330" customWidth="1"/>
    <col min="8973" max="8973" width="7.125" style="330" customWidth="1"/>
    <col min="8974" max="8974" width="5" style="330" customWidth="1"/>
    <col min="8975" max="8975" width="6.875" style="330" customWidth="1"/>
    <col min="8976" max="8976" width="10" style="330" customWidth="1"/>
    <col min="8977" max="8977" width="5.375" style="330" customWidth="1"/>
    <col min="8978" max="8978" width="5.75" style="330" customWidth="1"/>
    <col min="8979" max="8979" width="10" style="330" customWidth="1"/>
    <col min="8980" max="8980" width="5.25" style="330" customWidth="1"/>
    <col min="8981" max="9215" width="9.125" style="330"/>
    <col min="9216" max="9216" width="2.875" style="330" customWidth="1"/>
    <col min="9217" max="9217" width="3.75" style="330" customWidth="1"/>
    <col min="9218" max="9218" width="20" style="330" customWidth="1"/>
    <col min="9219" max="9219" width="17.875" style="330" customWidth="1"/>
    <col min="9220" max="9221" width="7.875" style="330" customWidth="1"/>
    <col min="9222" max="9222" width="14.875" style="330" customWidth="1"/>
    <col min="9223" max="9223" width="8.875" style="330" customWidth="1"/>
    <col min="9224" max="9224" width="7.125" style="330" customWidth="1"/>
    <col min="9225" max="9225" width="6.875" style="330" customWidth="1"/>
    <col min="9226" max="9226" width="5.875" style="330" customWidth="1"/>
    <col min="9227" max="9227" width="7.75" style="330" customWidth="1"/>
    <col min="9228" max="9228" width="7.875" style="330" customWidth="1"/>
    <col min="9229" max="9229" width="7.125" style="330" customWidth="1"/>
    <col min="9230" max="9230" width="5" style="330" customWidth="1"/>
    <col min="9231" max="9231" width="6.875" style="330" customWidth="1"/>
    <col min="9232" max="9232" width="10" style="330" customWidth="1"/>
    <col min="9233" max="9233" width="5.375" style="330" customWidth="1"/>
    <col min="9234" max="9234" width="5.75" style="330" customWidth="1"/>
    <col min="9235" max="9235" width="10" style="330" customWidth="1"/>
    <col min="9236" max="9236" width="5.25" style="330" customWidth="1"/>
    <col min="9237" max="9471" width="9.125" style="330"/>
    <col min="9472" max="9472" width="2.875" style="330" customWidth="1"/>
    <col min="9473" max="9473" width="3.75" style="330" customWidth="1"/>
    <col min="9474" max="9474" width="20" style="330" customWidth="1"/>
    <col min="9475" max="9475" width="17.875" style="330" customWidth="1"/>
    <col min="9476" max="9477" width="7.875" style="330" customWidth="1"/>
    <col min="9478" max="9478" width="14.875" style="330" customWidth="1"/>
    <col min="9479" max="9479" width="8.875" style="330" customWidth="1"/>
    <col min="9480" max="9480" width="7.125" style="330" customWidth="1"/>
    <col min="9481" max="9481" width="6.875" style="330" customWidth="1"/>
    <col min="9482" max="9482" width="5.875" style="330" customWidth="1"/>
    <col min="9483" max="9483" width="7.75" style="330" customWidth="1"/>
    <col min="9484" max="9484" width="7.875" style="330" customWidth="1"/>
    <col min="9485" max="9485" width="7.125" style="330" customWidth="1"/>
    <col min="9486" max="9486" width="5" style="330" customWidth="1"/>
    <col min="9487" max="9487" width="6.875" style="330" customWidth="1"/>
    <col min="9488" max="9488" width="10" style="330" customWidth="1"/>
    <col min="9489" max="9489" width="5.375" style="330" customWidth="1"/>
    <col min="9490" max="9490" width="5.75" style="330" customWidth="1"/>
    <col min="9491" max="9491" width="10" style="330" customWidth="1"/>
    <col min="9492" max="9492" width="5.25" style="330" customWidth="1"/>
    <col min="9493" max="9727" width="9.125" style="330"/>
    <col min="9728" max="9728" width="2.875" style="330" customWidth="1"/>
    <col min="9729" max="9729" width="3.75" style="330" customWidth="1"/>
    <col min="9730" max="9730" width="20" style="330" customWidth="1"/>
    <col min="9731" max="9731" width="17.875" style="330" customWidth="1"/>
    <col min="9732" max="9733" width="7.875" style="330" customWidth="1"/>
    <col min="9734" max="9734" width="14.875" style="330" customWidth="1"/>
    <col min="9735" max="9735" width="8.875" style="330" customWidth="1"/>
    <col min="9736" max="9736" width="7.125" style="330" customWidth="1"/>
    <col min="9737" max="9737" width="6.875" style="330" customWidth="1"/>
    <col min="9738" max="9738" width="5.875" style="330" customWidth="1"/>
    <col min="9739" max="9739" width="7.75" style="330" customWidth="1"/>
    <col min="9740" max="9740" width="7.875" style="330" customWidth="1"/>
    <col min="9741" max="9741" width="7.125" style="330" customWidth="1"/>
    <col min="9742" max="9742" width="5" style="330" customWidth="1"/>
    <col min="9743" max="9743" width="6.875" style="330" customWidth="1"/>
    <col min="9744" max="9744" width="10" style="330" customWidth="1"/>
    <col min="9745" max="9745" width="5.375" style="330" customWidth="1"/>
    <col min="9746" max="9746" width="5.75" style="330" customWidth="1"/>
    <col min="9747" max="9747" width="10" style="330" customWidth="1"/>
    <col min="9748" max="9748" width="5.25" style="330" customWidth="1"/>
    <col min="9749" max="9983" width="9.125" style="330"/>
    <col min="9984" max="9984" width="2.875" style="330" customWidth="1"/>
    <col min="9985" max="9985" width="3.75" style="330" customWidth="1"/>
    <col min="9986" max="9986" width="20" style="330" customWidth="1"/>
    <col min="9987" max="9987" width="17.875" style="330" customWidth="1"/>
    <col min="9988" max="9989" width="7.875" style="330" customWidth="1"/>
    <col min="9990" max="9990" width="14.875" style="330" customWidth="1"/>
    <col min="9991" max="9991" width="8.875" style="330" customWidth="1"/>
    <col min="9992" max="9992" width="7.125" style="330" customWidth="1"/>
    <col min="9993" max="9993" width="6.875" style="330" customWidth="1"/>
    <col min="9994" max="9994" width="5.875" style="330" customWidth="1"/>
    <col min="9995" max="9995" width="7.75" style="330" customWidth="1"/>
    <col min="9996" max="9996" width="7.875" style="330" customWidth="1"/>
    <col min="9997" max="9997" width="7.125" style="330" customWidth="1"/>
    <col min="9998" max="9998" width="5" style="330" customWidth="1"/>
    <col min="9999" max="9999" width="6.875" style="330" customWidth="1"/>
    <col min="10000" max="10000" width="10" style="330" customWidth="1"/>
    <col min="10001" max="10001" width="5.375" style="330" customWidth="1"/>
    <col min="10002" max="10002" width="5.75" style="330" customWidth="1"/>
    <col min="10003" max="10003" width="10" style="330" customWidth="1"/>
    <col min="10004" max="10004" width="5.25" style="330" customWidth="1"/>
    <col min="10005" max="10239" width="9.125" style="330"/>
    <col min="10240" max="10240" width="2.875" style="330" customWidth="1"/>
    <col min="10241" max="10241" width="3.75" style="330" customWidth="1"/>
    <col min="10242" max="10242" width="20" style="330" customWidth="1"/>
    <col min="10243" max="10243" width="17.875" style="330" customWidth="1"/>
    <col min="10244" max="10245" width="7.875" style="330" customWidth="1"/>
    <col min="10246" max="10246" width="14.875" style="330" customWidth="1"/>
    <col min="10247" max="10247" width="8.875" style="330" customWidth="1"/>
    <col min="10248" max="10248" width="7.125" style="330" customWidth="1"/>
    <col min="10249" max="10249" width="6.875" style="330" customWidth="1"/>
    <col min="10250" max="10250" width="5.875" style="330" customWidth="1"/>
    <col min="10251" max="10251" width="7.75" style="330" customWidth="1"/>
    <col min="10252" max="10252" width="7.875" style="330" customWidth="1"/>
    <col min="10253" max="10253" width="7.125" style="330" customWidth="1"/>
    <col min="10254" max="10254" width="5" style="330" customWidth="1"/>
    <col min="10255" max="10255" width="6.875" style="330" customWidth="1"/>
    <col min="10256" max="10256" width="10" style="330" customWidth="1"/>
    <col min="10257" max="10257" width="5.375" style="330" customWidth="1"/>
    <col min="10258" max="10258" width="5.75" style="330" customWidth="1"/>
    <col min="10259" max="10259" width="10" style="330" customWidth="1"/>
    <col min="10260" max="10260" width="5.25" style="330" customWidth="1"/>
    <col min="10261" max="10495" width="9.125" style="330"/>
    <col min="10496" max="10496" width="2.875" style="330" customWidth="1"/>
    <col min="10497" max="10497" width="3.75" style="330" customWidth="1"/>
    <col min="10498" max="10498" width="20" style="330" customWidth="1"/>
    <col min="10499" max="10499" width="17.875" style="330" customWidth="1"/>
    <col min="10500" max="10501" width="7.875" style="330" customWidth="1"/>
    <col min="10502" max="10502" width="14.875" style="330" customWidth="1"/>
    <col min="10503" max="10503" width="8.875" style="330" customWidth="1"/>
    <col min="10504" max="10504" width="7.125" style="330" customWidth="1"/>
    <col min="10505" max="10505" width="6.875" style="330" customWidth="1"/>
    <col min="10506" max="10506" width="5.875" style="330" customWidth="1"/>
    <col min="10507" max="10507" width="7.75" style="330" customWidth="1"/>
    <col min="10508" max="10508" width="7.875" style="330" customWidth="1"/>
    <col min="10509" max="10509" width="7.125" style="330" customWidth="1"/>
    <col min="10510" max="10510" width="5" style="330" customWidth="1"/>
    <col min="10511" max="10511" width="6.875" style="330" customWidth="1"/>
    <col min="10512" max="10512" width="10" style="330" customWidth="1"/>
    <col min="10513" max="10513" width="5.375" style="330" customWidth="1"/>
    <col min="10514" max="10514" width="5.75" style="330" customWidth="1"/>
    <col min="10515" max="10515" width="10" style="330" customWidth="1"/>
    <col min="10516" max="10516" width="5.25" style="330" customWidth="1"/>
    <col min="10517" max="10751" width="9.125" style="330"/>
    <col min="10752" max="10752" width="2.875" style="330" customWidth="1"/>
    <col min="10753" max="10753" width="3.75" style="330" customWidth="1"/>
    <col min="10754" max="10754" width="20" style="330" customWidth="1"/>
    <col min="10755" max="10755" width="17.875" style="330" customWidth="1"/>
    <col min="10756" max="10757" width="7.875" style="330" customWidth="1"/>
    <col min="10758" max="10758" width="14.875" style="330" customWidth="1"/>
    <col min="10759" max="10759" width="8.875" style="330" customWidth="1"/>
    <col min="10760" max="10760" width="7.125" style="330" customWidth="1"/>
    <col min="10761" max="10761" width="6.875" style="330" customWidth="1"/>
    <col min="10762" max="10762" width="5.875" style="330" customWidth="1"/>
    <col min="10763" max="10763" width="7.75" style="330" customWidth="1"/>
    <col min="10764" max="10764" width="7.875" style="330" customWidth="1"/>
    <col min="10765" max="10765" width="7.125" style="330" customWidth="1"/>
    <col min="10766" max="10766" width="5" style="330" customWidth="1"/>
    <col min="10767" max="10767" width="6.875" style="330" customWidth="1"/>
    <col min="10768" max="10768" width="10" style="330" customWidth="1"/>
    <col min="10769" max="10769" width="5.375" style="330" customWidth="1"/>
    <col min="10770" max="10770" width="5.75" style="330" customWidth="1"/>
    <col min="10771" max="10771" width="10" style="330" customWidth="1"/>
    <col min="10772" max="10772" width="5.25" style="330" customWidth="1"/>
    <col min="10773" max="11007" width="9.125" style="330"/>
    <col min="11008" max="11008" width="2.875" style="330" customWidth="1"/>
    <col min="11009" max="11009" width="3.75" style="330" customWidth="1"/>
    <col min="11010" max="11010" width="20" style="330" customWidth="1"/>
    <col min="11011" max="11011" width="17.875" style="330" customWidth="1"/>
    <col min="11012" max="11013" width="7.875" style="330" customWidth="1"/>
    <col min="11014" max="11014" width="14.875" style="330" customWidth="1"/>
    <col min="11015" max="11015" width="8.875" style="330" customWidth="1"/>
    <col min="11016" max="11016" width="7.125" style="330" customWidth="1"/>
    <col min="11017" max="11017" width="6.875" style="330" customWidth="1"/>
    <col min="11018" max="11018" width="5.875" style="330" customWidth="1"/>
    <col min="11019" max="11019" width="7.75" style="330" customWidth="1"/>
    <col min="11020" max="11020" width="7.875" style="330" customWidth="1"/>
    <col min="11021" max="11021" width="7.125" style="330" customWidth="1"/>
    <col min="11022" max="11022" width="5" style="330" customWidth="1"/>
    <col min="11023" max="11023" width="6.875" style="330" customWidth="1"/>
    <col min="11024" max="11024" width="10" style="330" customWidth="1"/>
    <col min="11025" max="11025" width="5.375" style="330" customWidth="1"/>
    <col min="11026" max="11026" width="5.75" style="330" customWidth="1"/>
    <col min="11027" max="11027" width="10" style="330" customWidth="1"/>
    <col min="11028" max="11028" width="5.25" style="330" customWidth="1"/>
    <col min="11029" max="11263" width="9.125" style="330"/>
    <col min="11264" max="11264" width="2.875" style="330" customWidth="1"/>
    <col min="11265" max="11265" width="3.75" style="330" customWidth="1"/>
    <col min="11266" max="11266" width="20" style="330" customWidth="1"/>
    <col min="11267" max="11267" width="17.875" style="330" customWidth="1"/>
    <col min="11268" max="11269" width="7.875" style="330" customWidth="1"/>
    <col min="11270" max="11270" width="14.875" style="330" customWidth="1"/>
    <col min="11271" max="11271" width="8.875" style="330" customWidth="1"/>
    <col min="11272" max="11272" width="7.125" style="330" customWidth="1"/>
    <col min="11273" max="11273" width="6.875" style="330" customWidth="1"/>
    <col min="11274" max="11274" width="5.875" style="330" customWidth="1"/>
    <col min="11275" max="11275" width="7.75" style="330" customWidth="1"/>
    <col min="11276" max="11276" width="7.875" style="330" customWidth="1"/>
    <col min="11277" max="11277" width="7.125" style="330" customWidth="1"/>
    <col min="11278" max="11278" width="5" style="330" customWidth="1"/>
    <col min="11279" max="11279" width="6.875" style="330" customWidth="1"/>
    <col min="11280" max="11280" width="10" style="330" customWidth="1"/>
    <col min="11281" max="11281" width="5.375" style="330" customWidth="1"/>
    <col min="11282" max="11282" width="5.75" style="330" customWidth="1"/>
    <col min="11283" max="11283" width="10" style="330" customWidth="1"/>
    <col min="11284" max="11284" width="5.25" style="330" customWidth="1"/>
    <col min="11285" max="11519" width="9.125" style="330"/>
    <col min="11520" max="11520" width="2.875" style="330" customWidth="1"/>
    <col min="11521" max="11521" width="3.75" style="330" customWidth="1"/>
    <col min="11522" max="11522" width="20" style="330" customWidth="1"/>
    <col min="11523" max="11523" width="17.875" style="330" customWidth="1"/>
    <col min="11524" max="11525" width="7.875" style="330" customWidth="1"/>
    <col min="11526" max="11526" width="14.875" style="330" customWidth="1"/>
    <col min="11527" max="11527" width="8.875" style="330" customWidth="1"/>
    <col min="11528" max="11528" width="7.125" style="330" customWidth="1"/>
    <col min="11529" max="11529" width="6.875" style="330" customWidth="1"/>
    <col min="11530" max="11530" width="5.875" style="330" customWidth="1"/>
    <col min="11531" max="11531" width="7.75" style="330" customWidth="1"/>
    <col min="11532" max="11532" width="7.875" style="330" customWidth="1"/>
    <col min="11533" max="11533" width="7.125" style="330" customWidth="1"/>
    <col min="11534" max="11534" width="5" style="330" customWidth="1"/>
    <col min="11535" max="11535" width="6.875" style="330" customWidth="1"/>
    <col min="11536" max="11536" width="10" style="330" customWidth="1"/>
    <col min="11537" max="11537" width="5.375" style="330" customWidth="1"/>
    <col min="11538" max="11538" width="5.75" style="330" customWidth="1"/>
    <col min="11539" max="11539" width="10" style="330" customWidth="1"/>
    <col min="11540" max="11540" width="5.25" style="330" customWidth="1"/>
    <col min="11541" max="11775" width="9.125" style="330"/>
    <col min="11776" max="11776" width="2.875" style="330" customWidth="1"/>
    <col min="11777" max="11777" width="3.75" style="330" customWidth="1"/>
    <col min="11778" max="11778" width="20" style="330" customWidth="1"/>
    <col min="11779" max="11779" width="17.875" style="330" customWidth="1"/>
    <col min="11780" max="11781" width="7.875" style="330" customWidth="1"/>
    <col min="11782" max="11782" width="14.875" style="330" customWidth="1"/>
    <col min="11783" max="11783" width="8.875" style="330" customWidth="1"/>
    <col min="11784" max="11784" width="7.125" style="330" customWidth="1"/>
    <col min="11785" max="11785" width="6.875" style="330" customWidth="1"/>
    <col min="11786" max="11786" width="5.875" style="330" customWidth="1"/>
    <col min="11787" max="11787" width="7.75" style="330" customWidth="1"/>
    <col min="11788" max="11788" width="7.875" style="330" customWidth="1"/>
    <col min="11789" max="11789" width="7.125" style="330" customWidth="1"/>
    <col min="11790" max="11790" width="5" style="330" customWidth="1"/>
    <col min="11791" max="11791" width="6.875" style="330" customWidth="1"/>
    <col min="11792" max="11792" width="10" style="330" customWidth="1"/>
    <col min="11793" max="11793" width="5.375" style="330" customWidth="1"/>
    <col min="11794" max="11794" width="5.75" style="330" customWidth="1"/>
    <col min="11795" max="11795" width="10" style="330" customWidth="1"/>
    <col min="11796" max="11796" width="5.25" style="330" customWidth="1"/>
    <col min="11797" max="12031" width="9.125" style="330"/>
    <col min="12032" max="12032" width="2.875" style="330" customWidth="1"/>
    <col min="12033" max="12033" width="3.75" style="330" customWidth="1"/>
    <col min="12034" max="12034" width="20" style="330" customWidth="1"/>
    <col min="12035" max="12035" width="17.875" style="330" customWidth="1"/>
    <col min="12036" max="12037" width="7.875" style="330" customWidth="1"/>
    <col min="12038" max="12038" width="14.875" style="330" customWidth="1"/>
    <col min="12039" max="12039" width="8.875" style="330" customWidth="1"/>
    <col min="12040" max="12040" width="7.125" style="330" customWidth="1"/>
    <col min="12041" max="12041" width="6.875" style="330" customWidth="1"/>
    <col min="12042" max="12042" width="5.875" style="330" customWidth="1"/>
    <col min="12043" max="12043" width="7.75" style="330" customWidth="1"/>
    <col min="12044" max="12044" width="7.875" style="330" customWidth="1"/>
    <col min="12045" max="12045" width="7.125" style="330" customWidth="1"/>
    <col min="12046" max="12046" width="5" style="330" customWidth="1"/>
    <col min="12047" max="12047" width="6.875" style="330" customWidth="1"/>
    <col min="12048" max="12048" width="10" style="330" customWidth="1"/>
    <col min="12049" max="12049" width="5.375" style="330" customWidth="1"/>
    <col min="12050" max="12050" width="5.75" style="330" customWidth="1"/>
    <col min="12051" max="12051" width="10" style="330" customWidth="1"/>
    <col min="12052" max="12052" width="5.25" style="330" customWidth="1"/>
    <col min="12053" max="12287" width="9.125" style="330"/>
    <col min="12288" max="12288" width="2.875" style="330" customWidth="1"/>
    <col min="12289" max="12289" width="3.75" style="330" customWidth="1"/>
    <col min="12290" max="12290" width="20" style="330" customWidth="1"/>
    <col min="12291" max="12291" width="17.875" style="330" customWidth="1"/>
    <col min="12292" max="12293" width="7.875" style="330" customWidth="1"/>
    <col min="12294" max="12294" width="14.875" style="330" customWidth="1"/>
    <col min="12295" max="12295" width="8.875" style="330" customWidth="1"/>
    <col min="12296" max="12296" width="7.125" style="330" customWidth="1"/>
    <col min="12297" max="12297" width="6.875" style="330" customWidth="1"/>
    <col min="12298" max="12298" width="5.875" style="330" customWidth="1"/>
    <col min="12299" max="12299" width="7.75" style="330" customWidth="1"/>
    <col min="12300" max="12300" width="7.875" style="330" customWidth="1"/>
    <col min="12301" max="12301" width="7.125" style="330" customWidth="1"/>
    <col min="12302" max="12302" width="5" style="330" customWidth="1"/>
    <col min="12303" max="12303" width="6.875" style="330" customWidth="1"/>
    <col min="12304" max="12304" width="10" style="330" customWidth="1"/>
    <col min="12305" max="12305" width="5.375" style="330" customWidth="1"/>
    <col min="12306" max="12306" width="5.75" style="330" customWidth="1"/>
    <col min="12307" max="12307" width="10" style="330" customWidth="1"/>
    <col min="12308" max="12308" width="5.25" style="330" customWidth="1"/>
    <col min="12309" max="12543" width="9.125" style="330"/>
    <col min="12544" max="12544" width="2.875" style="330" customWidth="1"/>
    <col min="12545" max="12545" width="3.75" style="330" customWidth="1"/>
    <col min="12546" max="12546" width="20" style="330" customWidth="1"/>
    <col min="12547" max="12547" width="17.875" style="330" customWidth="1"/>
    <col min="12548" max="12549" width="7.875" style="330" customWidth="1"/>
    <col min="12550" max="12550" width="14.875" style="330" customWidth="1"/>
    <col min="12551" max="12551" width="8.875" style="330" customWidth="1"/>
    <col min="12552" max="12552" width="7.125" style="330" customWidth="1"/>
    <col min="12553" max="12553" width="6.875" style="330" customWidth="1"/>
    <col min="12554" max="12554" width="5.875" style="330" customWidth="1"/>
    <col min="12555" max="12555" width="7.75" style="330" customWidth="1"/>
    <col min="12556" max="12556" width="7.875" style="330" customWidth="1"/>
    <col min="12557" max="12557" width="7.125" style="330" customWidth="1"/>
    <col min="12558" max="12558" width="5" style="330" customWidth="1"/>
    <col min="12559" max="12559" width="6.875" style="330" customWidth="1"/>
    <col min="12560" max="12560" width="10" style="330" customWidth="1"/>
    <col min="12561" max="12561" width="5.375" style="330" customWidth="1"/>
    <col min="12562" max="12562" width="5.75" style="330" customWidth="1"/>
    <col min="12563" max="12563" width="10" style="330" customWidth="1"/>
    <col min="12564" max="12564" width="5.25" style="330" customWidth="1"/>
    <col min="12565" max="12799" width="9.125" style="330"/>
    <col min="12800" max="12800" width="2.875" style="330" customWidth="1"/>
    <col min="12801" max="12801" width="3.75" style="330" customWidth="1"/>
    <col min="12802" max="12802" width="20" style="330" customWidth="1"/>
    <col min="12803" max="12803" width="17.875" style="330" customWidth="1"/>
    <col min="12804" max="12805" width="7.875" style="330" customWidth="1"/>
    <col min="12806" max="12806" width="14.875" style="330" customWidth="1"/>
    <col min="12807" max="12807" width="8.875" style="330" customWidth="1"/>
    <col min="12808" max="12808" width="7.125" style="330" customWidth="1"/>
    <col min="12809" max="12809" width="6.875" style="330" customWidth="1"/>
    <col min="12810" max="12810" width="5.875" style="330" customWidth="1"/>
    <col min="12811" max="12811" width="7.75" style="330" customWidth="1"/>
    <col min="12812" max="12812" width="7.875" style="330" customWidth="1"/>
    <col min="12813" max="12813" width="7.125" style="330" customWidth="1"/>
    <col min="12814" max="12814" width="5" style="330" customWidth="1"/>
    <col min="12815" max="12815" width="6.875" style="330" customWidth="1"/>
    <col min="12816" max="12816" width="10" style="330" customWidth="1"/>
    <col min="12817" max="12817" width="5.375" style="330" customWidth="1"/>
    <col min="12818" max="12818" width="5.75" style="330" customWidth="1"/>
    <col min="12819" max="12819" width="10" style="330" customWidth="1"/>
    <col min="12820" max="12820" width="5.25" style="330" customWidth="1"/>
    <col min="12821" max="13055" width="9.125" style="330"/>
    <col min="13056" max="13056" width="2.875" style="330" customWidth="1"/>
    <col min="13057" max="13057" width="3.75" style="330" customWidth="1"/>
    <col min="13058" max="13058" width="20" style="330" customWidth="1"/>
    <col min="13059" max="13059" width="17.875" style="330" customWidth="1"/>
    <col min="13060" max="13061" width="7.875" style="330" customWidth="1"/>
    <col min="13062" max="13062" width="14.875" style="330" customWidth="1"/>
    <col min="13063" max="13063" width="8.875" style="330" customWidth="1"/>
    <col min="13064" max="13064" width="7.125" style="330" customWidth="1"/>
    <col min="13065" max="13065" width="6.875" style="330" customWidth="1"/>
    <col min="13066" max="13066" width="5.875" style="330" customWidth="1"/>
    <col min="13067" max="13067" width="7.75" style="330" customWidth="1"/>
    <col min="13068" max="13068" width="7.875" style="330" customWidth="1"/>
    <col min="13069" max="13069" width="7.125" style="330" customWidth="1"/>
    <col min="13070" max="13070" width="5" style="330" customWidth="1"/>
    <col min="13071" max="13071" width="6.875" style="330" customWidth="1"/>
    <col min="13072" max="13072" width="10" style="330" customWidth="1"/>
    <col min="13073" max="13073" width="5.375" style="330" customWidth="1"/>
    <col min="13074" max="13074" width="5.75" style="330" customWidth="1"/>
    <col min="13075" max="13075" width="10" style="330" customWidth="1"/>
    <col min="13076" max="13076" width="5.25" style="330" customWidth="1"/>
    <col min="13077" max="13311" width="9.125" style="330"/>
    <col min="13312" max="13312" width="2.875" style="330" customWidth="1"/>
    <col min="13313" max="13313" width="3.75" style="330" customWidth="1"/>
    <col min="13314" max="13314" width="20" style="330" customWidth="1"/>
    <col min="13315" max="13315" width="17.875" style="330" customWidth="1"/>
    <col min="13316" max="13317" width="7.875" style="330" customWidth="1"/>
    <col min="13318" max="13318" width="14.875" style="330" customWidth="1"/>
    <col min="13319" max="13319" width="8.875" style="330" customWidth="1"/>
    <col min="13320" max="13320" width="7.125" style="330" customWidth="1"/>
    <col min="13321" max="13321" width="6.875" style="330" customWidth="1"/>
    <col min="13322" max="13322" width="5.875" style="330" customWidth="1"/>
    <col min="13323" max="13323" width="7.75" style="330" customWidth="1"/>
    <col min="13324" max="13324" width="7.875" style="330" customWidth="1"/>
    <col min="13325" max="13325" width="7.125" style="330" customWidth="1"/>
    <col min="13326" max="13326" width="5" style="330" customWidth="1"/>
    <col min="13327" max="13327" width="6.875" style="330" customWidth="1"/>
    <col min="13328" max="13328" width="10" style="330" customWidth="1"/>
    <col min="13329" max="13329" width="5.375" style="330" customWidth="1"/>
    <col min="13330" max="13330" width="5.75" style="330" customWidth="1"/>
    <col min="13331" max="13331" width="10" style="330" customWidth="1"/>
    <col min="13332" max="13332" width="5.25" style="330" customWidth="1"/>
    <col min="13333" max="13567" width="9.125" style="330"/>
    <col min="13568" max="13568" width="2.875" style="330" customWidth="1"/>
    <col min="13569" max="13569" width="3.75" style="330" customWidth="1"/>
    <col min="13570" max="13570" width="20" style="330" customWidth="1"/>
    <col min="13571" max="13571" width="17.875" style="330" customWidth="1"/>
    <col min="13572" max="13573" width="7.875" style="330" customWidth="1"/>
    <col min="13574" max="13574" width="14.875" style="330" customWidth="1"/>
    <col min="13575" max="13575" width="8.875" style="330" customWidth="1"/>
    <col min="13576" max="13576" width="7.125" style="330" customWidth="1"/>
    <col min="13577" max="13577" width="6.875" style="330" customWidth="1"/>
    <col min="13578" max="13578" width="5.875" style="330" customWidth="1"/>
    <col min="13579" max="13579" width="7.75" style="330" customWidth="1"/>
    <col min="13580" max="13580" width="7.875" style="330" customWidth="1"/>
    <col min="13581" max="13581" width="7.125" style="330" customWidth="1"/>
    <col min="13582" max="13582" width="5" style="330" customWidth="1"/>
    <col min="13583" max="13583" width="6.875" style="330" customWidth="1"/>
    <col min="13584" max="13584" width="10" style="330" customWidth="1"/>
    <col min="13585" max="13585" width="5.375" style="330" customWidth="1"/>
    <col min="13586" max="13586" width="5.75" style="330" customWidth="1"/>
    <col min="13587" max="13587" width="10" style="330" customWidth="1"/>
    <col min="13588" max="13588" width="5.25" style="330" customWidth="1"/>
    <col min="13589" max="13823" width="9.125" style="330"/>
    <col min="13824" max="13824" width="2.875" style="330" customWidth="1"/>
    <col min="13825" max="13825" width="3.75" style="330" customWidth="1"/>
    <col min="13826" max="13826" width="20" style="330" customWidth="1"/>
    <col min="13827" max="13827" width="17.875" style="330" customWidth="1"/>
    <col min="13828" max="13829" width="7.875" style="330" customWidth="1"/>
    <col min="13830" max="13830" width="14.875" style="330" customWidth="1"/>
    <col min="13831" max="13831" width="8.875" style="330" customWidth="1"/>
    <col min="13832" max="13832" width="7.125" style="330" customWidth="1"/>
    <col min="13833" max="13833" width="6.875" style="330" customWidth="1"/>
    <col min="13834" max="13834" width="5.875" style="330" customWidth="1"/>
    <col min="13835" max="13835" width="7.75" style="330" customWidth="1"/>
    <col min="13836" max="13836" width="7.875" style="330" customWidth="1"/>
    <col min="13837" max="13837" width="7.125" style="330" customWidth="1"/>
    <col min="13838" max="13838" width="5" style="330" customWidth="1"/>
    <col min="13839" max="13839" width="6.875" style="330" customWidth="1"/>
    <col min="13840" max="13840" width="10" style="330" customWidth="1"/>
    <col min="13841" max="13841" width="5.375" style="330" customWidth="1"/>
    <col min="13842" max="13842" width="5.75" style="330" customWidth="1"/>
    <col min="13843" max="13843" width="10" style="330" customWidth="1"/>
    <col min="13844" max="13844" width="5.25" style="330" customWidth="1"/>
    <col min="13845" max="14079" width="9.125" style="330"/>
    <col min="14080" max="14080" width="2.875" style="330" customWidth="1"/>
    <col min="14081" max="14081" width="3.75" style="330" customWidth="1"/>
    <col min="14082" max="14082" width="20" style="330" customWidth="1"/>
    <col min="14083" max="14083" width="17.875" style="330" customWidth="1"/>
    <col min="14084" max="14085" width="7.875" style="330" customWidth="1"/>
    <col min="14086" max="14086" width="14.875" style="330" customWidth="1"/>
    <col min="14087" max="14087" width="8.875" style="330" customWidth="1"/>
    <col min="14088" max="14088" width="7.125" style="330" customWidth="1"/>
    <col min="14089" max="14089" width="6.875" style="330" customWidth="1"/>
    <col min="14090" max="14090" width="5.875" style="330" customWidth="1"/>
    <col min="14091" max="14091" width="7.75" style="330" customWidth="1"/>
    <col min="14092" max="14092" width="7.875" style="330" customWidth="1"/>
    <col min="14093" max="14093" width="7.125" style="330" customWidth="1"/>
    <col min="14094" max="14094" width="5" style="330" customWidth="1"/>
    <col min="14095" max="14095" width="6.875" style="330" customWidth="1"/>
    <col min="14096" max="14096" width="10" style="330" customWidth="1"/>
    <col min="14097" max="14097" width="5.375" style="330" customWidth="1"/>
    <col min="14098" max="14098" width="5.75" style="330" customWidth="1"/>
    <col min="14099" max="14099" width="10" style="330" customWidth="1"/>
    <col min="14100" max="14100" width="5.25" style="330" customWidth="1"/>
    <col min="14101" max="14335" width="9.125" style="330"/>
    <col min="14336" max="14336" width="2.875" style="330" customWidth="1"/>
    <col min="14337" max="14337" width="3.75" style="330" customWidth="1"/>
    <col min="14338" max="14338" width="20" style="330" customWidth="1"/>
    <col min="14339" max="14339" width="17.875" style="330" customWidth="1"/>
    <col min="14340" max="14341" width="7.875" style="330" customWidth="1"/>
    <col min="14342" max="14342" width="14.875" style="330" customWidth="1"/>
    <col min="14343" max="14343" width="8.875" style="330" customWidth="1"/>
    <col min="14344" max="14344" width="7.125" style="330" customWidth="1"/>
    <col min="14345" max="14345" width="6.875" style="330" customWidth="1"/>
    <col min="14346" max="14346" width="5.875" style="330" customWidth="1"/>
    <col min="14347" max="14347" width="7.75" style="330" customWidth="1"/>
    <col min="14348" max="14348" width="7.875" style="330" customWidth="1"/>
    <col min="14349" max="14349" width="7.125" style="330" customWidth="1"/>
    <col min="14350" max="14350" width="5" style="330" customWidth="1"/>
    <col min="14351" max="14351" width="6.875" style="330" customWidth="1"/>
    <col min="14352" max="14352" width="10" style="330" customWidth="1"/>
    <col min="14353" max="14353" width="5.375" style="330" customWidth="1"/>
    <col min="14354" max="14354" width="5.75" style="330" customWidth="1"/>
    <col min="14355" max="14355" width="10" style="330" customWidth="1"/>
    <col min="14356" max="14356" width="5.25" style="330" customWidth="1"/>
    <col min="14357" max="14591" width="9.125" style="330"/>
    <col min="14592" max="14592" width="2.875" style="330" customWidth="1"/>
    <col min="14593" max="14593" width="3.75" style="330" customWidth="1"/>
    <col min="14594" max="14594" width="20" style="330" customWidth="1"/>
    <col min="14595" max="14595" width="17.875" style="330" customWidth="1"/>
    <col min="14596" max="14597" width="7.875" style="330" customWidth="1"/>
    <col min="14598" max="14598" width="14.875" style="330" customWidth="1"/>
    <col min="14599" max="14599" width="8.875" style="330" customWidth="1"/>
    <col min="14600" max="14600" width="7.125" style="330" customWidth="1"/>
    <col min="14601" max="14601" width="6.875" style="330" customWidth="1"/>
    <col min="14602" max="14602" width="5.875" style="330" customWidth="1"/>
    <col min="14603" max="14603" width="7.75" style="330" customWidth="1"/>
    <col min="14604" max="14604" width="7.875" style="330" customWidth="1"/>
    <col min="14605" max="14605" width="7.125" style="330" customWidth="1"/>
    <col min="14606" max="14606" width="5" style="330" customWidth="1"/>
    <col min="14607" max="14607" width="6.875" style="330" customWidth="1"/>
    <col min="14608" max="14608" width="10" style="330" customWidth="1"/>
    <col min="14609" max="14609" width="5.375" style="330" customWidth="1"/>
    <col min="14610" max="14610" width="5.75" style="330" customWidth="1"/>
    <col min="14611" max="14611" width="10" style="330" customWidth="1"/>
    <col min="14612" max="14612" width="5.25" style="330" customWidth="1"/>
    <col min="14613" max="14847" width="9.125" style="330"/>
    <col min="14848" max="14848" width="2.875" style="330" customWidth="1"/>
    <col min="14849" max="14849" width="3.75" style="330" customWidth="1"/>
    <col min="14850" max="14850" width="20" style="330" customWidth="1"/>
    <col min="14851" max="14851" width="17.875" style="330" customWidth="1"/>
    <col min="14852" max="14853" width="7.875" style="330" customWidth="1"/>
    <col min="14854" max="14854" width="14.875" style="330" customWidth="1"/>
    <col min="14855" max="14855" width="8.875" style="330" customWidth="1"/>
    <col min="14856" max="14856" width="7.125" style="330" customWidth="1"/>
    <col min="14857" max="14857" width="6.875" style="330" customWidth="1"/>
    <col min="14858" max="14858" width="5.875" style="330" customWidth="1"/>
    <col min="14859" max="14859" width="7.75" style="330" customWidth="1"/>
    <col min="14860" max="14860" width="7.875" style="330" customWidth="1"/>
    <col min="14861" max="14861" width="7.125" style="330" customWidth="1"/>
    <col min="14862" max="14862" width="5" style="330" customWidth="1"/>
    <col min="14863" max="14863" width="6.875" style="330" customWidth="1"/>
    <col min="14864" max="14864" width="10" style="330" customWidth="1"/>
    <col min="14865" max="14865" width="5.375" style="330" customWidth="1"/>
    <col min="14866" max="14866" width="5.75" style="330" customWidth="1"/>
    <col min="14867" max="14867" width="10" style="330" customWidth="1"/>
    <col min="14868" max="14868" width="5.25" style="330" customWidth="1"/>
    <col min="14869" max="15103" width="9.125" style="330"/>
    <col min="15104" max="15104" width="2.875" style="330" customWidth="1"/>
    <col min="15105" max="15105" width="3.75" style="330" customWidth="1"/>
    <col min="15106" max="15106" width="20" style="330" customWidth="1"/>
    <col min="15107" max="15107" width="17.875" style="330" customWidth="1"/>
    <col min="15108" max="15109" width="7.875" style="330" customWidth="1"/>
    <col min="15110" max="15110" width="14.875" style="330" customWidth="1"/>
    <col min="15111" max="15111" width="8.875" style="330" customWidth="1"/>
    <col min="15112" max="15112" width="7.125" style="330" customWidth="1"/>
    <col min="15113" max="15113" width="6.875" style="330" customWidth="1"/>
    <col min="15114" max="15114" width="5.875" style="330" customWidth="1"/>
    <col min="15115" max="15115" width="7.75" style="330" customWidth="1"/>
    <col min="15116" max="15116" width="7.875" style="330" customWidth="1"/>
    <col min="15117" max="15117" width="7.125" style="330" customWidth="1"/>
    <col min="15118" max="15118" width="5" style="330" customWidth="1"/>
    <col min="15119" max="15119" width="6.875" style="330" customWidth="1"/>
    <col min="15120" max="15120" width="10" style="330" customWidth="1"/>
    <col min="15121" max="15121" width="5.375" style="330" customWidth="1"/>
    <col min="15122" max="15122" width="5.75" style="330" customWidth="1"/>
    <col min="15123" max="15123" width="10" style="330" customWidth="1"/>
    <col min="15124" max="15124" width="5.25" style="330" customWidth="1"/>
    <col min="15125" max="15359" width="9.125" style="330"/>
    <col min="15360" max="15360" width="2.875" style="330" customWidth="1"/>
    <col min="15361" max="15361" width="3.75" style="330" customWidth="1"/>
    <col min="15362" max="15362" width="20" style="330" customWidth="1"/>
    <col min="15363" max="15363" width="17.875" style="330" customWidth="1"/>
    <col min="15364" max="15365" width="7.875" style="330" customWidth="1"/>
    <col min="15366" max="15366" width="14.875" style="330" customWidth="1"/>
    <col min="15367" max="15367" width="8.875" style="330" customWidth="1"/>
    <col min="15368" max="15368" width="7.125" style="330" customWidth="1"/>
    <col min="15369" max="15369" width="6.875" style="330" customWidth="1"/>
    <col min="15370" max="15370" width="5.875" style="330" customWidth="1"/>
    <col min="15371" max="15371" width="7.75" style="330" customWidth="1"/>
    <col min="15372" max="15372" width="7.875" style="330" customWidth="1"/>
    <col min="15373" max="15373" width="7.125" style="330" customWidth="1"/>
    <col min="15374" max="15374" width="5" style="330" customWidth="1"/>
    <col min="15375" max="15375" width="6.875" style="330" customWidth="1"/>
    <col min="15376" max="15376" width="10" style="330" customWidth="1"/>
    <col min="15377" max="15377" width="5.375" style="330" customWidth="1"/>
    <col min="15378" max="15378" width="5.75" style="330" customWidth="1"/>
    <col min="15379" max="15379" width="10" style="330" customWidth="1"/>
    <col min="15380" max="15380" width="5.25" style="330" customWidth="1"/>
    <col min="15381" max="15615" width="9.125" style="330"/>
    <col min="15616" max="15616" width="2.875" style="330" customWidth="1"/>
    <col min="15617" max="15617" width="3.75" style="330" customWidth="1"/>
    <col min="15618" max="15618" width="20" style="330" customWidth="1"/>
    <col min="15619" max="15619" width="17.875" style="330" customWidth="1"/>
    <col min="15620" max="15621" width="7.875" style="330" customWidth="1"/>
    <col min="15622" max="15622" width="14.875" style="330" customWidth="1"/>
    <col min="15623" max="15623" width="8.875" style="330" customWidth="1"/>
    <col min="15624" max="15624" width="7.125" style="330" customWidth="1"/>
    <col min="15625" max="15625" width="6.875" style="330" customWidth="1"/>
    <col min="15626" max="15626" width="5.875" style="330" customWidth="1"/>
    <col min="15627" max="15627" width="7.75" style="330" customWidth="1"/>
    <col min="15628" max="15628" width="7.875" style="330" customWidth="1"/>
    <col min="15629" max="15629" width="7.125" style="330" customWidth="1"/>
    <col min="15630" max="15630" width="5" style="330" customWidth="1"/>
    <col min="15631" max="15631" width="6.875" style="330" customWidth="1"/>
    <col min="15632" max="15632" width="10" style="330" customWidth="1"/>
    <col min="15633" max="15633" width="5.375" style="330" customWidth="1"/>
    <col min="15634" max="15634" width="5.75" style="330" customWidth="1"/>
    <col min="15635" max="15635" width="10" style="330" customWidth="1"/>
    <col min="15636" max="15636" width="5.25" style="330" customWidth="1"/>
    <col min="15637" max="15871" width="9.125" style="330"/>
    <col min="15872" max="15872" width="2.875" style="330" customWidth="1"/>
    <col min="15873" max="15873" width="3.75" style="330" customWidth="1"/>
    <col min="15874" max="15874" width="20" style="330" customWidth="1"/>
    <col min="15875" max="15875" width="17.875" style="330" customWidth="1"/>
    <col min="15876" max="15877" width="7.875" style="330" customWidth="1"/>
    <col min="15878" max="15878" width="14.875" style="330" customWidth="1"/>
    <col min="15879" max="15879" width="8.875" style="330" customWidth="1"/>
    <col min="15880" max="15880" width="7.125" style="330" customWidth="1"/>
    <col min="15881" max="15881" width="6.875" style="330" customWidth="1"/>
    <col min="15882" max="15882" width="5.875" style="330" customWidth="1"/>
    <col min="15883" max="15883" width="7.75" style="330" customWidth="1"/>
    <col min="15884" max="15884" width="7.875" style="330" customWidth="1"/>
    <col min="15885" max="15885" width="7.125" style="330" customWidth="1"/>
    <col min="15886" max="15886" width="5" style="330" customWidth="1"/>
    <col min="15887" max="15887" width="6.875" style="330" customWidth="1"/>
    <col min="15888" max="15888" width="10" style="330" customWidth="1"/>
    <col min="15889" max="15889" width="5.375" style="330" customWidth="1"/>
    <col min="15890" max="15890" width="5.75" style="330" customWidth="1"/>
    <col min="15891" max="15891" width="10" style="330" customWidth="1"/>
    <col min="15892" max="15892" width="5.25" style="330" customWidth="1"/>
    <col min="15893" max="16127" width="9.125" style="330"/>
    <col min="16128" max="16128" width="2.875" style="330" customWidth="1"/>
    <col min="16129" max="16129" width="3.75" style="330" customWidth="1"/>
    <col min="16130" max="16130" width="20" style="330" customWidth="1"/>
    <col min="16131" max="16131" width="17.875" style="330" customWidth="1"/>
    <col min="16132" max="16133" width="7.875" style="330" customWidth="1"/>
    <col min="16134" max="16134" width="14.875" style="330" customWidth="1"/>
    <col min="16135" max="16135" width="8.875" style="330" customWidth="1"/>
    <col min="16136" max="16136" width="7.125" style="330" customWidth="1"/>
    <col min="16137" max="16137" width="6.875" style="330" customWidth="1"/>
    <col min="16138" max="16138" width="5.875" style="330" customWidth="1"/>
    <col min="16139" max="16139" width="7.75" style="330" customWidth="1"/>
    <col min="16140" max="16140" width="7.875" style="330" customWidth="1"/>
    <col min="16141" max="16141" width="7.125" style="330" customWidth="1"/>
    <col min="16142" max="16142" width="5" style="330" customWidth="1"/>
    <col min="16143" max="16143" width="6.875" style="330" customWidth="1"/>
    <col min="16144" max="16144" width="10" style="330" customWidth="1"/>
    <col min="16145" max="16145" width="5.375" style="330" customWidth="1"/>
    <col min="16146" max="16146" width="5.75" style="330" customWidth="1"/>
    <col min="16147" max="16147" width="10" style="330" customWidth="1"/>
    <col min="16148" max="16148" width="5.25" style="330" customWidth="1"/>
    <col min="16149" max="16384" width="9.125" style="330"/>
  </cols>
  <sheetData>
    <row r="1" spans="1:22" ht="22.5" customHeight="1">
      <c r="A1" s="1016" t="s">
        <v>640</v>
      </c>
      <c r="B1" s="1016"/>
      <c r="C1" s="1016"/>
      <c r="D1" s="1016"/>
      <c r="E1" s="1016"/>
      <c r="F1" s="1016"/>
      <c r="G1" s="1016"/>
      <c r="H1" s="1016"/>
      <c r="I1" s="1016"/>
      <c r="J1" s="1016"/>
      <c r="K1" s="1016"/>
      <c r="L1" s="1016"/>
      <c r="M1" s="1016"/>
      <c r="N1" s="1016"/>
      <c r="O1" s="1016"/>
      <c r="P1" s="1017" t="s">
        <v>590</v>
      </c>
      <c r="Q1" s="1017"/>
      <c r="R1" s="1017"/>
      <c r="S1" s="1017"/>
      <c r="T1" s="1017"/>
      <c r="U1" s="1017"/>
    </row>
    <row r="2" spans="1:22" ht="18.75" customHeight="1">
      <c r="A2" s="1018" t="s">
        <v>641</v>
      </c>
      <c r="B2" s="1018"/>
      <c r="C2" s="1018"/>
      <c r="D2" s="1018"/>
      <c r="E2" s="1018"/>
      <c r="F2" s="1018"/>
      <c r="G2" s="1018"/>
      <c r="H2" s="1018"/>
      <c r="I2" s="1018"/>
      <c r="J2" s="1018"/>
      <c r="K2" s="1018"/>
      <c r="L2" s="1018"/>
      <c r="M2" s="1018"/>
      <c r="N2" s="1018"/>
      <c r="O2" s="1018"/>
      <c r="P2" s="1019" t="s">
        <v>523</v>
      </c>
      <c r="Q2" s="1019"/>
      <c r="R2" s="1019"/>
      <c r="S2" s="1019"/>
      <c r="T2" s="1019"/>
      <c r="U2" s="1019"/>
    </row>
    <row r="3" spans="1:22" ht="18.75" customHeight="1">
      <c r="A3" s="1041" t="s">
        <v>771</v>
      </c>
      <c r="B3" s="1041"/>
      <c r="C3" s="1041"/>
      <c r="D3" s="1041"/>
      <c r="E3" s="1041"/>
      <c r="F3" s="1041"/>
      <c r="G3" s="1041"/>
      <c r="H3" s="1041"/>
      <c r="I3" s="1041"/>
      <c r="J3" s="1041"/>
      <c r="K3" s="1041"/>
      <c r="L3" s="1041"/>
      <c r="M3" s="1041"/>
      <c r="N3" s="1041"/>
      <c r="O3" s="1041"/>
      <c r="P3" s="1041"/>
      <c r="Q3" s="1041"/>
      <c r="R3" s="1041"/>
      <c r="S3" s="1041"/>
      <c r="T3" s="1041"/>
      <c r="U3" s="1041"/>
    </row>
    <row r="4" spans="1:22" ht="19.5" customHeight="1">
      <c r="A4" s="1020" t="str">
        <f>Summary!A2</f>
        <v>iz/kkukpk;Z egkRek xka/kh jktdh; fo|ky; ¼vaxzsth ek/;e½ cj ] ikyh</v>
      </c>
      <c r="B4" s="1020"/>
      <c r="C4" s="1020"/>
      <c r="D4" s="1020"/>
      <c r="E4" s="1020"/>
      <c r="F4" s="1020"/>
      <c r="G4" s="1020"/>
      <c r="H4" s="1020"/>
      <c r="I4" s="1020"/>
      <c r="J4" s="1020"/>
      <c r="K4" s="1020"/>
      <c r="L4" s="1020"/>
      <c r="M4" s="1020"/>
      <c r="N4" s="1020"/>
      <c r="O4" s="1020"/>
      <c r="P4" s="1020"/>
      <c r="Q4" s="1020"/>
      <c r="R4" s="1020"/>
      <c r="S4" s="1020"/>
      <c r="T4" s="1020"/>
      <c r="U4" s="1020"/>
    </row>
    <row r="5" spans="1:22" s="535" customFormat="1" ht="21.75" customHeight="1">
      <c r="A5" s="1039" t="str">
        <f>CONCATENATE("laLFkk iz/kku dk uke o eksckbZy ua- %&amp;  ",Master!G3,"] ","eks- ",Master!G4)</f>
        <v>laLFkk iz/kku dk uke o eksckbZy ua- %&amp;  m"kk ikfy;k] eks- 9413843457</v>
      </c>
      <c r="B5" s="1039"/>
      <c r="C5" s="1039"/>
      <c r="D5" s="1039"/>
      <c r="E5" s="1039"/>
      <c r="F5" s="1039"/>
      <c r="G5" s="1039"/>
      <c r="H5" s="1039"/>
      <c r="I5" s="1039"/>
      <c r="J5" s="1040" t="str">
        <f>CONCATENATE("Budget Head :-  ",Master!E5)</f>
        <v>Budget Head :-  2202-02-109-(02) (STATE FUND)</v>
      </c>
      <c r="K5" s="1040"/>
      <c r="L5" s="1040"/>
      <c r="M5" s="1040"/>
      <c r="N5" s="1040"/>
      <c r="O5" s="1040"/>
      <c r="P5" s="1040"/>
      <c r="Q5" s="1040"/>
      <c r="R5" s="580"/>
      <c r="S5" s="894">
        <f>Summary!$C$1</f>
        <v>30695</v>
      </c>
      <c r="T5" s="894"/>
      <c r="U5" s="894"/>
      <c r="V5" s="534"/>
    </row>
    <row r="6" spans="1:22" s="536" customFormat="1" ht="38.25" customHeight="1">
      <c r="A6" s="1034" t="s">
        <v>591</v>
      </c>
      <c r="B6" s="1034" t="s">
        <v>132</v>
      </c>
      <c r="C6" s="1037" t="s">
        <v>592</v>
      </c>
      <c r="D6" s="1034" t="s">
        <v>593</v>
      </c>
      <c r="E6" s="1034" t="s">
        <v>594</v>
      </c>
      <c r="F6" s="1034" t="s">
        <v>595</v>
      </c>
      <c r="G6" s="1034"/>
      <c r="H6" s="1034" t="s">
        <v>596</v>
      </c>
      <c r="I6" s="1034" t="s">
        <v>597</v>
      </c>
      <c r="J6" s="1034" t="s">
        <v>137</v>
      </c>
      <c r="K6" s="1034"/>
      <c r="L6" s="1034"/>
      <c r="M6" s="1034" t="s">
        <v>598</v>
      </c>
      <c r="N6" s="1035" t="s">
        <v>599</v>
      </c>
      <c r="O6" s="1036"/>
      <c r="P6" s="1034" t="s">
        <v>630</v>
      </c>
      <c r="Q6" s="1034" t="s">
        <v>629</v>
      </c>
      <c r="R6" s="1034" t="s">
        <v>600</v>
      </c>
      <c r="S6" s="1023" t="s">
        <v>628</v>
      </c>
      <c r="T6" s="1023" t="s">
        <v>601</v>
      </c>
      <c r="U6" s="1023" t="s">
        <v>602</v>
      </c>
    </row>
    <row r="7" spans="1:22" s="536" customFormat="1" ht="131.25" customHeight="1">
      <c r="A7" s="1034"/>
      <c r="B7" s="1034"/>
      <c r="C7" s="1038"/>
      <c r="D7" s="1034"/>
      <c r="E7" s="1034"/>
      <c r="F7" s="632" t="s">
        <v>336</v>
      </c>
      <c r="G7" s="632" t="s">
        <v>404</v>
      </c>
      <c r="H7" s="1034"/>
      <c r="I7" s="1034"/>
      <c r="J7" s="632" t="s">
        <v>603</v>
      </c>
      <c r="K7" s="632" t="s">
        <v>604</v>
      </c>
      <c r="L7" s="632" t="s">
        <v>151</v>
      </c>
      <c r="M7" s="1034"/>
      <c r="N7" s="632" t="s">
        <v>336</v>
      </c>
      <c r="O7" s="632" t="s">
        <v>605</v>
      </c>
      <c r="P7" s="1034"/>
      <c r="Q7" s="1034"/>
      <c r="R7" s="1034"/>
      <c r="S7" s="1024"/>
      <c r="T7" s="1024"/>
      <c r="U7" s="1024"/>
    </row>
    <row r="8" spans="1:22" s="538" customFormat="1" ht="12.75">
      <c r="A8" s="537">
        <v>1</v>
      </c>
      <c r="B8" s="537">
        <v>2</v>
      </c>
      <c r="C8" s="537" t="s">
        <v>606</v>
      </c>
      <c r="D8" s="537">
        <v>3</v>
      </c>
      <c r="E8" s="537">
        <v>4</v>
      </c>
      <c r="F8" s="537">
        <v>5</v>
      </c>
      <c r="G8" s="537">
        <v>6</v>
      </c>
      <c r="H8" s="537">
        <v>7</v>
      </c>
      <c r="I8" s="537">
        <v>8</v>
      </c>
      <c r="J8" s="537">
        <v>9</v>
      </c>
      <c r="K8" s="537" t="s">
        <v>607</v>
      </c>
      <c r="L8" s="537">
        <v>10</v>
      </c>
      <c r="M8" s="537">
        <v>11</v>
      </c>
      <c r="N8" s="537" t="s">
        <v>608</v>
      </c>
      <c r="O8" s="537" t="s">
        <v>609</v>
      </c>
      <c r="P8" s="537" t="s">
        <v>610</v>
      </c>
      <c r="Q8" s="537" t="s">
        <v>611</v>
      </c>
      <c r="R8" s="537">
        <v>12</v>
      </c>
      <c r="S8" s="537">
        <v>13</v>
      </c>
      <c r="T8" s="537">
        <v>14</v>
      </c>
      <c r="U8" s="537">
        <v>15</v>
      </c>
    </row>
    <row r="9" spans="1:22" s="541" customFormat="1" ht="20.100000000000001" customHeight="1">
      <c r="A9" s="539">
        <v>1</v>
      </c>
      <c r="B9" s="581" t="str">
        <f>IF('Formet 8'!B12="","",'Formet 8'!B12)</f>
        <v>Jherh m"kk ikfy;k</v>
      </c>
      <c r="C9" s="539"/>
      <c r="D9" s="582" t="str">
        <f>IF('Formet 8'!C12="","",'Formet 8'!C12)</f>
        <v>RJAJ199506021728</v>
      </c>
      <c r="E9" s="583" t="str">
        <f>IF('Formet 8'!E12="","",'Formet 8'!E12)</f>
        <v>PRINCIPAL</v>
      </c>
      <c r="F9" s="584">
        <f>IF('Formet 8'!F12="","",'Formet 8'!F12)</f>
        <v>16</v>
      </c>
      <c r="G9" s="583">
        <f>IF('Formet 8'!G12="","",'Formet 8'!G12)</f>
        <v>71300</v>
      </c>
      <c r="H9" s="591">
        <f>G9</f>
        <v>71300</v>
      </c>
      <c r="I9" s="591">
        <f>IF(H9="","",H9*12)</f>
        <v>855600</v>
      </c>
      <c r="J9" s="592">
        <v>44378</v>
      </c>
      <c r="K9" s="591">
        <f>IF(H9="","",ROUND(H9*3%,-2))</f>
        <v>2100</v>
      </c>
      <c r="L9" s="591">
        <f>IF(K9="","",K9*8)</f>
        <v>16800</v>
      </c>
      <c r="M9" s="591">
        <f>IF(OR(I9="",L9=""),"",L9+I9)</f>
        <v>872400</v>
      </c>
      <c r="N9" s="584">
        <f>IF(F9="","",F9)</f>
        <v>16</v>
      </c>
      <c r="O9" s="591"/>
      <c r="P9" s="591">
        <f>O9*4</f>
        <v>0</v>
      </c>
      <c r="Q9" s="591">
        <f>IF(H9="","",H9*8)</f>
        <v>570400</v>
      </c>
      <c r="R9" s="591">
        <f>IF(OR(P9="",Q9=""),"",P9+Q9)</f>
        <v>570400</v>
      </c>
      <c r="S9" s="592"/>
      <c r="T9" s="592"/>
      <c r="U9" s="539"/>
    </row>
    <row r="10" spans="1:22" s="541" customFormat="1" ht="20.100000000000001" customHeight="1">
      <c r="A10" s="539">
        <v>2</v>
      </c>
      <c r="B10" s="581" t="str">
        <f>IF('Formet 8'!B13="","",'Formet 8'!B13)</f>
        <v/>
      </c>
      <c r="C10" s="539"/>
      <c r="D10" s="582" t="str">
        <f>IF('Formet 8'!C13="","",'Formet 8'!C13)</f>
        <v/>
      </c>
      <c r="E10" s="583" t="str">
        <f>IF('Formet 8'!E13="","",'Formet 8'!E13)</f>
        <v/>
      </c>
      <c r="F10" s="584" t="str">
        <f>IF('Formet 8'!F13="","",'Formet 8'!F13)</f>
        <v/>
      </c>
      <c r="G10" s="583" t="str">
        <f>IF('Formet 8'!G13="","",'Formet 8'!G13)</f>
        <v/>
      </c>
      <c r="H10" s="591" t="str">
        <f t="shared" ref="H10:H12" si="0">G10</f>
        <v/>
      </c>
      <c r="I10" s="591" t="str">
        <f t="shared" ref="I10:I22" si="1">IF(H10="","",H10*12)</f>
        <v/>
      </c>
      <c r="J10" s="592">
        <v>44378</v>
      </c>
      <c r="K10" s="591" t="str">
        <f t="shared" ref="K10:K15" si="2">IF(H10="","",ROUND(H10*3%,-2))</f>
        <v/>
      </c>
      <c r="L10" s="591" t="str">
        <f t="shared" ref="L10:L22" si="3">IF(K10="","",K10*8)</f>
        <v/>
      </c>
      <c r="M10" s="591" t="str">
        <f t="shared" ref="M10:M15" si="4">IF(OR(I10="",L10=""),"",L10+I10)</f>
        <v/>
      </c>
      <c r="N10" s="584" t="str">
        <f t="shared" ref="N10:N20" si="5">IF(F10="","",F10)</f>
        <v/>
      </c>
      <c r="O10" s="591"/>
      <c r="P10" s="591">
        <f t="shared" ref="P10:P12" si="6">O10*4</f>
        <v>0</v>
      </c>
      <c r="Q10" s="591" t="str">
        <f t="shared" ref="Q10:Q15" si="7">IF(H10="","",H10*8)</f>
        <v/>
      </c>
      <c r="R10" s="591" t="str">
        <f t="shared" ref="R10:R15" si="8">IF(OR(P10="",Q10=""),"",P10+Q10)</f>
        <v/>
      </c>
      <c r="S10" s="592"/>
      <c r="T10" s="592"/>
      <c r="U10" s="539"/>
    </row>
    <row r="11" spans="1:22" s="541" customFormat="1" ht="20.100000000000001" customHeight="1">
      <c r="A11" s="539">
        <v>3</v>
      </c>
      <c r="B11" s="581" t="str">
        <f>IF('Formet 8'!B14="","",'Formet 8'!B14)</f>
        <v/>
      </c>
      <c r="C11" s="539"/>
      <c r="D11" s="582" t="str">
        <f>IF('Formet 8'!C14="","",'Formet 8'!C14)</f>
        <v/>
      </c>
      <c r="E11" s="583" t="str">
        <f>IF('Formet 8'!E14="","",'Formet 8'!E14)</f>
        <v/>
      </c>
      <c r="F11" s="584" t="str">
        <f>IF('Formet 8'!F14="","",'Formet 8'!F14)</f>
        <v/>
      </c>
      <c r="G11" s="583" t="str">
        <f>IF('Formet 8'!G14="","",'Formet 8'!G14)</f>
        <v/>
      </c>
      <c r="H11" s="591" t="str">
        <f t="shared" si="0"/>
        <v/>
      </c>
      <c r="I11" s="591" t="str">
        <f t="shared" si="1"/>
        <v/>
      </c>
      <c r="J11" s="592">
        <v>44378</v>
      </c>
      <c r="K11" s="591" t="str">
        <f t="shared" si="2"/>
        <v/>
      </c>
      <c r="L11" s="591" t="str">
        <f t="shared" si="3"/>
        <v/>
      </c>
      <c r="M11" s="591" t="str">
        <f t="shared" si="4"/>
        <v/>
      </c>
      <c r="N11" s="584" t="str">
        <f t="shared" si="5"/>
        <v/>
      </c>
      <c r="O11" s="591"/>
      <c r="P11" s="591">
        <f t="shared" si="6"/>
        <v>0</v>
      </c>
      <c r="Q11" s="591" t="str">
        <f t="shared" si="7"/>
        <v/>
      </c>
      <c r="R11" s="591" t="str">
        <f t="shared" si="8"/>
        <v/>
      </c>
      <c r="S11" s="592"/>
      <c r="T11" s="592"/>
      <c r="U11" s="539"/>
    </row>
    <row r="12" spans="1:22" s="541" customFormat="1" ht="20.100000000000001" customHeight="1">
      <c r="A12" s="539">
        <v>4</v>
      </c>
      <c r="B12" s="581" t="str">
        <f>IF('Formet 8'!B15="","",'Formet 8'!B15)</f>
        <v/>
      </c>
      <c r="C12" s="539"/>
      <c r="D12" s="582" t="str">
        <f>IF('Formet 8'!C15="","",'Formet 8'!C15)</f>
        <v/>
      </c>
      <c r="E12" s="583" t="str">
        <f>IF('Formet 8'!E15="","",'Formet 8'!E15)</f>
        <v/>
      </c>
      <c r="F12" s="584" t="str">
        <f>IF('Formet 8'!F15="","",'Formet 8'!F15)</f>
        <v/>
      </c>
      <c r="G12" s="583" t="str">
        <f>IF('Formet 8'!G15="","",'Formet 8'!G15)</f>
        <v/>
      </c>
      <c r="H12" s="591" t="str">
        <f t="shared" si="0"/>
        <v/>
      </c>
      <c r="I12" s="591" t="str">
        <f t="shared" si="1"/>
        <v/>
      </c>
      <c r="J12" s="592">
        <v>44378</v>
      </c>
      <c r="K12" s="591" t="str">
        <f t="shared" si="2"/>
        <v/>
      </c>
      <c r="L12" s="591" t="str">
        <f t="shared" si="3"/>
        <v/>
      </c>
      <c r="M12" s="591" t="str">
        <f t="shared" si="4"/>
        <v/>
      </c>
      <c r="N12" s="584" t="str">
        <f t="shared" si="5"/>
        <v/>
      </c>
      <c r="O12" s="591"/>
      <c r="P12" s="591">
        <f t="shared" si="6"/>
        <v>0</v>
      </c>
      <c r="Q12" s="591" t="str">
        <f t="shared" si="7"/>
        <v/>
      </c>
      <c r="R12" s="591" t="str">
        <f t="shared" si="8"/>
        <v/>
      </c>
      <c r="S12" s="592"/>
      <c r="T12" s="592"/>
      <c r="U12" s="539"/>
    </row>
    <row r="13" spans="1:22" s="541" customFormat="1" ht="20.100000000000001" customHeight="1">
      <c r="A13" s="539">
        <v>5</v>
      </c>
      <c r="B13" s="581" t="str">
        <f>IF('Formet 8'!B16="","",'Formet 8'!B16)</f>
        <v/>
      </c>
      <c r="C13" s="539"/>
      <c r="D13" s="582" t="str">
        <f>IF('Formet 8'!C16="","",'Formet 8'!C16)</f>
        <v/>
      </c>
      <c r="E13" s="583" t="str">
        <f>IF('Formet 8'!E16="","",'Formet 8'!E16)</f>
        <v/>
      </c>
      <c r="F13" s="584" t="str">
        <f>IF('Formet 8'!F16="","",'Formet 8'!F16)</f>
        <v/>
      </c>
      <c r="G13" s="583" t="str">
        <f>IF('Formet 8'!G16="","",'Formet 8'!G16)</f>
        <v/>
      </c>
      <c r="H13" s="591" t="str">
        <f t="shared" ref="H13" si="9">G13</f>
        <v/>
      </c>
      <c r="I13" s="591" t="str">
        <f t="shared" si="1"/>
        <v/>
      </c>
      <c r="J13" s="592"/>
      <c r="K13" s="591" t="str">
        <f t="shared" si="2"/>
        <v/>
      </c>
      <c r="L13" s="591" t="str">
        <f t="shared" si="3"/>
        <v/>
      </c>
      <c r="M13" s="591" t="str">
        <f t="shared" si="4"/>
        <v/>
      </c>
      <c r="N13" s="584" t="str">
        <f t="shared" ref="N13" si="10">IF(F13="","",F13)</f>
        <v/>
      </c>
      <c r="O13" s="591"/>
      <c r="P13" s="591">
        <f t="shared" ref="P13" si="11">O13*4</f>
        <v>0</v>
      </c>
      <c r="Q13" s="591" t="str">
        <f t="shared" si="7"/>
        <v/>
      </c>
      <c r="R13" s="591" t="str">
        <f t="shared" si="8"/>
        <v/>
      </c>
      <c r="S13" s="592"/>
      <c r="T13" s="592"/>
      <c r="U13" s="539"/>
    </row>
    <row r="14" spans="1:22" s="544" customFormat="1" ht="24.75" customHeight="1">
      <c r="A14" s="1025" t="s">
        <v>612</v>
      </c>
      <c r="B14" s="1026"/>
      <c r="C14" s="1026"/>
      <c r="D14" s="1026"/>
      <c r="E14" s="1026"/>
      <c r="F14" s="1026"/>
      <c r="G14" s="1027"/>
      <c r="H14" s="542">
        <f>SUM(H9:H13)</f>
        <v>71300</v>
      </c>
      <c r="I14" s="542">
        <f t="shared" ref="I14:R14" si="12">SUM(I9:I13)</f>
        <v>855600</v>
      </c>
      <c r="J14" s="542">
        <f t="shared" si="12"/>
        <v>177512</v>
      </c>
      <c r="K14" s="542">
        <f t="shared" si="12"/>
        <v>2100</v>
      </c>
      <c r="L14" s="542">
        <f t="shared" si="12"/>
        <v>16800</v>
      </c>
      <c r="M14" s="542">
        <f t="shared" si="12"/>
        <v>872400</v>
      </c>
      <c r="N14" s="542"/>
      <c r="O14" s="542">
        <f t="shared" si="12"/>
        <v>0</v>
      </c>
      <c r="P14" s="542">
        <f t="shared" si="12"/>
        <v>0</v>
      </c>
      <c r="Q14" s="542">
        <f t="shared" si="12"/>
        <v>570400</v>
      </c>
      <c r="R14" s="542">
        <f t="shared" si="12"/>
        <v>570400</v>
      </c>
      <c r="S14" s="540"/>
      <c r="T14" s="540"/>
      <c r="U14" s="543"/>
    </row>
    <row r="15" spans="1:22" s="546" customFormat="1" ht="20.100000000000001" customHeight="1">
      <c r="A15" s="545">
        <v>1</v>
      </c>
      <c r="B15" s="581" t="str">
        <f>IF('Formet 8'!B28="","",'Formet 8'!B28)</f>
        <v>Jh ;ksxsUnz</v>
      </c>
      <c r="C15" s="545"/>
      <c r="D15" s="582" t="str">
        <f>IF('Formet 8'!C28="","",'Formet 8'!C28)</f>
        <v>RJAJ199506021728</v>
      </c>
      <c r="E15" s="583" t="str">
        <f>IF('Formet 8'!E28="","",'Formet 8'!E28)</f>
        <v>TEACHER-II</v>
      </c>
      <c r="F15" s="584">
        <f>IF('Formet 8'!F28="","",'Formet 8'!F28)</f>
        <v>11</v>
      </c>
      <c r="G15" s="583">
        <f>IF('Formet 8'!G28="","",'Formet 8'!G28)</f>
        <v>45600</v>
      </c>
      <c r="H15" s="591">
        <f>G15</f>
        <v>45600</v>
      </c>
      <c r="I15" s="591">
        <f t="shared" si="1"/>
        <v>547200</v>
      </c>
      <c r="J15" s="592">
        <v>44378</v>
      </c>
      <c r="K15" s="591">
        <f t="shared" si="2"/>
        <v>1400</v>
      </c>
      <c r="L15" s="591">
        <f t="shared" si="3"/>
        <v>11200</v>
      </c>
      <c r="M15" s="591">
        <f t="shared" si="4"/>
        <v>558400</v>
      </c>
      <c r="N15" s="598">
        <f t="shared" si="5"/>
        <v>11</v>
      </c>
      <c r="O15" s="591"/>
      <c r="P15" s="591">
        <f t="shared" ref="P15:P20" si="13">O15*4</f>
        <v>0</v>
      </c>
      <c r="Q15" s="591">
        <f t="shared" si="7"/>
        <v>364800</v>
      </c>
      <c r="R15" s="591">
        <f t="shared" si="8"/>
        <v>364800</v>
      </c>
      <c r="S15" s="592"/>
      <c r="T15" s="592"/>
      <c r="U15" s="593"/>
    </row>
    <row r="16" spans="1:22" s="546" customFormat="1" ht="20.100000000000001" customHeight="1">
      <c r="A16" s="545">
        <v>2</v>
      </c>
      <c r="B16" s="581" t="str">
        <f>IF('Formet 8'!B29="","",'Formet 8'!B29)</f>
        <v>Jh lqjs'k pUn flaxkfM+;k</v>
      </c>
      <c r="C16" s="545"/>
      <c r="D16" s="582" t="str">
        <f>IF('Formet 8'!C29="","",'Formet 8'!C29)</f>
        <v>RJAJ199506021728</v>
      </c>
      <c r="E16" s="583" t="str">
        <f>IF('Formet 8'!E29="","",'Formet 8'!E29)</f>
        <v>TEACHER-II</v>
      </c>
      <c r="F16" s="584">
        <f>IF('Formet 8'!F29="","",'Formet 8'!F29)</f>
        <v>11</v>
      </c>
      <c r="G16" s="583">
        <f>IF('Formet 8'!G29="","",'Formet 8'!G29)</f>
        <v>53900</v>
      </c>
      <c r="H16" s="591">
        <f t="shared" ref="H16:H22" si="14">G16</f>
        <v>53900</v>
      </c>
      <c r="I16" s="591">
        <f t="shared" si="1"/>
        <v>646800</v>
      </c>
      <c r="J16" s="592">
        <v>44378</v>
      </c>
      <c r="K16" s="591">
        <f t="shared" ref="K16:K22" si="15">IF(H16="","",ROUND(H16*3%,-2))</f>
        <v>1600</v>
      </c>
      <c r="L16" s="591">
        <f t="shared" si="3"/>
        <v>12800</v>
      </c>
      <c r="M16" s="591">
        <f t="shared" ref="M16:M22" si="16">IF(OR(I16="",L16=""),"",L16+I16)</f>
        <v>659600</v>
      </c>
      <c r="N16" s="598">
        <f t="shared" si="5"/>
        <v>11</v>
      </c>
      <c r="O16" s="591"/>
      <c r="P16" s="591">
        <f t="shared" si="13"/>
        <v>0</v>
      </c>
      <c r="Q16" s="591">
        <f t="shared" ref="Q16:Q22" si="17">IF(H16="","",H16*8)</f>
        <v>431200</v>
      </c>
      <c r="R16" s="591">
        <f t="shared" ref="R16:R22" si="18">IF(OR(P16="",Q16=""),"",P16+Q16)</f>
        <v>431200</v>
      </c>
      <c r="S16" s="592"/>
      <c r="T16" s="592"/>
      <c r="U16" s="593"/>
    </row>
    <row r="17" spans="1:21" s="546" customFormat="1" ht="20.100000000000001" customHeight="1">
      <c r="A17" s="545">
        <v>3</v>
      </c>
      <c r="B17" s="581" t="str">
        <f>IF('Formet 8'!B30="","",'Formet 8'!B30)</f>
        <v>Jh jkds'k dqekj 'kekZ</v>
      </c>
      <c r="C17" s="545"/>
      <c r="D17" s="582" t="str">
        <f>IF('Formet 8'!C30="","",'Formet 8'!C30)</f>
        <v>RJAJ199506021728</v>
      </c>
      <c r="E17" s="583" t="str">
        <f>IF('Formet 8'!E30="","",'Formet 8'!E30)</f>
        <v>TEACHER-II</v>
      </c>
      <c r="F17" s="584">
        <f>IF('Formet 8'!F30="","",'Formet 8'!F30)</f>
        <v>11</v>
      </c>
      <c r="G17" s="583">
        <f>IF('Formet 8'!G30="","",'Formet 8'!G30)</f>
        <v>45600</v>
      </c>
      <c r="H17" s="591">
        <f t="shared" si="14"/>
        <v>45600</v>
      </c>
      <c r="I17" s="591">
        <f t="shared" si="1"/>
        <v>547200</v>
      </c>
      <c r="J17" s="592">
        <v>44378</v>
      </c>
      <c r="K17" s="591">
        <f t="shared" si="15"/>
        <v>1400</v>
      </c>
      <c r="L17" s="591">
        <f t="shared" si="3"/>
        <v>11200</v>
      </c>
      <c r="M17" s="591">
        <f t="shared" si="16"/>
        <v>558400</v>
      </c>
      <c r="N17" s="598">
        <f t="shared" si="5"/>
        <v>11</v>
      </c>
      <c r="O17" s="591"/>
      <c r="P17" s="591">
        <f t="shared" si="13"/>
        <v>0</v>
      </c>
      <c r="Q17" s="591">
        <f t="shared" si="17"/>
        <v>364800</v>
      </c>
      <c r="R17" s="591">
        <f t="shared" si="18"/>
        <v>364800</v>
      </c>
      <c r="S17" s="592"/>
      <c r="T17" s="592"/>
      <c r="U17" s="594"/>
    </row>
    <row r="18" spans="1:21" s="546" customFormat="1" ht="20.100000000000001" customHeight="1">
      <c r="A18" s="545">
        <v>4</v>
      </c>
      <c r="B18" s="581" t="str">
        <f>IF('Formet 8'!B31="","",'Formet 8'!B31)</f>
        <v>Jh ghjkyky tkV</v>
      </c>
      <c r="C18" s="545"/>
      <c r="D18" s="582" t="str">
        <f>IF('Formet 8'!C31="","",'Formet 8'!C31)</f>
        <v>RJAJ199506021728</v>
      </c>
      <c r="E18" s="583" t="str">
        <f>IF('Formet 8'!E31="","",'Formet 8'!E31)</f>
        <v>TEACHER-II</v>
      </c>
      <c r="F18" s="584">
        <f>IF('Formet 8'!F31="","",'Formet 8'!F31)</f>
        <v>11</v>
      </c>
      <c r="G18" s="583">
        <f>IF('Formet 8'!G31="","",'Formet 8'!G31)</f>
        <v>52300</v>
      </c>
      <c r="H18" s="591">
        <f t="shared" si="14"/>
        <v>52300</v>
      </c>
      <c r="I18" s="591">
        <f t="shared" si="1"/>
        <v>627600</v>
      </c>
      <c r="J18" s="592">
        <v>44378</v>
      </c>
      <c r="K18" s="591">
        <f t="shared" si="15"/>
        <v>1600</v>
      </c>
      <c r="L18" s="591">
        <f t="shared" si="3"/>
        <v>12800</v>
      </c>
      <c r="M18" s="591">
        <f t="shared" si="16"/>
        <v>640400</v>
      </c>
      <c r="N18" s="598">
        <f t="shared" si="5"/>
        <v>11</v>
      </c>
      <c r="O18" s="591"/>
      <c r="P18" s="591">
        <f t="shared" si="13"/>
        <v>0</v>
      </c>
      <c r="Q18" s="591">
        <f t="shared" si="17"/>
        <v>418400</v>
      </c>
      <c r="R18" s="591">
        <f t="shared" si="18"/>
        <v>418400</v>
      </c>
      <c r="S18" s="592"/>
      <c r="T18" s="592"/>
      <c r="U18" s="595"/>
    </row>
    <row r="19" spans="1:21" s="546" customFormat="1" ht="20.100000000000001" customHeight="1">
      <c r="A19" s="545">
        <v>5</v>
      </c>
      <c r="B19" s="581" t="str">
        <f>IF('Formet 8'!B32="","",'Formet 8'!B32)</f>
        <v>Jh 'kjn 'kekZ</v>
      </c>
      <c r="C19" s="545"/>
      <c r="D19" s="582" t="str">
        <f>IF('Formet 8'!C32="","",'Formet 8'!C32)</f>
        <v>RJAJ199506021728</v>
      </c>
      <c r="E19" s="583" t="str">
        <f>IF('Formet 8'!E32="","",'Formet 8'!E32)</f>
        <v>TEACHER-II</v>
      </c>
      <c r="F19" s="584">
        <f>IF('Formet 8'!F32="","",'Formet 8'!F32)</f>
        <v>11</v>
      </c>
      <c r="G19" s="583">
        <f>IF('Formet 8'!G32="","",'Formet 8'!G32)</f>
        <v>41300</v>
      </c>
      <c r="H19" s="591">
        <f t="shared" si="14"/>
        <v>41300</v>
      </c>
      <c r="I19" s="591">
        <f t="shared" si="1"/>
        <v>495600</v>
      </c>
      <c r="J19" s="592">
        <v>44378</v>
      </c>
      <c r="K19" s="591">
        <f t="shared" si="15"/>
        <v>1200</v>
      </c>
      <c r="L19" s="591">
        <f t="shared" si="3"/>
        <v>9600</v>
      </c>
      <c r="M19" s="591">
        <f t="shared" si="16"/>
        <v>505200</v>
      </c>
      <c r="N19" s="598">
        <f t="shared" si="5"/>
        <v>11</v>
      </c>
      <c r="O19" s="591"/>
      <c r="P19" s="591">
        <f t="shared" si="13"/>
        <v>0</v>
      </c>
      <c r="Q19" s="591">
        <f t="shared" si="17"/>
        <v>330400</v>
      </c>
      <c r="R19" s="591">
        <f t="shared" si="18"/>
        <v>330400</v>
      </c>
      <c r="S19" s="592"/>
      <c r="T19" s="592"/>
      <c r="U19" s="594"/>
    </row>
    <row r="20" spans="1:21" s="546" customFormat="1" ht="20.100000000000001" customHeight="1">
      <c r="A20" s="545">
        <v>6</v>
      </c>
      <c r="B20" s="581" t="str">
        <f>IF('Formet 8'!B33="","",'Formet 8'!B33)</f>
        <v>Jh jk/ks';ke</v>
      </c>
      <c r="C20" s="545"/>
      <c r="D20" s="582" t="str">
        <f>IF('Formet 8'!C33="","",'Formet 8'!C33)</f>
        <v>RJAJ199506021728</v>
      </c>
      <c r="E20" s="583" t="str">
        <f>IF('Formet 8'!E33="","",'Formet 8'!E33)</f>
        <v>TEACHER-II</v>
      </c>
      <c r="F20" s="584">
        <f>IF('Formet 8'!F33="","",'Formet 8'!F33)</f>
        <v>12</v>
      </c>
      <c r="G20" s="583">
        <f>IF('Formet 8'!G33="","",'Formet 8'!G33)</f>
        <v>69300</v>
      </c>
      <c r="H20" s="591">
        <f t="shared" si="14"/>
        <v>69300</v>
      </c>
      <c r="I20" s="591">
        <f t="shared" si="1"/>
        <v>831600</v>
      </c>
      <c r="J20" s="592">
        <v>44378</v>
      </c>
      <c r="K20" s="591">
        <f t="shared" si="15"/>
        <v>2100</v>
      </c>
      <c r="L20" s="591">
        <f t="shared" si="3"/>
        <v>16800</v>
      </c>
      <c r="M20" s="591">
        <f t="shared" si="16"/>
        <v>848400</v>
      </c>
      <c r="N20" s="598">
        <f t="shared" si="5"/>
        <v>12</v>
      </c>
      <c r="O20" s="591"/>
      <c r="P20" s="591">
        <f t="shared" si="13"/>
        <v>0</v>
      </c>
      <c r="Q20" s="591">
        <f t="shared" si="17"/>
        <v>554400</v>
      </c>
      <c r="R20" s="591">
        <f t="shared" si="18"/>
        <v>554400</v>
      </c>
      <c r="S20" s="592"/>
      <c r="T20" s="592"/>
      <c r="U20" s="596"/>
    </row>
    <row r="21" spans="1:21" s="546" customFormat="1" ht="20.100000000000001" customHeight="1">
      <c r="A21" s="545">
        <v>7</v>
      </c>
      <c r="B21" s="581" t="str">
        <f>IF('Formet 8'!B34="","",'Formet 8'!B34)</f>
        <v>Jh izdk'k pUn</v>
      </c>
      <c r="C21" s="545"/>
      <c r="D21" s="582" t="str">
        <f>IF('Formet 8'!C34="","",'Formet 8'!C34)</f>
        <v>RJAJ199506021728</v>
      </c>
      <c r="E21" s="583" t="str">
        <f>IF('Formet 8'!E34="","",'Formet 8'!E34)</f>
        <v>TEACHER-III</v>
      </c>
      <c r="F21" s="584">
        <f>IF('Formet 8'!F34="","",'Formet 8'!F34)</f>
        <v>10</v>
      </c>
      <c r="G21" s="583">
        <f>IF('Formet 8'!G34="","",'Formet 8'!G34)</f>
        <v>41100</v>
      </c>
      <c r="H21" s="591">
        <f t="shared" si="14"/>
        <v>41100</v>
      </c>
      <c r="I21" s="591">
        <f t="shared" si="1"/>
        <v>493200</v>
      </c>
      <c r="J21" s="592">
        <v>44378</v>
      </c>
      <c r="K21" s="591">
        <f t="shared" si="15"/>
        <v>1200</v>
      </c>
      <c r="L21" s="591">
        <f t="shared" si="3"/>
        <v>9600</v>
      </c>
      <c r="M21" s="591">
        <f t="shared" si="16"/>
        <v>502800</v>
      </c>
      <c r="N21" s="598">
        <f t="shared" ref="N21:N22" si="19">IF(F21="","",F21)</f>
        <v>10</v>
      </c>
      <c r="O21" s="591"/>
      <c r="P21" s="591">
        <f t="shared" ref="P21:P22" si="20">O21*4</f>
        <v>0</v>
      </c>
      <c r="Q21" s="591">
        <f t="shared" si="17"/>
        <v>328800</v>
      </c>
      <c r="R21" s="591">
        <f t="shared" si="18"/>
        <v>328800</v>
      </c>
      <c r="S21" s="592"/>
      <c r="T21" s="592"/>
      <c r="U21" s="596"/>
    </row>
    <row r="22" spans="1:21" s="546" customFormat="1" ht="20.100000000000001" customHeight="1">
      <c r="A22" s="545">
        <v>8</v>
      </c>
      <c r="B22" s="581" t="str">
        <f>IF('Formet 8'!B35="","",'Formet 8'!B35)</f>
        <v>Jherh eerk yokfu;k</v>
      </c>
      <c r="C22" s="545"/>
      <c r="D22" s="582" t="str">
        <f>IF('Formet 8'!C35="","",'Formet 8'!C35)</f>
        <v>RJAJ199506021728</v>
      </c>
      <c r="E22" s="583" t="str">
        <f>IF('Formet 8'!E35="","",'Formet 8'!E35)</f>
        <v>TEACHER-III</v>
      </c>
      <c r="F22" s="584">
        <f>IF('Formet 8'!F35="","",'Formet 8'!F35)</f>
        <v>11</v>
      </c>
      <c r="G22" s="583">
        <f>IF('Formet 8'!G35="","",'Formet 8'!G35)</f>
        <v>41100</v>
      </c>
      <c r="H22" s="591">
        <f t="shared" si="14"/>
        <v>41100</v>
      </c>
      <c r="I22" s="591">
        <f t="shared" si="1"/>
        <v>493200</v>
      </c>
      <c r="J22" s="592">
        <v>44378</v>
      </c>
      <c r="K22" s="591">
        <f t="shared" si="15"/>
        <v>1200</v>
      </c>
      <c r="L22" s="591">
        <f t="shared" si="3"/>
        <v>9600</v>
      </c>
      <c r="M22" s="591">
        <f t="shared" si="16"/>
        <v>502800</v>
      </c>
      <c r="N22" s="598">
        <f t="shared" si="19"/>
        <v>11</v>
      </c>
      <c r="O22" s="591"/>
      <c r="P22" s="591">
        <f t="shared" si="20"/>
        <v>0</v>
      </c>
      <c r="Q22" s="591">
        <f t="shared" si="17"/>
        <v>328800</v>
      </c>
      <c r="R22" s="591">
        <f t="shared" si="18"/>
        <v>328800</v>
      </c>
      <c r="S22" s="592"/>
      <c r="T22" s="592"/>
      <c r="U22" s="596"/>
    </row>
    <row r="23" spans="1:21" s="544" customFormat="1" ht="15.75">
      <c r="A23" s="1028" t="s">
        <v>642</v>
      </c>
      <c r="B23" s="1029"/>
      <c r="C23" s="1029"/>
      <c r="D23" s="1029"/>
      <c r="E23" s="1029"/>
      <c r="F23" s="1029"/>
      <c r="G23" s="1030"/>
      <c r="H23" s="599">
        <f>SUM(H15:H22)</f>
        <v>390200</v>
      </c>
      <c r="I23" s="599">
        <f>SUM(I15:I22)</f>
        <v>4682400</v>
      </c>
      <c r="J23" s="599"/>
      <c r="K23" s="599">
        <f>SUM(K15:K22)</f>
        <v>11700</v>
      </c>
      <c r="L23" s="599">
        <f t="shared" ref="L23:M23" si="21">SUM(L15:L22)</f>
        <v>93600</v>
      </c>
      <c r="M23" s="599">
        <f t="shared" si="21"/>
        <v>4776000</v>
      </c>
      <c r="N23" s="599"/>
      <c r="O23" s="599">
        <f>SUM(O15:O22)</f>
        <v>0</v>
      </c>
      <c r="P23" s="599">
        <f t="shared" ref="P23:R23" si="22">SUM(P15:P22)</f>
        <v>0</v>
      </c>
      <c r="Q23" s="599">
        <f t="shared" si="22"/>
        <v>3121600</v>
      </c>
      <c r="R23" s="599">
        <f t="shared" si="22"/>
        <v>3121600</v>
      </c>
      <c r="S23" s="592"/>
      <c r="T23" s="592"/>
      <c r="U23" s="597"/>
    </row>
    <row r="24" spans="1:21" s="544" customFormat="1" ht="21" customHeight="1">
      <c r="A24" s="1031" t="s">
        <v>613</v>
      </c>
      <c r="B24" s="1032"/>
      <c r="C24" s="1032"/>
      <c r="D24" s="1032"/>
      <c r="E24" s="1032"/>
      <c r="F24" s="1032"/>
      <c r="G24" s="1033"/>
      <c r="H24" s="599">
        <f>SUM(H14+H23)</f>
        <v>461500</v>
      </c>
      <c r="I24" s="599">
        <f t="shared" ref="I24:R24" si="23">SUM(I14+I23)</f>
        <v>5538000</v>
      </c>
      <c r="J24" s="599"/>
      <c r="K24" s="599">
        <f t="shared" si="23"/>
        <v>13800</v>
      </c>
      <c r="L24" s="599">
        <f t="shared" si="23"/>
        <v>110400</v>
      </c>
      <c r="M24" s="599">
        <f t="shared" si="23"/>
        <v>5648400</v>
      </c>
      <c r="N24" s="599"/>
      <c r="O24" s="599">
        <f t="shared" si="23"/>
        <v>0</v>
      </c>
      <c r="P24" s="599">
        <f t="shared" si="23"/>
        <v>0</v>
      </c>
      <c r="Q24" s="599">
        <f t="shared" si="23"/>
        <v>3692000</v>
      </c>
      <c r="R24" s="599">
        <f t="shared" si="23"/>
        <v>3692000</v>
      </c>
      <c r="S24" s="591"/>
      <c r="T24" s="591"/>
      <c r="U24" s="597"/>
    </row>
    <row r="25" spans="1:21" s="547" customFormat="1" ht="21" customHeight="1">
      <c r="A25" s="1031" t="s">
        <v>614</v>
      </c>
      <c r="B25" s="1032"/>
      <c r="C25" s="1032"/>
      <c r="D25" s="1032"/>
      <c r="E25" s="1032"/>
      <c r="F25" s="1032"/>
      <c r="G25" s="1033"/>
      <c r="H25" s="599">
        <f>H24</f>
        <v>461500</v>
      </c>
      <c r="I25" s="599">
        <f t="shared" ref="I25:R25" si="24">I24</f>
        <v>5538000</v>
      </c>
      <c r="J25" s="599"/>
      <c r="K25" s="599">
        <f t="shared" si="24"/>
        <v>13800</v>
      </c>
      <c r="L25" s="599">
        <f t="shared" si="24"/>
        <v>110400</v>
      </c>
      <c r="M25" s="599">
        <f t="shared" si="24"/>
        <v>5648400</v>
      </c>
      <c r="N25" s="599"/>
      <c r="O25" s="599">
        <f t="shared" si="24"/>
        <v>0</v>
      </c>
      <c r="P25" s="599">
        <f t="shared" si="24"/>
        <v>0</v>
      </c>
      <c r="Q25" s="599">
        <f t="shared" si="24"/>
        <v>3692000</v>
      </c>
      <c r="R25" s="599">
        <f t="shared" si="24"/>
        <v>3692000</v>
      </c>
      <c r="S25" s="591"/>
      <c r="T25" s="591"/>
      <c r="U25" s="585"/>
    </row>
    <row r="26" spans="1:21" s="547" customFormat="1" ht="16.5">
      <c r="I26" s="615"/>
      <c r="J26" s="616"/>
      <c r="K26" s="1056" t="s">
        <v>598</v>
      </c>
      <c r="L26" s="1056"/>
      <c r="M26" s="1056"/>
      <c r="N26" s="1057"/>
      <c r="O26" s="1058" t="s">
        <v>600</v>
      </c>
      <c r="P26" s="1059"/>
      <c r="Q26" s="1059"/>
      <c r="R26" s="1060"/>
      <c r="S26" s="548"/>
      <c r="T26" s="548"/>
    </row>
    <row r="27" spans="1:21" s="547" customFormat="1" ht="15.75">
      <c r="A27" s="1062" t="s">
        <v>558</v>
      </c>
      <c r="B27" s="1062"/>
      <c r="D27" s="588" t="s">
        <v>377</v>
      </c>
      <c r="E27" s="588" t="s">
        <v>615</v>
      </c>
      <c r="F27" s="588" t="s">
        <v>616</v>
      </c>
      <c r="G27" s="588" t="s">
        <v>617</v>
      </c>
      <c r="I27" s="615"/>
      <c r="J27" s="617"/>
      <c r="K27" s="617"/>
      <c r="L27" s="618" t="s">
        <v>769</v>
      </c>
      <c r="M27" s="1042">
        <f>ROUND(M24*28%,0)</f>
        <v>1581552</v>
      </c>
      <c r="N27" s="1043"/>
      <c r="O27" s="627"/>
      <c r="P27" s="617"/>
      <c r="Q27" s="1042">
        <f>ROUND(R24*28%,0)</f>
        <v>1033760</v>
      </c>
      <c r="R27" s="1043"/>
      <c r="S27" s="590"/>
      <c r="T27" s="549"/>
    </row>
    <row r="28" spans="1:21" s="547" customFormat="1" ht="15.75">
      <c r="A28" s="1062"/>
      <c r="B28" s="1062"/>
      <c r="D28" s="586" t="s">
        <v>54</v>
      </c>
      <c r="E28" s="663"/>
      <c r="F28" s="663"/>
      <c r="G28" s="663">
        <f>E28-F28</f>
        <v>0</v>
      </c>
      <c r="I28" s="607"/>
      <c r="J28" s="619"/>
      <c r="K28" s="619"/>
      <c r="L28" s="620" t="s">
        <v>618</v>
      </c>
      <c r="M28" s="1021">
        <v>0</v>
      </c>
      <c r="N28" s="1022"/>
      <c r="O28" s="627"/>
      <c r="P28" s="617"/>
      <c r="Q28" s="1042">
        <f>ROUND(O24*5%,0)*8</f>
        <v>0</v>
      </c>
      <c r="R28" s="1043"/>
      <c r="S28" s="590"/>
      <c r="T28" s="549"/>
    </row>
    <row r="29" spans="1:21" s="547" customFormat="1" ht="15.75">
      <c r="A29" s="1062"/>
      <c r="B29" s="1062"/>
      <c r="D29" s="586" t="s">
        <v>201</v>
      </c>
      <c r="E29" s="663"/>
      <c r="F29" s="663"/>
      <c r="G29" s="663">
        <f t="shared" ref="G29:G38" si="25">E29-F29</f>
        <v>0</v>
      </c>
      <c r="I29" s="615"/>
      <c r="J29" s="617"/>
      <c r="K29" s="617"/>
      <c r="L29" s="618" t="s">
        <v>770</v>
      </c>
      <c r="M29" s="1042">
        <f>ROUND(M24*9%,0)</f>
        <v>508356</v>
      </c>
      <c r="N29" s="1043"/>
      <c r="O29" s="628"/>
      <c r="P29" s="621"/>
      <c r="Q29" s="1044">
        <f>ROUND(R25*9%,0)</f>
        <v>332280</v>
      </c>
      <c r="R29" s="1045"/>
      <c r="S29" s="590"/>
      <c r="T29" s="549"/>
    </row>
    <row r="30" spans="1:21" s="547" customFormat="1" ht="15.75">
      <c r="A30" s="1062"/>
      <c r="B30" s="1062"/>
      <c r="D30" s="586" t="s">
        <v>561</v>
      </c>
      <c r="E30" s="663"/>
      <c r="F30" s="663"/>
      <c r="G30" s="663">
        <f t="shared" si="25"/>
        <v>0</v>
      </c>
      <c r="I30" s="611"/>
      <c r="J30" s="621"/>
      <c r="K30" s="621"/>
      <c r="L30" s="622" t="s">
        <v>619</v>
      </c>
      <c r="M30" s="1044">
        <f>ROUND((H24/2)*1.17,0)</f>
        <v>269978</v>
      </c>
      <c r="N30" s="1045"/>
      <c r="O30" s="627"/>
      <c r="P30" s="617"/>
      <c r="Q30" s="1042">
        <f>M30</f>
        <v>269978</v>
      </c>
      <c r="R30" s="1043"/>
      <c r="S30" s="590"/>
      <c r="T30" s="549"/>
    </row>
    <row r="31" spans="1:21" s="547" customFormat="1" ht="15.75">
      <c r="A31" s="1062"/>
      <c r="B31" s="1062"/>
      <c r="D31" s="586" t="s">
        <v>61</v>
      </c>
      <c r="E31" s="663"/>
      <c r="F31" s="663"/>
      <c r="G31" s="663">
        <f t="shared" si="25"/>
        <v>0</v>
      </c>
      <c r="I31" s="623"/>
      <c r="J31" s="624"/>
      <c r="K31" s="624"/>
      <c r="L31" s="625" t="s">
        <v>620</v>
      </c>
      <c r="M31" s="1042">
        <v>0</v>
      </c>
      <c r="N31" s="1043"/>
      <c r="O31" s="629"/>
      <c r="P31" s="630"/>
      <c r="Q31" s="1042">
        <f>M31</f>
        <v>0</v>
      </c>
      <c r="R31" s="1043"/>
      <c r="S31" s="590"/>
      <c r="T31" s="549"/>
    </row>
    <row r="32" spans="1:21" s="547" customFormat="1" ht="15.75">
      <c r="A32" s="1062"/>
      <c r="B32" s="1062"/>
      <c r="D32" s="587" t="s">
        <v>215</v>
      </c>
      <c r="E32" s="664"/>
      <c r="F32" s="664"/>
      <c r="G32" s="663">
        <f t="shared" si="25"/>
        <v>0</v>
      </c>
      <c r="I32" s="607"/>
      <c r="J32" s="619"/>
      <c r="K32" s="619"/>
      <c r="L32" s="620" t="s">
        <v>621</v>
      </c>
      <c r="M32" s="1048">
        <v>0</v>
      </c>
      <c r="N32" s="1049"/>
      <c r="O32" s="627"/>
      <c r="P32" s="617"/>
      <c r="Q32" s="1042">
        <f>M32</f>
        <v>0</v>
      </c>
      <c r="R32" s="1043"/>
      <c r="S32" s="590"/>
      <c r="T32" s="549"/>
    </row>
    <row r="33" spans="1:21" s="547" customFormat="1" ht="15.75">
      <c r="A33" s="1062"/>
      <c r="B33" s="1062"/>
      <c r="D33" s="586" t="s">
        <v>218</v>
      </c>
      <c r="E33" s="664"/>
      <c r="F33" s="664"/>
      <c r="G33" s="663">
        <f t="shared" si="25"/>
        <v>0</v>
      </c>
      <c r="I33" s="615"/>
      <c r="J33" s="617"/>
      <c r="K33" s="617"/>
      <c r="L33" s="618" t="s">
        <v>622</v>
      </c>
      <c r="M33" s="1050">
        <v>0</v>
      </c>
      <c r="N33" s="1051"/>
      <c r="O33" s="627"/>
      <c r="P33" s="617"/>
      <c r="Q33" s="1042">
        <f>M33</f>
        <v>0</v>
      </c>
      <c r="R33" s="1043"/>
      <c r="S33" s="590"/>
      <c r="T33" s="549"/>
    </row>
    <row r="34" spans="1:21" s="547" customFormat="1" ht="15.75">
      <c r="A34" s="1062"/>
      <c r="B34" s="1062"/>
      <c r="D34" s="586" t="s">
        <v>63</v>
      </c>
      <c r="E34" s="664"/>
      <c r="F34" s="664"/>
      <c r="G34" s="663">
        <f t="shared" si="25"/>
        <v>0</v>
      </c>
      <c r="I34" s="608"/>
      <c r="J34" s="609"/>
      <c r="K34" s="609"/>
      <c r="L34" s="610" t="s">
        <v>623</v>
      </c>
      <c r="M34" s="1052">
        <v>0</v>
      </c>
      <c r="N34" s="1053"/>
      <c r="O34" s="627"/>
      <c r="P34" s="617"/>
      <c r="Q34" s="1042">
        <v>0</v>
      </c>
      <c r="R34" s="1043"/>
      <c r="S34" s="590"/>
      <c r="T34" s="980" t="str">
        <f>CONCATENATE("¼ ",Master!G3,"½")</f>
        <v>¼ m"kk ikfy;k½</v>
      </c>
      <c r="U34" s="980"/>
    </row>
    <row r="35" spans="1:21" s="547" customFormat="1" ht="16.5">
      <c r="D35" s="586" t="s">
        <v>221</v>
      </c>
      <c r="E35" s="664"/>
      <c r="F35" s="664"/>
      <c r="G35" s="663">
        <f t="shared" si="25"/>
        <v>0</v>
      </c>
      <c r="I35" s="615"/>
      <c r="J35" s="617"/>
      <c r="K35" s="617"/>
      <c r="L35" s="618" t="s">
        <v>624</v>
      </c>
      <c r="M35" s="1042">
        <v>0</v>
      </c>
      <c r="N35" s="1043"/>
      <c r="O35" s="627"/>
      <c r="P35" s="617"/>
      <c r="Q35" s="1042">
        <f>M35</f>
        <v>0</v>
      </c>
      <c r="R35" s="1043"/>
      <c r="S35" s="590"/>
      <c r="T35" s="976" t="str">
        <f>Master!C2</f>
        <v>iz/kkukpk;Z</v>
      </c>
      <c r="U35" s="976"/>
    </row>
    <row r="36" spans="1:21" s="547" customFormat="1" ht="15.75">
      <c r="B36" s="575" t="s">
        <v>643</v>
      </c>
      <c r="D36" s="586" t="s">
        <v>65</v>
      </c>
      <c r="E36" s="664"/>
      <c r="F36" s="664"/>
      <c r="G36" s="663">
        <f t="shared" si="25"/>
        <v>0</v>
      </c>
      <c r="I36" s="611"/>
      <c r="J36" s="621"/>
      <c r="K36" s="621"/>
      <c r="L36" s="622" t="s">
        <v>625</v>
      </c>
      <c r="M36" s="1044">
        <v>0</v>
      </c>
      <c r="N36" s="1045"/>
      <c r="O36" s="627"/>
      <c r="P36" s="617"/>
      <c r="Q36" s="1042">
        <f>M36</f>
        <v>0</v>
      </c>
      <c r="R36" s="1043"/>
      <c r="S36" s="590"/>
      <c r="T36" s="887" t="str">
        <f>Master!D2</f>
        <v>egkRek xka/kh jktdh; fo|ky; ¼vaxzsth ek/;e½ cj ] ikyh</v>
      </c>
      <c r="U36" s="887"/>
    </row>
    <row r="37" spans="1:21" s="547" customFormat="1" ht="15.75">
      <c r="B37" s="603"/>
      <c r="D37" s="586" t="s">
        <v>562</v>
      </c>
      <c r="E37" s="664"/>
      <c r="F37" s="664"/>
      <c r="G37" s="663">
        <f t="shared" si="25"/>
        <v>0</v>
      </c>
      <c r="I37" s="615"/>
      <c r="J37" s="617"/>
      <c r="K37" s="617"/>
      <c r="L37" s="618" t="s">
        <v>626</v>
      </c>
      <c r="M37" s="1042">
        <v>0</v>
      </c>
      <c r="N37" s="1043"/>
      <c r="O37" s="627"/>
      <c r="P37" s="617"/>
      <c r="Q37" s="1042">
        <v>0</v>
      </c>
      <c r="R37" s="1043"/>
      <c r="S37" s="590"/>
      <c r="T37" s="887"/>
      <c r="U37" s="887"/>
    </row>
    <row r="38" spans="1:21" s="547" customFormat="1" ht="18" customHeight="1">
      <c r="B38" s="1061"/>
      <c r="D38" s="586" t="s">
        <v>66</v>
      </c>
      <c r="E38" s="663"/>
      <c r="F38" s="663"/>
      <c r="G38" s="663">
        <f t="shared" si="25"/>
        <v>0</v>
      </c>
      <c r="I38" s="615"/>
      <c r="J38" s="617"/>
      <c r="K38" s="617"/>
      <c r="L38" s="618"/>
      <c r="M38" s="1042">
        <v>0</v>
      </c>
      <c r="N38" s="1043"/>
      <c r="O38" s="627"/>
      <c r="P38" s="617"/>
      <c r="Q38" s="1042">
        <v>0</v>
      </c>
      <c r="R38" s="1043"/>
      <c r="S38" s="590"/>
      <c r="T38" s="887"/>
      <c r="U38" s="887"/>
    </row>
    <row r="39" spans="1:21" s="547" customFormat="1" ht="18.75">
      <c r="B39" s="1061"/>
      <c r="D39" s="586" t="s">
        <v>71</v>
      </c>
      <c r="E39" s="589">
        <f>SUM(E28:E38)</f>
        <v>0</v>
      </c>
      <c r="F39" s="589">
        <f>SUM(F28:F38)</f>
        <v>0</v>
      </c>
      <c r="G39" s="589">
        <f>SUM(G28:G38)</f>
        <v>0</v>
      </c>
      <c r="I39" s="611"/>
      <c r="J39" s="612"/>
      <c r="K39" s="613"/>
      <c r="L39" s="614" t="s">
        <v>627</v>
      </c>
      <c r="M39" s="1046">
        <f>SUM(M27:M38)+M24</f>
        <v>8008286</v>
      </c>
      <c r="N39" s="1047"/>
      <c r="O39" s="631"/>
      <c r="P39" s="630"/>
      <c r="Q39" s="1054">
        <f>SUM(R27:R38)+R24</f>
        <v>3692000</v>
      </c>
      <c r="R39" s="1055"/>
      <c r="S39" s="604"/>
      <c r="T39" s="550"/>
    </row>
    <row r="40" spans="1:21" s="547" customFormat="1" ht="15.75">
      <c r="L40" s="548"/>
      <c r="M40" s="551"/>
      <c r="N40" s="551"/>
      <c r="O40" s="551"/>
      <c r="R40" s="548"/>
      <c r="S40" s="548"/>
      <c r="T40" s="548"/>
    </row>
    <row r="41" spans="1:21" s="547" customFormat="1" ht="15.75">
      <c r="L41" s="548"/>
      <c r="M41" s="551"/>
      <c r="N41" s="551"/>
      <c r="O41" s="551"/>
      <c r="R41" s="548"/>
      <c r="S41" s="548"/>
      <c r="T41" s="548"/>
    </row>
    <row r="42" spans="1:21" s="547" customFormat="1" ht="15.75">
      <c r="L42" s="548"/>
      <c r="M42" s="551"/>
      <c r="N42" s="551"/>
      <c r="O42" s="551"/>
      <c r="R42" s="548"/>
      <c r="S42" s="548"/>
      <c r="T42" s="548"/>
    </row>
    <row r="43" spans="1:21" s="547" customFormat="1" ht="16.5">
      <c r="J43" s="626"/>
      <c r="L43" s="548"/>
      <c r="M43" s="551"/>
      <c r="N43" s="551"/>
      <c r="O43" s="551"/>
      <c r="R43" s="548"/>
      <c r="S43" s="548"/>
      <c r="T43" s="548"/>
    </row>
    <row r="44" spans="1:21" s="547" customFormat="1">
      <c r="L44" s="548"/>
      <c r="R44" s="548"/>
      <c r="S44" s="548"/>
      <c r="T44" s="548"/>
    </row>
    <row r="45" spans="1:21" s="547" customFormat="1">
      <c r="L45" s="548"/>
      <c r="R45" s="548"/>
      <c r="S45" s="548"/>
      <c r="T45" s="548"/>
    </row>
    <row r="46" spans="1:21" s="547" customFormat="1">
      <c r="L46" s="548"/>
      <c r="R46" s="548"/>
      <c r="S46" s="548"/>
      <c r="T46" s="548"/>
    </row>
    <row r="47" spans="1:21" s="547" customFormat="1">
      <c r="L47" s="548"/>
      <c r="R47" s="548"/>
      <c r="S47" s="548"/>
      <c r="T47" s="548"/>
    </row>
    <row r="48" spans="1:21" s="547" customFormat="1" ht="15.75">
      <c r="B48" s="600"/>
      <c r="C48" s="600"/>
      <c r="D48" s="600"/>
      <c r="L48" s="548"/>
      <c r="R48" s="548"/>
      <c r="S48" s="548"/>
      <c r="T48" s="548"/>
    </row>
    <row r="49" spans="2:20" s="547" customFormat="1" ht="16.5">
      <c r="B49" s="601"/>
      <c r="C49" s="601"/>
      <c r="D49" s="601"/>
      <c r="L49" s="548"/>
      <c r="R49" s="548"/>
      <c r="S49" s="548"/>
      <c r="T49" s="548"/>
    </row>
    <row r="50" spans="2:20" s="547" customFormat="1" ht="15" customHeight="1">
      <c r="B50" s="602"/>
      <c r="C50" s="602"/>
      <c r="D50" s="602"/>
      <c r="L50" s="548"/>
      <c r="R50" s="548"/>
      <c r="S50" s="548"/>
      <c r="T50" s="548"/>
    </row>
    <row r="51" spans="2:20" s="547" customFormat="1" ht="15" customHeight="1">
      <c r="B51" s="602"/>
      <c r="C51" s="602"/>
      <c r="D51" s="602"/>
      <c r="L51" s="548"/>
      <c r="R51" s="548"/>
      <c r="S51" s="548"/>
      <c r="T51" s="548"/>
    </row>
    <row r="52" spans="2:20" s="547" customFormat="1">
      <c r="L52" s="548"/>
      <c r="R52" s="548"/>
      <c r="S52" s="548"/>
      <c r="T52" s="548"/>
    </row>
    <row r="53" spans="2:20" s="547" customFormat="1">
      <c r="L53" s="548"/>
      <c r="R53" s="548"/>
      <c r="S53" s="548"/>
      <c r="T53" s="548"/>
    </row>
    <row r="54" spans="2:20" s="547" customFormat="1">
      <c r="L54" s="548"/>
      <c r="R54" s="548"/>
      <c r="S54" s="548"/>
      <c r="T54" s="548"/>
    </row>
    <row r="55" spans="2:20" s="547" customFormat="1" ht="15" customHeight="1">
      <c r="L55" s="548"/>
      <c r="M55" s="606"/>
      <c r="R55" s="548"/>
      <c r="S55" s="548"/>
      <c r="T55" s="548"/>
    </row>
    <row r="56" spans="2:20" s="547" customFormat="1" ht="15" customHeight="1">
      <c r="L56" s="548"/>
      <c r="M56" s="605"/>
      <c r="R56" s="548"/>
      <c r="S56" s="548"/>
      <c r="T56" s="548"/>
    </row>
    <row r="57" spans="2:20" s="547" customFormat="1">
      <c r="L57" s="548"/>
      <c r="R57" s="548"/>
      <c r="S57" s="548"/>
      <c r="T57" s="548"/>
    </row>
    <row r="58" spans="2:20" s="547" customFormat="1">
      <c r="L58" s="548"/>
      <c r="R58" s="548"/>
      <c r="S58" s="548"/>
      <c r="T58" s="548"/>
    </row>
    <row r="59" spans="2:20" s="547" customFormat="1">
      <c r="L59" s="548"/>
      <c r="R59" s="548"/>
      <c r="S59" s="548"/>
      <c r="T59" s="548"/>
    </row>
    <row r="60" spans="2:20" s="547" customFormat="1">
      <c r="L60" s="548"/>
      <c r="R60" s="548"/>
      <c r="S60" s="548"/>
      <c r="T60" s="548"/>
    </row>
    <row r="61" spans="2:20" s="547" customFormat="1">
      <c r="L61" s="548"/>
      <c r="R61" s="548"/>
      <c r="S61" s="548"/>
      <c r="T61" s="548"/>
    </row>
    <row r="62" spans="2:20" s="547" customFormat="1">
      <c r="L62" s="548"/>
      <c r="R62" s="548"/>
      <c r="S62" s="548"/>
      <c r="T62" s="548"/>
    </row>
    <row r="63" spans="2:20" s="547" customFormat="1">
      <c r="L63" s="548"/>
      <c r="R63" s="548"/>
      <c r="S63" s="548"/>
      <c r="T63" s="548"/>
    </row>
    <row r="64" spans="2:20" s="547" customFormat="1">
      <c r="L64" s="548"/>
      <c r="R64" s="548"/>
      <c r="S64" s="548"/>
      <c r="T64" s="548"/>
    </row>
    <row r="65" spans="12:20" s="547" customFormat="1">
      <c r="L65" s="548"/>
      <c r="R65" s="548"/>
      <c r="S65" s="548"/>
      <c r="T65" s="548"/>
    </row>
    <row r="66" spans="12:20" s="547" customFormat="1">
      <c r="L66" s="548"/>
      <c r="R66" s="548"/>
      <c r="S66" s="548"/>
      <c r="T66" s="548"/>
    </row>
    <row r="67" spans="12:20" s="547" customFormat="1">
      <c r="L67" s="548"/>
      <c r="R67" s="548"/>
      <c r="S67" s="548"/>
      <c r="T67" s="548"/>
    </row>
    <row r="68" spans="12:20" s="547" customFormat="1">
      <c r="L68" s="548"/>
      <c r="R68" s="548"/>
      <c r="S68" s="548"/>
      <c r="T68" s="548"/>
    </row>
    <row r="69" spans="12:20" s="547" customFormat="1">
      <c r="L69" s="548"/>
      <c r="R69" s="548"/>
      <c r="S69" s="548"/>
      <c r="T69" s="548"/>
    </row>
    <row r="70" spans="12:20" s="547" customFormat="1">
      <c r="L70" s="548"/>
      <c r="R70" s="548"/>
      <c r="S70" s="548"/>
      <c r="T70" s="548"/>
    </row>
    <row r="71" spans="12:20" s="547" customFormat="1">
      <c r="L71" s="548"/>
      <c r="R71" s="548"/>
      <c r="S71" s="548"/>
      <c r="T71" s="548"/>
    </row>
    <row r="72" spans="12:20" s="547" customFormat="1">
      <c r="L72" s="548"/>
      <c r="R72" s="548"/>
      <c r="S72" s="548"/>
      <c r="T72" s="548"/>
    </row>
    <row r="73" spans="12:20" s="547" customFormat="1">
      <c r="L73" s="548"/>
      <c r="R73" s="548"/>
      <c r="S73" s="548"/>
      <c r="T73" s="548"/>
    </row>
    <row r="74" spans="12:20" s="547" customFormat="1">
      <c r="L74" s="548"/>
      <c r="R74" s="548"/>
      <c r="S74" s="548"/>
      <c r="T74" s="548"/>
    </row>
    <row r="75" spans="12:20" s="547" customFormat="1">
      <c r="L75" s="548"/>
      <c r="R75" s="548"/>
      <c r="S75" s="548"/>
      <c r="T75" s="548"/>
    </row>
    <row r="76" spans="12:20" s="547" customFormat="1">
      <c r="L76" s="548"/>
      <c r="R76" s="548"/>
      <c r="S76" s="548"/>
      <c r="T76" s="548"/>
    </row>
    <row r="77" spans="12:20" s="547" customFormat="1">
      <c r="L77" s="548"/>
      <c r="R77" s="548"/>
      <c r="S77" s="548"/>
      <c r="T77" s="548"/>
    </row>
    <row r="78" spans="12:20" s="547" customFormat="1">
      <c r="L78" s="548"/>
      <c r="R78" s="548"/>
      <c r="S78" s="548"/>
      <c r="T78" s="548"/>
    </row>
    <row r="79" spans="12:20" s="547" customFormat="1">
      <c r="L79" s="548"/>
      <c r="R79" s="548"/>
      <c r="S79" s="548"/>
      <c r="T79" s="548"/>
    </row>
    <row r="80" spans="12:20" s="547" customFormat="1">
      <c r="L80" s="548"/>
      <c r="R80" s="548"/>
      <c r="S80" s="548"/>
      <c r="T80" s="548"/>
    </row>
    <row r="81" spans="12:20" s="547" customFormat="1">
      <c r="L81" s="548"/>
      <c r="R81" s="548"/>
      <c r="S81" s="548"/>
      <c r="T81" s="548"/>
    </row>
    <row r="82" spans="12:20" s="547" customFormat="1">
      <c r="L82" s="548"/>
      <c r="R82" s="548"/>
      <c r="S82" s="548"/>
      <c r="T82" s="548"/>
    </row>
    <row r="83" spans="12:20" s="547" customFormat="1">
      <c r="L83" s="548"/>
      <c r="R83" s="548"/>
      <c r="S83" s="548"/>
      <c r="T83" s="548"/>
    </row>
    <row r="84" spans="12:20" s="547" customFormat="1">
      <c r="L84" s="548"/>
      <c r="R84" s="548"/>
      <c r="S84" s="548"/>
      <c r="T84" s="548"/>
    </row>
    <row r="85" spans="12:20" s="547" customFormat="1">
      <c r="L85" s="548"/>
      <c r="R85" s="548"/>
      <c r="S85" s="548"/>
      <c r="T85" s="548"/>
    </row>
    <row r="86" spans="12:20" s="547" customFormat="1">
      <c r="L86" s="548"/>
      <c r="R86" s="548"/>
      <c r="S86" s="548"/>
      <c r="T86" s="548"/>
    </row>
    <row r="87" spans="12:20" s="547" customFormat="1">
      <c r="L87" s="548"/>
      <c r="R87" s="548"/>
      <c r="S87" s="548"/>
      <c r="T87" s="548"/>
    </row>
    <row r="88" spans="12:20" s="547" customFormat="1">
      <c r="L88" s="548"/>
      <c r="R88" s="548"/>
      <c r="S88" s="548"/>
      <c r="T88" s="548"/>
    </row>
    <row r="89" spans="12:20" s="547" customFormat="1">
      <c r="L89" s="548"/>
      <c r="R89" s="548"/>
      <c r="S89" s="548"/>
      <c r="T89" s="548"/>
    </row>
    <row r="90" spans="12:20" s="547" customFormat="1">
      <c r="L90" s="548"/>
      <c r="R90" s="548"/>
      <c r="S90" s="548"/>
      <c r="T90" s="548"/>
    </row>
    <row r="91" spans="12:20" s="547" customFormat="1">
      <c r="L91" s="548"/>
      <c r="R91" s="548"/>
      <c r="S91" s="548"/>
      <c r="T91" s="548"/>
    </row>
    <row r="92" spans="12:20" s="547" customFormat="1">
      <c r="L92" s="548"/>
      <c r="R92" s="548"/>
      <c r="S92" s="548"/>
      <c r="T92" s="548"/>
    </row>
    <row r="93" spans="12:20" s="547" customFormat="1">
      <c r="L93" s="548"/>
      <c r="R93" s="548"/>
      <c r="S93" s="548"/>
      <c r="T93" s="548"/>
    </row>
    <row r="94" spans="12:20" s="547" customFormat="1">
      <c r="L94" s="548"/>
      <c r="R94" s="548"/>
      <c r="S94" s="548"/>
      <c r="T94" s="548"/>
    </row>
    <row r="95" spans="12:20" s="547" customFormat="1">
      <c r="L95" s="548"/>
      <c r="R95" s="548"/>
      <c r="S95" s="548"/>
      <c r="T95" s="548"/>
    </row>
    <row r="96" spans="12:20" s="547" customFormat="1">
      <c r="L96" s="548"/>
      <c r="R96" s="548"/>
      <c r="S96" s="548"/>
      <c r="T96" s="548"/>
    </row>
    <row r="97" spans="12:20" s="547" customFormat="1">
      <c r="L97" s="548"/>
      <c r="R97" s="548"/>
      <c r="S97" s="548"/>
      <c r="T97" s="548"/>
    </row>
    <row r="98" spans="12:20" s="547" customFormat="1">
      <c r="L98" s="548"/>
      <c r="R98" s="548"/>
      <c r="S98" s="548"/>
      <c r="T98" s="548"/>
    </row>
    <row r="99" spans="12:20" s="547" customFormat="1">
      <c r="L99" s="548"/>
      <c r="R99" s="548"/>
      <c r="S99" s="548"/>
      <c r="T99" s="548"/>
    </row>
    <row r="100" spans="12:20" s="547" customFormat="1">
      <c r="L100" s="548"/>
      <c r="R100" s="548"/>
      <c r="S100" s="548"/>
      <c r="T100" s="548"/>
    </row>
    <row r="101" spans="12:20" s="547" customFormat="1">
      <c r="L101" s="548"/>
      <c r="R101" s="548"/>
      <c r="S101" s="548"/>
      <c r="T101" s="548"/>
    </row>
    <row r="102" spans="12:20" s="547" customFormat="1">
      <c r="L102" s="548"/>
      <c r="R102" s="548"/>
      <c r="S102" s="548"/>
      <c r="T102" s="548"/>
    </row>
    <row r="103" spans="12:20" s="547" customFormat="1">
      <c r="L103" s="548"/>
      <c r="R103" s="548"/>
      <c r="S103" s="548"/>
      <c r="T103" s="548"/>
    </row>
    <row r="104" spans="12:20" s="547" customFormat="1">
      <c r="L104" s="548"/>
      <c r="R104" s="548"/>
      <c r="S104" s="548"/>
      <c r="T104" s="548"/>
    </row>
    <row r="105" spans="12:20" s="547" customFormat="1">
      <c r="L105" s="548"/>
      <c r="R105" s="548"/>
      <c r="S105" s="548"/>
      <c r="T105" s="548"/>
    </row>
    <row r="106" spans="12:20" s="547" customFormat="1">
      <c r="L106" s="548"/>
      <c r="R106" s="548"/>
      <c r="S106" s="548"/>
      <c r="T106" s="548"/>
    </row>
    <row r="107" spans="12:20" s="547" customFormat="1">
      <c r="L107" s="548"/>
      <c r="R107" s="548"/>
      <c r="S107" s="548"/>
      <c r="T107" s="548"/>
    </row>
    <row r="108" spans="12:20" s="547" customFormat="1">
      <c r="L108" s="548"/>
      <c r="R108" s="548"/>
      <c r="S108" s="548"/>
      <c r="T108" s="548"/>
    </row>
    <row r="109" spans="12:20" s="547" customFormat="1">
      <c r="L109" s="548"/>
      <c r="R109" s="548"/>
      <c r="S109" s="548"/>
      <c r="T109" s="548"/>
    </row>
    <row r="110" spans="12:20" s="553" customFormat="1">
      <c r="L110" s="552"/>
      <c r="R110" s="552"/>
      <c r="S110" s="552"/>
      <c r="T110" s="552"/>
    </row>
    <row r="111" spans="12:20" s="553" customFormat="1">
      <c r="L111" s="552"/>
      <c r="R111" s="552"/>
      <c r="S111" s="552"/>
      <c r="T111" s="552"/>
    </row>
    <row r="112" spans="12:20" s="553" customFormat="1">
      <c r="L112" s="552"/>
      <c r="R112" s="552"/>
      <c r="S112" s="552"/>
      <c r="T112" s="552"/>
    </row>
    <row r="113" spans="12:20" s="553" customFormat="1">
      <c r="L113" s="552"/>
      <c r="R113" s="552"/>
      <c r="S113" s="552"/>
      <c r="T113" s="552"/>
    </row>
    <row r="114" spans="12:20" s="553" customFormat="1">
      <c r="L114" s="552"/>
      <c r="R114" s="552"/>
      <c r="S114" s="552"/>
      <c r="T114" s="552"/>
    </row>
    <row r="115" spans="12:20" s="553" customFormat="1">
      <c r="L115" s="552"/>
      <c r="R115" s="552"/>
      <c r="S115" s="552"/>
      <c r="T115" s="552"/>
    </row>
    <row r="116" spans="12:20" s="553" customFormat="1">
      <c r="L116" s="552"/>
      <c r="R116" s="552"/>
      <c r="S116" s="552"/>
      <c r="T116" s="552"/>
    </row>
    <row r="117" spans="12:20" s="553" customFormat="1">
      <c r="L117" s="552"/>
      <c r="R117" s="552"/>
      <c r="S117" s="552"/>
      <c r="T117" s="552"/>
    </row>
    <row r="118" spans="12:20" s="553" customFormat="1">
      <c r="L118" s="552"/>
      <c r="R118" s="552"/>
      <c r="S118" s="552"/>
      <c r="T118" s="552"/>
    </row>
    <row r="119" spans="12:20" s="553" customFormat="1">
      <c r="L119" s="552"/>
      <c r="R119" s="552"/>
      <c r="S119" s="552"/>
      <c r="T119" s="552"/>
    </row>
    <row r="120" spans="12:20" s="553" customFormat="1">
      <c r="L120" s="552"/>
      <c r="R120" s="552"/>
      <c r="S120" s="552"/>
      <c r="T120" s="552"/>
    </row>
    <row r="121" spans="12:20" s="553" customFormat="1">
      <c r="L121" s="552"/>
      <c r="R121" s="552"/>
      <c r="S121" s="552"/>
      <c r="T121" s="552"/>
    </row>
    <row r="122" spans="12:20" s="553" customFormat="1">
      <c r="L122" s="552"/>
      <c r="R122" s="552"/>
      <c r="S122" s="552"/>
      <c r="T122" s="552"/>
    </row>
    <row r="123" spans="12:20" s="553" customFormat="1">
      <c r="L123" s="552"/>
      <c r="R123" s="552"/>
      <c r="S123" s="552"/>
      <c r="T123" s="552"/>
    </row>
    <row r="124" spans="12:20" s="553" customFormat="1">
      <c r="L124" s="552"/>
      <c r="R124" s="552"/>
      <c r="S124" s="552"/>
      <c r="T124" s="552"/>
    </row>
    <row r="125" spans="12:20" s="553" customFormat="1">
      <c r="L125" s="552"/>
      <c r="R125" s="552"/>
      <c r="S125" s="552"/>
      <c r="T125" s="552"/>
    </row>
    <row r="126" spans="12:20" s="553" customFormat="1">
      <c r="L126" s="552"/>
      <c r="R126" s="552"/>
      <c r="S126" s="552"/>
      <c r="T126" s="552"/>
    </row>
    <row r="127" spans="12:20" s="553" customFormat="1">
      <c r="L127" s="552"/>
      <c r="R127" s="552"/>
      <c r="S127" s="552"/>
      <c r="T127" s="552"/>
    </row>
    <row r="128" spans="12:20" s="553" customFormat="1">
      <c r="L128" s="552"/>
      <c r="R128" s="552"/>
      <c r="S128" s="552"/>
      <c r="T128" s="552"/>
    </row>
    <row r="129" spans="12:20" s="553" customFormat="1">
      <c r="L129" s="552"/>
      <c r="R129" s="552"/>
      <c r="S129" s="552"/>
      <c r="T129" s="552"/>
    </row>
  </sheetData>
  <mergeCells count="63">
    <mergeCell ref="T34:U34"/>
    <mergeCell ref="T35:U35"/>
    <mergeCell ref="T36:U38"/>
    <mergeCell ref="Q37:R37"/>
    <mergeCell ref="Q38:R38"/>
    <mergeCell ref="Q39:R39"/>
    <mergeCell ref="K26:N26"/>
    <mergeCell ref="O26:R26"/>
    <mergeCell ref="B38:B39"/>
    <mergeCell ref="Q27:R27"/>
    <mergeCell ref="Q28:R28"/>
    <mergeCell ref="Q29:R29"/>
    <mergeCell ref="Q30:R30"/>
    <mergeCell ref="Q31:R31"/>
    <mergeCell ref="Q32:R32"/>
    <mergeCell ref="A27:B34"/>
    <mergeCell ref="Q33:R33"/>
    <mergeCell ref="Q34:R34"/>
    <mergeCell ref="Q35:R35"/>
    <mergeCell ref="Q36:R36"/>
    <mergeCell ref="M35:N35"/>
    <mergeCell ref="M36:N36"/>
    <mergeCell ref="M37:N37"/>
    <mergeCell ref="M38:N38"/>
    <mergeCell ref="M39:N39"/>
    <mergeCell ref="M29:N29"/>
    <mergeCell ref="M30:N30"/>
    <mergeCell ref="M31:N31"/>
    <mergeCell ref="M32:N32"/>
    <mergeCell ref="M33:N33"/>
    <mergeCell ref="M34:N34"/>
    <mergeCell ref="A5:I5"/>
    <mergeCell ref="J5:Q5"/>
    <mergeCell ref="A3:U3"/>
    <mergeCell ref="S5:U5"/>
    <mergeCell ref="M27:N27"/>
    <mergeCell ref="D6:D7"/>
    <mergeCell ref="E6:E7"/>
    <mergeCell ref="F6:G6"/>
    <mergeCell ref="H6:H7"/>
    <mergeCell ref="I6:I7"/>
    <mergeCell ref="J6:L6"/>
    <mergeCell ref="M28:N28"/>
    <mergeCell ref="T6:T7"/>
    <mergeCell ref="U6:U7"/>
    <mergeCell ref="A14:G14"/>
    <mergeCell ref="A23:G23"/>
    <mergeCell ref="A24:G24"/>
    <mergeCell ref="A25:G25"/>
    <mergeCell ref="M6:M7"/>
    <mergeCell ref="N6:O6"/>
    <mergeCell ref="P6:P7"/>
    <mergeCell ref="Q6:Q7"/>
    <mergeCell ref="R6:R7"/>
    <mergeCell ref="S6:S7"/>
    <mergeCell ref="A6:A7"/>
    <mergeCell ref="B6:B7"/>
    <mergeCell ref="C6:C7"/>
    <mergeCell ref="A1:O1"/>
    <mergeCell ref="P1:U1"/>
    <mergeCell ref="A2:O2"/>
    <mergeCell ref="P2:U2"/>
    <mergeCell ref="A4:U4"/>
  </mergeCells>
  <conditionalFormatting sqref="A27">
    <cfRule type="containsText" dxfId="2" priority="2" operator="containsText" text="in fjDr">
      <formula>NOT(ISERROR(SEARCH("in fjDr",A27)))</formula>
    </cfRule>
  </conditionalFormatting>
  <pageMargins left="0.42" right="0.26" top="0.24" bottom="0.19" header="0.14000000000000001" footer="0.12"/>
  <pageSetup paperSize="9" scale="68" orientation="landscape" blackAndWhite="1" horizontalDpi="300" verticalDpi="300" r:id="rId1"/>
</worksheet>
</file>

<file path=xl/worksheets/sheet26.xml><?xml version="1.0" encoding="utf-8"?>
<worksheet xmlns="http://schemas.openxmlformats.org/spreadsheetml/2006/main" xmlns:r="http://schemas.openxmlformats.org/officeDocument/2006/relationships">
  <sheetPr codeName="Sheet26">
    <tabColor theme="9" tint="-0.249977111117893"/>
    <pageSetUpPr fitToPage="1"/>
  </sheetPr>
  <dimension ref="A1:N30"/>
  <sheetViews>
    <sheetView showGridLines="0" view="pageBreakPreview" topLeftCell="A7" zoomScaleSheetLayoutView="100" workbookViewId="0">
      <selection activeCell="H14" sqref="H14"/>
    </sheetView>
  </sheetViews>
  <sheetFormatPr defaultRowHeight="15"/>
  <cols>
    <col min="1" max="1" width="6.375" style="332" customWidth="1"/>
    <col min="2" max="2" width="17.125" style="332" customWidth="1"/>
    <col min="3" max="3" width="9.75" style="332" customWidth="1"/>
    <col min="4" max="4" width="9.875" style="332" customWidth="1"/>
    <col min="5" max="5" width="9.625" style="332" customWidth="1"/>
    <col min="6" max="6" width="10.375" style="332" customWidth="1"/>
    <col min="7" max="7" width="11.375" style="332" customWidth="1"/>
    <col min="8" max="8" width="9.875" style="332" customWidth="1"/>
    <col min="9" max="9" width="10.75" style="332" customWidth="1"/>
    <col min="10" max="10" width="11" style="332" customWidth="1"/>
    <col min="11" max="11" width="11.125" style="332" customWidth="1"/>
    <col min="12" max="13" width="11" style="332" customWidth="1"/>
    <col min="14" max="14" width="10.625" style="332" customWidth="1"/>
    <col min="15" max="257" width="9.125" style="330"/>
    <col min="258" max="258" width="15.75" style="330" customWidth="1"/>
    <col min="259" max="261" width="9.125" style="330"/>
    <col min="262" max="262" width="9.75" style="330" customWidth="1"/>
    <col min="263" max="265" width="9.125" style="330"/>
    <col min="266" max="266" width="10" style="330" customWidth="1"/>
    <col min="267" max="267" width="9.125" style="330"/>
    <col min="268" max="268" width="7.875" style="330" customWidth="1"/>
    <col min="269" max="270" width="8.25" style="330" customWidth="1"/>
    <col min="271" max="513" width="9.125" style="330"/>
    <col min="514" max="514" width="15.75" style="330" customWidth="1"/>
    <col min="515" max="517" width="9.125" style="330"/>
    <col min="518" max="518" width="9.75" style="330" customWidth="1"/>
    <col min="519" max="521" width="9.125" style="330"/>
    <col min="522" max="522" width="10" style="330" customWidth="1"/>
    <col min="523" max="523" width="9.125" style="330"/>
    <col min="524" max="524" width="7.875" style="330" customWidth="1"/>
    <col min="525" max="526" width="8.25" style="330" customWidth="1"/>
    <col min="527" max="769" width="9.125" style="330"/>
    <col min="770" max="770" width="15.75" style="330" customWidth="1"/>
    <col min="771" max="773" width="9.125" style="330"/>
    <col min="774" max="774" width="9.75" style="330" customWidth="1"/>
    <col min="775" max="777" width="9.125" style="330"/>
    <col min="778" max="778" width="10" style="330" customWidth="1"/>
    <col min="779" max="779" width="9.125" style="330"/>
    <col min="780" max="780" width="7.875" style="330" customWidth="1"/>
    <col min="781" max="782" width="8.25" style="330" customWidth="1"/>
    <col min="783" max="1025" width="9.125" style="330"/>
    <col min="1026" max="1026" width="15.75" style="330" customWidth="1"/>
    <col min="1027" max="1029" width="9.125" style="330"/>
    <col min="1030" max="1030" width="9.75" style="330" customWidth="1"/>
    <col min="1031" max="1033" width="9.125" style="330"/>
    <col min="1034" max="1034" width="10" style="330" customWidth="1"/>
    <col min="1035" max="1035" width="9.125" style="330"/>
    <col min="1036" max="1036" width="7.875" style="330" customWidth="1"/>
    <col min="1037" max="1038" width="8.25" style="330" customWidth="1"/>
    <col min="1039" max="1281" width="9.125" style="330"/>
    <col min="1282" max="1282" width="15.75" style="330" customWidth="1"/>
    <col min="1283" max="1285" width="9.125" style="330"/>
    <col min="1286" max="1286" width="9.75" style="330" customWidth="1"/>
    <col min="1287" max="1289" width="9.125" style="330"/>
    <col min="1290" max="1290" width="10" style="330" customWidth="1"/>
    <col min="1291" max="1291" width="9.125" style="330"/>
    <col min="1292" max="1292" width="7.875" style="330" customWidth="1"/>
    <col min="1293" max="1294" width="8.25" style="330" customWidth="1"/>
    <col min="1295" max="1537" width="9.125" style="330"/>
    <col min="1538" max="1538" width="15.75" style="330" customWidth="1"/>
    <col min="1539" max="1541" width="9.125" style="330"/>
    <col min="1542" max="1542" width="9.75" style="330" customWidth="1"/>
    <col min="1543" max="1545" width="9.125" style="330"/>
    <col min="1546" max="1546" width="10" style="330" customWidth="1"/>
    <col min="1547" max="1547" width="9.125" style="330"/>
    <col min="1548" max="1548" width="7.875" style="330" customWidth="1"/>
    <col min="1549" max="1550" width="8.25" style="330" customWidth="1"/>
    <col min="1551" max="1793" width="9.125" style="330"/>
    <col min="1794" max="1794" width="15.75" style="330" customWidth="1"/>
    <col min="1795" max="1797" width="9.125" style="330"/>
    <col min="1798" max="1798" width="9.75" style="330" customWidth="1"/>
    <col min="1799" max="1801" width="9.125" style="330"/>
    <col min="1802" max="1802" width="10" style="330" customWidth="1"/>
    <col min="1803" max="1803" width="9.125" style="330"/>
    <col min="1804" max="1804" width="7.875" style="330" customWidth="1"/>
    <col min="1805" max="1806" width="8.25" style="330" customWidth="1"/>
    <col min="1807" max="2049" width="9.125" style="330"/>
    <col min="2050" max="2050" width="15.75" style="330" customWidth="1"/>
    <col min="2051" max="2053" width="9.125" style="330"/>
    <col min="2054" max="2054" width="9.75" style="330" customWidth="1"/>
    <col min="2055" max="2057" width="9.125" style="330"/>
    <col min="2058" max="2058" width="10" style="330" customWidth="1"/>
    <col min="2059" max="2059" width="9.125" style="330"/>
    <col min="2060" max="2060" width="7.875" style="330" customWidth="1"/>
    <col min="2061" max="2062" width="8.25" style="330" customWidth="1"/>
    <col min="2063" max="2305" width="9.125" style="330"/>
    <col min="2306" max="2306" width="15.75" style="330" customWidth="1"/>
    <col min="2307" max="2309" width="9.125" style="330"/>
    <col min="2310" max="2310" width="9.75" style="330" customWidth="1"/>
    <col min="2311" max="2313" width="9.125" style="330"/>
    <col min="2314" max="2314" width="10" style="330" customWidth="1"/>
    <col min="2315" max="2315" width="9.125" style="330"/>
    <col min="2316" max="2316" width="7.875" style="330" customWidth="1"/>
    <col min="2317" max="2318" width="8.25" style="330" customWidth="1"/>
    <col min="2319" max="2561" width="9.125" style="330"/>
    <col min="2562" max="2562" width="15.75" style="330" customWidth="1"/>
    <col min="2563" max="2565" width="9.125" style="330"/>
    <col min="2566" max="2566" width="9.75" style="330" customWidth="1"/>
    <col min="2567" max="2569" width="9.125" style="330"/>
    <col min="2570" max="2570" width="10" style="330" customWidth="1"/>
    <col min="2571" max="2571" width="9.125" style="330"/>
    <col min="2572" max="2572" width="7.875" style="330" customWidth="1"/>
    <col min="2573" max="2574" width="8.25" style="330" customWidth="1"/>
    <col min="2575" max="2817" width="9.125" style="330"/>
    <col min="2818" max="2818" width="15.75" style="330" customWidth="1"/>
    <col min="2819" max="2821" width="9.125" style="330"/>
    <col min="2822" max="2822" width="9.75" style="330" customWidth="1"/>
    <col min="2823" max="2825" width="9.125" style="330"/>
    <col min="2826" max="2826" width="10" style="330" customWidth="1"/>
    <col min="2827" max="2827" width="9.125" style="330"/>
    <col min="2828" max="2828" width="7.875" style="330" customWidth="1"/>
    <col min="2829" max="2830" width="8.25" style="330" customWidth="1"/>
    <col min="2831" max="3073" width="9.125" style="330"/>
    <col min="3074" max="3074" width="15.75" style="330" customWidth="1"/>
    <col min="3075" max="3077" width="9.125" style="330"/>
    <col min="3078" max="3078" width="9.75" style="330" customWidth="1"/>
    <col min="3079" max="3081" width="9.125" style="330"/>
    <col min="3082" max="3082" width="10" style="330" customWidth="1"/>
    <col min="3083" max="3083" width="9.125" style="330"/>
    <col min="3084" max="3084" width="7.875" style="330" customWidth="1"/>
    <col min="3085" max="3086" width="8.25" style="330" customWidth="1"/>
    <col min="3087" max="3329" width="9.125" style="330"/>
    <col min="3330" max="3330" width="15.75" style="330" customWidth="1"/>
    <col min="3331" max="3333" width="9.125" style="330"/>
    <col min="3334" max="3334" width="9.75" style="330" customWidth="1"/>
    <col min="3335" max="3337" width="9.125" style="330"/>
    <col min="3338" max="3338" width="10" style="330" customWidth="1"/>
    <col min="3339" max="3339" width="9.125" style="330"/>
    <col min="3340" max="3340" width="7.875" style="330" customWidth="1"/>
    <col min="3341" max="3342" width="8.25" style="330" customWidth="1"/>
    <col min="3343" max="3585" width="9.125" style="330"/>
    <col min="3586" max="3586" width="15.75" style="330" customWidth="1"/>
    <col min="3587" max="3589" width="9.125" style="330"/>
    <col min="3590" max="3590" width="9.75" style="330" customWidth="1"/>
    <col min="3591" max="3593" width="9.125" style="330"/>
    <col min="3594" max="3594" width="10" style="330" customWidth="1"/>
    <col min="3595" max="3595" width="9.125" style="330"/>
    <col min="3596" max="3596" width="7.875" style="330" customWidth="1"/>
    <col min="3597" max="3598" width="8.25" style="330" customWidth="1"/>
    <col min="3599" max="3841" width="9.125" style="330"/>
    <col min="3842" max="3842" width="15.75" style="330" customWidth="1"/>
    <col min="3843" max="3845" width="9.125" style="330"/>
    <col min="3846" max="3846" width="9.75" style="330" customWidth="1"/>
    <col min="3847" max="3849" width="9.125" style="330"/>
    <col min="3850" max="3850" width="10" style="330" customWidth="1"/>
    <col min="3851" max="3851" width="9.125" style="330"/>
    <col min="3852" max="3852" width="7.875" style="330" customWidth="1"/>
    <col min="3853" max="3854" width="8.25" style="330" customWidth="1"/>
    <col min="3855" max="4097" width="9.125" style="330"/>
    <col min="4098" max="4098" width="15.75" style="330" customWidth="1"/>
    <col min="4099" max="4101" width="9.125" style="330"/>
    <col min="4102" max="4102" width="9.75" style="330" customWidth="1"/>
    <col min="4103" max="4105" width="9.125" style="330"/>
    <col min="4106" max="4106" width="10" style="330" customWidth="1"/>
    <col min="4107" max="4107" width="9.125" style="330"/>
    <col min="4108" max="4108" width="7.875" style="330" customWidth="1"/>
    <col min="4109" max="4110" width="8.25" style="330" customWidth="1"/>
    <col min="4111" max="4353" width="9.125" style="330"/>
    <col min="4354" max="4354" width="15.75" style="330" customWidth="1"/>
    <col min="4355" max="4357" width="9.125" style="330"/>
    <col min="4358" max="4358" width="9.75" style="330" customWidth="1"/>
    <col min="4359" max="4361" width="9.125" style="330"/>
    <col min="4362" max="4362" width="10" style="330" customWidth="1"/>
    <col min="4363" max="4363" width="9.125" style="330"/>
    <col min="4364" max="4364" width="7.875" style="330" customWidth="1"/>
    <col min="4365" max="4366" width="8.25" style="330" customWidth="1"/>
    <col min="4367" max="4609" width="9.125" style="330"/>
    <col min="4610" max="4610" width="15.75" style="330" customWidth="1"/>
    <col min="4611" max="4613" width="9.125" style="330"/>
    <col min="4614" max="4614" width="9.75" style="330" customWidth="1"/>
    <col min="4615" max="4617" width="9.125" style="330"/>
    <col min="4618" max="4618" width="10" style="330" customWidth="1"/>
    <col min="4619" max="4619" width="9.125" style="330"/>
    <col min="4620" max="4620" width="7.875" style="330" customWidth="1"/>
    <col min="4621" max="4622" width="8.25" style="330" customWidth="1"/>
    <col min="4623" max="4865" width="9.125" style="330"/>
    <col min="4866" max="4866" width="15.75" style="330" customWidth="1"/>
    <col min="4867" max="4869" width="9.125" style="330"/>
    <col min="4870" max="4870" width="9.75" style="330" customWidth="1"/>
    <col min="4871" max="4873" width="9.125" style="330"/>
    <col min="4874" max="4874" width="10" style="330" customWidth="1"/>
    <col min="4875" max="4875" width="9.125" style="330"/>
    <col min="4876" max="4876" width="7.875" style="330" customWidth="1"/>
    <col min="4877" max="4878" width="8.25" style="330" customWidth="1"/>
    <col min="4879" max="5121" width="9.125" style="330"/>
    <col min="5122" max="5122" width="15.75" style="330" customWidth="1"/>
    <col min="5123" max="5125" width="9.125" style="330"/>
    <col min="5126" max="5126" width="9.75" style="330" customWidth="1"/>
    <col min="5127" max="5129" width="9.125" style="330"/>
    <col min="5130" max="5130" width="10" style="330" customWidth="1"/>
    <col min="5131" max="5131" width="9.125" style="330"/>
    <col min="5132" max="5132" width="7.875" style="330" customWidth="1"/>
    <col min="5133" max="5134" width="8.25" style="330" customWidth="1"/>
    <col min="5135" max="5377" width="9.125" style="330"/>
    <col min="5378" max="5378" width="15.75" style="330" customWidth="1"/>
    <col min="5379" max="5381" width="9.125" style="330"/>
    <col min="5382" max="5382" width="9.75" style="330" customWidth="1"/>
    <col min="5383" max="5385" width="9.125" style="330"/>
    <col min="5386" max="5386" width="10" style="330" customWidth="1"/>
    <col min="5387" max="5387" width="9.125" style="330"/>
    <col min="5388" max="5388" width="7.875" style="330" customWidth="1"/>
    <col min="5389" max="5390" width="8.25" style="330" customWidth="1"/>
    <col min="5391" max="5633" width="9.125" style="330"/>
    <col min="5634" max="5634" width="15.75" style="330" customWidth="1"/>
    <col min="5635" max="5637" width="9.125" style="330"/>
    <col min="5638" max="5638" width="9.75" style="330" customWidth="1"/>
    <col min="5639" max="5641" width="9.125" style="330"/>
    <col min="5642" max="5642" width="10" style="330" customWidth="1"/>
    <col min="5643" max="5643" width="9.125" style="330"/>
    <col min="5644" max="5644" width="7.875" style="330" customWidth="1"/>
    <col min="5645" max="5646" width="8.25" style="330" customWidth="1"/>
    <col min="5647" max="5889" width="9.125" style="330"/>
    <col min="5890" max="5890" width="15.75" style="330" customWidth="1"/>
    <col min="5891" max="5893" width="9.125" style="330"/>
    <col min="5894" max="5894" width="9.75" style="330" customWidth="1"/>
    <col min="5895" max="5897" width="9.125" style="330"/>
    <col min="5898" max="5898" width="10" style="330" customWidth="1"/>
    <col min="5899" max="5899" width="9.125" style="330"/>
    <col min="5900" max="5900" width="7.875" style="330" customWidth="1"/>
    <col min="5901" max="5902" width="8.25" style="330" customWidth="1"/>
    <col min="5903" max="6145" width="9.125" style="330"/>
    <col min="6146" max="6146" width="15.75" style="330" customWidth="1"/>
    <col min="6147" max="6149" width="9.125" style="330"/>
    <col min="6150" max="6150" width="9.75" style="330" customWidth="1"/>
    <col min="6151" max="6153" width="9.125" style="330"/>
    <col min="6154" max="6154" width="10" style="330" customWidth="1"/>
    <col min="6155" max="6155" width="9.125" style="330"/>
    <col min="6156" max="6156" width="7.875" style="330" customWidth="1"/>
    <col min="6157" max="6158" width="8.25" style="330" customWidth="1"/>
    <col min="6159" max="6401" width="9.125" style="330"/>
    <col min="6402" max="6402" width="15.75" style="330" customWidth="1"/>
    <col min="6403" max="6405" width="9.125" style="330"/>
    <col min="6406" max="6406" width="9.75" style="330" customWidth="1"/>
    <col min="6407" max="6409" width="9.125" style="330"/>
    <col min="6410" max="6410" width="10" style="330" customWidth="1"/>
    <col min="6411" max="6411" width="9.125" style="330"/>
    <col min="6412" max="6412" width="7.875" style="330" customWidth="1"/>
    <col min="6413" max="6414" width="8.25" style="330" customWidth="1"/>
    <col min="6415" max="6657" width="9.125" style="330"/>
    <col min="6658" max="6658" width="15.75" style="330" customWidth="1"/>
    <col min="6659" max="6661" width="9.125" style="330"/>
    <col min="6662" max="6662" width="9.75" style="330" customWidth="1"/>
    <col min="6663" max="6665" width="9.125" style="330"/>
    <col min="6666" max="6666" width="10" style="330" customWidth="1"/>
    <col min="6667" max="6667" width="9.125" style="330"/>
    <col min="6668" max="6668" width="7.875" style="330" customWidth="1"/>
    <col min="6669" max="6670" width="8.25" style="330" customWidth="1"/>
    <col min="6671" max="6913" width="9.125" style="330"/>
    <col min="6914" max="6914" width="15.75" style="330" customWidth="1"/>
    <col min="6915" max="6917" width="9.125" style="330"/>
    <col min="6918" max="6918" width="9.75" style="330" customWidth="1"/>
    <col min="6919" max="6921" width="9.125" style="330"/>
    <col min="6922" max="6922" width="10" style="330" customWidth="1"/>
    <col min="6923" max="6923" width="9.125" style="330"/>
    <col min="6924" max="6924" width="7.875" style="330" customWidth="1"/>
    <col min="6925" max="6926" width="8.25" style="330" customWidth="1"/>
    <col min="6927" max="7169" width="9.125" style="330"/>
    <col min="7170" max="7170" width="15.75" style="330" customWidth="1"/>
    <col min="7171" max="7173" width="9.125" style="330"/>
    <col min="7174" max="7174" width="9.75" style="330" customWidth="1"/>
    <col min="7175" max="7177" width="9.125" style="330"/>
    <col min="7178" max="7178" width="10" style="330" customWidth="1"/>
    <col min="7179" max="7179" width="9.125" style="330"/>
    <col min="7180" max="7180" width="7.875" style="330" customWidth="1"/>
    <col min="7181" max="7182" width="8.25" style="330" customWidth="1"/>
    <col min="7183" max="7425" width="9.125" style="330"/>
    <col min="7426" max="7426" width="15.75" style="330" customWidth="1"/>
    <col min="7427" max="7429" width="9.125" style="330"/>
    <col min="7430" max="7430" width="9.75" style="330" customWidth="1"/>
    <col min="7431" max="7433" width="9.125" style="330"/>
    <col min="7434" max="7434" width="10" style="330" customWidth="1"/>
    <col min="7435" max="7435" width="9.125" style="330"/>
    <col min="7436" max="7436" width="7.875" style="330" customWidth="1"/>
    <col min="7437" max="7438" width="8.25" style="330" customWidth="1"/>
    <col min="7439" max="7681" width="9.125" style="330"/>
    <col min="7682" max="7682" width="15.75" style="330" customWidth="1"/>
    <col min="7683" max="7685" width="9.125" style="330"/>
    <col min="7686" max="7686" width="9.75" style="330" customWidth="1"/>
    <col min="7687" max="7689" width="9.125" style="330"/>
    <col min="7690" max="7690" width="10" style="330" customWidth="1"/>
    <col min="7691" max="7691" width="9.125" style="330"/>
    <col min="7692" max="7692" width="7.875" style="330" customWidth="1"/>
    <col min="7693" max="7694" width="8.25" style="330" customWidth="1"/>
    <col min="7695" max="7937" width="9.125" style="330"/>
    <col min="7938" max="7938" width="15.75" style="330" customWidth="1"/>
    <col min="7939" max="7941" width="9.125" style="330"/>
    <col min="7942" max="7942" width="9.75" style="330" customWidth="1"/>
    <col min="7943" max="7945" width="9.125" style="330"/>
    <col min="7946" max="7946" width="10" style="330" customWidth="1"/>
    <col min="7947" max="7947" width="9.125" style="330"/>
    <col min="7948" max="7948" width="7.875" style="330" customWidth="1"/>
    <col min="7949" max="7950" width="8.25" style="330" customWidth="1"/>
    <col min="7951" max="8193" width="9.125" style="330"/>
    <col min="8194" max="8194" width="15.75" style="330" customWidth="1"/>
    <col min="8195" max="8197" width="9.125" style="330"/>
    <col min="8198" max="8198" width="9.75" style="330" customWidth="1"/>
    <col min="8199" max="8201" width="9.125" style="330"/>
    <col min="8202" max="8202" width="10" style="330" customWidth="1"/>
    <col min="8203" max="8203" width="9.125" style="330"/>
    <col min="8204" max="8204" width="7.875" style="330" customWidth="1"/>
    <col min="8205" max="8206" width="8.25" style="330" customWidth="1"/>
    <col min="8207" max="8449" width="9.125" style="330"/>
    <col min="8450" max="8450" width="15.75" style="330" customWidth="1"/>
    <col min="8451" max="8453" width="9.125" style="330"/>
    <col min="8454" max="8454" width="9.75" style="330" customWidth="1"/>
    <col min="8455" max="8457" width="9.125" style="330"/>
    <col min="8458" max="8458" width="10" style="330" customWidth="1"/>
    <col min="8459" max="8459" width="9.125" style="330"/>
    <col min="8460" max="8460" width="7.875" style="330" customWidth="1"/>
    <col min="8461" max="8462" width="8.25" style="330" customWidth="1"/>
    <col min="8463" max="8705" width="9.125" style="330"/>
    <col min="8706" max="8706" width="15.75" style="330" customWidth="1"/>
    <col min="8707" max="8709" width="9.125" style="330"/>
    <col min="8710" max="8710" width="9.75" style="330" customWidth="1"/>
    <col min="8711" max="8713" width="9.125" style="330"/>
    <col min="8714" max="8714" width="10" style="330" customWidth="1"/>
    <col min="8715" max="8715" width="9.125" style="330"/>
    <col min="8716" max="8716" width="7.875" style="330" customWidth="1"/>
    <col min="8717" max="8718" width="8.25" style="330" customWidth="1"/>
    <col min="8719" max="8961" width="9.125" style="330"/>
    <col min="8962" max="8962" width="15.75" style="330" customWidth="1"/>
    <col min="8963" max="8965" width="9.125" style="330"/>
    <col min="8966" max="8966" width="9.75" style="330" customWidth="1"/>
    <col min="8967" max="8969" width="9.125" style="330"/>
    <col min="8970" max="8970" width="10" style="330" customWidth="1"/>
    <col min="8971" max="8971" width="9.125" style="330"/>
    <col min="8972" max="8972" width="7.875" style="330" customWidth="1"/>
    <col min="8973" max="8974" width="8.25" style="330" customWidth="1"/>
    <col min="8975" max="9217" width="9.125" style="330"/>
    <col min="9218" max="9218" width="15.75" style="330" customWidth="1"/>
    <col min="9219" max="9221" width="9.125" style="330"/>
    <col min="9222" max="9222" width="9.75" style="330" customWidth="1"/>
    <col min="9223" max="9225" width="9.125" style="330"/>
    <col min="9226" max="9226" width="10" style="330" customWidth="1"/>
    <col min="9227" max="9227" width="9.125" style="330"/>
    <col min="9228" max="9228" width="7.875" style="330" customWidth="1"/>
    <col min="9229" max="9230" width="8.25" style="330" customWidth="1"/>
    <col min="9231" max="9473" width="9.125" style="330"/>
    <col min="9474" max="9474" width="15.75" style="330" customWidth="1"/>
    <col min="9475" max="9477" width="9.125" style="330"/>
    <col min="9478" max="9478" width="9.75" style="330" customWidth="1"/>
    <col min="9479" max="9481" width="9.125" style="330"/>
    <col min="9482" max="9482" width="10" style="330" customWidth="1"/>
    <col min="9483" max="9483" width="9.125" style="330"/>
    <col min="9484" max="9484" width="7.875" style="330" customWidth="1"/>
    <col min="9485" max="9486" width="8.25" style="330" customWidth="1"/>
    <col min="9487" max="9729" width="9.125" style="330"/>
    <col min="9730" max="9730" width="15.75" style="330" customWidth="1"/>
    <col min="9731" max="9733" width="9.125" style="330"/>
    <col min="9734" max="9734" width="9.75" style="330" customWidth="1"/>
    <col min="9735" max="9737" width="9.125" style="330"/>
    <col min="9738" max="9738" width="10" style="330" customWidth="1"/>
    <col min="9739" max="9739" width="9.125" style="330"/>
    <col min="9740" max="9740" width="7.875" style="330" customWidth="1"/>
    <col min="9741" max="9742" width="8.25" style="330" customWidth="1"/>
    <col min="9743" max="9985" width="9.125" style="330"/>
    <col min="9986" max="9986" width="15.75" style="330" customWidth="1"/>
    <col min="9987" max="9989" width="9.125" style="330"/>
    <col min="9990" max="9990" width="9.75" style="330" customWidth="1"/>
    <col min="9991" max="9993" width="9.125" style="330"/>
    <col min="9994" max="9994" width="10" style="330" customWidth="1"/>
    <col min="9995" max="9995" width="9.125" style="330"/>
    <col min="9996" max="9996" width="7.875" style="330" customWidth="1"/>
    <col min="9997" max="9998" width="8.25" style="330" customWidth="1"/>
    <col min="9999" max="10241" width="9.125" style="330"/>
    <col min="10242" max="10242" width="15.75" style="330" customWidth="1"/>
    <col min="10243" max="10245" width="9.125" style="330"/>
    <col min="10246" max="10246" width="9.75" style="330" customWidth="1"/>
    <col min="10247" max="10249" width="9.125" style="330"/>
    <col min="10250" max="10250" width="10" style="330" customWidth="1"/>
    <col min="10251" max="10251" width="9.125" style="330"/>
    <col min="10252" max="10252" width="7.875" style="330" customWidth="1"/>
    <col min="10253" max="10254" width="8.25" style="330" customWidth="1"/>
    <col min="10255" max="10497" width="9.125" style="330"/>
    <col min="10498" max="10498" width="15.75" style="330" customWidth="1"/>
    <col min="10499" max="10501" width="9.125" style="330"/>
    <col min="10502" max="10502" width="9.75" style="330" customWidth="1"/>
    <col min="10503" max="10505" width="9.125" style="330"/>
    <col min="10506" max="10506" width="10" style="330" customWidth="1"/>
    <col min="10507" max="10507" width="9.125" style="330"/>
    <col min="10508" max="10508" width="7.875" style="330" customWidth="1"/>
    <col min="10509" max="10510" width="8.25" style="330" customWidth="1"/>
    <col min="10511" max="10753" width="9.125" style="330"/>
    <col min="10754" max="10754" width="15.75" style="330" customWidth="1"/>
    <col min="10755" max="10757" width="9.125" style="330"/>
    <col min="10758" max="10758" width="9.75" style="330" customWidth="1"/>
    <col min="10759" max="10761" width="9.125" style="330"/>
    <col min="10762" max="10762" width="10" style="330" customWidth="1"/>
    <col min="10763" max="10763" width="9.125" style="330"/>
    <col min="10764" max="10764" width="7.875" style="330" customWidth="1"/>
    <col min="10765" max="10766" width="8.25" style="330" customWidth="1"/>
    <col min="10767" max="11009" width="9.125" style="330"/>
    <col min="11010" max="11010" width="15.75" style="330" customWidth="1"/>
    <col min="11011" max="11013" width="9.125" style="330"/>
    <col min="11014" max="11014" width="9.75" style="330" customWidth="1"/>
    <col min="11015" max="11017" width="9.125" style="330"/>
    <col min="11018" max="11018" width="10" style="330" customWidth="1"/>
    <col min="11019" max="11019" width="9.125" style="330"/>
    <col min="11020" max="11020" width="7.875" style="330" customWidth="1"/>
    <col min="11021" max="11022" width="8.25" style="330" customWidth="1"/>
    <col min="11023" max="11265" width="9.125" style="330"/>
    <col min="11266" max="11266" width="15.75" style="330" customWidth="1"/>
    <col min="11267" max="11269" width="9.125" style="330"/>
    <col min="11270" max="11270" width="9.75" style="330" customWidth="1"/>
    <col min="11271" max="11273" width="9.125" style="330"/>
    <col min="11274" max="11274" width="10" style="330" customWidth="1"/>
    <col min="11275" max="11275" width="9.125" style="330"/>
    <col min="11276" max="11276" width="7.875" style="330" customWidth="1"/>
    <col min="11277" max="11278" width="8.25" style="330" customWidth="1"/>
    <col min="11279" max="11521" width="9.125" style="330"/>
    <col min="11522" max="11522" width="15.75" style="330" customWidth="1"/>
    <col min="11523" max="11525" width="9.125" style="330"/>
    <col min="11526" max="11526" width="9.75" style="330" customWidth="1"/>
    <col min="11527" max="11529" width="9.125" style="330"/>
    <col min="11530" max="11530" width="10" style="330" customWidth="1"/>
    <col min="11531" max="11531" width="9.125" style="330"/>
    <col min="11532" max="11532" width="7.875" style="330" customWidth="1"/>
    <col min="11533" max="11534" width="8.25" style="330" customWidth="1"/>
    <col min="11535" max="11777" width="9.125" style="330"/>
    <col min="11778" max="11778" width="15.75" style="330" customWidth="1"/>
    <col min="11779" max="11781" width="9.125" style="330"/>
    <col min="11782" max="11782" width="9.75" style="330" customWidth="1"/>
    <col min="11783" max="11785" width="9.125" style="330"/>
    <col min="11786" max="11786" width="10" style="330" customWidth="1"/>
    <col min="11787" max="11787" width="9.125" style="330"/>
    <col min="11788" max="11788" width="7.875" style="330" customWidth="1"/>
    <col min="11789" max="11790" width="8.25" style="330" customWidth="1"/>
    <col min="11791" max="12033" width="9.125" style="330"/>
    <col min="12034" max="12034" width="15.75" style="330" customWidth="1"/>
    <col min="12035" max="12037" width="9.125" style="330"/>
    <col min="12038" max="12038" width="9.75" style="330" customWidth="1"/>
    <col min="12039" max="12041" width="9.125" style="330"/>
    <col min="12042" max="12042" width="10" style="330" customWidth="1"/>
    <col min="12043" max="12043" width="9.125" style="330"/>
    <col min="12044" max="12044" width="7.875" style="330" customWidth="1"/>
    <col min="12045" max="12046" width="8.25" style="330" customWidth="1"/>
    <col min="12047" max="12289" width="9.125" style="330"/>
    <col min="12290" max="12290" width="15.75" style="330" customWidth="1"/>
    <col min="12291" max="12293" width="9.125" style="330"/>
    <col min="12294" max="12294" width="9.75" style="330" customWidth="1"/>
    <col min="12295" max="12297" width="9.125" style="330"/>
    <col min="12298" max="12298" width="10" style="330" customWidth="1"/>
    <col min="12299" max="12299" width="9.125" style="330"/>
    <col min="12300" max="12300" width="7.875" style="330" customWidth="1"/>
    <col min="12301" max="12302" width="8.25" style="330" customWidth="1"/>
    <col min="12303" max="12545" width="9.125" style="330"/>
    <col min="12546" max="12546" width="15.75" style="330" customWidth="1"/>
    <col min="12547" max="12549" width="9.125" style="330"/>
    <col min="12550" max="12550" width="9.75" style="330" customWidth="1"/>
    <col min="12551" max="12553" width="9.125" style="330"/>
    <col min="12554" max="12554" width="10" style="330" customWidth="1"/>
    <col min="12555" max="12555" width="9.125" style="330"/>
    <col min="12556" max="12556" width="7.875" style="330" customWidth="1"/>
    <col min="12557" max="12558" width="8.25" style="330" customWidth="1"/>
    <col min="12559" max="12801" width="9.125" style="330"/>
    <col min="12802" max="12802" width="15.75" style="330" customWidth="1"/>
    <col min="12803" max="12805" width="9.125" style="330"/>
    <col min="12806" max="12806" width="9.75" style="330" customWidth="1"/>
    <col min="12807" max="12809" width="9.125" style="330"/>
    <col min="12810" max="12810" width="10" style="330" customWidth="1"/>
    <col min="12811" max="12811" width="9.125" style="330"/>
    <col min="12812" max="12812" width="7.875" style="330" customWidth="1"/>
    <col min="12813" max="12814" width="8.25" style="330" customWidth="1"/>
    <col min="12815" max="13057" width="9.125" style="330"/>
    <col min="13058" max="13058" width="15.75" style="330" customWidth="1"/>
    <col min="13059" max="13061" width="9.125" style="330"/>
    <col min="13062" max="13062" width="9.75" style="330" customWidth="1"/>
    <col min="13063" max="13065" width="9.125" style="330"/>
    <col min="13066" max="13066" width="10" style="330" customWidth="1"/>
    <col min="13067" max="13067" width="9.125" style="330"/>
    <col min="13068" max="13068" width="7.875" style="330" customWidth="1"/>
    <col min="13069" max="13070" width="8.25" style="330" customWidth="1"/>
    <col min="13071" max="13313" width="9.125" style="330"/>
    <col min="13314" max="13314" width="15.75" style="330" customWidth="1"/>
    <col min="13315" max="13317" width="9.125" style="330"/>
    <col min="13318" max="13318" width="9.75" style="330" customWidth="1"/>
    <col min="13319" max="13321" width="9.125" style="330"/>
    <col min="13322" max="13322" width="10" style="330" customWidth="1"/>
    <col min="13323" max="13323" width="9.125" style="330"/>
    <col min="13324" max="13324" width="7.875" style="330" customWidth="1"/>
    <col min="13325" max="13326" width="8.25" style="330" customWidth="1"/>
    <col min="13327" max="13569" width="9.125" style="330"/>
    <col min="13570" max="13570" width="15.75" style="330" customWidth="1"/>
    <col min="13571" max="13573" width="9.125" style="330"/>
    <col min="13574" max="13574" width="9.75" style="330" customWidth="1"/>
    <col min="13575" max="13577" width="9.125" style="330"/>
    <col min="13578" max="13578" width="10" style="330" customWidth="1"/>
    <col min="13579" max="13579" width="9.125" style="330"/>
    <col min="13580" max="13580" width="7.875" style="330" customWidth="1"/>
    <col min="13581" max="13582" width="8.25" style="330" customWidth="1"/>
    <col min="13583" max="13825" width="9.125" style="330"/>
    <col min="13826" max="13826" width="15.75" style="330" customWidth="1"/>
    <col min="13827" max="13829" width="9.125" style="330"/>
    <col min="13830" max="13830" width="9.75" style="330" customWidth="1"/>
    <col min="13831" max="13833" width="9.125" style="330"/>
    <col min="13834" max="13834" width="10" style="330" customWidth="1"/>
    <col min="13835" max="13835" width="9.125" style="330"/>
    <col min="13836" max="13836" width="7.875" style="330" customWidth="1"/>
    <col min="13837" max="13838" width="8.25" style="330" customWidth="1"/>
    <col min="13839" max="14081" width="9.125" style="330"/>
    <col min="14082" max="14082" width="15.75" style="330" customWidth="1"/>
    <col min="14083" max="14085" width="9.125" style="330"/>
    <col min="14086" max="14086" width="9.75" style="330" customWidth="1"/>
    <col min="14087" max="14089" width="9.125" style="330"/>
    <col min="14090" max="14090" width="10" style="330" customWidth="1"/>
    <col min="14091" max="14091" width="9.125" style="330"/>
    <col min="14092" max="14092" width="7.875" style="330" customWidth="1"/>
    <col min="14093" max="14094" width="8.25" style="330" customWidth="1"/>
    <col min="14095" max="14337" width="9.125" style="330"/>
    <col min="14338" max="14338" width="15.75" style="330" customWidth="1"/>
    <col min="14339" max="14341" width="9.125" style="330"/>
    <col min="14342" max="14342" width="9.75" style="330" customWidth="1"/>
    <col min="14343" max="14345" width="9.125" style="330"/>
    <col min="14346" max="14346" width="10" style="330" customWidth="1"/>
    <col min="14347" max="14347" width="9.125" style="330"/>
    <col min="14348" max="14348" width="7.875" style="330" customWidth="1"/>
    <col min="14349" max="14350" width="8.25" style="330" customWidth="1"/>
    <col min="14351" max="14593" width="9.125" style="330"/>
    <col min="14594" max="14594" width="15.75" style="330" customWidth="1"/>
    <col min="14595" max="14597" width="9.125" style="330"/>
    <col min="14598" max="14598" width="9.75" style="330" customWidth="1"/>
    <col min="14599" max="14601" width="9.125" style="330"/>
    <col min="14602" max="14602" width="10" style="330" customWidth="1"/>
    <col min="14603" max="14603" width="9.125" style="330"/>
    <col min="14604" max="14604" width="7.875" style="330" customWidth="1"/>
    <col min="14605" max="14606" width="8.25" style="330" customWidth="1"/>
    <col min="14607" max="14849" width="9.125" style="330"/>
    <col min="14850" max="14850" width="15.75" style="330" customWidth="1"/>
    <col min="14851" max="14853" width="9.125" style="330"/>
    <col min="14854" max="14854" width="9.75" style="330" customWidth="1"/>
    <col min="14855" max="14857" width="9.125" style="330"/>
    <col min="14858" max="14858" width="10" style="330" customWidth="1"/>
    <col min="14859" max="14859" width="9.125" style="330"/>
    <col min="14860" max="14860" width="7.875" style="330" customWidth="1"/>
    <col min="14861" max="14862" width="8.25" style="330" customWidth="1"/>
    <col min="14863" max="15105" width="9.125" style="330"/>
    <col min="15106" max="15106" width="15.75" style="330" customWidth="1"/>
    <col min="15107" max="15109" width="9.125" style="330"/>
    <col min="15110" max="15110" width="9.75" style="330" customWidth="1"/>
    <col min="15111" max="15113" width="9.125" style="330"/>
    <col min="15114" max="15114" width="10" style="330" customWidth="1"/>
    <col min="15115" max="15115" width="9.125" style="330"/>
    <col min="15116" max="15116" width="7.875" style="330" customWidth="1"/>
    <col min="15117" max="15118" width="8.25" style="330" customWidth="1"/>
    <col min="15119" max="15361" width="9.125" style="330"/>
    <col min="15362" max="15362" width="15.75" style="330" customWidth="1"/>
    <col min="15363" max="15365" width="9.125" style="330"/>
    <col min="15366" max="15366" width="9.75" style="330" customWidth="1"/>
    <col min="15367" max="15369" width="9.125" style="330"/>
    <col min="15370" max="15370" width="10" style="330" customWidth="1"/>
    <col min="15371" max="15371" width="9.125" style="330"/>
    <col min="15372" max="15372" width="7.875" style="330" customWidth="1"/>
    <col min="15373" max="15374" width="8.25" style="330" customWidth="1"/>
    <col min="15375" max="15617" width="9.125" style="330"/>
    <col min="15618" max="15618" width="15.75" style="330" customWidth="1"/>
    <col min="15619" max="15621" width="9.125" style="330"/>
    <col min="15622" max="15622" width="9.75" style="330" customWidth="1"/>
    <col min="15623" max="15625" width="9.125" style="330"/>
    <col min="15626" max="15626" width="10" style="330" customWidth="1"/>
    <col min="15627" max="15627" width="9.125" style="330"/>
    <col min="15628" max="15628" width="7.875" style="330" customWidth="1"/>
    <col min="15629" max="15630" width="8.25" style="330" customWidth="1"/>
    <col min="15631" max="15873" width="9.125" style="330"/>
    <col min="15874" max="15874" width="15.75" style="330" customWidth="1"/>
    <col min="15875" max="15877" width="9.125" style="330"/>
    <col min="15878" max="15878" width="9.75" style="330" customWidth="1"/>
    <col min="15879" max="15881" width="9.125" style="330"/>
    <col min="15882" max="15882" width="10" style="330" customWidth="1"/>
    <col min="15883" max="15883" width="9.125" style="330"/>
    <col min="15884" max="15884" width="7.875" style="330" customWidth="1"/>
    <col min="15885" max="15886" width="8.25" style="330" customWidth="1"/>
    <col min="15887" max="16129" width="9.125" style="330"/>
    <col min="16130" max="16130" width="15.75" style="330" customWidth="1"/>
    <col min="16131" max="16133" width="9.125" style="330"/>
    <col min="16134" max="16134" width="9.75" style="330" customWidth="1"/>
    <col min="16135" max="16137" width="9.125" style="330"/>
    <col min="16138" max="16138" width="10" style="330" customWidth="1"/>
    <col min="16139" max="16139" width="9.125" style="330"/>
    <col min="16140" max="16140" width="7.875" style="330" customWidth="1"/>
    <col min="16141" max="16142" width="8.25" style="330" customWidth="1"/>
    <col min="16143" max="16384" width="9.125" style="330"/>
  </cols>
  <sheetData>
    <row r="1" spans="1:14" ht="30.75">
      <c r="A1" s="1073" t="s">
        <v>538</v>
      </c>
      <c r="B1" s="1073"/>
      <c r="C1" s="1073"/>
      <c r="D1" s="1073"/>
      <c r="E1" s="1073"/>
      <c r="F1" s="1073"/>
      <c r="G1" s="1073"/>
      <c r="H1" s="1073"/>
      <c r="I1" s="1073"/>
      <c r="J1" s="1073"/>
      <c r="K1" s="1073"/>
      <c r="L1" s="1073"/>
      <c r="M1" s="1071" t="s">
        <v>522</v>
      </c>
      <c r="N1" s="1071"/>
    </row>
    <row r="2" spans="1:14" ht="20.25">
      <c r="A2" s="1019" t="s">
        <v>539</v>
      </c>
      <c r="B2" s="1019"/>
      <c r="C2" s="1019"/>
      <c r="D2" s="1019"/>
      <c r="E2" s="1019"/>
      <c r="F2" s="1019"/>
      <c r="G2" s="1019"/>
      <c r="H2" s="1019"/>
      <c r="I2" s="1019"/>
      <c r="J2" s="1019"/>
      <c r="K2" s="1019"/>
      <c r="L2" s="1019"/>
      <c r="M2" s="1074" t="s">
        <v>523</v>
      </c>
      <c r="N2" s="1074"/>
    </row>
    <row r="3" spans="1:14" ht="16.5">
      <c r="A3" s="1041" t="s">
        <v>772</v>
      </c>
      <c r="B3" s="1041"/>
      <c r="C3" s="1041"/>
      <c r="D3" s="1041"/>
      <c r="E3" s="1041"/>
      <c r="F3" s="1041"/>
      <c r="G3" s="1041"/>
      <c r="H3" s="1041"/>
      <c r="I3" s="1041"/>
      <c r="J3" s="1041"/>
      <c r="K3" s="1041"/>
      <c r="L3" s="1041"/>
      <c r="M3" s="1041"/>
      <c r="N3" s="1041"/>
    </row>
    <row r="4" spans="1:14" ht="20.25">
      <c r="A4" s="515"/>
      <c r="B4" s="515"/>
      <c r="C4" s="515"/>
      <c r="D4" s="515"/>
      <c r="E4" s="515"/>
      <c r="F4" s="515"/>
      <c r="G4" s="515"/>
      <c r="H4" s="515"/>
      <c r="I4" s="1017" t="s">
        <v>644</v>
      </c>
      <c r="J4" s="1017"/>
      <c r="K4" s="1017"/>
      <c r="L4" s="1017"/>
      <c r="M4" s="1017"/>
      <c r="N4" s="1017"/>
    </row>
    <row r="5" spans="1:14" ht="18.75">
      <c r="A5" s="515"/>
      <c r="B5" s="515"/>
      <c r="C5" s="515"/>
      <c r="D5" s="515"/>
      <c r="E5" s="515"/>
      <c r="F5" s="515"/>
      <c r="G5" s="515"/>
      <c r="H5" s="515"/>
      <c r="I5" s="515"/>
      <c r="J5" s="1075">
        <f>Summary!$C$1</f>
        <v>30695</v>
      </c>
      <c r="K5" s="1075"/>
      <c r="L5" s="1075"/>
      <c r="M5" s="1071" t="s">
        <v>523</v>
      </c>
      <c r="N5" s="1071"/>
    </row>
    <row r="6" spans="1:14" ht="18.75">
      <c r="A6" s="1071" t="s">
        <v>645</v>
      </c>
      <c r="B6" s="1071"/>
      <c r="C6" s="1071"/>
      <c r="D6" s="1071"/>
      <c r="E6" s="1071"/>
      <c r="F6" s="1071"/>
      <c r="G6" s="1071"/>
      <c r="H6" s="1071"/>
      <c r="I6" s="1071"/>
      <c r="J6" s="1071"/>
      <c r="K6" s="1071"/>
      <c r="L6" s="1071"/>
      <c r="M6" s="1071"/>
      <c r="N6" s="1071"/>
    </row>
    <row r="7" spans="1:14" ht="18.75">
      <c r="A7" s="1071" t="s">
        <v>524</v>
      </c>
      <c r="B7" s="1071"/>
      <c r="C7" s="1071"/>
      <c r="D7" s="1072" t="str">
        <f>Summary!A5</f>
        <v>BUDGET HEAD : 2202-GENERAL EDUCATION, 02-SECONDARY EDUCATION, 109-GOVT. SEC. SCHOOL, (02)-GIRLS SCHOOL (STATE FUND)</v>
      </c>
      <c r="E7" s="1072"/>
      <c r="F7" s="1072"/>
      <c r="G7" s="1072"/>
      <c r="H7" s="1072"/>
      <c r="I7" s="1072"/>
      <c r="J7" s="1072"/>
      <c r="K7" s="1072"/>
      <c r="L7" s="1072"/>
      <c r="M7" s="1072"/>
      <c r="N7" s="1072"/>
    </row>
    <row r="8" spans="1:14" s="633" customFormat="1" ht="31.5" customHeight="1">
      <c r="A8" s="1065" t="s">
        <v>525</v>
      </c>
      <c r="B8" s="1065"/>
      <c r="C8" s="1065"/>
      <c r="D8" s="1064" t="s">
        <v>540</v>
      </c>
      <c r="E8" s="1064"/>
      <c r="F8" s="1063" t="str">
        <f>Summary!A2</f>
        <v>iz/kkukpk;Z egkRek xka/kh jktdh; fo|ky; ¼vaxzsth ek/;e½ cj ] ikyh</v>
      </c>
      <c r="G8" s="1063"/>
      <c r="H8" s="1063"/>
      <c r="I8" s="1063"/>
      <c r="J8" s="1063"/>
      <c r="K8" s="1063"/>
      <c r="L8" s="1063"/>
      <c r="M8" s="1063"/>
      <c r="N8" s="1063"/>
    </row>
    <row r="9" spans="1:14" s="346" customFormat="1" ht="40.5" customHeight="1">
      <c r="A9" s="1066" t="s">
        <v>359</v>
      </c>
      <c r="B9" s="1066" t="s">
        <v>526</v>
      </c>
      <c r="C9" s="1067" t="s">
        <v>648</v>
      </c>
      <c r="D9" s="1068"/>
      <c r="E9" s="1068"/>
      <c r="F9" s="1069" t="s">
        <v>586</v>
      </c>
      <c r="G9" s="1067" t="s">
        <v>649</v>
      </c>
      <c r="H9" s="1068"/>
      <c r="I9" s="1068"/>
      <c r="J9" s="1069" t="s">
        <v>588</v>
      </c>
      <c r="K9" s="1069" t="s">
        <v>589</v>
      </c>
      <c r="L9" s="1069" t="s">
        <v>647</v>
      </c>
      <c r="M9" s="1068"/>
      <c r="N9" s="1068"/>
    </row>
    <row r="10" spans="1:14" s="346" customFormat="1" ht="40.5" customHeight="1">
      <c r="A10" s="1066"/>
      <c r="B10" s="1066"/>
      <c r="C10" s="637" t="s">
        <v>72</v>
      </c>
      <c r="D10" s="637" t="s">
        <v>4</v>
      </c>
      <c r="E10" s="637" t="s">
        <v>547</v>
      </c>
      <c r="F10" s="1068"/>
      <c r="G10" s="634" t="s">
        <v>587</v>
      </c>
      <c r="H10" s="634" t="s">
        <v>646</v>
      </c>
      <c r="I10" s="634" t="s">
        <v>527</v>
      </c>
      <c r="J10" s="1068"/>
      <c r="K10" s="1068"/>
      <c r="L10" s="638" t="s">
        <v>650</v>
      </c>
      <c r="M10" s="638" t="s">
        <v>651</v>
      </c>
      <c r="N10" s="638" t="s">
        <v>652</v>
      </c>
    </row>
    <row r="11" spans="1:14" s="351" customFormat="1">
      <c r="A11" s="635">
        <v>1</v>
      </c>
      <c r="B11" s="639">
        <v>2</v>
      </c>
      <c r="C11" s="639">
        <v>3</v>
      </c>
      <c r="D11" s="639">
        <v>4</v>
      </c>
      <c r="E11" s="639">
        <v>5</v>
      </c>
      <c r="F11" s="639">
        <v>6</v>
      </c>
      <c r="G11" s="639">
        <v>7</v>
      </c>
      <c r="H11" s="639">
        <v>8</v>
      </c>
      <c r="I11" s="639">
        <v>9</v>
      </c>
      <c r="J11" s="639">
        <v>10</v>
      </c>
      <c r="K11" s="639">
        <v>11</v>
      </c>
      <c r="L11" s="639">
        <v>12</v>
      </c>
      <c r="M11" s="639">
        <v>13</v>
      </c>
      <c r="N11" s="639">
        <v>14</v>
      </c>
    </row>
    <row r="12" spans="1:14" s="346" customFormat="1" ht="20.25" customHeight="1">
      <c r="A12" s="636">
        <v>1</v>
      </c>
      <c r="B12" s="640" t="s">
        <v>528</v>
      </c>
      <c r="C12" s="636"/>
      <c r="D12" s="636"/>
      <c r="E12" s="636"/>
      <c r="F12" s="636"/>
      <c r="G12" s="636"/>
      <c r="H12" s="636"/>
      <c r="I12" s="636">
        <f>G12+H12</f>
        <v>0</v>
      </c>
      <c r="J12" s="636">
        <f>'GA1'!R24</f>
        <v>3692000</v>
      </c>
      <c r="K12" s="636">
        <f>'GA1'!M24</f>
        <v>5648400</v>
      </c>
      <c r="L12" s="636">
        <f>F12-J12</f>
        <v>-3692000</v>
      </c>
      <c r="M12" s="636">
        <f>I12-J12</f>
        <v>-3692000</v>
      </c>
      <c r="N12" s="636">
        <f>J12-K12</f>
        <v>-1956400</v>
      </c>
    </row>
    <row r="13" spans="1:14" s="346" customFormat="1" ht="20.25" customHeight="1">
      <c r="A13" s="636">
        <v>2</v>
      </c>
      <c r="B13" s="640" t="s">
        <v>529</v>
      </c>
      <c r="C13" s="636"/>
      <c r="D13" s="636"/>
      <c r="E13" s="636"/>
      <c r="F13" s="636"/>
      <c r="G13" s="636"/>
      <c r="H13" s="636"/>
      <c r="I13" s="636">
        <f t="shared" ref="I13:I15" si="0">G13+H13</f>
        <v>0</v>
      </c>
      <c r="J13" s="636">
        <v>0</v>
      </c>
      <c r="K13" s="636">
        <v>0</v>
      </c>
      <c r="L13" s="636">
        <f t="shared" ref="L13:L15" si="1">F13-J13</f>
        <v>0</v>
      </c>
      <c r="M13" s="636">
        <f t="shared" ref="M13:N15" si="2">I13-J13</f>
        <v>0</v>
      </c>
      <c r="N13" s="636">
        <f t="shared" si="2"/>
        <v>0</v>
      </c>
    </row>
    <row r="14" spans="1:14" s="346" customFormat="1" ht="20.25" customHeight="1">
      <c r="A14" s="636">
        <v>3</v>
      </c>
      <c r="B14" s="640" t="s">
        <v>530</v>
      </c>
      <c r="C14" s="636"/>
      <c r="D14" s="636"/>
      <c r="E14" s="636"/>
      <c r="F14" s="636"/>
      <c r="G14" s="636"/>
      <c r="H14" s="636"/>
      <c r="I14" s="636">
        <f t="shared" si="0"/>
        <v>0</v>
      </c>
      <c r="J14" s="636">
        <v>0</v>
      </c>
      <c r="K14" s="636">
        <v>0</v>
      </c>
      <c r="L14" s="636">
        <f t="shared" si="1"/>
        <v>0</v>
      </c>
      <c r="M14" s="636">
        <f t="shared" si="2"/>
        <v>0</v>
      </c>
      <c r="N14" s="636">
        <f t="shared" si="2"/>
        <v>0</v>
      </c>
    </row>
    <row r="15" spans="1:14" s="346" customFormat="1" ht="20.25" customHeight="1">
      <c r="A15" s="636">
        <v>4</v>
      </c>
      <c r="B15" s="640" t="s">
        <v>531</v>
      </c>
      <c r="C15" s="636"/>
      <c r="D15" s="636"/>
      <c r="E15" s="636"/>
      <c r="F15" s="636"/>
      <c r="G15" s="636"/>
      <c r="H15" s="636"/>
      <c r="I15" s="636">
        <f t="shared" si="0"/>
        <v>0</v>
      </c>
      <c r="J15" s="636">
        <v>0</v>
      </c>
      <c r="K15" s="636">
        <v>0</v>
      </c>
      <c r="L15" s="636">
        <f t="shared" si="1"/>
        <v>0</v>
      </c>
      <c r="M15" s="636">
        <f t="shared" si="2"/>
        <v>0</v>
      </c>
      <c r="N15" s="636">
        <f t="shared" si="2"/>
        <v>0</v>
      </c>
    </row>
    <row r="16" spans="1:14" s="346" customFormat="1" ht="20.25" customHeight="1">
      <c r="A16" s="636">
        <v>5</v>
      </c>
      <c r="B16" s="641" t="s">
        <v>532</v>
      </c>
      <c r="C16" s="636"/>
      <c r="D16" s="636"/>
      <c r="E16" s="636"/>
      <c r="F16" s="636"/>
      <c r="G16" s="636"/>
      <c r="H16" s="636"/>
      <c r="I16" s="636">
        <v>0</v>
      </c>
      <c r="J16" s="636">
        <v>0</v>
      </c>
      <c r="K16" s="636">
        <v>0</v>
      </c>
      <c r="L16" s="636">
        <v>0</v>
      </c>
      <c r="M16" s="636">
        <v>0</v>
      </c>
      <c r="N16" s="636">
        <v>0</v>
      </c>
    </row>
    <row r="17" spans="1:14" s="346" customFormat="1" ht="20.25" customHeight="1">
      <c r="A17" s="636">
        <v>6</v>
      </c>
      <c r="B17" s="640" t="s">
        <v>533</v>
      </c>
      <c r="C17" s="636"/>
      <c r="D17" s="636"/>
      <c r="E17" s="636"/>
      <c r="F17" s="636"/>
      <c r="G17" s="636"/>
      <c r="H17" s="636"/>
      <c r="I17" s="636">
        <f>G17+H17</f>
        <v>0</v>
      </c>
      <c r="J17" s="636">
        <v>0</v>
      </c>
      <c r="K17" s="636">
        <v>0</v>
      </c>
      <c r="L17" s="636">
        <f>F17-J17</f>
        <v>0</v>
      </c>
      <c r="M17" s="636">
        <f t="shared" ref="M17:N21" si="3">I17-J17</f>
        <v>0</v>
      </c>
      <c r="N17" s="636">
        <f t="shared" si="3"/>
        <v>0</v>
      </c>
    </row>
    <row r="18" spans="1:14" s="346" customFormat="1" ht="20.25" customHeight="1">
      <c r="A18" s="636">
        <v>7</v>
      </c>
      <c r="B18" s="640" t="s">
        <v>534</v>
      </c>
      <c r="C18" s="636"/>
      <c r="D18" s="636"/>
      <c r="E18" s="636"/>
      <c r="F18" s="636"/>
      <c r="G18" s="636"/>
      <c r="H18" s="636"/>
      <c r="I18" s="636">
        <f>G18+H18</f>
        <v>0</v>
      </c>
      <c r="J18" s="636">
        <v>0</v>
      </c>
      <c r="K18" s="636">
        <v>0</v>
      </c>
      <c r="L18" s="636">
        <f>F18-J18</f>
        <v>0</v>
      </c>
      <c r="M18" s="636">
        <f t="shared" si="3"/>
        <v>0</v>
      </c>
      <c r="N18" s="636">
        <f t="shared" si="3"/>
        <v>0</v>
      </c>
    </row>
    <row r="19" spans="1:14" s="346" customFormat="1" ht="20.25" customHeight="1">
      <c r="A19" s="636">
        <v>8</v>
      </c>
      <c r="B19" s="640" t="s">
        <v>535</v>
      </c>
      <c r="C19" s="636"/>
      <c r="D19" s="636"/>
      <c r="E19" s="636"/>
      <c r="F19" s="636"/>
      <c r="G19" s="636"/>
      <c r="H19" s="636"/>
      <c r="I19" s="636">
        <f>G19+H19</f>
        <v>0</v>
      </c>
      <c r="J19" s="636">
        <v>0</v>
      </c>
      <c r="K19" s="636">
        <v>0</v>
      </c>
      <c r="L19" s="636">
        <f>F19-J19</f>
        <v>0</v>
      </c>
      <c r="M19" s="636">
        <f>I19-J19</f>
        <v>0</v>
      </c>
      <c r="N19" s="636">
        <f>J19-K19</f>
        <v>0</v>
      </c>
    </row>
    <row r="20" spans="1:14" s="346" customFormat="1" ht="20.25" customHeight="1">
      <c r="A20" s="636">
        <v>9</v>
      </c>
      <c r="B20" s="640" t="s">
        <v>536</v>
      </c>
      <c r="C20" s="636"/>
      <c r="D20" s="636"/>
      <c r="E20" s="636"/>
      <c r="F20" s="636"/>
      <c r="G20" s="636"/>
      <c r="H20" s="636"/>
      <c r="I20" s="636">
        <f>G20+H20</f>
        <v>0</v>
      </c>
      <c r="J20" s="636">
        <v>0</v>
      </c>
      <c r="K20" s="636">
        <v>0</v>
      </c>
      <c r="L20" s="636">
        <f>F20-J20</f>
        <v>0</v>
      </c>
      <c r="M20" s="636">
        <f t="shared" si="3"/>
        <v>0</v>
      </c>
      <c r="N20" s="636">
        <f t="shared" si="3"/>
        <v>0</v>
      </c>
    </row>
    <row r="21" spans="1:14" s="346" customFormat="1" ht="20.25" customHeight="1">
      <c r="A21" s="636">
        <v>10</v>
      </c>
      <c r="B21" s="640" t="s">
        <v>537</v>
      </c>
      <c r="C21" s="636"/>
      <c r="D21" s="636"/>
      <c r="E21" s="636"/>
      <c r="F21" s="636"/>
      <c r="G21" s="636"/>
      <c r="H21" s="636"/>
      <c r="I21" s="636">
        <f>G21+H21</f>
        <v>0</v>
      </c>
      <c r="J21" s="636">
        <v>0</v>
      </c>
      <c r="K21" s="636">
        <v>0</v>
      </c>
      <c r="L21" s="636">
        <f>F21-J21</f>
        <v>0</v>
      </c>
      <c r="M21" s="636">
        <f t="shared" si="3"/>
        <v>0</v>
      </c>
      <c r="N21" s="636">
        <f t="shared" si="3"/>
        <v>0</v>
      </c>
    </row>
    <row r="22" spans="1:14" s="352" customFormat="1" ht="21.75" customHeight="1">
      <c r="A22" s="634"/>
      <c r="B22" s="642" t="s">
        <v>352</v>
      </c>
      <c r="C22" s="637">
        <f>SUM(C11:C21)-C11</f>
        <v>0</v>
      </c>
      <c r="D22" s="637">
        <f t="shared" ref="D22:N22" si="4">SUM(D11:D21)-D11</f>
        <v>0</v>
      </c>
      <c r="E22" s="637">
        <f t="shared" si="4"/>
        <v>0</v>
      </c>
      <c r="F22" s="637">
        <f t="shared" si="4"/>
        <v>0</v>
      </c>
      <c r="G22" s="637">
        <f t="shared" si="4"/>
        <v>0</v>
      </c>
      <c r="H22" s="637">
        <f t="shared" si="4"/>
        <v>0</v>
      </c>
      <c r="I22" s="637">
        <f t="shared" si="4"/>
        <v>0</v>
      </c>
      <c r="J22" s="637">
        <f t="shared" si="4"/>
        <v>3692000</v>
      </c>
      <c r="K22" s="637">
        <f t="shared" si="4"/>
        <v>5648400</v>
      </c>
      <c r="L22" s="637">
        <f t="shared" si="4"/>
        <v>-3692000</v>
      </c>
      <c r="M22" s="637">
        <f t="shared" si="4"/>
        <v>-3692000</v>
      </c>
      <c r="N22" s="637">
        <f t="shared" si="4"/>
        <v>-1956400</v>
      </c>
    </row>
    <row r="23" spans="1:14" ht="18.75">
      <c r="A23" s="559" t="s">
        <v>558</v>
      </c>
    </row>
    <row r="24" spans="1:14" ht="18.75">
      <c r="A24" s="559"/>
    </row>
    <row r="26" spans="1:14">
      <c r="K26" s="1070" t="str">
        <f>CONCATENATE("¼ ",Master!G3,"½")</f>
        <v>¼ m"kk ikfy;k½</v>
      </c>
      <c r="L26" s="1070"/>
      <c r="M26" s="1070"/>
      <c r="N26" s="1070"/>
    </row>
    <row r="27" spans="1:14" ht="16.5">
      <c r="K27" s="886" t="str">
        <f>Master!C2</f>
        <v>iz/kkukpk;Z</v>
      </c>
      <c r="L27" s="886"/>
      <c r="M27" s="886"/>
      <c r="N27" s="886"/>
    </row>
    <row r="28" spans="1:14" ht="21" customHeight="1">
      <c r="K28" s="887" t="str">
        <f>Master!D2</f>
        <v>egkRek xka/kh jktdh; fo|ky; ¼vaxzsth ek/;e½ cj ] ikyh</v>
      </c>
      <c r="L28" s="887"/>
      <c r="M28" s="887"/>
      <c r="N28" s="887"/>
    </row>
    <row r="29" spans="1:14" ht="15" customHeight="1">
      <c r="K29" s="887"/>
      <c r="L29" s="887"/>
      <c r="M29" s="887"/>
      <c r="N29" s="887"/>
    </row>
    <row r="30" spans="1:14" ht="15.75">
      <c r="K30" s="353"/>
    </row>
  </sheetData>
  <mergeCells count="25">
    <mergeCell ref="A7:C7"/>
    <mergeCell ref="D7:N7"/>
    <mergeCell ref="A1:L1"/>
    <mergeCell ref="M1:N1"/>
    <mergeCell ref="A2:L2"/>
    <mergeCell ref="M2:N2"/>
    <mergeCell ref="A3:N3"/>
    <mergeCell ref="I4:N4"/>
    <mergeCell ref="M5:N5"/>
    <mergeCell ref="J5:L5"/>
    <mergeCell ref="A6:N6"/>
    <mergeCell ref="F8:N8"/>
    <mergeCell ref="D8:E8"/>
    <mergeCell ref="K27:N27"/>
    <mergeCell ref="K28:N29"/>
    <mergeCell ref="A8:C8"/>
    <mergeCell ref="A9:A10"/>
    <mergeCell ref="B9:B10"/>
    <mergeCell ref="C9:E9"/>
    <mergeCell ref="F9:F10"/>
    <mergeCell ref="G9:I9"/>
    <mergeCell ref="J9:J10"/>
    <mergeCell ref="K9:K10"/>
    <mergeCell ref="L9:N9"/>
    <mergeCell ref="K26:N26"/>
  </mergeCells>
  <conditionalFormatting sqref="A23:A24">
    <cfRule type="containsText" dxfId="1" priority="1" operator="containsText" text="in fjDr">
      <formula>NOT(ISERROR(SEARCH("in fjDr",A23)))</formula>
    </cfRule>
  </conditionalFormatting>
  <pageMargins left="0.4" right="0.2" top="0.25" bottom="0.25" header="0.3" footer="0.3"/>
  <pageSetup paperSize="9" scale="93" orientation="landscape" blackAndWhite="1" horizontalDpi="300" verticalDpi="300" r:id="rId1"/>
</worksheet>
</file>

<file path=xl/worksheets/sheet27.xml><?xml version="1.0" encoding="utf-8"?>
<worksheet xmlns="http://schemas.openxmlformats.org/spreadsheetml/2006/main" xmlns:r="http://schemas.openxmlformats.org/officeDocument/2006/relationships">
  <sheetPr codeName="Sheet27">
    <tabColor theme="9" tint="-0.249977111117893"/>
    <pageSetUpPr fitToPage="1"/>
  </sheetPr>
  <dimension ref="A1:N24"/>
  <sheetViews>
    <sheetView showGridLines="0" view="pageBreakPreview" zoomScaleSheetLayoutView="100" workbookViewId="0">
      <selection activeCell="P12" sqref="P12"/>
    </sheetView>
  </sheetViews>
  <sheetFormatPr defaultRowHeight="15"/>
  <cols>
    <col min="1" max="1" width="5.125" style="332" customWidth="1"/>
    <col min="2" max="2" width="18.875" style="330" customWidth="1"/>
    <col min="3" max="5" width="9.125" style="332"/>
    <col min="6" max="6" width="10.25" style="332" customWidth="1"/>
    <col min="7" max="8" width="9.125" style="332"/>
    <col min="9" max="9" width="10.25" style="332" customWidth="1"/>
    <col min="10" max="10" width="10.75" style="332" customWidth="1"/>
    <col min="11" max="11" width="10.625" style="332" customWidth="1"/>
    <col min="12" max="12" width="11.875" style="332" customWidth="1"/>
    <col min="13" max="13" width="11.75" style="332" customWidth="1"/>
    <col min="14" max="14" width="11.875" style="332" customWidth="1"/>
    <col min="15" max="256" width="9.125" style="330"/>
    <col min="257" max="257" width="5.125" style="330" customWidth="1"/>
    <col min="258" max="258" width="17.125" style="330" customWidth="1"/>
    <col min="259" max="261" width="9.125" style="330"/>
    <col min="262" max="262" width="10.25" style="330" customWidth="1"/>
    <col min="263" max="265" width="9.125" style="330"/>
    <col min="266" max="266" width="9.875" style="330" customWidth="1"/>
    <col min="267" max="267" width="9.125" style="330"/>
    <col min="268" max="270" width="10" style="330" customWidth="1"/>
    <col min="271" max="512" width="9.125" style="330"/>
    <col min="513" max="513" width="5.125" style="330" customWidth="1"/>
    <col min="514" max="514" width="17.125" style="330" customWidth="1"/>
    <col min="515" max="517" width="9.125" style="330"/>
    <col min="518" max="518" width="10.25" style="330" customWidth="1"/>
    <col min="519" max="521" width="9.125" style="330"/>
    <col min="522" max="522" width="9.875" style="330" customWidth="1"/>
    <col min="523" max="523" width="9.125" style="330"/>
    <col min="524" max="526" width="10" style="330" customWidth="1"/>
    <col min="527" max="768" width="9.125" style="330"/>
    <col min="769" max="769" width="5.125" style="330" customWidth="1"/>
    <col min="770" max="770" width="17.125" style="330" customWidth="1"/>
    <col min="771" max="773" width="9.125" style="330"/>
    <col min="774" max="774" width="10.25" style="330" customWidth="1"/>
    <col min="775" max="777" width="9.125" style="330"/>
    <col min="778" max="778" width="9.875" style="330" customWidth="1"/>
    <col min="779" max="779" width="9.125" style="330"/>
    <col min="780" max="782" width="10" style="330" customWidth="1"/>
    <col min="783" max="1024" width="9.125" style="330"/>
    <col min="1025" max="1025" width="5.125" style="330" customWidth="1"/>
    <col min="1026" max="1026" width="17.125" style="330" customWidth="1"/>
    <col min="1027" max="1029" width="9.125" style="330"/>
    <col min="1030" max="1030" width="10.25" style="330" customWidth="1"/>
    <col min="1031" max="1033" width="9.125" style="330"/>
    <col min="1034" max="1034" width="9.875" style="330" customWidth="1"/>
    <col min="1035" max="1035" width="9.125" style="330"/>
    <col min="1036" max="1038" width="10" style="330" customWidth="1"/>
    <col min="1039" max="1280" width="9.125" style="330"/>
    <col min="1281" max="1281" width="5.125" style="330" customWidth="1"/>
    <col min="1282" max="1282" width="17.125" style="330" customWidth="1"/>
    <col min="1283" max="1285" width="9.125" style="330"/>
    <col min="1286" max="1286" width="10.25" style="330" customWidth="1"/>
    <col min="1287" max="1289" width="9.125" style="330"/>
    <col min="1290" max="1290" width="9.875" style="330" customWidth="1"/>
    <col min="1291" max="1291" width="9.125" style="330"/>
    <col min="1292" max="1294" width="10" style="330" customWidth="1"/>
    <col min="1295" max="1536" width="9.125" style="330"/>
    <col min="1537" max="1537" width="5.125" style="330" customWidth="1"/>
    <col min="1538" max="1538" width="17.125" style="330" customWidth="1"/>
    <col min="1539" max="1541" width="9.125" style="330"/>
    <col min="1542" max="1542" width="10.25" style="330" customWidth="1"/>
    <col min="1543" max="1545" width="9.125" style="330"/>
    <col min="1546" max="1546" width="9.875" style="330" customWidth="1"/>
    <col min="1547" max="1547" width="9.125" style="330"/>
    <col min="1548" max="1550" width="10" style="330" customWidth="1"/>
    <col min="1551" max="1792" width="9.125" style="330"/>
    <col min="1793" max="1793" width="5.125" style="330" customWidth="1"/>
    <col min="1794" max="1794" width="17.125" style="330" customWidth="1"/>
    <col min="1795" max="1797" width="9.125" style="330"/>
    <col min="1798" max="1798" width="10.25" style="330" customWidth="1"/>
    <col min="1799" max="1801" width="9.125" style="330"/>
    <col min="1802" max="1802" width="9.875" style="330" customWidth="1"/>
    <col min="1803" max="1803" width="9.125" style="330"/>
    <col min="1804" max="1806" width="10" style="330" customWidth="1"/>
    <col min="1807" max="2048" width="9.125" style="330"/>
    <col min="2049" max="2049" width="5.125" style="330" customWidth="1"/>
    <col min="2050" max="2050" width="17.125" style="330" customWidth="1"/>
    <col min="2051" max="2053" width="9.125" style="330"/>
    <col min="2054" max="2054" width="10.25" style="330" customWidth="1"/>
    <col min="2055" max="2057" width="9.125" style="330"/>
    <col min="2058" max="2058" width="9.875" style="330" customWidth="1"/>
    <col min="2059" max="2059" width="9.125" style="330"/>
    <col min="2060" max="2062" width="10" style="330" customWidth="1"/>
    <col min="2063" max="2304" width="9.125" style="330"/>
    <col min="2305" max="2305" width="5.125" style="330" customWidth="1"/>
    <col min="2306" max="2306" width="17.125" style="330" customWidth="1"/>
    <col min="2307" max="2309" width="9.125" style="330"/>
    <col min="2310" max="2310" width="10.25" style="330" customWidth="1"/>
    <col min="2311" max="2313" width="9.125" style="330"/>
    <col min="2314" max="2314" width="9.875" style="330" customWidth="1"/>
    <col min="2315" max="2315" width="9.125" style="330"/>
    <col min="2316" max="2318" width="10" style="330" customWidth="1"/>
    <col min="2319" max="2560" width="9.125" style="330"/>
    <col min="2561" max="2561" width="5.125" style="330" customWidth="1"/>
    <col min="2562" max="2562" width="17.125" style="330" customWidth="1"/>
    <col min="2563" max="2565" width="9.125" style="330"/>
    <col min="2566" max="2566" width="10.25" style="330" customWidth="1"/>
    <col min="2567" max="2569" width="9.125" style="330"/>
    <col min="2570" max="2570" width="9.875" style="330" customWidth="1"/>
    <col min="2571" max="2571" width="9.125" style="330"/>
    <col min="2572" max="2574" width="10" style="330" customWidth="1"/>
    <col min="2575" max="2816" width="9.125" style="330"/>
    <col min="2817" max="2817" width="5.125" style="330" customWidth="1"/>
    <col min="2818" max="2818" width="17.125" style="330" customWidth="1"/>
    <col min="2819" max="2821" width="9.125" style="330"/>
    <col min="2822" max="2822" width="10.25" style="330" customWidth="1"/>
    <col min="2823" max="2825" width="9.125" style="330"/>
    <col min="2826" max="2826" width="9.875" style="330" customWidth="1"/>
    <col min="2827" max="2827" width="9.125" style="330"/>
    <col min="2828" max="2830" width="10" style="330" customWidth="1"/>
    <col min="2831" max="3072" width="9.125" style="330"/>
    <col min="3073" max="3073" width="5.125" style="330" customWidth="1"/>
    <col min="3074" max="3074" width="17.125" style="330" customWidth="1"/>
    <col min="3075" max="3077" width="9.125" style="330"/>
    <col min="3078" max="3078" width="10.25" style="330" customWidth="1"/>
    <col min="3079" max="3081" width="9.125" style="330"/>
    <col min="3082" max="3082" width="9.875" style="330" customWidth="1"/>
    <col min="3083" max="3083" width="9.125" style="330"/>
    <col min="3084" max="3086" width="10" style="330" customWidth="1"/>
    <col min="3087" max="3328" width="9.125" style="330"/>
    <col min="3329" max="3329" width="5.125" style="330" customWidth="1"/>
    <col min="3330" max="3330" width="17.125" style="330" customWidth="1"/>
    <col min="3331" max="3333" width="9.125" style="330"/>
    <col min="3334" max="3334" width="10.25" style="330" customWidth="1"/>
    <col min="3335" max="3337" width="9.125" style="330"/>
    <col min="3338" max="3338" width="9.875" style="330" customWidth="1"/>
    <col min="3339" max="3339" width="9.125" style="330"/>
    <col min="3340" max="3342" width="10" style="330" customWidth="1"/>
    <col min="3343" max="3584" width="9.125" style="330"/>
    <col min="3585" max="3585" width="5.125" style="330" customWidth="1"/>
    <col min="3586" max="3586" width="17.125" style="330" customWidth="1"/>
    <col min="3587" max="3589" width="9.125" style="330"/>
    <col min="3590" max="3590" width="10.25" style="330" customWidth="1"/>
    <col min="3591" max="3593" width="9.125" style="330"/>
    <col min="3594" max="3594" width="9.875" style="330" customWidth="1"/>
    <col min="3595" max="3595" width="9.125" style="330"/>
    <col min="3596" max="3598" width="10" style="330" customWidth="1"/>
    <col min="3599" max="3840" width="9.125" style="330"/>
    <col min="3841" max="3841" width="5.125" style="330" customWidth="1"/>
    <col min="3842" max="3842" width="17.125" style="330" customWidth="1"/>
    <col min="3843" max="3845" width="9.125" style="330"/>
    <col min="3846" max="3846" width="10.25" style="330" customWidth="1"/>
    <col min="3847" max="3849" width="9.125" style="330"/>
    <col min="3850" max="3850" width="9.875" style="330" customWidth="1"/>
    <col min="3851" max="3851" width="9.125" style="330"/>
    <col min="3852" max="3854" width="10" style="330" customWidth="1"/>
    <col min="3855" max="4096" width="9.125" style="330"/>
    <col min="4097" max="4097" width="5.125" style="330" customWidth="1"/>
    <col min="4098" max="4098" width="17.125" style="330" customWidth="1"/>
    <col min="4099" max="4101" width="9.125" style="330"/>
    <col min="4102" max="4102" width="10.25" style="330" customWidth="1"/>
    <col min="4103" max="4105" width="9.125" style="330"/>
    <col min="4106" max="4106" width="9.875" style="330" customWidth="1"/>
    <col min="4107" max="4107" width="9.125" style="330"/>
    <col min="4108" max="4110" width="10" style="330" customWidth="1"/>
    <col min="4111" max="4352" width="9.125" style="330"/>
    <col min="4353" max="4353" width="5.125" style="330" customWidth="1"/>
    <col min="4354" max="4354" width="17.125" style="330" customWidth="1"/>
    <col min="4355" max="4357" width="9.125" style="330"/>
    <col min="4358" max="4358" width="10.25" style="330" customWidth="1"/>
    <col min="4359" max="4361" width="9.125" style="330"/>
    <col min="4362" max="4362" width="9.875" style="330" customWidth="1"/>
    <col min="4363" max="4363" width="9.125" style="330"/>
    <col min="4364" max="4366" width="10" style="330" customWidth="1"/>
    <col min="4367" max="4608" width="9.125" style="330"/>
    <col min="4609" max="4609" width="5.125" style="330" customWidth="1"/>
    <col min="4610" max="4610" width="17.125" style="330" customWidth="1"/>
    <col min="4611" max="4613" width="9.125" style="330"/>
    <col min="4614" max="4614" width="10.25" style="330" customWidth="1"/>
    <col min="4615" max="4617" width="9.125" style="330"/>
    <col min="4618" max="4618" width="9.875" style="330" customWidth="1"/>
    <col min="4619" max="4619" width="9.125" style="330"/>
    <col min="4620" max="4622" width="10" style="330" customWidth="1"/>
    <col min="4623" max="4864" width="9.125" style="330"/>
    <col min="4865" max="4865" width="5.125" style="330" customWidth="1"/>
    <col min="4866" max="4866" width="17.125" style="330" customWidth="1"/>
    <col min="4867" max="4869" width="9.125" style="330"/>
    <col min="4870" max="4870" width="10.25" style="330" customWidth="1"/>
    <col min="4871" max="4873" width="9.125" style="330"/>
    <col min="4874" max="4874" width="9.875" style="330" customWidth="1"/>
    <col min="4875" max="4875" width="9.125" style="330"/>
    <col min="4876" max="4878" width="10" style="330" customWidth="1"/>
    <col min="4879" max="5120" width="9.125" style="330"/>
    <col min="5121" max="5121" width="5.125" style="330" customWidth="1"/>
    <col min="5122" max="5122" width="17.125" style="330" customWidth="1"/>
    <col min="5123" max="5125" width="9.125" style="330"/>
    <col min="5126" max="5126" width="10.25" style="330" customWidth="1"/>
    <col min="5127" max="5129" width="9.125" style="330"/>
    <col min="5130" max="5130" width="9.875" style="330" customWidth="1"/>
    <col min="5131" max="5131" width="9.125" style="330"/>
    <col min="5132" max="5134" width="10" style="330" customWidth="1"/>
    <col min="5135" max="5376" width="9.125" style="330"/>
    <col min="5377" max="5377" width="5.125" style="330" customWidth="1"/>
    <col min="5378" max="5378" width="17.125" style="330" customWidth="1"/>
    <col min="5379" max="5381" width="9.125" style="330"/>
    <col min="5382" max="5382" width="10.25" style="330" customWidth="1"/>
    <col min="5383" max="5385" width="9.125" style="330"/>
    <col min="5386" max="5386" width="9.875" style="330" customWidth="1"/>
    <col min="5387" max="5387" width="9.125" style="330"/>
    <col min="5388" max="5390" width="10" style="330" customWidth="1"/>
    <col min="5391" max="5632" width="9.125" style="330"/>
    <col min="5633" max="5633" width="5.125" style="330" customWidth="1"/>
    <col min="5634" max="5634" width="17.125" style="330" customWidth="1"/>
    <col min="5635" max="5637" width="9.125" style="330"/>
    <col min="5638" max="5638" width="10.25" style="330" customWidth="1"/>
    <col min="5639" max="5641" width="9.125" style="330"/>
    <col min="5642" max="5642" width="9.875" style="330" customWidth="1"/>
    <col min="5643" max="5643" width="9.125" style="330"/>
    <col min="5644" max="5646" width="10" style="330" customWidth="1"/>
    <col min="5647" max="5888" width="9.125" style="330"/>
    <col min="5889" max="5889" width="5.125" style="330" customWidth="1"/>
    <col min="5890" max="5890" width="17.125" style="330" customWidth="1"/>
    <col min="5891" max="5893" width="9.125" style="330"/>
    <col min="5894" max="5894" width="10.25" style="330" customWidth="1"/>
    <col min="5895" max="5897" width="9.125" style="330"/>
    <col min="5898" max="5898" width="9.875" style="330" customWidth="1"/>
    <col min="5899" max="5899" width="9.125" style="330"/>
    <col min="5900" max="5902" width="10" style="330" customWidth="1"/>
    <col min="5903" max="6144" width="9.125" style="330"/>
    <col min="6145" max="6145" width="5.125" style="330" customWidth="1"/>
    <col min="6146" max="6146" width="17.125" style="330" customWidth="1"/>
    <col min="6147" max="6149" width="9.125" style="330"/>
    <col min="6150" max="6150" width="10.25" style="330" customWidth="1"/>
    <col min="6151" max="6153" width="9.125" style="330"/>
    <col min="6154" max="6154" width="9.875" style="330" customWidth="1"/>
    <col min="6155" max="6155" width="9.125" style="330"/>
    <col min="6156" max="6158" width="10" style="330" customWidth="1"/>
    <col min="6159" max="6400" width="9.125" style="330"/>
    <col min="6401" max="6401" width="5.125" style="330" customWidth="1"/>
    <col min="6402" max="6402" width="17.125" style="330" customWidth="1"/>
    <col min="6403" max="6405" width="9.125" style="330"/>
    <col min="6406" max="6406" width="10.25" style="330" customWidth="1"/>
    <col min="6407" max="6409" width="9.125" style="330"/>
    <col min="6410" max="6410" width="9.875" style="330" customWidth="1"/>
    <col min="6411" max="6411" width="9.125" style="330"/>
    <col min="6412" max="6414" width="10" style="330" customWidth="1"/>
    <col min="6415" max="6656" width="9.125" style="330"/>
    <col min="6657" max="6657" width="5.125" style="330" customWidth="1"/>
    <col min="6658" max="6658" width="17.125" style="330" customWidth="1"/>
    <col min="6659" max="6661" width="9.125" style="330"/>
    <col min="6662" max="6662" width="10.25" style="330" customWidth="1"/>
    <col min="6663" max="6665" width="9.125" style="330"/>
    <col min="6666" max="6666" width="9.875" style="330" customWidth="1"/>
    <col min="6667" max="6667" width="9.125" style="330"/>
    <col min="6668" max="6670" width="10" style="330" customWidth="1"/>
    <col min="6671" max="6912" width="9.125" style="330"/>
    <col min="6913" max="6913" width="5.125" style="330" customWidth="1"/>
    <col min="6914" max="6914" width="17.125" style="330" customWidth="1"/>
    <col min="6915" max="6917" width="9.125" style="330"/>
    <col min="6918" max="6918" width="10.25" style="330" customWidth="1"/>
    <col min="6919" max="6921" width="9.125" style="330"/>
    <col min="6922" max="6922" width="9.875" style="330" customWidth="1"/>
    <col min="6923" max="6923" width="9.125" style="330"/>
    <col min="6924" max="6926" width="10" style="330" customWidth="1"/>
    <col min="6927" max="7168" width="9.125" style="330"/>
    <col min="7169" max="7169" width="5.125" style="330" customWidth="1"/>
    <col min="7170" max="7170" width="17.125" style="330" customWidth="1"/>
    <col min="7171" max="7173" width="9.125" style="330"/>
    <col min="7174" max="7174" width="10.25" style="330" customWidth="1"/>
    <col min="7175" max="7177" width="9.125" style="330"/>
    <col min="7178" max="7178" width="9.875" style="330" customWidth="1"/>
    <col min="7179" max="7179" width="9.125" style="330"/>
    <col min="7180" max="7182" width="10" style="330" customWidth="1"/>
    <col min="7183" max="7424" width="9.125" style="330"/>
    <col min="7425" max="7425" width="5.125" style="330" customWidth="1"/>
    <col min="7426" max="7426" width="17.125" style="330" customWidth="1"/>
    <col min="7427" max="7429" width="9.125" style="330"/>
    <col min="7430" max="7430" width="10.25" style="330" customWidth="1"/>
    <col min="7431" max="7433" width="9.125" style="330"/>
    <col min="7434" max="7434" width="9.875" style="330" customWidth="1"/>
    <col min="7435" max="7435" width="9.125" style="330"/>
    <col min="7436" max="7438" width="10" style="330" customWidth="1"/>
    <col min="7439" max="7680" width="9.125" style="330"/>
    <col min="7681" max="7681" width="5.125" style="330" customWidth="1"/>
    <col min="7682" max="7682" width="17.125" style="330" customWidth="1"/>
    <col min="7683" max="7685" width="9.125" style="330"/>
    <col min="7686" max="7686" width="10.25" style="330" customWidth="1"/>
    <col min="7687" max="7689" width="9.125" style="330"/>
    <col min="7690" max="7690" width="9.875" style="330" customWidth="1"/>
    <col min="7691" max="7691" width="9.125" style="330"/>
    <col min="7692" max="7694" width="10" style="330" customWidth="1"/>
    <col min="7695" max="7936" width="9.125" style="330"/>
    <col min="7937" max="7937" width="5.125" style="330" customWidth="1"/>
    <col min="7938" max="7938" width="17.125" style="330" customWidth="1"/>
    <col min="7939" max="7941" width="9.125" style="330"/>
    <col min="7942" max="7942" width="10.25" style="330" customWidth="1"/>
    <col min="7943" max="7945" width="9.125" style="330"/>
    <col min="7946" max="7946" width="9.875" style="330" customWidth="1"/>
    <col min="7947" max="7947" width="9.125" style="330"/>
    <col min="7948" max="7950" width="10" style="330" customWidth="1"/>
    <col min="7951" max="8192" width="9.125" style="330"/>
    <col min="8193" max="8193" width="5.125" style="330" customWidth="1"/>
    <col min="8194" max="8194" width="17.125" style="330" customWidth="1"/>
    <col min="8195" max="8197" width="9.125" style="330"/>
    <col min="8198" max="8198" width="10.25" style="330" customWidth="1"/>
    <col min="8199" max="8201" width="9.125" style="330"/>
    <col min="8202" max="8202" width="9.875" style="330" customWidth="1"/>
    <col min="8203" max="8203" width="9.125" style="330"/>
    <col min="8204" max="8206" width="10" style="330" customWidth="1"/>
    <col min="8207" max="8448" width="9.125" style="330"/>
    <col min="8449" max="8449" width="5.125" style="330" customWidth="1"/>
    <col min="8450" max="8450" width="17.125" style="330" customWidth="1"/>
    <col min="8451" max="8453" width="9.125" style="330"/>
    <col min="8454" max="8454" width="10.25" style="330" customWidth="1"/>
    <col min="8455" max="8457" width="9.125" style="330"/>
    <col min="8458" max="8458" width="9.875" style="330" customWidth="1"/>
    <col min="8459" max="8459" width="9.125" style="330"/>
    <col min="8460" max="8462" width="10" style="330" customWidth="1"/>
    <col min="8463" max="8704" width="9.125" style="330"/>
    <col min="8705" max="8705" width="5.125" style="330" customWidth="1"/>
    <col min="8706" max="8706" width="17.125" style="330" customWidth="1"/>
    <col min="8707" max="8709" width="9.125" style="330"/>
    <col min="8710" max="8710" width="10.25" style="330" customWidth="1"/>
    <col min="8711" max="8713" width="9.125" style="330"/>
    <col min="8714" max="8714" width="9.875" style="330" customWidth="1"/>
    <col min="8715" max="8715" width="9.125" style="330"/>
    <col min="8716" max="8718" width="10" style="330" customWidth="1"/>
    <col min="8719" max="8960" width="9.125" style="330"/>
    <col min="8961" max="8961" width="5.125" style="330" customWidth="1"/>
    <col min="8962" max="8962" width="17.125" style="330" customWidth="1"/>
    <col min="8963" max="8965" width="9.125" style="330"/>
    <col min="8966" max="8966" width="10.25" style="330" customWidth="1"/>
    <col min="8967" max="8969" width="9.125" style="330"/>
    <col min="8970" max="8970" width="9.875" style="330" customWidth="1"/>
    <col min="8971" max="8971" width="9.125" style="330"/>
    <col min="8972" max="8974" width="10" style="330" customWidth="1"/>
    <col min="8975" max="9216" width="9.125" style="330"/>
    <col min="9217" max="9217" width="5.125" style="330" customWidth="1"/>
    <col min="9218" max="9218" width="17.125" style="330" customWidth="1"/>
    <col min="9219" max="9221" width="9.125" style="330"/>
    <col min="9222" max="9222" width="10.25" style="330" customWidth="1"/>
    <col min="9223" max="9225" width="9.125" style="330"/>
    <col min="9226" max="9226" width="9.875" style="330" customWidth="1"/>
    <col min="9227" max="9227" width="9.125" style="330"/>
    <col min="9228" max="9230" width="10" style="330" customWidth="1"/>
    <col min="9231" max="9472" width="9.125" style="330"/>
    <col min="9473" max="9473" width="5.125" style="330" customWidth="1"/>
    <col min="9474" max="9474" width="17.125" style="330" customWidth="1"/>
    <col min="9475" max="9477" width="9.125" style="330"/>
    <col min="9478" max="9478" width="10.25" style="330" customWidth="1"/>
    <col min="9479" max="9481" width="9.125" style="330"/>
    <col min="9482" max="9482" width="9.875" style="330" customWidth="1"/>
    <col min="9483" max="9483" width="9.125" style="330"/>
    <col min="9484" max="9486" width="10" style="330" customWidth="1"/>
    <col min="9487" max="9728" width="9.125" style="330"/>
    <col min="9729" max="9729" width="5.125" style="330" customWidth="1"/>
    <col min="9730" max="9730" width="17.125" style="330" customWidth="1"/>
    <col min="9731" max="9733" width="9.125" style="330"/>
    <col min="9734" max="9734" width="10.25" style="330" customWidth="1"/>
    <col min="9735" max="9737" width="9.125" style="330"/>
    <col min="9738" max="9738" width="9.875" style="330" customWidth="1"/>
    <col min="9739" max="9739" width="9.125" style="330"/>
    <col min="9740" max="9742" width="10" style="330" customWidth="1"/>
    <col min="9743" max="9984" width="9.125" style="330"/>
    <col min="9985" max="9985" width="5.125" style="330" customWidth="1"/>
    <col min="9986" max="9986" width="17.125" style="330" customWidth="1"/>
    <col min="9987" max="9989" width="9.125" style="330"/>
    <col min="9990" max="9990" width="10.25" style="330" customWidth="1"/>
    <col min="9991" max="9993" width="9.125" style="330"/>
    <col min="9994" max="9994" width="9.875" style="330" customWidth="1"/>
    <col min="9995" max="9995" width="9.125" style="330"/>
    <col min="9996" max="9998" width="10" style="330" customWidth="1"/>
    <col min="9999" max="10240" width="9.125" style="330"/>
    <col min="10241" max="10241" width="5.125" style="330" customWidth="1"/>
    <col min="10242" max="10242" width="17.125" style="330" customWidth="1"/>
    <col min="10243" max="10245" width="9.125" style="330"/>
    <col min="10246" max="10246" width="10.25" style="330" customWidth="1"/>
    <col min="10247" max="10249" width="9.125" style="330"/>
    <col min="10250" max="10250" width="9.875" style="330" customWidth="1"/>
    <col min="10251" max="10251" width="9.125" style="330"/>
    <col min="10252" max="10254" width="10" style="330" customWidth="1"/>
    <col min="10255" max="10496" width="9.125" style="330"/>
    <col min="10497" max="10497" width="5.125" style="330" customWidth="1"/>
    <col min="10498" max="10498" width="17.125" style="330" customWidth="1"/>
    <col min="10499" max="10501" width="9.125" style="330"/>
    <col min="10502" max="10502" width="10.25" style="330" customWidth="1"/>
    <col min="10503" max="10505" width="9.125" style="330"/>
    <col min="10506" max="10506" width="9.875" style="330" customWidth="1"/>
    <col min="10507" max="10507" width="9.125" style="330"/>
    <col min="10508" max="10510" width="10" style="330" customWidth="1"/>
    <col min="10511" max="10752" width="9.125" style="330"/>
    <col min="10753" max="10753" width="5.125" style="330" customWidth="1"/>
    <col min="10754" max="10754" width="17.125" style="330" customWidth="1"/>
    <col min="10755" max="10757" width="9.125" style="330"/>
    <col min="10758" max="10758" width="10.25" style="330" customWidth="1"/>
    <col min="10759" max="10761" width="9.125" style="330"/>
    <col min="10762" max="10762" width="9.875" style="330" customWidth="1"/>
    <col min="10763" max="10763" width="9.125" style="330"/>
    <col min="10764" max="10766" width="10" style="330" customWidth="1"/>
    <col min="10767" max="11008" width="9.125" style="330"/>
    <col min="11009" max="11009" width="5.125" style="330" customWidth="1"/>
    <col min="11010" max="11010" width="17.125" style="330" customWidth="1"/>
    <col min="11011" max="11013" width="9.125" style="330"/>
    <col min="11014" max="11014" width="10.25" style="330" customWidth="1"/>
    <col min="11015" max="11017" width="9.125" style="330"/>
    <col min="11018" max="11018" width="9.875" style="330" customWidth="1"/>
    <col min="11019" max="11019" width="9.125" style="330"/>
    <col min="11020" max="11022" width="10" style="330" customWidth="1"/>
    <col min="11023" max="11264" width="9.125" style="330"/>
    <col min="11265" max="11265" width="5.125" style="330" customWidth="1"/>
    <col min="11266" max="11266" width="17.125" style="330" customWidth="1"/>
    <col min="11267" max="11269" width="9.125" style="330"/>
    <col min="11270" max="11270" width="10.25" style="330" customWidth="1"/>
    <col min="11271" max="11273" width="9.125" style="330"/>
    <col min="11274" max="11274" width="9.875" style="330" customWidth="1"/>
    <col min="11275" max="11275" width="9.125" style="330"/>
    <col min="11276" max="11278" width="10" style="330" customWidth="1"/>
    <col min="11279" max="11520" width="9.125" style="330"/>
    <col min="11521" max="11521" width="5.125" style="330" customWidth="1"/>
    <col min="11522" max="11522" width="17.125" style="330" customWidth="1"/>
    <col min="11523" max="11525" width="9.125" style="330"/>
    <col min="11526" max="11526" width="10.25" style="330" customWidth="1"/>
    <col min="11527" max="11529" width="9.125" style="330"/>
    <col min="11530" max="11530" width="9.875" style="330" customWidth="1"/>
    <col min="11531" max="11531" width="9.125" style="330"/>
    <col min="11532" max="11534" width="10" style="330" customWidth="1"/>
    <col min="11535" max="11776" width="9.125" style="330"/>
    <col min="11777" max="11777" width="5.125" style="330" customWidth="1"/>
    <col min="11778" max="11778" width="17.125" style="330" customWidth="1"/>
    <col min="11779" max="11781" width="9.125" style="330"/>
    <col min="11782" max="11782" width="10.25" style="330" customWidth="1"/>
    <col min="11783" max="11785" width="9.125" style="330"/>
    <col min="11786" max="11786" width="9.875" style="330" customWidth="1"/>
    <col min="11787" max="11787" width="9.125" style="330"/>
    <col min="11788" max="11790" width="10" style="330" customWidth="1"/>
    <col min="11791" max="12032" width="9.125" style="330"/>
    <col min="12033" max="12033" width="5.125" style="330" customWidth="1"/>
    <col min="12034" max="12034" width="17.125" style="330" customWidth="1"/>
    <col min="12035" max="12037" width="9.125" style="330"/>
    <col min="12038" max="12038" width="10.25" style="330" customWidth="1"/>
    <col min="12039" max="12041" width="9.125" style="330"/>
    <col min="12042" max="12042" width="9.875" style="330" customWidth="1"/>
    <col min="12043" max="12043" width="9.125" style="330"/>
    <col min="12044" max="12046" width="10" style="330" customWidth="1"/>
    <col min="12047" max="12288" width="9.125" style="330"/>
    <col min="12289" max="12289" width="5.125" style="330" customWidth="1"/>
    <col min="12290" max="12290" width="17.125" style="330" customWidth="1"/>
    <col min="12291" max="12293" width="9.125" style="330"/>
    <col min="12294" max="12294" width="10.25" style="330" customWidth="1"/>
    <col min="12295" max="12297" width="9.125" style="330"/>
    <col min="12298" max="12298" width="9.875" style="330" customWidth="1"/>
    <col min="12299" max="12299" width="9.125" style="330"/>
    <col min="12300" max="12302" width="10" style="330" customWidth="1"/>
    <col min="12303" max="12544" width="9.125" style="330"/>
    <col min="12545" max="12545" width="5.125" style="330" customWidth="1"/>
    <col min="12546" max="12546" width="17.125" style="330" customWidth="1"/>
    <col min="12547" max="12549" width="9.125" style="330"/>
    <col min="12550" max="12550" width="10.25" style="330" customWidth="1"/>
    <col min="12551" max="12553" width="9.125" style="330"/>
    <col min="12554" max="12554" width="9.875" style="330" customWidth="1"/>
    <col min="12555" max="12555" width="9.125" style="330"/>
    <col min="12556" max="12558" width="10" style="330" customWidth="1"/>
    <col min="12559" max="12800" width="9.125" style="330"/>
    <col min="12801" max="12801" width="5.125" style="330" customWidth="1"/>
    <col min="12802" max="12802" width="17.125" style="330" customWidth="1"/>
    <col min="12803" max="12805" width="9.125" style="330"/>
    <col min="12806" max="12806" width="10.25" style="330" customWidth="1"/>
    <col min="12807" max="12809" width="9.125" style="330"/>
    <col min="12810" max="12810" width="9.875" style="330" customWidth="1"/>
    <col min="12811" max="12811" width="9.125" style="330"/>
    <col min="12812" max="12814" width="10" style="330" customWidth="1"/>
    <col min="12815" max="13056" width="9.125" style="330"/>
    <col min="13057" max="13057" width="5.125" style="330" customWidth="1"/>
    <col min="13058" max="13058" width="17.125" style="330" customWidth="1"/>
    <col min="13059" max="13061" width="9.125" style="330"/>
    <col min="13062" max="13062" width="10.25" style="330" customWidth="1"/>
    <col min="13063" max="13065" width="9.125" style="330"/>
    <col min="13066" max="13066" width="9.875" style="330" customWidth="1"/>
    <col min="13067" max="13067" width="9.125" style="330"/>
    <col min="13068" max="13070" width="10" style="330" customWidth="1"/>
    <col min="13071" max="13312" width="9.125" style="330"/>
    <col min="13313" max="13313" width="5.125" style="330" customWidth="1"/>
    <col min="13314" max="13314" width="17.125" style="330" customWidth="1"/>
    <col min="13315" max="13317" width="9.125" style="330"/>
    <col min="13318" max="13318" width="10.25" style="330" customWidth="1"/>
    <col min="13319" max="13321" width="9.125" style="330"/>
    <col min="13322" max="13322" width="9.875" style="330" customWidth="1"/>
    <col min="13323" max="13323" width="9.125" style="330"/>
    <col min="13324" max="13326" width="10" style="330" customWidth="1"/>
    <col min="13327" max="13568" width="9.125" style="330"/>
    <col min="13569" max="13569" width="5.125" style="330" customWidth="1"/>
    <col min="13570" max="13570" width="17.125" style="330" customWidth="1"/>
    <col min="13571" max="13573" width="9.125" style="330"/>
    <col min="13574" max="13574" width="10.25" style="330" customWidth="1"/>
    <col min="13575" max="13577" width="9.125" style="330"/>
    <col min="13578" max="13578" width="9.875" style="330" customWidth="1"/>
    <col min="13579" max="13579" width="9.125" style="330"/>
    <col min="13580" max="13582" width="10" style="330" customWidth="1"/>
    <col min="13583" max="13824" width="9.125" style="330"/>
    <col min="13825" max="13825" width="5.125" style="330" customWidth="1"/>
    <col min="13826" max="13826" width="17.125" style="330" customWidth="1"/>
    <col min="13827" max="13829" width="9.125" style="330"/>
    <col min="13830" max="13830" width="10.25" style="330" customWidth="1"/>
    <col min="13831" max="13833" width="9.125" style="330"/>
    <col min="13834" max="13834" width="9.875" style="330" customWidth="1"/>
    <col min="13835" max="13835" width="9.125" style="330"/>
    <col min="13836" max="13838" width="10" style="330" customWidth="1"/>
    <col min="13839" max="14080" width="9.125" style="330"/>
    <col min="14081" max="14081" width="5.125" style="330" customWidth="1"/>
    <col min="14082" max="14082" width="17.125" style="330" customWidth="1"/>
    <col min="14083" max="14085" width="9.125" style="330"/>
    <col min="14086" max="14086" width="10.25" style="330" customWidth="1"/>
    <col min="14087" max="14089" width="9.125" style="330"/>
    <col min="14090" max="14090" width="9.875" style="330" customWidth="1"/>
    <col min="14091" max="14091" width="9.125" style="330"/>
    <col min="14092" max="14094" width="10" style="330" customWidth="1"/>
    <col min="14095" max="14336" width="9.125" style="330"/>
    <col min="14337" max="14337" width="5.125" style="330" customWidth="1"/>
    <col min="14338" max="14338" width="17.125" style="330" customWidth="1"/>
    <col min="14339" max="14341" width="9.125" style="330"/>
    <col min="14342" max="14342" width="10.25" style="330" customWidth="1"/>
    <col min="14343" max="14345" width="9.125" style="330"/>
    <col min="14346" max="14346" width="9.875" style="330" customWidth="1"/>
    <col min="14347" max="14347" width="9.125" style="330"/>
    <col min="14348" max="14350" width="10" style="330" customWidth="1"/>
    <col min="14351" max="14592" width="9.125" style="330"/>
    <col min="14593" max="14593" width="5.125" style="330" customWidth="1"/>
    <col min="14594" max="14594" width="17.125" style="330" customWidth="1"/>
    <col min="14595" max="14597" width="9.125" style="330"/>
    <col min="14598" max="14598" width="10.25" style="330" customWidth="1"/>
    <col min="14599" max="14601" width="9.125" style="330"/>
    <col min="14602" max="14602" width="9.875" style="330" customWidth="1"/>
    <col min="14603" max="14603" width="9.125" style="330"/>
    <col min="14604" max="14606" width="10" style="330" customWidth="1"/>
    <col min="14607" max="14848" width="9.125" style="330"/>
    <col min="14849" max="14849" width="5.125" style="330" customWidth="1"/>
    <col min="14850" max="14850" width="17.125" style="330" customWidth="1"/>
    <col min="14851" max="14853" width="9.125" style="330"/>
    <col min="14854" max="14854" width="10.25" style="330" customWidth="1"/>
    <col min="14855" max="14857" width="9.125" style="330"/>
    <col min="14858" max="14858" width="9.875" style="330" customWidth="1"/>
    <col min="14859" max="14859" width="9.125" style="330"/>
    <col min="14860" max="14862" width="10" style="330" customWidth="1"/>
    <col min="14863" max="15104" width="9.125" style="330"/>
    <col min="15105" max="15105" width="5.125" style="330" customWidth="1"/>
    <col min="15106" max="15106" width="17.125" style="330" customWidth="1"/>
    <col min="15107" max="15109" width="9.125" style="330"/>
    <col min="15110" max="15110" width="10.25" style="330" customWidth="1"/>
    <col min="15111" max="15113" width="9.125" style="330"/>
    <col min="15114" max="15114" width="9.875" style="330" customWidth="1"/>
    <col min="15115" max="15115" width="9.125" style="330"/>
    <col min="15116" max="15118" width="10" style="330" customWidth="1"/>
    <col min="15119" max="15360" width="9.125" style="330"/>
    <col min="15361" max="15361" width="5.125" style="330" customWidth="1"/>
    <col min="15362" max="15362" width="17.125" style="330" customWidth="1"/>
    <col min="15363" max="15365" width="9.125" style="330"/>
    <col min="15366" max="15366" width="10.25" style="330" customWidth="1"/>
    <col min="15367" max="15369" width="9.125" style="330"/>
    <col min="15370" max="15370" width="9.875" style="330" customWidth="1"/>
    <col min="15371" max="15371" width="9.125" style="330"/>
    <col min="15372" max="15374" width="10" style="330" customWidth="1"/>
    <col min="15375" max="15616" width="9.125" style="330"/>
    <col min="15617" max="15617" width="5.125" style="330" customWidth="1"/>
    <col min="15618" max="15618" width="17.125" style="330" customWidth="1"/>
    <col min="15619" max="15621" width="9.125" style="330"/>
    <col min="15622" max="15622" width="10.25" style="330" customWidth="1"/>
    <col min="15623" max="15625" width="9.125" style="330"/>
    <col min="15626" max="15626" width="9.875" style="330" customWidth="1"/>
    <col min="15627" max="15627" width="9.125" style="330"/>
    <col min="15628" max="15630" width="10" style="330" customWidth="1"/>
    <col min="15631" max="15872" width="9.125" style="330"/>
    <col min="15873" max="15873" width="5.125" style="330" customWidth="1"/>
    <col min="15874" max="15874" width="17.125" style="330" customWidth="1"/>
    <col min="15875" max="15877" width="9.125" style="330"/>
    <col min="15878" max="15878" width="10.25" style="330" customWidth="1"/>
    <col min="15879" max="15881" width="9.125" style="330"/>
    <col min="15882" max="15882" width="9.875" style="330" customWidth="1"/>
    <col min="15883" max="15883" width="9.125" style="330"/>
    <col min="15884" max="15886" width="10" style="330" customWidth="1"/>
    <col min="15887" max="16128" width="9.125" style="330"/>
    <col min="16129" max="16129" width="5.125" style="330" customWidth="1"/>
    <col min="16130" max="16130" width="17.125" style="330" customWidth="1"/>
    <col min="16131" max="16133" width="9.125" style="330"/>
    <col min="16134" max="16134" width="10.25" style="330" customWidth="1"/>
    <col min="16135" max="16137" width="9.125" style="330"/>
    <col min="16138" max="16138" width="9.875" style="330" customWidth="1"/>
    <col min="16139" max="16139" width="9.125" style="330"/>
    <col min="16140" max="16142" width="10" style="330" customWidth="1"/>
    <col min="16143" max="16384" width="9.125" style="330"/>
  </cols>
  <sheetData>
    <row r="1" spans="1:14" ht="27.75">
      <c r="A1" s="1078" t="s">
        <v>538</v>
      </c>
      <c r="B1" s="1078"/>
      <c r="C1" s="1078"/>
      <c r="D1" s="1078"/>
      <c r="E1" s="1078"/>
      <c r="F1" s="1078"/>
      <c r="G1" s="1078"/>
      <c r="H1" s="1078"/>
      <c r="I1" s="1078"/>
      <c r="J1" s="1078"/>
      <c r="K1" s="1078"/>
      <c r="L1" s="1078"/>
      <c r="M1" s="1019" t="s">
        <v>653</v>
      </c>
      <c r="N1" s="1019"/>
    </row>
    <row r="2" spans="1:14" ht="20.25">
      <c r="A2" s="1079" t="s">
        <v>539</v>
      </c>
      <c r="B2" s="1079"/>
      <c r="C2" s="1079"/>
      <c r="D2" s="1079"/>
      <c r="E2" s="1079"/>
      <c r="F2" s="1079"/>
      <c r="G2" s="1079"/>
      <c r="H2" s="1079"/>
      <c r="I2" s="1079"/>
      <c r="J2" s="1079"/>
      <c r="K2" s="1079"/>
      <c r="L2" s="1079"/>
      <c r="M2" s="1071" t="s">
        <v>523</v>
      </c>
      <c r="N2" s="1071"/>
    </row>
    <row r="3" spans="1:14" ht="20.25">
      <c r="A3" s="514"/>
      <c r="B3" s="514"/>
      <c r="C3" s="514"/>
      <c r="D3" s="514"/>
      <c r="E3" s="514"/>
      <c r="F3" s="514"/>
      <c r="G3" s="514"/>
      <c r="H3" s="514"/>
      <c r="I3" s="514"/>
      <c r="J3" s="514"/>
      <c r="K3" s="1075">
        <f>Summary!$C$1</f>
        <v>30695</v>
      </c>
      <c r="L3" s="1075"/>
      <c r="M3" s="1075"/>
      <c r="N3" s="643"/>
    </row>
    <row r="4" spans="1:14" ht="21.75" customHeight="1">
      <c r="A4" s="1080" t="s">
        <v>773</v>
      </c>
      <c r="B4" s="1080"/>
      <c r="C4" s="1080"/>
      <c r="D4" s="1080"/>
      <c r="E4" s="1080"/>
      <c r="F4" s="1080"/>
      <c r="G4" s="1080"/>
      <c r="H4" s="1080"/>
      <c r="I4" s="1080"/>
      <c r="J4" s="1080"/>
      <c r="K4" s="1080"/>
      <c r="L4" s="1080"/>
      <c r="M4" s="1080"/>
      <c r="N4" s="1080"/>
    </row>
    <row r="5" spans="1:14" ht="18.75">
      <c r="A5" s="1076" t="s">
        <v>524</v>
      </c>
      <c r="B5" s="1076"/>
      <c r="C5" s="1076"/>
      <c r="D5" s="1077" t="str">
        <f>Summary!A5</f>
        <v>BUDGET HEAD : 2202-GENERAL EDUCATION, 02-SECONDARY EDUCATION, 109-GOVT. SEC. SCHOOL, (02)-GIRLS SCHOOL (STATE FUND)</v>
      </c>
      <c r="E5" s="1077"/>
      <c r="F5" s="1077"/>
      <c r="G5" s="1077"/>
      <c r="H5" s="1077"/>
      <c r="I5" s="1077"/>
      <c r="J5" s="1077"/>
      <c r="K5" s="1077"/>
      <c r="L5" s="1077"/>
      <c r="M5" s="1077"/>
      <c r="N5" s="1077"/>
    </row>
    <row r="6" spans="1:14" s="633" customFormat="1" ht="29.25" customHeight="1">
      <c r="A6" s="1083" t="s">
        <v>525</v>
      </c>
      <c r="B6" s="1083"/>
      <c r="C6" s="1083"/>
      <c r="D6" s="1081" t="s">
        <v>540</v>
      </c>
      <c r="E6" s="1081"/>
      <c r="F6" s="1082" t="str">
        <f>Summary!A2</f>
        <v>iz/kkukpk;Z egkRek xka/kh jktdh; fo|ky; ¼vaxzsth ek/;e½ cj ] ikyh</v>
      </c>
      <c r="G6" s="1082"/>
      <c r="H6" s="1082"/>
      <c r="I6" s="1082"/>
      <c r="J6" s="1082"/>
      <c r="K6" s="1082"/>
      <c r="L6" s="1082"/>
      <c r="M6" s="1082"/>
      <c r="N6" s="1082"/>
    </row>
    <row r="7" spans="1:14" s="354" customFormat="1" ht="33.75" customHeight="1">
      <c r="A7" s="1068" t="s">
        <v>359</v>
      </c>
      <c r="B7" s="1068" t="s">
        <v>526</v>
      </c>
      <c r="C7" s="1067" t="s">
        <v>648</v>
      </c>
      <c r="D7" s="1068"/>
      <c r="E7" s="1068"/>
      <c r="F7" s="1069" t="s">
        <v>775</v>
      </c>
      <c r="G7" s="1067" t="s">
        <v>649</v>
      </c>
      <c r="H7" s="1068"/>
      <c r="I7" s="1068"/>
      <c r="J7" s="1069" t="s">
        <v>774</v>
      </c>
      <c r="K7" s="1069" t="s">
        <v>775</v>
      </c>
      <c r="L7" s="1069" t="s">
        <v>647</v>
      </c>
      <c r="M7" s="1068"/>
      <c r="N7" s="1068"/>
    </row>
    <row r="8" spans="1:14" s="354" customFormat="1" ht="38.25">
      <c r="A8" s="1068"/>
      <c r="B8" s="1068"/>
      <c r="C8" s="637" t="s">
        <v>4</v>
      </c>
      <c r="D8" s="637" t="s">
        <v>547</v>
      </c>
      <c r="E8" s="637" t="s">
        <v>548</v>
      </c>
      <c r="F8" s="1068"/>
      <c r="G8" s="634" t="s">
        <v>776</v>
      </c>
      <c r="H8" s="634" t="s">
        <v>777</v>
      </c>
      <c r="I8" s="634" t="s">
        <v>527</v>
      </c>
      <c r="J8" s="1068"/>
      <c r="K8" s="1068"/>
      <c r="L8" s="638" t="s">
        <v>650</v>
      </c>
      <c r="M8" s="638" t="s">
        <v>651</v>
      </c>
      <c r="N8" s="638" t="s">
        <v>652</v>
      </c>
    </row>
    <row r="9" spans="1:14" ht="15" customHeight="1">
      <c r="A9" s="335">
        <v>1</v>
      </c>
      <c r="B9" s="335">
        <v>2</v>
      </c>
      <c r="C9" s="639">
        <v>3</v>
      </c>
      <c r="D9" s="639">
        <v>4</v>
      </c>
      <c r="E9" s="639">
        <v>5</v>
      </c>
      <c r="F9" s="639">
        <v>6</v>
      </c>
      <c r="G9" s="639">
        <v>7</v>
      </c>
      <c r="H9" s="639">
        <v>8</v>
      </c>
      <c r="I9" s="639">
        <v>9</v>
      </c>
      <c r="J9" s="639">
        <v>10</v>
      </c>
      <c r="K9" s="639">
        <v>11</v>
      </c>
      <c r="L9" s="639">
        <v>12</v>
      </c>
      <c r="M9" s="639">
        <v>13</v>
      </c>
      <c r="N9" s="639">
        <v>14</v>
      </c>
    </row>
    <row r="10" spans="1:14" s="346" customFormat="1" ht="30.95" customHeight="1">
      <c r="A10" s="636">
        <v>1</v>
      </c>
      <c r="B10" s="644" t="s">
        <v>541</v>
      </c>
      <c r="C10" s="636"/>
      <c r="D10" s="636"/>
      <c r="E10" s="636"/>
      <c r="F10" s="636"/>
      <c r="G10" s="636"/>
      <c r="H10" s="636"/>
      <c r="I10" s="636">
        <f>G10+H10</f>
        <v>0</v>
      </c>
      <c r="J10" s="636">
        <v>0</v>
      </c>
      <c r="K10" s="636">
        <v>0</v>
      </c>
      <c r="L10" s="636">
        <f>F10-J10</f>
        <v>0</v>
      </c>
      <c r="M10" s="636">
        <f>I10-J10</f>
        <v>0</v>
      </c>
      <c r="N10" s="636">
        <f>J10-K10</f>
        <v>0</v>
      </c>
    </row>
    <row r="11" spans="1:14" s="346" customFormat="1" ht="30.95" customHeight="1">
      <c r="A11" s="636">
        <v>2</v>
      </c>
      <c r="B11" s="645" t="s">
        <v>542</v>
      </c>
      <c r="C11" s="636"/>
      <c r="D11" s="636"/>
      <c r="E11" s="636"/>
      <c r="F11" s="636"/>
      <c r="G11" s="636"/>
      <c r="H11" s="636"/>
      <c r="I11" s="636">
        <f t="shared" ref="I11:I16" si="0">G11+H11</f>
        <v>0</v>
      </c>
      <c r="J11" s="636">
        <f>F11</f>
        <v>0</v>
      </c>
      <c r="K11" s="636">
        <v>0</v>
      </c>
      <c r="L11" s="636">
        <f t="shared" ref="L11:L16" si="1">F11-J11</f>
        <v>0</v>
      </c>
      <c r="M11" s="636">
        <f t="shared" ref="M11:N16" si="2">I11-J11</f>
        <v>0</v>
      </c>
      <c r="N11" s="636">
        <f t="shared" si="2"/>
        <v>0</v>
      </c>
    </row>
    <row r="12" spans="1:14" s="346" customFormat="1" ht="30.95" customHeight="1">
      <c r="A12" s="636">
        <v>3</v>
      </c>
      <c r="B12" s="645" t="s">
        <v>543</v>
      </c>
      <c r="C12" s="636"/>
      <c r="D12" s="636"/>
      <c r="E12" s="636"/>
      <c r="F12" s="636"/>
      <c r="G12" s="636"/>
      <c r="H12" s="636"/>
      <c r="I12" s="636">
        <f t="shared" si="0"/>
        <v>0</v>
      </c>
      <c r="J12" s="636">
        <f t="shared" ref="J12:J16" si="3">F12</f>
        <v>0</v>
      </c>
      <c r="K12" s="636">
        <v>0</v>
      </c>
      <c r="L12" s="636">
        <f t="shared" si="1"/>
        <v>0</v>
      </c>
      <c r="M12" s="636">
        <f t="shared" si="2"/>
        <v>0</v>
      </c>
      <c r="N12" s="636">
        <f t="shared" si="2"/>
        <v>0</v>
      </c>
    </row>
    <row r="13" spans="1:14" s="346" customFormat="1" ht="30.95" customHeight="1">
      <c r="A13" s="636">
        <v>4</v>
      </c>
      <c r="B13" s="355" t="s">
        <v>544</v>
      </c>
      <c r="C13" s="636"/>
      <c r="D13" s="636"/>
      <c r="E13" s="636"/>
      <c r="F13" s="636"/>
      <c r="G13" s="636"/>
      <c r="H13" s="636"/>
      <c r="I13" s="636">
        <f t="shared" si="0"/>
        <v>0</v>
      </c>
      <c r="J13" s="636">
        <f t="shared" si="3"/>
        <v>0</v>
      </c>
      <c r="K13" s="636">
        <v>0</v>
      </c>
      <c r="L13" s="636">
        <f t="shared" si="1"/>
        <v>0</v>
      </c>
      <c r="M13" s="636">
        <f t="shared" si="2"/>
        <v>0</v>
      </c>
      <c r="N13" s="636">
        <f t="shared" si="2"/>
        <v>0</v>
      </c>
    </row>
    <row r="14" spans="1:14" s="346" customFormat="1" ht="30.95" customHeight="1">
      <c r="A14" s="636">
        <v>5</v>
      </c>
      <c r="B14" s="355" t="s">
        <v>545</v>
      </c>
      <c r="C14" s="636"/>
      <c r="D14" s="636"/>
      <c r="E14" s="636"/>
      <c r="F14" s="636"/>
      <c r="G14" s="636"/>
      <c r="H14" s="636"/>
      <c r="I14" s="636">
        <f t="shared" si="0"/>
        <v>0</v>
      </c>
      <c r="J14" s="636">
        <f t="shared" si="3"/>
        <v>0</v>
      </c>
      <c r="K14" s="636">
        <v>0</v>
      </c>
      <c r="L14" s="636">
        <f t="shared" si="1"/>
        <v>0</v>
      </c>
      <c r="M14" s="636">
        <f t="shared" si="2"/>
        <v>0</v>
      </c>
      <c r="N14" s="636">
        <f t="shared" si="2"/>
        <v>0</v>
      </c>
    </row>
    <row r="15" spans="1:14" s="346" customFormat="1" ht="30.95" customHeight="1">
      <c r="A15" s="636">
        <v>6</v>
      </c>
      <c r="B15" s="355" t="s">
        <v>546</v>
      </c>
      <c r="C15" s="636"/>
      <c r="D15" s="636"/>
      <c r="E15" s="636"/>
      <c r="F15" s="636"/>
      <c r="G15" s="636"/>
      <c r="H15" s="636"/>
      <c r="I15" s="636">
        <f t="shared" si="0"/>
        <v>0</v>
      </c>
      <c r="J15" s="636">
        <f t="shared" si="3"/>
        <v>0</v>
      </c>
      <c r="K15" s="636">
        <v>0</v>
      </c>
      <c r="L15" s="636">
        <f t="shared" si="1"/>
        <v>0</v>
      </c>
      <c r="M15" s="636">
        <f t="shared" si="2"/>
        <v>0</v>
      </c>
      <c r="N15" s="636">
        <f t="shared" si="2"/>
        <v>0</v>
      </c>
    </row>
    <row r="16" spans="1:14" s="346" customFormat="1" ht="30.95" customHeight="1">
      <c r="A16" s="636">
        <v>7</v>
      </c>
      <c r="B16" s="355" t="s">
        <v>36</v>
      </c>
      <c r="C16" s="636"/>
      <c r="D16" s="636"/>
      <c r="E16" s="636"/>
      <c r="F16" s="636"/>
      <c r="G16" s="636"/>
      <c r="H16" s="636"/>
      <c r="I16" s="636">
        <f t="shared" si="0"/>
        <v>0</v>
      </c>
      <c r="J16" s="636">
        <f t="shared" si="3"/>
        <v>0</v>
      </c>
      <c r="K16" s="636">
        <v>0</v>
      </c>
      <c r="L16" s="636">
        <f t="shared" si="1"/>
        <v>0</v>
      </c>
      <c r="M16" s="636">
        <f t="shared" si="2"/>
        <v>0</v>
      </c>
      <c r="N16" s="636">
        <f t="shared" si="2"/>
        <v>0</v>
      </c>
    </row>
    <row r="17" spans="1:14" s="346" customFormat="1" ht="25.5" customHeight="1">
      <c r="A17" s="339"/>
      <c r="B17" s="646" t="s">
        <v>352</v>
      </c>
      <c r="C17" s="646">
        <f>SUM(C10:C16)</f>
        <v>0</v>
      </c>
      <c r="D17" s="646">
        <f t="shared" ref="D17:N17" si="4">SUM(D10:D16)</f>
        <v>0</v>
      </c>
      <c r="E17" s="646">
        <f t="shared" si="4"/>
        <v>0</v>
      </c>
      <c r="F17" s="646">
        <f t="shared" si="4"/>
        <v>0</v>
      </c>
      <c r="G17" s="646">
        <f t="shared" si="4"/>
        <v>0</v>
      </c>
      <c r="H17" s="646">
        <f t="shared" si="4"/>
        <v>0</v>
      </c>
      <c r="I17" s="646">
        <f t="shared" si="4"/>
        <v>0</v>
      </c>
      <c r="J17" s="646">
        <f t="shared" si="4"/>
        <v>0</v>
      </c>
      <c r="K17" s="646">
        <f t="shared" si="4"/>
        <v>0</v>
      </c>
      <c r="L17" s="646">
        <f t="shared" si="4"/>
        <v>0</v>
      </c>
      <c r="M17" s="646">
        <f t="shared" si="4"/>
        <v>0</v>
      </c>
      <c r="N17" s="646">
        <f t="shared" si="4"/>
        <v>0</v>
      </c>
    </row>
    <row r="18" spans="1:14" ht="16.5">
      <c r="A18" s="527" t="s">
        <v>558</v>
      </c>
      <c r="B18" s="332"/>
    </row>
    <row r="19" spans="1:14" ht="18.75">
      <c r="A19" s="559"/>
      <c r="B19" s="332"/>
    </row>
    <row r="20" spans="1:14">
      <c r="B20" s="332"/>
    </row>
    <row r="21" spans="1:14">
      <c r="B21" s="332"/>
      <c r="K21" s="1070" t="str">
        <f>CONCATENATE("¼ ",Master!G3,"½")</f>
        <v>¼ m"kk ikfy;k½</v>
      </c>
      <c r="L21" s="1070"/>
      <c r="M21" s="1070"/>
      <c r="N21" s="1070"/>
    </row>
    <row r="22" spans="1:14" ht="16.5">
      <c r="B22" s="332"/>
      <c r="K22" s="886" t="str">
        <f>Master!C2</f>
        <v>iz/kkukpk;Z</v>
      </c>
      <c r="L22" s="886"/>
      <c r="M22" s="886"/>
      <c r="N22" s="886"/>
    </row>
    <row r="23" spans="1:14" ht="21" customHeight="1">
      <c r="B23" s="332"/>
      <c r="K23" s="887" t="str">
        <f>Master!D2</f>
        <v>egkRek xka/kh jktdh; fo|ky; ¼vaxzsth ek/;e½ cj ] ikyh</v>
      </c>
      <c r="L23" s="887"/>
      <c r="M23" s="887"/>
      <c r="N23" s="887"/>
    </row>
    <row r="24" spans="1:14">
      <c r="K24" s="887"/>
      <c r="L24" s="887"/>
      <c r="M24" s="887"/>
      <c r="N24" s="887"/>
    </row>
  </sheetData>
  <mergeCells count="22">
    <mergeCell ref="K22:N22"/>
    <mergeCell ref="K23:N24"/>
    <mergeCell ref="A5:C5"/>
    <mergeCell ref="D5:N5"/>
    <mergeCell ref="A1:L1"/>
    <mergeCell ref="M1:N1"/>
    <mergeCell ref="A2:L2"/>
    <mergeCell ref="M2:N2"/>
    <mergeCell ref="A4:N4"/>
    <mergeCell ref="K3:M3"/>
    <mergeCell ref="D6:E6"/>
    <mergeCell ref="F6:N6"/>
    <mergeCell ref="A6:C6"/>
    <mergeCell ref="A7:A8"/>
    <mergeCell ref="B7:B8"/>
    <mergeCell ref="C7:E7"/>
    <mergeCell ref="K21:N21"/>
    <mergeCell ref="F7:F8"/>
    <mergeCell ref="G7:I7"/>
    <mergeCell ref="J7:J8"/>
    <mergeCell ref="K7:K8"/>
    <mergeCell ref="L7:N7"/>
  </mergeCells>
  <conditionalFormatting sqref="A18:A19">
    <cfRule type="containsText" dxfId="0" priority="1" operator="containsText" text="in fjDr">
      <formula>NOT(ISERROR(SEARCH("in fjDr",A18)))</formula>
    </cfRule>
  </conditionalFormatting>
  <pageMargins left="0.48" right="0.2" top="0.25" bottom="0.25" header="0.3" footer="0.3"/>
  <pageSetup paperSize="9" scale="95" orientation="landscape" blackAndWhite="1" horizontalDpi="300" verticalDpi="300" r:id="rId1"/>
</worksheet>
</file>

<file path=xl/worksheets/sheet28.xml><?xml version="1.0" encoding="utf-8"?>
<worksheet xmlns="http://schemas.openxmlformats.org/spreadsheetml/2006/main" xmlns:r="http://schemas.openxmlformats.org/officeDocument/2006/relationships">
  <sheetPr codeName="Sheet28">
    <tabColor rgb="FF00B050"/>
  </sheetPr>
  <dimension ref="A1:L46"/>
  <sheetViews>
    <sheetView view="pageBreakPreview" topLeftCell="A4" zoomScale="110" zoomScaleSheetLayoutView="110" workbookViewId="0">
      <selection activeCell="B32" sqref="B32"/>
    </sheetView>
  </sheetViews>
  <sheetFormatPr defaultRowHeight="15"/>
  <cols>
    <col min="2" max="2" width="49" customWidth="1"/>
    <col min="3" max="3" width="27.875" customWidth="1"/>
  </cols>
  <sheetData>
    <row r="1" spans="1:12" ht="23.25">
      <c r="A1" s="1084" t="str">
        <f>Summary!A2</f>
        <v>iz/kkukpk;Z egkRek xka/kh jktdh; fo|ky; ¼vaxzsth ek/;e½ cj ] ikyh</v>
      </c>
      <c r="B1" s="1084"/>
      <c r="C1" s="1084"/>
      <c r="D1" s="324"/>
      <c r="E1" s="324"/>
      <c r="F1" s="324"/>
      <c r="G1" s="324"/>
      <c r="H1" s="324"/>
      <c r="I1" s="324"/>
      <c r="J1" s="324"/>
      <c r="K1" s="324"/>
      <c r="L1" s="324"/>
    </row>
    <row r="2" spans="1:12" ht="18.75">
      <c r="A2" s="1088" t="s">
        <v>779</v>
      </c>
      <c r="B2" s="1088"/>
      <c r="C2" s="326" t="s">
        <v>486</v>
      </c>
      <c r="D2" s="324"/>
      <c r="E2" s="324"/>
      <c r="F2" s="324"/>
      <c r="H2" s="324"/>
      <c r="I2" s="324"/>
      <c r="J2" s="324"/>
      <c r="K2" s="324"/>
      <c r="L2" s="324"/>
    </row>
    <row r="3" spans="1:12" ht="18.75">
      <c r="A3" s="325"/>
      <c r="B3" s="325"/>
      <c r="C3" s="325"/>
      <c r="D3" s="324"/>
      <c r="E3" s="324"/>
      <c r="F3" s="324"/>
      <c r="G3" s="324"/>
      <c r="H3" s="324"/>
      <c r="I3" s="324"/>
      <c r="J3" s="324"/>
      <c r="K3" s="324"/>
      <c r="L3" s="324"/>
    </row>
    <row r="4" spans="1:12" ht="18.75">
      <c r="A4" s="325" t="s">
        <v>487</v>
      </c>
      <c r="B4" s="325"/>
      <c r="C4" s="325"/>
      <c r="D4" s="324"/>
      <c r="E4" s="324"/>
      <c r="F4" s="324"/>
      <c r="G4" s="324"/>
      <c r="H4" s="324"/>
      <c r="I4" s="324"/>
      <c r="J4" s="324"/>
      <c r="K4" s="324"/>
      <c r="L4" s="324"/>
    </row>
    <row r="5" spans="1:12" ht="18.75">
      <c r="A5" s="325"/>
      <c r="B5" s="325" t="s">
        <v>638</v>
      </c>
      <c r="C5" s="36"/>
      <c r="D5" s="324"/>
      <c r="E5" s="324"/>
      <c r="F5" s="324"/>
      <c r="G5" s="324"/>
      <c r="H5" s="324"/>
      <c r="I5" s="324"/>
      <c r="J5" s="324"/>
      <c r="K5" s="324"/>
      <c r="L5" s="324"/>
    </row>
    <row r="6" spans="1:12" ht="18.75">
      <c r="A6" s="325"/>
      <c r="B6" s="325" t="s">
        <v>639</v>
      </c>
      <c r="C6" s="36"/>
      <c r="D6" s="324"/>
      <c r="E6" s="324"/>
      <c r="F6" s="324"/>
      <c r="G6" s="324"/>
      <c r="H6" s="324"/>
      <c r="I6" s="324"/>
      <c r="J6" s="324"/>
      <c r="K6" s="324"/>
      <c r="L6" s="324"/>
    </row>
    <row r="7" spans="1:12" ht="18.75">
      <c r="A7" s="325"/>
      <c r="B7" s="325" t="s">
        <v>637</v>
      </c>
      <c r="C7" s="36"/>
      <c r="D7" s="324"/>
      <c r="E7" s="324"/>
      <c r="F7" s="324"/>
      <c r="G7" s="324"/>
      <c r="H7" s="324"/>
      <c r="I7" s="324"/>
      <c r="J7" s="324"/>
      <c r="K7" s="324"/>
      <c r="L7" s="324"/>
    </row>
    <row r="8" spans="1:12" ht="18.75">
      <c r="A8" s="325"/>
      <c r="B8" s="325"/>
      <c r="C8" s="36"/>
      <c r="D8" s="324"/>
      <c r="E8" s="324"/>
      <c r="F8" s="324"/>
      <c r="G8" s="324"/>
      <c r="H8" s="324"/>
      <c r="I8" s="324"/>
      <c r="J8" s="324"/>
      <c r="K8" s="324"/>
      <c r="L8" s="324"/>
    </row>
    <row r="9" spans="1:12" ht="18.75" customHeight="1">
      <c r="A9" s="1085" t="s">
        <v>488</v>
      </c>
      <c r="B9" s="1086" t="s">
        <v>778</v>
      </c>
      <c r="C9" s="1086"/>
      <c r="E9" s="324"/>
      <c r="F9" s="324"/>
      <c r="G9" s="324"/>
      <c r="H9" s="324"/>
      <c r="I9" s="324"/>
      <c r="J9" s="324"/>
      <c r="K9" s="324"/>
      <c r="L9" s="324"/>
    </row>
    <row r="10" spans="1:12" ht="18.75">
      <c r="A10" s="1085"/>
      <c r="B10" s="1086"/>
      <c r="C10" s="1086"/>
      <c r="D10" s="324"/>
      <c r="E10" s="324"/>
      <c r="F10" s="324"/>
      <c r="G10" s="324"/>
      <c r="H10" s="324"/>
      <c r="I10" s="324"/>
      <c r="J10" s="324"/>
      <c r="K10" s="324"/>
      <c r="L10" s="324"/>
    </row>
    <row r="11" spans="1:12" ht="18.75">
      <c r="A11" s="327"/>
      <c r="B11" s="328"/>
      <c r="C11" s="36"/>
      <c r="D11" s="324"/>
      <c r="E11" s="324"/>
      <c r="F11" s="324"/>
      <c r="G11" s="324"/>
      <c r="H11" s="324"/>
      <c r="I11" s="324"/>
      <c r="J11" s="324"/>
      <c r="K11" s="324"/>
      <c r="L11" s="324"/>
    </row>
    <row r="12" spans="1:12" ht="18.75">
      <c r="A12" s="325" t="s">
        <v>489</v>
      </c>
      <c r="B12" s="325"/>
      <c r="C12" s="325"/>
      <c r="D12" s="324"/>
      <c r="E12" s="324"/>
      <c r="F12" s="324"/>
      <c r="G12" s="324"/>
      <c r="H12" s="324"/>
      <c r="I12" s="324"/>
      <c r="J12" s="324"/>
      <c r="K12" s="324"/>
      <c r="L12" s="324"/>
    </row>
    <row r="13" spans="1:12" ht="18.75">
      <c r="A13" s="1087" t="s">
        <v>780</v>
      </c>
      <c r="B13" s="1087"/>
      <c r="C13" s="1087"/>
      <c r="D13" s="324"/>
      <c r="E13" s="324"/>
      <c r="F13" s="324"/>
      <c r="G13" s="324"/>
      <c r="H13" s="324"/>
      <c r="I13" s="324"/>
      <c r="J13" s="324"/>
      <c r="K13" s="324"/>
      <c r="L13" s="324"/>
    </row>
    <row r="14" spans="1:12" ht="18.75">
      <c r="A14" s="1087"/>
      <c r="B14" s="1087"/>
      <c r="C14" s="1087"/>
      <c r="D14" s="324"/>
      <c r="E14" s="324"/>
      <c r="F14" s="324"/>
      <c r="G14" s="324"/>
      <c r="H14" s="324"/>
      <c r="I14" s="324"/>
      <c r="J14" s="324"/>
      <c r="K14" s="324"/>
      <c r="L14" s="324"/>
    </row>
    <row r="15" spans="1:12" ht="18.75">
      <c r="A15" s="1087"/>
      <c r="B15" s="1087"/>
      <c r="C15" s="1087"/>
      <c r="D15" s="324"/>
      <c r="E15" s="324"/>
      <c r="F15" s="324"/>
      <c r="G15" s="324"/>
      <c r="H15" s="324"/>
      <c r="I15" s="324"/>
      <c r="J15" s="324"/>
      <c r="K15" s="324"/>
      <c r="L15" s="324"/>
    </row>
    <row r="16" spans="1:12" ht="18.75">
      <c r="A16" s="325" t="s">
        <v>490</v>
      </c>
      <c r="B16" s="325"/>
      <c r="C16" s="325"/>
      <c r="D16" s="324"/>
      <c r="E16" s="324"/>
      <c r="F16" s="324"/>
      <c r="G16" s="324"/>
      <c r="H16" s="324"/>
      <c r="I16" s="324"/>
      <c r="J16" s="324"/>
      <c r="K16" s="324"/>
      <c r="L16" s="324"/>
    </row>
    <row r="17" spans="1:12" s="330" customFormat="1" ht="18.75">
      <c r="A17" s="325" t="s">
        <v>576</v>
      </c>
      <c r="B17" s="325"/>
      <c r="C17" s="325"/>
      <c r="D17" s="324"/>
      <c r="E17" s="324"/>
      <c r="F17" s="324"/>
      <c r="G17" s="324"/>
      <c r="H17" s="324"/>
      <c r="I17" s="324"/>
      <c r="J17" s="324"/>
      <c r="K17" s="324"/>
      <c r="L17" s="324"/>
    </row>
    <row r="18" spans="1:12" s="330" customFormat="1" ht="18.75">
      <c r="A18" s="325" t="s">
        <v>577</v>
      </c>
      <c r="B18" s="325"/>
      <c r="C18" s="325"/>
      <c r="D18" s="324"/>
      <c r="E18" s="324"/>
      <c r="F18" s="324"/>
      <c r="G18" s="324"/>
      <c r="H18" s="324"/>
      <c r="I18" s="324"/>
      <c r="J18" s="324"/>
      <c r="K18" s="324"/>
      <c r="L18" s="324"/>
    </row>
    <row r="19" spans="1:12" ht="18.75">
      <c r="A19" s="325" t="s">
        <v>578</v>
      </c>
      <c r="B19" s="325"/>
      <c r="C19" s="325"/>
      <c r="D19" s="324"/>
      <c r="E19" s="324"/>
      <c r="F19" s="324"/>
      <c r="G19" s="324"/>
      <c r="H19" s="324"/>
      <c r="I19" s="324"/>
      <c r="J19" s="324"/>
      <c r="K19" s="324"/>
      <c r="L19" s="324"/>
    </row>
    <row r="20" spans="1:12" ht="18.75">
      <c r="A20" s="325" t="s">
        <v>579</v>
      </c>
      <c r="B20" s="325"/>
      <c r="C20" s="325"/>
      <c r="D20" s="324"/>
      <c r="E20" s="324"/>
      <c r="F20" s="324"/>
      <c r="G20" s="324"/>
      <c r="H20" s="324"/>
      <c r="I20" s="324"/>
      <c r="J20" s="324"/>
      <c r="K20" s="324"/>
      <c r="L20" s="324"/>
    </row>
    <row r="21" spans="1:12" ht="18.75">
      <c r="A21" s="325" t="s">
        <v>580</v>
      </c>
      <c r="B21" s="325"/>
      <c r="C21" s="325"/>
      <c r="D21" s="324"/>
      <c r="E21" s="324"/>
      <c r="F21" s="324"/>
      <c r="G21" s="324"/>
      <c r="H21" s="324"/>
      <c r="I21" s="324"/>
      <c r="J21" s="324"/>
      <c r="K21" s="324"/>
      <c r="L21" s="324"/>
    </row>
    <row r="22" spans="1:12" ht="18.75">
      <c r="A22" s="325" t="s">
        <v>491</v>
      </c>
      <c r="B22" s="325"/>
      <c r="C22" s="325"/>
      <c r="D22" s="324"/>
      <c r="E22" s="324"/>
      <c r="F22" s="324"/>
      <c r="G22" s="324"/>
      <c r="H22" s="324"/>
      <c r="I22" s="324"/>
      <c r="J22" s="324"/>
      <c r="K22" s="324"/>
      <c r="L22" s="324"/>
    </row>
    <row r="23" spans="1:12" ht="18.75">
      <c r="A23" s="325" t="s">
        <v>492</v>
      </c>
      <c r="B23" s="325"/>
      <c r="C23" s="325"/>
      <c r="D23" s="324"/>
      <c r="E23" s="324"/>
      <c r="F23" s="324"/>
      <c r="G23" s="324"/>
      <c r="H23" s="324"/>
      <c r="I23" s="324"/>
      <c r="J23" s="324"/>
      <c r="K23" s="324"/>
      <c r="L23" s="324"/>
    </row>
    <row r="24" spans="1:12" ht="18.75">
      <c r="A24" s="325" t="s">
        <v>781</v>
      </c>
      <c r="B24" s="325"/>
      <c r="C24" s="325"/>
      <c r="D24" s="324"/>
      <c r="E24" s="324"/>
      <c r="F24" s="324"/>
      <c r="G24" s="324"/>
      <c r="H24" s="324"/>
      <c r="I24" s="324"/>
      <c r="J24" s="324"/>
      <c r="K24" s="324"/>
      <c r="L24" s="324"/>
    </row>
    <row r="25" spans="1:12" ht="18.75">
      <c r="A25" s="325" t="s">
        <v>493</v>
      </c>
      <c r="B25" s="325"/>
      <c r="C25" s="325"/>
      <c r="D25" s="324"/>
      <c r="E25" s="324"/>
      <c r="F25" s="324"/>
      <c r="G25" s="324"/>
      <c r="H25" s="324"/>
      <c r="I25" s="324"/>
      <c r="J25" s="324"/>
      <c r="K25" s="324"/>
      <c r="L25" s="324"/>
    </row>
    <row r="26" spans="1:12" ht="18.75">
      <c r="A26" s="325" t="s">
        <v>494</v>
      </c>
      <c r="B26" s="325"/>
      <c r="C26" s="325"/>
      <c r="D26" s="324"/>
      <c r="E26" s="324"/>
      <c r="F26" s="324"/>
      <c r="G26" s="324"/>
      <c r="H26" s="324"/>
      <c r="I26" s="324"/>
      <c r="J26" s="324"/>
      <c r="K26" s="324"/>
      <c r="L26" s="324"/>
    </row>
    <row r="27" spans="1:12" s="330" customFormat="1" ht="18.75">
      <c r="A27" s="325" t="s">
        <v>694</v>
      </c>
      <c r="B27" s="325"/>
      <c r="C27" s="325"/>
      <c r="D27" s="324"/>
      <c r="E27" s="324"/>
      <c r="F27" s="324"/>
      <c r="G27" s="324"/>
      <c r="H27" s="324"/>
      <c r="I27" s="324"/>
      <c r="J27" s="324"/>
      <c r="K27" s="324"/>
      <c r="L27" s="324"/>
    </row>
    <row r="28" spans="1:12" s="330" customFormat="1" ht="18.75">
      <c r="A28" s="325" t="s">
        <v>581</v>
      </c>
      <c r="B28" s="325"/>
      <c r="C28" s="325"/>
      <c r="D28" s="324"/>
      <c r="E28" s="324"/>
      <c r="F28" s="324"/>
      <c r="G28" s="324"/>
      <c r="H28" s="324"/>
      <c r="I28" s="324"/>
      <c r="J28" s="324"/>
      <c r="K28" s="324"/>
      <c r="L28" s="324"/>
    </row>
    <row r="29" spans="1:12" s="330" customFormat="1" ht="18.75">
      <c r="A29" s="325" t="s">
        <v>582</v>
      </c>
      <c r="B29" s="325"/>
      <c r="C29" s="325"/>
      <c r="D29" s="324"/>
      <c r="E29" s="324"/>
      <c r="F29" s="324"/>
      <c r="G29" s="324"/>
      <c r="H29" s="324"/>
      <c r="I29" s="324"/>
      <c r="J29" s="324"/>
      <c r="K29" s="324"/>
      <c r="L29" s="324"/>
    </row>
    <row r="30" spans="1:12" s="330" customFormat="1" ht="18.75">
      <c r="A30" s="325" t="s">
        <v>583</v>
      </c>
      <c r="B30" s="325"/>
      <c r="C30" s="325"/>
      <c r="D30" s="324"/>
      <c r="E30" s="324"/>
      <c r="F30" s="324"/>
      <c r="G30" s="324"/>
      <c r="H30" s="324"/>
      <c r="I30" s="324"/>
      <c r="J30" s="324"/>
      <c r="K30" s="324"/>
      <c r="L30" s="324"/>
    </row>
    <row r="31" spans="1:12" s="330" customFormat="1" ht="18.75">
      <c r="A31" s="325"/>
      <c r="B31" s="325"/>
      <c r="C31" s="325"/>
      <c r="D31" s="324"/>
      <c r="E31" s="324"/>
      <c r="F31" s="324"/>
      <c r="G31" s="324"/>
      <c r="H31" s="324"/>
      <c r="I31" s="324"/>
      <c r="J31" s="324"/>
      <c r="K31" s="324"/>
      <c r="L31" s="324"/>
    </row>
    <row r="32" spans="1:12" s="330" customFormat="1" ht="18.75">
      <c r="A32" s="325"/>
      <c r="B32" s="325"/>
      <c r="C32" s="325"/>
      <c r="D32" s="324"/>
      <c r="E32" s="324"/>
      <c r="F32" s="324"/>
      <c r="G32" s="324"/>
      <c r="H32" s="324"/>
      <c r="I32" s="324"/>
      <c r="J32" s="324"/>
      <c r="K32" s="324"/>
      <c r="L32" s="324"/>
    </row>
    <row r="33" spans="1:12" s="330" customFormat="1" ht="18.75">
      <c r="A33" s="325"/>
      <c r="B33" s="325"/>
      <c r="C33" s="325"/>
      <c r="D33" s="324"/>
      <c r="E33" s="324"/>
      <c r="F33" s="324"/>
      <c r="G33" s="324"/>
      <c r="H33" s="324"/>
      <c r="I33" s="324"/>
      <c r="J33" s="324"/>
      <c r="K33" s="324"/>
      <c r="L33" s="324"/>
    </row>
    <row r="34" spans="1:12" ht="18.75">
      <c r="A34" s="325"/>
      <c r="B34" s="325"/>
      <c r="C34" s="579" t="str">
        <f>CONCATENATE("¼ ",Master!G3,"½")</f>
        <v>¼ m"kk ikfy;k½</v>
      </c>
      <c r="D34" s="324"/>
      <c r="E34" s="324"/>
      <c r="F34" s="324"/>
      <c r="G34" s="324"/>
      <c r="H34" s="324"/>
      <c r="I34" s="324"/>
      <c r="J34" s="324"/>
      <c r="K34" s="324"/>
      <c r="L34" s="324"/>
    </row>
    <row r="35" spans="1:12" ht="18.75">
      <c r="A35" s="325"/>
      <c r="B35" s="325"/>
      <c r="C35" s="576" t="str">
        <f>Master!C2</f>
        <v>iz/kkukpk;Z</v>
      </c>
      <c r="D35" s="324"/>
      <c r="E35" s="324"/>
      <c r="F35" s="324"/>
      <c r="G35" s="324"/>
      <c r="H35" s="324"/>
      <c r="I35" s="324"/>
      <c r="J35" s="324"/>
      <c r="K35" s="324"/>
      <c r="L35" s="324"/>
    </row>
    <row r="36" spans="1:12" ht="31.5">
      <c r="A36" s="325"/>
      <c r="B36" s="325"/>
      <c r="C36" s="577" t="str">
        <f>Master!D2</f>
        <v>egkRek xka/kh jktdh; fo|ky; ¼vaxzsth ek/;e½ cj ] ikyh</v>
      </c>
      <c r="D36" s="324"/>
      <c r="E36" s="324"/>
      <c r="F36" s="324"/>
      <c r="G36" s="324"/>
      <c r="H36" s="324"/>
      <c r="I36" s="324"/>
      <c r="J36" s="324"/>
      <c r="K36" s="324"/>
      <c r="L36" s="324"/>
    </row>
    <row r="37" spans="1:12" ht="29.25" customHeight="1">
      <c r="A37" s="324"/>
      <c r="B37" s="324"/>
      <c r="C37" s="578">
        <f>Summary!$C$1</f>
        <v>30695</v>
      </c>
      <c r="D37" s="324"/>
      <c r="E37" s="324"/>
      <c r="F37" s="324"/>
      <c r="G37" s="324"/>
      <c r="H37" s="324"/>
      <c r="I37" s="324"/>
      <c r="J37" s="324"/>
      <c r="K37" s="324"/>
      <c r="L37" s="324"/>
    </row>
    <row r="38" spans="1:12" ht="18.75">
      <c r="A38" s="324"/>
      <c r="B38" s="324"/>
      <c r="C38" s="324"/>
      <c r="D38" s="324"/>
      <c r="E38" s="324"/>
      <c r="F38" s="324"/>
      <c r="G38" s="324"/>
      <c r="H38" s="324"/>
      <c r="I38" s="324"/>
      <c r="J38" s="324"/>
      <c r="K38" s="324"/>
      <c r="L38" s="324"/>
    </row>
    <row r="39" spans="1:12" ht="18.75">
      <c r="A39" s="324"/>
      <c r="B39" s="324"/>
      <c r="C39" s="324"/>
      <c r="D39" s="324"/>
      <c r="E39" s="324"/>
      <c r="F39" s="324"/>
      <c r="G39" s="324"/>
      <c r="H39" s="324"/>
      <c r="I39" s="324"/>
      <c r="J39" s="324"/>
      <c r="K39" s="324"/>
      <c r="L39" s="324"/>
    </row>
    <row r="40" spans="1:12" ht="18.75">
      <c r="A40" s="324"/>
      <c r="B40" s="324"/>
      <c r="C40" s="324"/>
      <c r="D40" s="324"/>
      <c r="E40" s="324"/>
      <c r="F40" s="324"/>
      <c r="G40" s="324"/>
      <c r="H40" s="324"/>
      <c r="I40" s="324"/>
      <c r="J40" s="324"/>
      <c r="K40" s="324"/>
      <c r="L40" s="324"/>
    </row>
    <row r="41" spans="1:12" ht="18.75">
      <c r="A41" s="324"/>
      <c r="B41" s="324"/>
      <c r="C41" s="324"/>
      <c r="D41" s="324"/>
      <c r="E41" s="324"/>
      <c r="F41" s="324"/>
      <c r="G41" s="324"/>
      <c r="H41" s="324"/>
      <c r="I41" s="324"/>
      <c r="J41" s="324"/>
      <c r="K41" s="324"/>
      <c r="L41" s="324"/>
    </row>
    <row r="42" spans="1:12" ht="18.75">
      <c r="A42" s="324"/>
      <c r="B42" s="324"/>
      <c r="C42" s="324"/>
      <c r="D42" s="324"/>
      <c r="E42" s="324"/>
      <c r="F42" s="324"/>
      <c r="G42" s="324"/>
      <c r="H42" s="324"/>
      <c r="I42" s="324"/>
      <c r="J42" s="324"/>
      <c r="K42" s="324"/>
      <c r="L42" s="324"/>
    </row>
    <row r="43" spans="1:12" ht="18.75">
      <c r="A43" s="324"/>
      <c r="B43" s="324"/>
      <c r="C43" s="324"/>
      <c r="D43" s="324"/>
      <c r="E43" s="324"/>
      <c r="F43" s="324"/>
      <c r="G43" s="324"/>
      <c r="H43" s="324"/>
      <c r="I43" s="324"/>
      <c r="J43" s="324"/>
      <c r="K43" s="324"/>
      <c r="L43" s="324"/>
    </row>
    <row r="44" spans="1:12" ht="18.75">
      <c r="A44" s="324"/>
      <c r="B44" s="324"/>
      <c r="C44" s="324"/>
      <c r="D44" s="324"/>
      <c r="E44" s="324"/>
      <c r="F44" s="324"/>
      <c r="G44" s="324"/>
      <c r="H44" s="324"/>
      <c r="I44" s="324"/>
      <c r="J44" s="324"/>
      <c r="K44" s="324"/>
      <c r="L44" s="324"/>
    </row>
    <row r="45" spans="1:12" ht="18.75">
      <c r="A45" s="324"/>
      <c r="B45" s="324"/>
      <c r="C45" s="324"/>
      <c r="D45" s="324"/>
      <c r="E45" s="324"/>
      <c r="F45" s="324"/>
      <c r="G45" s="324"/>
      <c r="H45" s="324"/>
      <c r="I45" s="324"/>
      <c r="J45" s="324"/>
      <c r="K45" s="324"/>
      <c r="L45" s="324"/>
    </row>
    <row r="46" spans="1:12" ht="18.75">
      <c r="A46" s="324"/>
      <c r="B46" s="324"/>
      <c r="C46" s="324"/>
      <c r="D46" s="324"/>
      <c r="E46" s="324"/>
      <c r="F46" s="324"/>
      <c r="G46" s="324"/>
      <c r="H46" s="324"/>
      <c r="I46" s="324"/>
      <c r="J46" s="324"/>
      <c r="K46" s="324"/>
      <c r="L46" s="324"/>
    </row>
  </sheetData>
  <mergeCells count="5">
    <mergeCell ref="A1:C1"/>
    <mergeCell ref="A9:A10"/>
    <mergeCell ref="B9:C10"/>
    <mergeCell ref="A13:C15"/>
    <mergeCell ref="A2:B2"/>
  </mergeCells>
  <pageMargins left="0.7" right="0.56999999999999995" top="0.47" bottom="0.42" header="0.3" footer="0.3"/>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sheetPr codeName="Sheet3">
    <tabColor rgb="FF00B050"/>
    <pageSetUpPr fitToPage="1"/>
  </sheetPr>
  <dimension ref="A1:CY500"/>
  <sheetViews>
    <sheetView showGridLines="0" view="pageBreakPreview" topLeftCell="A10" zoomScale="110" zoomScaleSheetLayoutView="110" workbookViewId="0">
      <selection activeCell="CW16" sqref="CW16"/>
    </sheetView>
  </sheetViews>
  <sheetFormatPr defaultColWidth="9.125" defaultRowHeight="15"/>
  <cols>
    <col min="1" max="1" width="6.25" style="56" customWidth="1"/>
    <col min="2" max="2" width="23.625" style="56" customWidth="1"/>
    <col min="3" max="3" width="17.25" style="56" customWidth="1"/>
    <col min="4" max="4" width="14.75" style="56" customWidth="1"/>
    <col min="5" max="5" width="15.125" style="56" customWidth="1"/>
    <col min="6" max="6" width="9.375" style="56" customWidth="1"/>
    <col min="7" max="7" width="10.625" style="56" customWidth="1"/>
    <col min="8" max="8" width="9.875" style="56" customWidth="1"/>
    <col min="9" max="9" width="11.75" style="55" customWidth="1"/>
    <col min="10" max="10" width="9.75" style="56" customWidth="1"/>
    <col min="11" max="11" width="11.25" style="56" customWidth="1"/>
    <col min="12" max="12" width="11.625" style="56" customWidth="1"/>
    <col min="13" max="13" width="22.875" style="56" customWidth="1"/>
    <col min="14" max="17" width="15.875" style="56" hidden="1" customWidth="1"/>
    <col min="18" max="18" width="3.875" style="49" hidden="1" customWidth="1"/>
    <col min="19" max="19" width="8.25" style="56" hidden="1" customWidth="1"/>
    <col min="20" max="21" width="10.875" style="51" hidden="1" customWidth="1"/>
    <col min="22" max="22" width="8.75" style="51" hidden="1" customWidth="1"/>
    <col min="23" max="23" width="7.875" style="51" hidden="1" customWidth="1"/>
    <col min="24" max="29" width="6.125" style="51" hidden="1" customWidth="1"/>
    <col min="30" max="30" width="12.375" style="49" hidden="1" customWidth="1"/>
    <col min="31" max="34" width="12.375" style="51" hidden="1" customWidth="1"/>
    <col min="35" max="35" width="9.125" style="51" hidden="1" customWidth="1"/>
    <col min="36" max="48" width="6.875" style="51" hidden="1" customWidth="1"/>
    <col min="49" max="52" width="12.375" style="51" hidden="1" customWidth="1"/>
    <col min="53" max="53" width="6.875" style="51" hidden="1" customWidth="1"/>
    <col min="54" max="54" width="11.125" style="51" hidden="1" customWidth="1"/>
    <col min="55" max="68" width="6.875" style="51" hidden="1" customWidth="1"/>
    <col min="69" max="69" width="9.75" style="51" hidden="1" customWidth="1"/>
    <col min="70" max="70" width="12.75" style="51" hidden="1" customWidth="1"/>
    <col min="71" max="72" width="6.875" style="51" hidden="1" customWidth="1"/>
    <col min="73" max="73" width="9.125" style="52" hidden="1" customWidth="1"/>
    <col min="74" max="74" width="10.75" style="52" hidden="1" customWidth="1"/>
    <col min="75" max="76" width="9.125" style="49" hidden="1" customWidth="1"/>
    <col min="77" max="77" width="6.375" style="49" hidden="1" customWidth="1"/>
    <col min="78" max="78" width="16.625" style="49" hidden="1" customWidth="1"/>
    <col min="79" max="79" width="12.75" style="49" hidden="1" customWidth="1"/>
    <col min="80" max="83" width="3.25" style="49" hidden="1" customWidth="1"/>
    <col min="84" max="84" width="5" style="49" hidden="1" customWidth="1"/>
    <col min="85" max="88" width="3.25" style="49" hidden="1" customWidth="1"/>
    <col min="89" max="92" width="4" style="49" hidden="1" customWidth="1"/>
    <col min="93" max="93" width="3.25" style="49" hidden="1" customWidth="1"/>
    <col min="94" max="94" width="4" style="49" hidden="1" customWidth="1"/>
    <col min="95" max="95" width="3.25" style="49" hidden="1" customWidth="1"/>
    <col min="96" max="96" width="4" style="49" hidden="1" customWidth="1"/>
    <col min="97" max="98" width="3.25" style="49" hidden="1" customWidth="1"/>
    <col min="99" max="99" width="4.25" style="49" hidden="1" customWidth="1"/>
    <col min="100" max="100" width="5" style="49" hidden="1" customWidth="1"/>
    <col min="101" max="101" width="9.125" style="49" customWidth="1"/>
    <col min="102" max="102" width="9.125" style="51" customWidth="1"/>
    <col min="103" max="103" width="32.875" style="51" customWidth="1"/>
    <col min="104" max="104" width="32.375" style="51" bestFit="1" customWidth="1"/>
    <col min="105" max="16384" width="9.125" style="51"/>
  </cols>
  <sheetData>
    <row r="1" spans="1:101" ht="17.25" customHeight="1">
      <c r="A1" s="115"/>
      <c r="B1" s="115"/>
      <c r="C1" s="115"/>
      <c r="D1" s="115"/>
      <c r="E1" s="115"/>
      <c r="F1" s="115"/>
      <c r="G1" s="115"/>
      <c r="H1" s="115"/>
      <c r="I1" s="116"/>
      <c r="J1" s="115"/>
      <c r="K1" s="783">
        <f>Summary!$C$1</f>
        <v>30695</v>
      </c>
      <c r="L1" s="783"/>
      <c r="M1" s="783"/>
      <c r="N1" s="117"/>
      <c r="O1" s="117"/>
      <c r="P1" s="117"/>
      <c r="Q1" s="117"/>
      <c r="S1" s="50"/>
      <c r="Y1" s="51" t="s">
        <v>58</v>
      </c>
    </row>
    <row r="2" spans="1:101" ht="20.25" customHeight="1">
      <c r="A2" s="789" t="str">
        <f>Summary!$A$2</f>
        <v>iz/kkukpk;Z egkRek xka/kh jktdh; fo|ky; ¼vaxzsth ek/;e½ cj ] ikyh</v>
      </c>
      <c r="B2" s="789"/>
      <c r="C2" s="789"/>
      <c r="D2" s="789"/>
      <c r="E2" s="789"/>
      <c r="F2" s="789"/>
      <c r="G2" s="789"/>
      <c r="H2" s="789"/>
      <c r="I2" s="789"/>
      <c r="J2" s="789"/>
      <c r="K2" s="789"/>
      <c r="L2" s="789"/>
      <c r="M2" s="789"/>
      <c r="N2" s="118"/>
      <c r="O2" s="118"/>
      <c r="P2" s="118"/>
      <c r="Q2" s="118"/>
      <c r="S2" s="53"/>
      <c r="Y2" s="51" t="s">
        <v>62</v>
      </c>
    </row>
    <row r="3" spans="1:101" ht="17.100000000000001" customHeight="1">
      <c r="A3" s="790" t="s">
        <v>127</v>
      </c>
      <c r="B3" s="790"/>
      <c r="C3" s="790"/>
      <c r="D3" s="790"/>
      <c r="E3" s="790"/>
      <c r="F3" s="790"/>
      <c r="G3" s="790"/>
      <c r="H3" s="790"/>
      <c r="I3" s="790"/>
      <c r="J3" s="790"/>
      <c r="K3" s="790"/>
      <c r="L3" s="790"/>
      <c r="M3" s="790"/>
      <c r="N3" s="119"/>
      <c r="O3" s="119"/>
      <c r="P3" s="119"/>
      <c r="Q3" s="119"/>
      <c r="S3" s="54"/>
      <c r="T3" s="55"/>
      <c r="U3" s="55"/>
      <c r="V3" s="55"/>
      <c r="W3" s="55"/>
      <c r="X3" s="55"/>
      <c r="Y3" s="56" t="s">
        <v>320</v>
      </c>
      <c r="Z3" s="56"/>
      <c r="AA3" s="56"/>
      <c r="AB3" s="56"/>
      <c r="AC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row>
    <row r="4" spans="1:101" ht="17.100000000000001" customHeight="1">
      <c r="A4" s="790" t="s">
        <v>128</v>
      </c>
      <c r="B4" s="790"/>
      <c r="C4" s="790"/>
      <c r="D4" s="790"/>
      <c r="E4" s="790"/>
      <c r="F4" s="790"/>
      <c r="G4" s="790"/>
      <c r="H4" s="790"/>
      <c r="I4" s="790"/>
      <c r="J4" s="790"/>
      <c r="K4" s="790"/>
      <c r="L4" s="790"/>
      <c r="M4" s="790"/>
      <c r="N4" s="119"/>
      <c r="O4" s="119"/>
      <c r="P4" s="119"/>
      <c r="Q4" s="119"/>
      <c r="S4" s="57"/>
      <c r="T4" s="55"/>
      <c r="U4" s="55"/>
      <c r="V4" s="55"/>
      <c r="W4" s="55"/>
      <c r="X4" s="55"/>
      <c r="Y4" s="49" t="s">
        <v>321</v>
      </c>
      <c r="Z4" s="49"/>
      <c r="AA4" s="49"/>
      <c r="AB4" s="49"/>
      <c r="AC4" s="49"/>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row>
    <row r="5" spans="1:101" ht="17.100000000000001" customHeight="1">
      <c r="A5" s="790" t="s">
        <v>634</v>
      </c>
      <c r="B5" s="790"/>
      <c r="C5" s="790"/>
      <c r="D5" s="790"/>
      <c r="E5" s="790"/>
      <c r="F5" s="790"/>
      <c r="G5" s="790"/>
      <c r="H5" s="790"/>
      <c r="I5" s="790"/>
      <c r="J5" s="790"/>
      <c r="K5" s="790"/>
      <c r="L5" s="790"/>
      <c r="M5" s="790"/>
      <c r="N5" s="119"/>
      <c r="O5" s="119"/>
      <c r="P5" s="119"/>
      <c r="Q5" s="119"/>
      <c r="S5" s="57"/>
      <c r="T5" s="55"/>
      <c r="U5" s="55"/>
      <c r="V5" s="55"/>
      <c r="W5" s="55"/>
      <c r="X5" s="55"/>
      <c r="Y5" s="49" t="s">
        <v>323</v>
      </c>
      <c r="Z5" s="49"/>
      <c r="AA5" s="49"/>
      <c r="AB5" s="49"/>
      <c r="AC5" s="49"/>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row>
    <row r="6" spans="1:101" ht="17.100000000000001" customHeight="1">
      <c r="A6" s="790" t="s">
        <v>129</v>
      </c>
      <c r="B6" s="790"/>
      <c r="C6" s="790"/>
      <c r="D6" s="790"/>
      <c r="E6" s="790"/>
      <c r="F6" s="790"/>
      <c r="G6" s="790"/>
      <c r="H6" s="790"/>
      <c r="I6" s="790"/>
      <c r="J6" s="790"/>
      <c r="K6" s="790"/>
      <c r="L6" s="790"/>
      <c r="M6" s="790"/>
      <c r="N6" s="119"/>
      <c r="O6" s="119"/>
      <c r="P6" s="119"/>
      <c r="Q6" s="119"/>
      <c r="S6" s="57"/>
      <c r="T6" s="55"/>
      <c r="U6" s="55"/>
      <c r="V6" s="55"/>
      <c r="W6" s="55"/>
      <c r="X6" s="55"/>
      <c r="Y6" s="49" t="s">
        <v>322</v>
      </c>
      <c r="Z6" s="49"/>
      <c r="AA6" s="49"/>
      <c r="AB6" s="49"/>
      <c r="AC6" s="49"/>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row>
    <row r="7" spans="1:101" ht="15.75" customHeight="1">
      <c r="A7" s="780" t="str">
        <f>Summary!$A$5</f>
        <v>BUDGET HEAD : 2202-GENERAL EDUCATION, 02-SECONDARY EDUCATION, 109-GOVT. SEC. SCHOOL, (02)-GIRLS SCHOOL (STATE FUND)</v>
      </c>
      <c r="B7" s="780"/>
      <c r="C7" s="780"/>
      <c r="D7" s="780"/>
      <c r="E7" s="780"/>
      <c r="F7" s="780"/>
      <c r="G7" s="780"/>
      <c r="H7" s="780"/>
      <c r="I7" s="780"/>
      <c r="J7" s="780"/>
      <c r="K7" s="780"/>
      <c r="L7" s="780"/>
      <c r="M7" s="781" t="s">
        <v>130</v>
      </c>
      <c r="N7" s="120"/>
      <c r="O7" s="120"/>
      <c r="P7" s="120"/>
      <c r="Q7" s="120"/>
      <c r="S7" s="54"/>
      <c r="T7" s="55"/>
      <c r="U7" s="55"/>
      <c r="V7" s="55"/>
      <c r="W7" s="55"/>
      <c r="X7" s="55"/>
      <c r="Y7" s="56"/>
      <c r="Z7" s="56"/>
      <c r="AA7" s="56"/>
      <c r="AB7" s="56"/>
      <c r="AC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row>
    <row r="8" spans="1:101" ht="7.5" customHeight="1">
      <c r="A8" s="406"/>
      <c r="B8" s="406"/>
      <c r="C8" s="406"/>
      <c r="D8" s="406"/>
      <c r="E8" s="406"/>
      <c r="F8" s="406"/>
      <c r="G8" s="406"/>
      <c r="H8" s="406"/>
      <c r="I8" s="406"/>
      <c r="J8" s="406"/>
      <c r="K8" s="406"/>
      <c r="L8" s="406"/>
      <c r="M8" s="782"/>
      <c r="N8" s="162"/>
      <c r="O8" s="162"/>
      <c r="P8" s="162"/>
      <c r="Q8" s="162"/>
      <c r="S8" s="58"/>
      <c r="T8" s="55"/>
      <c r="U8" s="55"/>
      <c r="V8" s="55"/>
      <c r="W8" s="55"/>
      <c r="X8" s="55"/>
      <c r="Y8" s="56"/>
      <c r="Z8" s="56"/>
      <c r="AA8" s="56"/>
      <c r="AB8" s="56"/>
      <c r="AC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row>
    <row r="9" spans="1:101" ht="39.75" customHeight="1">
      <c r="A9" s="787" t="s">
        <v>131</v>
      </c>
      <c r="B9" s="787" t="s">
        <v>132</v>
      </c>
      <c r="C9" s="787" t="s">
        <v>133</v>
      </c>
      <c r="D9" s="787" t="s">
        <v>134</v>
      </c>
      <c r="E9" s="787" t="s">
        <v>67</v>
      </c>
      <c r="F9" s="787" t="s">
        <v>149</v>
      </c>
      <c r="G9" s="810" t="s">
        <v>135</v>
      </c>
      <c r="H9" s="810" t="s">
        <v>136</v>
      </c>
      <c r="I9" s="812" t="s">
        <v>137</v>
      </c>
      <c r="J9" s="813"/>
      <c r="K9" s="810" t="s">
        <v>563</v>
      </c>
      <c r="L9" s="795" t="s">
        <v>564</v>
      </c>
      <c r="M9" s="787" t="s">
        <v>138</v>
      </c>
      <c r="N9" s="121"/>
      <c r="O9" s="121"/>
      <c r="P9" s="121"/>
      <c r="Q9" s="121"/>
      <c r="R9" s="59"/>
      <c r="S9" s="806" t="s">
        <v>139</v>
      </c>
      <c r="T9" s="808" t="s">
        <v>140</v>
      </c>
      <c r="U9" s="808" t="s">
        <v>141</v>
      </c>
      <c r="V9" s="806" t="s">
        <v>142</v>
      </c>
      <c r="W9" s="806" t="s">
        <v>143</v>
      </c>
      <c r="X9" s="800" t="s">
        <v>144</v>
      </c>
      <c r="Y9" s="801"/>
      <c r="Z9" s="800" t="s">
        <v>145</v>
      </c>
      <c r="AA9" s="801"/>
      <c r="AB9" s="800" t="s">
        <v>146</v>
      </c>
      <c r="AC9" s="801"/>
      <c r="AD9" s="60"/>
      <c r="AE9" s="61" t="s">
        <v>147</v>
      </c>
      <c r="AF9" s="62"/>
      <c r="AG9" s="62"/>
      <c r="AH9" s="62"/>
      <c r="AI9" s="62"/>
      <c r="AJ9" s="62"/>
      <c r="AK9" s="62"/>
      <c r="AL9" s="62"/>
      <c r="AM9" s="62"/>
      <c r="AN9" s="62"/>
      <c r="AO9" s="62"/>
      <c r="AP9" s="62"/>
      <c r="AQ9" s="62"/>
      <c r="AR9" s="62"/>
      <c r="AS9" s="62"/>
      <c r="AT9" s="62"/>
      <c r="AU9" s="62"/>
      <c r="AV9" s="62"/>
      <c r="AW9" s="61" t="s">
        <v>148</v>
      </c>
      <c r="AX9" s="62"/>
      <c r="AY9" s="62"/>
      <c r="AZ9" s="62"/>
      <c r="BA9" s="62"/>
      <c r="BB9" s="62"/>
      <c r="BC9" s="62"/>
      <c r="BD9" s="62"/>
      <c r="BE9" s="62"/>
      <c r="BF9" s="62"/>
      <c r="BG9" s="62"/>
      <c r="BH9" s="62"/>
      <c r="BI9" s="62"/>
      <c r="BJ9" s="62"/>
      <c r="BK9" s="62"/>
      <c r="BL9" s="62"/>
      <c r="BM9" s="62"/>
      <c r="BN9" s="62"/>
      <c r="BO9" s="63"/>
      <c r="BP9" s="63"/>
      <c r="BQ9" s="63"/>
      <c r="BR9" s="63"/>
      <c r="BS9" s="63"/>
      <c r="BT9" s="64"/>
      <c r="BU9" s="60"/>
      <c r="BV9" s="60"/>
      <c r="BW9" s="60"/>
      <c r="BX9" s="60"/>
    </row>
    <row r="10" spans="1:101" ht="39" customHeight="1">
      <c r="A10" s="788"/>
      <c r="B10" s="788"/>
      <c r="C10" s="788"/>
      <c r="D10" s="797"/>
      <c r="E10" s="788"/>
      <c r="F10" s="788"/>
      <c r="G10" s="811"/>
      <c r="H10" s="811"/>
      <c r="I10" s="123" t="s">
        <v>150</v>
      </c>
      <c r="J10" s="123" t="s">
        <v>151</v>
      </c>
      <c r="K10" s="811"/>
      <c r="L10" s="796"/>
      <c r="M10" s="788"/>
      <c r="N10" s="122"/>
      <c r="O10" s="122"/>
      <c r="P10" s="122"/>
      <c r="Q10" s="122"/>
      <c r="R10" s="65"/>
      <c r="S10" s="807"/>
      <c r="T10" s="809"/>
      <c r="U10" s="809"/>
      <c r="V10" s="807"/>
      <c r="W10" s="807"/>
      <c r="X10" s="66" t="s">
        <v>56</v>
      </c>
      <c r="Y10" s="66" t="s">
        <v>152</v>
      </c>
      <c r="Z10" s="66" t="s">
        <v>56</v>
      </c>
      <c r="AA10" s="66" t="s">
        <v>152</v>
      </c>
      <c r="AB10" s="66" t="s">
        <v>56</v>
      </c>
      <c r="AC10" s="66" t="s">
        <v>152</v>
      </c>
      <c r="AD10" s="67" t="s">
        <v>153</v>
      </c>
      <c r="AE10" s="67" t="s">
        <v>154</v>
      </c>
      <c r="AF10" s="68" t="s">
        <v>155</v>
      </c>
      <c r="AG10" s="67" t="s">
        <v>156</v>
      </c>
      <c r="AH10" s="68" t="s">
        <v>157</v>
      </c>
      <c r="AI10" s="69">
        <f>E75</f>
        <v>0.28000000000000003</v>
      </c>
      <c r="AJ10" s="70">
        <v>0</v>
      </c>
      <c r="AK10" s="71" t="s">
        <v>158</v>
      </c>
      <c r="AL10" s="72">
        <v>0.1</v>
      </c>
      <c r="AM10" s="71" t="s">
        <v>159</v>
      </c>
      <c r="AN10" s="73" t="s">
        <v>160</v>
      </c>
      <c r="AO10" s="71" t="s">
        <v>161</v>
      </c>
      <c r="AP10" s="71" t="s">
        <v>162</v>
      </c>
      <c r="AQ10" s="71" t="s">
        <v>163</v>
      </c>
      <c r="AR10" s="71" t="s">
        <v>164</v>
      </c>
      <c r="AS10" s="71" t="s">
        <v>165</v>
      </c>
      <c r="AT10" s="71" t="s">
        <v>166</v>
      </c>
      <c r="AU10" s="71" t="s">
        <v>167</v>
      </c>
      <c r="AV10" s="71" t="s">
        <v>168</v>
      </c>
      <c r="AW10" s="67" t="s">
        <v>154</v>
      </c>
      <c r="AX10" s="68" t="s">
        <v>155</v>
      </c>
      <c r="AY10" s="67" t="s">
        <v>156</v>
      </c>
      <c r="AZ10" s="68" t="s">
        <v>157</v>
      </c>
      <c r="BA10" s="69">
        <f>AI10</f>
        <v>0.28000000000000003</v>
      </c>
      <c r="BB10" s="70">
        <f>C76</f>
        <v>0.05</v>
      </c>
      <c r="BC10" s="71" t="s">
        <v>158</v>
      </c>
      <c r="BD10" s="72">
        <v>0.08</v>
      </c>
      <c r="BE10" s="71" t="s">
        <v>159</v>
      </c>
      <c r="BF10" s="73" t="s">
        <v>160</v>
      </c>
      <c r="BG10" s="71" t="s">
        <v>161</v>
      </c>
      <c r="BH10" s="71" t="s">
        <v>162</v>
      </c>
      <c r="BI10" s="71" t="s">
        <v>163</v>
      </c>
      <c r="BJ10" s="71" t="s">
        <v>164</v>
      </c>
      <c r="BK10" s="71" t="s">
        <v>165</v>
      </c>
      <c r="BL10" s="71" t="s">
        <v>166</v>
      </c>
      <c r="BM10" s="71" t="s">
        <v>167</v>
      </c>
      <c r="BN10" s="71" t="s">
        <v>169</v>
      </c>
      <c r="BO10" s="74" t="s">
        <v>170</v>
      </c>
      <c r="BP10" s="74" t="s">
        <v>171</v>
      </c>
      <c r="BQ10" s="74" t="s">
        <v>172</v>
      </c>
      <c r="BR10" s="74" t="s">
        <v>173</v>
      </c>
      <c r="BS10" s="74" t="s">
        <v>174</v>
      </c>
      <c r="BT10" s="74" t="s">
        <v>175</v>
      </c>
      <c r="BU10" s="74" t="s">
        <v>176</v>
      </c>
      <c r="BV10" s="74" t="s">
        <v>177</v>
      </c>
      <c r="BW10" s="74" t="s">
        <v>178</v>
      </c>
      <c r="BX10" s="74" t="s">
        <v>179</v>
      </c>
    </row>
    <row r="11" spans="1:101" s="412" customFormat="1">
      <c r="A11" s="407">
        <v>1</v>
      </c>
      <c r="B11" s="407">
        <v>2</v>
      </c>
      <c r="C11" s="407">
        <v>3</v>
      </c>
      <c r="D11" s="407">
        <v>4</v>
      </c>
      <c r="E11" s="407">
        <v>5</v>
      </c>
      <c r="F11" s="407">
        <v>6</v>
      </c>
      <c r="G11" s="407">
        <v>7</v>
      </c>
      <c r="H11" s="407">
        <v>8</v>
      </c>
      <c r="I11" s="407">
        <v>9</v>
      </c>
      <c r="J11" s="407">
        <v>10</v>
      </c>
      <c r="K11" s="407">
        <v>11</v>
      </c>
      <c r="L11" s="407">
        <v>12</v>
      </c>
      <c r="M11" s="407">
        <v>13</v>
      </c>
      <c r="N11" s="407"/>
      <c r="O11" s="407"/>
      <c r="P11" s="407"/>
      <c r="Q11" s="407"/>
      <c r="R11" s="408"/>
      <c r="S11" s="408"/>
      <c r="T11" s="409">
        <v>15</v>
      </c>
      <c r="U11" s="409">
        <v>16</v>
      </c>
      <c r="V11" s="409">
        <v>18</v>
      </c>
      <c r="W11" s="409">
        <v>19</v>
      </c>
      <c r="X11" s="79">
        <v>25</v>
      </c>
      <c r="Y11" s="79">
        <v>26</v>
      </c>
      <c r="Z11" s="79">
        <v>27</v>
      </c>
      <c r="AA11" s="79">
        <v>28</v>
      </c>
      <c r="AB11" s="79">
        <v>27</v>
      </c>
      <c r="AC11" s="79">
        <v>28</v>
      </c>
      <c r="AD11" s="410"/>
      <c r="AE11" s="79">
        <v>16</v>
      </c>
      <c r="AF11" s="79">
        <v>17</v>
      </c>
      <c r="AG11" s="79">
        <v>18</v>
      </c>
      <c r="AH11" s="79">
        <v>19</v>
      </c>
      <c r="AI11" s="79">
        <v>20</v>
      </c>
      <c r="AJ11" s="79">
        <v>21</v>
      </c>
      <c r="AK11" s="79">
        <v>22</v>
      </c>
      <c r="AL11" s="79">
        <v>23</v>
      </c>
      <c r="AM11" s="79">
        <v>24</v>
      </c>
      <c r="AN11" s="79">
        <v>25</v>
      </c>
      <c r="AO11" s="79">
        <v>27</v>
      </c>
      <c r="AP11" s="79">
        <v>28</v>
      </c>
      <c r="AQ11" s="79">
        <v>30</v>
      </c>
      <c r="AR11" s="79">
        <v>31</v>
      </c>
      <c r="AS11" s="79">
        <v>32</v>
      </c>
      <c r="AT11" s="79">
        <v>33</v>
      </c>
      <c r="AU11" s="79">
        <v>34</v>
      </c>
      <c r="AV11" s="79">
        <v>35</v>
      </c>
      <c r="AW11" s="79">
        <v>36</v>
      </c>
      <c r="AX11" s="79">
        <v>37</v>
      </c>
      <c r="AY11" s="79">
        <v>38</v>
      </c>
      <c r="AZ11" s="79">
        <v>39</v>
      </c>
      <c r="BA11" s="79">
        <v>40</v>
      </c>
      <c r="BB11" s="79">
        <v>41</v>
      </c>
      <c r="BC11" s="79">
        <v>42</v>
      </c>
      <c r="BD11" s="79">
        <v>43</v>
      </c>
      <c r="BE11" s="79">
        <v>44</v>
      </c>
      <c r="BF11" s="79">
        <v>45</v>
      </c>
      <c r="BG11" s="79">
        <v>47</v>
      </c>
      <c r="BH11" s="79">
        <v>48</v>
      </c>
      <c r="BI11" s="79">
        <v>50</v>
      </c>
      <c r="BJ11" s="79">
        <v>51</v>
      </c>
      <c r="BK11" s="79">
        <v>52</v>
      </c>
      <c r="BL11" s="79">
        <v>53</v>
      </c>
      <c r="BM11" s="79">
        <v>54</v>
      </c>
      <c r="BN11" s="79">
        <v>55</v>
      </c>
      <c r="BO11" s="74">
        <v>56</v>
      </c>
      <c r="BP11" s="74">
        <v>57</v>
      </c>
      <c r="BQ11" s="74">
        <v>58</v>
      </c>
      <c r="BR11" s="74">
        <v>59</v>
      </c>
      <c r="BS11" s="74"/>
      <c r="BT11" s="74"/>
      <c r="BU11" s="410"/>
      <c r="BV11" s="410"/>
      <c r="BW11" s="410"/>
      <c r="BX11" s="410"/>
      <c r="BY11" s="411"/>
      <c r="BZ11" s="411"/>
      <c r="CA11" s="411"/>
      <c r="CB11" s="411"/>
      <c r="CC11" s="411"/>
      <c r="CD11" s="411"/>
      <c r="CE11" s="411"/>
      <c r="CF11" s="411"/>
      <c r="CG11" s="411"/>
      <c r="CH11" s="411"/>
      <c r="CI11" s="411"/>
      <c r="CJ11" s="411"/>
      <c r="CK11" s="411"/>
      <c r="CL11" s="411"/>
      <c r="CM11" s="411"/>
      <c r="CN11" s="411"/>
      <c r="CO11" s="411"/>
      <c r="CP11" s="411"/>
      <c r="CQ11" s="411"/>
      <c r="CR11" s="411"/>
      <c r="CS11" s="411"/>
      <c r="CT11" s="411"/>
      <c r="CU11" s="411"/>
      <c r="CV11" s="411"/>
      <c r="CW11" s="411"/>
    </row>
    <row r="12" spans="1:101" s="76" customFormat="1" ht="15.75">
      <c r="A12" s="125">
        <v>1</v>
      </c>
      <c r="B12" s="414" t="str">
        <f>IF(ISNA(VLOOKUP(A12,Master!AE$60:AQ$107,3,FALSE)),"",VLOOKUP(A12,Master!AE$60:AQ$107,3,FALSE))</f>
        <v>Jherh m"kk ikfy;k</v>
      </c>
      <c r="C12" s="415" t="str">
        <f>IF(ISNA(VLOOKUP(A12,Master!AE$60:AQ$107,7,FALSE)),"",VLOOKUP(A12,Master!AE$60:AQ$107,7,FALSE))</f>
        <v>RJAJ199506021728</v>
      </c>
      <c r="D12" s="416">
        <f>IF(ISNA(VLOOKUP(A12,Master!AE$60:AQ$107,8,FALSE)),"",VLOOKUP(A12,Master!AE$60:AQ$107,8,FALSE))</f>
        <v>478909</v>
      </c>
      <c r="E12" s="417" t="str">
        <f>IF(ISNA(VLOOKUP(A12,Master!AE$60:AQ$107,4,FALSE)),"",VLOOKUP(A12,Master!AE$60:AQ$107,4,FALSE))</f>
        <v>PRINCIPAL</v>
      </c>
      <c r="F12" s="124">
        <f>IF(ISNA(VLOOKUP(A12,Master!AE$60:AQ$107,5,FALSE)),"",VLOOKUP(A12,Master!AE$60:AQ$107,5,FALSE))</f>
        <v>16</v>
      </c>
      <c r="G12" s="419">
        <f>IF(ISNA(VLOOKUP(A12,Master!AE$60:AQ$107,6,FALSE)),"",VLOOKUP(A12,Master!AE$60:AQ$107,6,FALSE))</f>
        <v>71300</v>
      </c>
      <c r="H12" s="419">
        <f>IF(AND(G12=""),"",G12*12)</f>
        <v>855600</v>
      </c>
      <c r="I12" s="420" t="str">
        <f ca="1">IF(AND(G12=""),"",IF(G12&lt;=0,"",(CONCATENATE("01.07.",(YEAR(TODAY())+1)))))</f>
        <v>01.07.2022</v>
      </c>
      <c r="J12" s="419">
        <f>IF(AND(G12=""),"",ROUND(ROUND(G12*3%,0),-2)*IF(F12="FIX PAY",0,1)*8)</f>
        <v>16800</v>
      </c>
      <c r="K12" s="419">
        <f>IF(AND(G12=""),"",H12+J12)</f>
        <v>872400</v>
      </c>
      <c r="L12" s="419">
        <f>IF(AND(G12=""),"",IF(M12="FIX PAY",K12,((IF(M12="FIX PAY",0,AD12*4+G12*8)))))</f>
        <v>847200</v>
      </c>
      <c r="M12" s="419" t="str">
        <f>IF(ISNA(VLOOKUP(A12,Master!AE$60:AQ$107,12,FALSE)),"",VLOOKUP(A12,Master!AE$60:AQ$107,12,FALSE))</f>
        <v>GAZETTED - REGULAR</v>
      </c>
      <c r="N12" s="163"/>
      <c r="O12" s="163">
        <f>IF(O69=1,"HANDICAP",0)</f>
        <v>0</v>
      </c>
      <c r="P12" s="163"/>
      <c r="Q12" s="163">
        <f t="shared" ref="Q12:Q25" si="0">IF(AND(M12=Y$1),0,IF(AND(G12=0),0,$E$79*1*(IF(G12&lt;=0,0,1))*(IF(F12&lt;=12,1,0))))</f>
        <v>0</v>
      </c>
      <c r="R12" s="52">
        <f>IF(E12&gt;0,1,0)</f>
        <v>1</v>
      </c>
      <c r="S12" s="1" t="str">
        <f>IF(ISNA(VLOOKUP(A12,Master!AE$60:AQ$107,10,FALSE)),"",VLOOKUP(A12,Master!AE$60:AQ$107,10,FALSE))</f>
        <v>NO</v>
      </c>
      <c r="T12" s="77"/>
      <c r="U12" s="77"/>
      <c r="V12" s="78" t="str">
        <f>IF(ISNA(VLOOKUP(A12,Master!AE$60:AQ$107,11,FALSE)),"",VLOOKUP(A12,Master!AE$60:AQ$107,11,FALSE))</f>
        <v>NO</v>
      </c>
      <c r="W12" s="78" t="str">
        <f>IF(ISNA(VLOOKUP(A12,Master!AE$60:AQ$107,9,FALSE)),"",VLOOKUP(A12,Master!AE$60:AQ$107,9,FALSE))</f>
        <v>FEMALE</v>
      </c>
      <c r="X12" s="79">
        <f t="shared" ref="X12:X25" si="1">IF(W12="MALE",1,0)*(IF(E12="JAMADAR",1,0))*(IF(G12&lt;=0,0,1))</f>
        <v>0</v>
      </c>
      <c r="Y12" s="79">
        <f t="shared" ref="Y12:Y25" si="2">IF(W12="FEMALE",1,0)*(IF(E12="JAMADAR",1,0))*(IF(G12&lt;=0,0,1))</f>
        <v>0</v>
      </c>
      <c r="Z12" s="79">
        <f t="shared" ref="Z12:Z25" si="3">IF(W12="MALE",1,0)*(IF(E12="LAB BOY",1,0))*(IF(G12&lt;=0,0,1))</f>
        <v>0</v>
      </c>
      <c r="AA12" s="79">
        <f t="shared" ref="AA12:AA25" si="4">IF(W12="FEMALE",1,0)*(IF(E12="LAB BOY",1,0))*(IF(G12&lt;=0,0,1))</f>
        <v>0</v>
      </c>
      <c r="AB12" s="79">
        <f t="shared" ref="AB12:AB25" si="5">IF(W12="MALE",1,0)*(IF(E12="PEON",1,0))*(IF(G12&lt;=0,0,1))</f>
        <v>0</v>
      </c>
      <c r="AC12" s="79">
        <f t="shared" ref="AC12:AC25" si="6">IF(W12="FEMALE",1,0)*(IF(E12="PEON",1,0))*(IF(G12&lt;=0,0,1))</f>
        <v>0</v>
      </c>
      <c r="AD12" s="80">
        <f>IF(AND(G12=""),"",G12-ROUNDUP(ROUND((G12*3%)-(G12*3%)*2.9%,-2),0))</f>
        <v>69200</v>
      </c>
      <c r="AE12" s="80">
        <f>IF(AND(G12=""),"",$K12*$BO12)</f>
        <v>872400</v>
      </c>
      <c r="AF12" s="80">
        <f>IF(AND(G12=""),"",$K12*$BP12)</f>
        <v>0</v>
      </c>
      <c r="AG12" s="80">
        <f>IF(AND(G12=""),"",$K12*$BQ12)</f>
        <v>0</v>
      </c>
      <c r="AH12" s="80">
        <f>IF(AND(G12=""),"",$K12*$BR12)</f>
        <v>0</v>
      </c>
      <c r="AI12" s="78">
        <f>IF(AND(AE12=""),"",ROUND((AE12+AF12)*$AI$10,0)*BS12)</f>
        <v>0</v>
      </c>
      <c r="AJ12" s="78">
        <v>0</v>
      </c>
      <c r="AK12" s="79">
        <v>0</v>
      </c>
      <c r="AL12" s="78">
        <f>IF(AND(AE12=""),"",ROUND((AE12+AF12)*$AL$10,0)*BS12)</f>
        <v>0</v>
      </c>
      <c r="AM12" s="79">
        <f t="shared" ref="AM12:AM25" si="7">$E$79*BP12*BS12*(IF(G12&lt;=0,0,1))*(IF(F12&lt;=4800,1,0))</f>
        <v>0</v>
      </c>
      <c r="AN12" s="78">
        <f>IF(AND(G12=""),0,ROUND((G12+ROUND(G12*$AI$10,0))/2,0)*(IF(M12="FIX PAY",0,1)))</f>
        <v>45632</v>
      </c>
      <c r="AO12" s="78">
        <f t="shared" ref="AO12:AO25" si="8">IF(E12="CLERK GRADE I",1,IF(E12="CLERK GRADE II",1,0))*75*12*BS12*(IF(G12&lt;=0,0,1))*BT12</f>
        <v>0</v>
      </c>
      <c r="AP12" s="78">
        <f t="shared" ref="AP12:AP25" si="9">IF(AND(G12=""),0,(IF(E12="ASSISTANT",12,IF(E12="CLERK GRADE I",12,IF(E12="CLERK GRADE II",12,IF(E12="FIELDMAN &amp; FIELD REC",12,IF(E12="LAB BOY",12,IF(E12="JAMADAR",12,IF(E12="PEON",12,10))))))))*(MINA(ROUND(G12*6%,0),600))*(IF($S12="Yes",1,0)))</f>
        <v>0</v>
      </c>
      <c r="AQ12" s="78">
        <f t="shared" ref="AQ12:AQ25" si="10">(IF(E12="LAB BOY",150,IF(E12="JAMADAR",150,IF(E12="PEON",150,0))))*12*BS12*(IF(G12&lt;=0,0,1))</f>
        <v>0</v>
      </c>
      <c r="AR12" s="80">
        <f t="shared" ref="AR12:AR25" si="11">IF(AND(E12=""),0,SUM(AI12:AQ12)+AE12+AF12)</f>
        <v>918032</v>
      </c>
      <c r="AS12" s="80">
        <f t="shared" ref="AS12:AS25" si="12">IF(AND(E12=""),0,AR12)</f>
        <v>918032</v>
      </c>
      <c r="AT12" s="78"/>
      <c r="AU12" s="78"/>
      <c r="AV12" s="80">
        <f t="shared" ref="AV12:AV25" si="13">AS12+AT12+AU12</f>
        <v>918032</v>
      </c>
      <c r="AW12" s="80">
        <f t="shared" ref="AW12:AW25" si="14">IF(AND(E12=""),0,L12*BO12)</f>
        <v>847200</v>
      </c>
      <c r="AX12" s="80">
        <f t="shared" ref="AX12:AX25" si="15">IF(AND(E12=""),0,L12*BP12)</f>
        <v>0</v>
      </c>
      <c r="AY12" s="80">
        <f t="shared" ref="AY12:AY25" si="16">IF(AND(E12=""),0,L12*BQ12)</f>
        <v>0</v>
      </c>
      <c r="AZ12" s="80">
        <f t="shared" ref="AZ12:AZ25" si="17">IF(AND(E12=""),0,L12*BR12)</f>
        <v>0</v>
      </c>
      <c r="BA12" s="78">
        <f t="shared" ref="BA12:BA25" si="18">ROUND((AW12+AX12)*$BA$10,0)*BS12</f>
        <v>0</v>
      </c>
      <c r="BB12" s="78">
        <f t="shared" ref="BB12:BB25" si="19">IF(AND(E12=""),0,ROUND((IF(M12="FIX PAY",0,AD12))*$BB$10*2,0)*BS12)</f>
        <v>0</v>
      </c>
      <c r="BC12" s="79">
        <v>0</v>
      </c>
      <c r="BD12" s="78">
        <f t="shared" ref="BD12:BD25" si="20">ROUND((AW12+AX12)*$BD$10,0)*BS12</f>
        <v>0</v>
      </c>
      <c r="BE12" s="79">
        <f t="shared" ref="BE12:BE25" si="21">$E$79*2*BP12*BS12*(IF(G12&lt;=0,0,1))*(IF(F12&lt;=4800,1,0))</f>
        <v>0</v>
      </c>
      <c r="BF12" s="78">
        <f>IF(AND(G12=""),0,ROUND((AD12+ROUND(AD12*$AI$10,0))/2,0)*(IF(M12="FIX PAY",0,1)))</f>
        <v>44288</v>
      </c>
      <c r="BG12" s="78">
        <f t="shared" ref="BG12:BG25" si="22">IF(E12="CLERK GRADE I",1,IF(E12="CLERK GRADE II",1,0))*75*12*BS12*(IF(G12&lt;=0,0,1))*BT12</f>
        <v>0</v>
      </c>
      <c r="BH12" s="78">
        <f t="shared" ref="BH12:BH25" si="23">IF(AND(E12=""),0,(IF(E12="ASSISTANT",12,IF(E12="CLERK GRADE I",12,IF(E12="CLERK GRADE II",12,IF(E12="FIELDMAN &amp; FIELD REC",12,IF(E12="LAB BOY",12,IF(E12="JAMADAR",12,IF(E12="PEON",12,10))))))))*(MINA(ROUND(AD12*6%,0),600))*(IF($S12="yes",1,)))</f>
        <v>0</v>
      </c>
      <c r="BI12" s="78">
        <f t="shared" ref="BI12:BI25" si="24">(IF(E12="LAB BOY",150,IF(E12="JAMADAR",150,IF(E12="PEON",150,0))))*12*BS12*(IF(G12&lt;=0,0,1))</f>
        <v>0</v>
      </c>
      <c r="BJ12" s="80">
        <f t="shared" ref="BJ12:BJ25" si="25">SUM(BA12:BI12)+AW12+AX12</f>
        <v>891488</v>
      </c>
      <c r="BK12" s="80">
        <f t="shared" ref="BK12:BK25" si="26">BJ12</f>
        <v>891488</v>
      </c>
      <c r="BL12" s="78"/>
      <c r="BM12" s="78"/>
      <c r="BN12" s="80">
        <f t="shared" ref="BN12:BN25" si="27">BK12+BL12+BM12</f>
        <v>891488</v>
      </c>
      <c r="BO12" s="74">
        <f t="shared" ref="BO12:BO25" si="28">(IF(E12="PRINCIPAL",1,IF(E12="H M",1,IF(E12="AGRICULTURE INST",1,IF(E12="TEACHER-1ST",1,IF(E12="PTI  I  (13)",1,IF(E12="AGRICULTURE TEACH",1,IF(E12="INSTRUCTOR",1,0))))))))+(IF(E12="JR TEACHER",1,IF(E12="LIBRARIAN I",1,0)))*(IF(M12="FIX PAY",0,1))</f>
        <v>1</v>
      </c>
      <c r="BP12" s="74">
        <f t="shared" ref="BP12:BP25" si="29">IF(BO12&lt;=0,1,0)*(IF(M12="FIX PAY",0,1))</f>
        <v>0</v>
      </c>
      <c r="BQ12" s="74">
        <f t="shared" ref="BQ12:BQ25" si="30">(IF(E12="PRINCIPAL (16)",1,IF(E12="V P (14)",1,IF(E12="H M (14)",1,IF(E12="AGRICULTURE INST (13)",1,IF(E12="TEACHER-1ST (13)",1,IF(E12="PTI  I  (13)",1,IF(E12="AGRICULTURE TEACH (13)",1,IF(E12="INSTRUCTOR (13)",1,0))))))))+(IF(E12="JR TEACHER (13)",1,IF(E12="LIBRARIAN I (13)",1,0))))*(IF(M12="FIX PAY",1,0))</f>
        <v>0</v>
      </c>
      <c r="BR12" s="74">
        <f t="shared" ref="BR12:BR25" si="31">IF(BQ12&lt;=0,1,0)*(IF(M12="FIX PAY",1,0))</f>
        <v>0</v>
      </c>
      <c r="BS12" s="74">
        <f>IF(M12="FIX PAY",1,0)</f>
        <v>0</v>
      </c>
      <c r="BT12" s="74">
        <f t="shared" ref="BT12:BT25" si="32">IF(V12="No",0,1)</f>
        <v>0</v>
      </c>
      <c r="BU12" s="60">
        <f t="shared" ref="BU12:BU25" si="33">IF((ROUND((SUMPRODUCT(MID(0&amp;C12,LARGE(INDEX(ISNUMBER(--MID(C12,ROW($1:$25),1))* ROW($1:$25),0),ROW($1:$25))+1,1)*10^ROW($1:$25)/10)),-8)/100000000)&gt;=2004,1,0)</f>
        <v>0</v>
      </c>
      <c r="BV12" s="81">
        <f>IF(G12&lt;=0,0,1)</f>
        <v>1</v>
      </c>
      <c r="BW12" s="60">
        <f>IF(M12="SANVIDA",1,0)</f>
        <v>0</v>
      </c>
      <c r="BX12" s="60">
        <f>IF(BW12&gt;0,G12,0)</f>
        <v>0</v>
      </c>
      <c r="BY12" s="49">
        <f t="shared" ref="BY12:BY25" si="34">IF(AND(C12=""),"",IF(AND(C12&lt;=0),"",IF((ROUND((SUMPRODUCT(MID(0&amp;C12,LARGE(INDEX(ISNUMBER(--MID(C12,ROW($1:$71),1))* ROW($1:$71),0),ROW($1:$71))+1,1)*10^ROW($1:$71)/10)),-8)/100000000)&lt;2004,1,0)))</f>
        <v>1</v>
      </c>
      <c r="BZ12" s="82"/>
      <c r="CA12" s="49"/>
      <c r="CB12" s="49"/>
      <c r="CC12" s="49"/>
      <c r="CD12" s="49"/>
      <c r="CE12" s="49"/>
      <c r="CF12" s="49"/>
      <c r="CG12" s="49"/>
      <c r="CH12" s="49"/>
      <c r="CI12" s="49"/>
      <c r="CJ12" s="49"/>
      <c r="CK12" s="49"/>
      <c r="CL12" s="49"/>
      <c r="CM12" s="49"/>
      <c r="CN12" s="49"/>
      <c r="CO12" s="49"/>
      <c r="CP12" s="49"/>
      <c r="CQ12" s="49"/>
      <c r="CR12" s="49"/>
      <c r="CS12" s="49"/>
      <c r="CT12" s="49"/>
      <c r="CU12" s="49"/>
      <c r="CV12" s="49"/>
      <c r="CW12" s="49"/>
    </row>
    <row r="13" spans="1:101" s="76" customFormat="1" ht="15.75">
      <c r="A13" s="125">
        <v>2</v>
      </c>
      <c r="B13" s="414" t="str">
        <f>IF(ISNA(VLOOKUP(A13,Master!AE$60:AQ$107,3,FALSE)),"",VLOOKUP(A13,Master!AE$60:AQ$107,3,FALSE))</f>
        <v/>
      </c>
      <c r="C13" s="415" t="str">
        <f>IF(ISNA(VLOOKUP(A13,Master!AE$60:AQ$107,7,FALSE)),"",VLOOKUP(A13,Master!AE$60:AQ$107,7,FALSE))</f>
        <v/>
      </c>
      <c r="D13" s="416" t="str">
        <f>IF(ISNA(VLOOKUP(A13,Master!AE$60:AQ$107,8,FALSE)),"",VLOOKUP(A13,Master!AE$60:AQ$107,8,FALSE))</f>
        <v/>
      </c>
      <c r="E13" s="417" t="str">
        <f>IF(ISNA(VLOOKUP(A13,Master!AE$60:AQ$107,4,FALSE)),"",VLOOKUP(A13,Master!AE$60:AQ$107,4,FALSE))</f>
        <v/>
      </c>
      <c r="F13" s="124" t="str">
        <f>IF(ISNA(VLOOKUP(A13,Master!AE$60:AQ$107,5,FALSE)),"",VLOOKUP(A13,Master!AE$60:AQ$107,5,FALSE))</f>
        <v/>
      </c>
      <c r="G13" s="419" t="str">
        <f>IF(ISNA(VLOOKUP(A13,Master!AE$60:AQ$107,6,FALSE)),"",VLOOKUP(A13,Master!AE$60:AQ$107,6,FALSE))</f>
        <v/>
      </c>
      <c r="H13" s="419" t="str">
        <f t="shared" ref="H13:H25" si="35">IF(AND(G13=""),"",G13*12)</f>
        <v/>
      </c>
      <c r="I13" s="420" t="str">
        <f t="shared" ref="I13:I25" ca="1" si="36">IF(AND(G13=""),"",IF(G13&lt;=0,"",(CONCATENATE("01.07.",(YEAR(TODAY())+1)))))</f>
        <v/>
      </c>
      <c r="J13" s="419" t="str">
        <f t="shared" ref="J13:J25" si="37">IF(AND(G13=""),"",ROUND(ROUND(G13*3%,0),-2)*IF(F13="FIX PAY",0,1)*8)</f>
        <v/>
      </c>
      <c r="K13" s="419" t="str">
        <f t="shared" ref="K13:K25" si="38">IF(AND(G13=""),"",H13+J13)</f>
        <v/>
      </c>
      <c r="L13" s="419" t="str">
        <f t="shared" ref="L13:L25" si="39">IF(AND(G13=""),"",IF(M13="FIX PAY",K13,((IF(M13="FIX PAY",0,AD13*4+G13*8)))))</f>
        <v/>
      </c>
      <c r="M13" s="419" t="str">
        <f>IF(ISNA(VLOOKUP(A13,Master!AE$60:AQ$107,12,FALSE)),"",VLOOKUP(A13,Master!AE$60:AQ$107,12,FALSE))</f>
        <v/>
      </c>
      <c r="N13" s="163"/>
      <c r="O13" s="163"/>
      <c r="P13" s="163"/>
      <c r="Q13" s="163">
        <f t="shared" si="0"/>
        <v>0</v>
      </c>
      <c r="R13" s="52">
        <f t="shared" ref="R13:R35" si="40">IF(E13&gt;0,1,0)</f>
        <v>1</v>
      </c>
      <c r="S13" s="1" t="str">
        <f>IF(ISNA(VLOOKUP(A13,Master!AE$60:AQ$107,10,FALSE)),"",VLOOKUP(A13,Master!AE$60:AQ$107,10,FALSE))</f>
        <v/>
      </c>
      <c r="T13" s="77"/>
      <c r="U13" s="77"/>
      <c r="V13" s="78" t="str">
        <f>IF(ISNA(VLOOKUP(A13,Master!AE$60:AQ$107,11,FALSE)),"",VLOOKUP(A13,Master!AE$60:AQ$107,11,FALSE))</f>
        <v/>
      </c>
      <c r="W13" s="78" t="str">
        <f>IF(ISNA(VLOOKUP(A13,Master!AE$60:AQ$107,9,FALSE)),"",VLOOKUP(A13,Master!AE$60:AQ$107,9,FALSE))</f>
        <v/>
      </c>
      <c r="X13" s="79">
        <f t="shared" si="1"/>
        <v>0</v>
      </c>
      <c r="Y13" s="79">
        <f t="shared" si="2"/>
        <v>0</v>
      </c>
      <c r="Z13" s="79">
        <f t="shared" si="3"/>
        <v>0</v>
      </c>
      <c r="AA13" s="79">
        <f t="shared" si="4"/>
        <v>0</v>
      </c>
      <c r="AB13" s="79">
        <f t="shared" si="5"/>
        <v>0</v>
      </c>
      <c r="AC13" s="79">
        <f t="shared" si="6"/>
        <v>0</v>
      </c>
      <c r="AD13" s="80" t="str">
        <f t="shared" ref="AD13:AD25" si="41">IF(AND(G13=""),"",G13-ROUNDUP(ROUND((G13*3%)-(G13*3%)*2.9%,-2),0))</f>
        <v/>
      </c>
      <c r="AE13" s="80" t="str">
        <f t="shared" ref="AE13:AE25" si="42">IF(AND(G13=""),"",$K13*$BO13)</f>
        <v/>
      </c>
      <c r="AF13" s="80" t="str">
        <f t="shared" ref="AF13:AF25" si="43">IF(AND(G13=""),"",$K13*$BP13)</f>
        <v/>
      </c>
      <c r="AG13" s="80" t="str">
        <f t="shared" ref="AG13:AG25" si="44">IF(AND(G13=""),"",$K13*$BQ13)</f>
        <v/>
      </c>
      <c r="AH13" s="80" t="str">
        <f t="shared" ref="AH13:AH25" si="45">IF(AND(G13=""),"",$K13*$BR13)</f>
        <v/>
      </c>
      <c r="AI13" s="78" t="str">
        <f t="shared" ref="AI13:AI25" si="46">IF(AND(AE13=""),"",ROUND((AE13+AF13)*$AI$10,0)*BS13)</f>
        <v/>
      </c>
      <c r="AJ13" s="78">
        <v>0</v>
      </c>
      <c r="AK13" s="79">
        <v>0</v>
      </c>
      <c r="AL13" s="78" t="str">
        <f t="shared" ref="AL13:AL24" si="47">IF(AND(AE13=""),"",ROUND((AE13+AF13)*$AL$10,0)*BS13)</f>
        <v/>
      </c>
      <c r="AM13" s="79">
        <f t="shared" si="7"/>
        <v>0</v>
      </c>
      <c r="AN13" s="78">
        <f t="shared" ref="AN13:AN71" si="48">IF(AND(G13=""),0,ROUND((G13+ROUND(G13*$AI$10,0))/2,0)*(IF(M13="FIX PAY",0,1)))</f>
        <v>0</v>
      </c>
      <c r="AO13" s="78">
        <f t="shared" si="8"/>
        <v>0</v>
      </c>
      <c r="AP13" s="78">
        <f t="shared" si="9"/>
        <v>0</v>
      </c>
      <c r="AQ13" s="78">
        <f t="shared" si="10"/>
        <v>0</v>
      </c>
      <c r="AR13" s="80">
        <f t="shared" si="11"/>
        <v>0</v>
      </c>
      <c r="AS13" s="80">
        <f t="shared" si="12"/>
        <v>0</v>
      </c>
      <c r="AT13" s="78"/>
      <c r="AU13" s="78"/>
      <c r="AV13" s="80">
        <f t="shared" si="13"/>
        <v>0</v>
      </c>
      <c r="AW13" s="80">
        <f t="shared" si="14"/>
        <v>0</v>
      </c>
      <c r="AX13" s="80">
        <f t="shared" si="15"/>
        <v>0</v>
      </c>
      <c r="AY13" s="80">
        <f t="shared" si="16"/>
        <v>0</v>
      </c>
      <c r="AZ13" s="80">
        <f t="shared" si="17"/>
        <v>0</v>
      </c>
      <c r="BA13" s="78">
        <f t="shared" si="18"/>
        <v>0</v>
      </c>
      <c r="BB13" s="78">
        <f t="shared" si="19"/>
        <v>0</v>
      </c>
      <c r="BC13" s="79">
        <v>0</v>
      </c>
      <c r="BD13" s="78">
        <f t="shared" si="20"/>
        <v>0</v>
      </c>
      <c r="BE13" s="79">
        <f t="shared" si="21"/>
        <v>0</v>
      </c>
      <c r="BF13" s="78">
        <f t="shared" ref="BF13:BF71" si="49">IF(AND(G13=""),0,ROUND((AD13+ROUND(AD13*$AI$10,0))/2,0)*(IF(M13="FIX PAY",0,1)))</f>
        <v>0</v>
      </c>
      <c r="BG13" s="78">
        <f t="shared" si="22"/>
        <v>0</v>
      </c>
      <c r="BH13" s="78">
        <f t="shared" si="23"/>
        <v>0</v>
      </c>
      <c r="BI13" s="78">
        <f t="shared" si="24"/>
        <v>0</v>
      </c>
      <c r="BJ13" s="80">
        <f t="shared" si="25"/>
        <v>0</v>
      </c>
      <c r="BK13" s="80">
        <f t="shared" si="26"/>
        <v>0</v>
      </c>
      <c r="BL13" s="78"/>
      <c r="BM13" s="78"/>
      <c r="BN13" s="80">
        <f t="shared" si="27"/>
        <v>0</v>
      </c>
      <c r="BO13" s="74">
        <f t="shared" si="28"/>
        <v>0</v>
      </c>
      <c r="BP13" s="74">
        <f>IF(BO13&lt;=0,1,0)*(IF(M13="FIX PAY",0,1))</f>
        <v>1</v>
      </c>
      <c r="BQ13" s="74">
        <f t="shared" si="30"/>
        <v>0</v>
      </c>
      <c r="BR13" s="74">
        <f t="shared" si="31"/>
        <v>0</v>
      </c>
      <c r="BS13" s="74">
        <f t="shared" ref="BS13:BS71" si="50">IF(M13="FIX PAY",1,0)</f>
        <v>0</v>
      </c>
      <c r="BT13" s="74">
        <f t="shared" si="32"/>
        <v>1</v>
      </c>
      <c r="BU13" s="60">
        <f t="shared" si="33"/>
        <v>0</v>
      </c>
      <c r="BV13" s="81">
        <f t="shared" ref="BV13:BV25" si="51">IF(G13&lt;=0,0,1)</f>
        <v>1</v>
      </c>
      <c r="BW13" s="60">
        <f t="shared" ref="BW13:BW71" si="52">IF(M13="SANVIDA",1,0)</f>
        <v>0</v>
      </c>
      <c r="BX13" s="60">
        <f t="shared" ref="BX13:BX71" si="53">IF(BW13&gt;0,G13,0)</f>
        <v>0</v>
      </c>
      <c r="BY13" s="49" t="str">
        <f t="shared" si="34"/>
        <v/>
      </c>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row>
    <row r="14" spans="1:101" s="76" customFormat="1" ht="15.75">
      <c r="A14" s="125">
        <v>3</v>
      </c>
      <c r="B14" s="414" t="str">
        <f>IF(ISNA(VLOOKUP(A14,Master!AE$60:AQ$107,3,FALSE)),"",VLOOKUP(A14,Master!AE$60:AQ$107,3,FALSE))</f>
        <v/>
      </c>
      <c r="C14" s="415" t="str">
        <f>IF(ISNA(VLOOKUP(A14,Master!AE$60:AQ$107,7,FALSE)),"",VLOOKUP(A14,Master!AE$60:AQ$107,7,FALSE))</f>
        <v/>
      </c>
      <c r="D14" s="416" t="str">
        <f>IF(ISNA(VLOOKUP(A14,Master!AE$60:AQ$107,8,FALSE)),"",VLOOKUP(A14,Master!AE$60:AQ$107,8,FALSE))</f>
        <v/>
      </c>
      <c r="E14" s="417" t="str">
        <f>IF(ISNA(VLOOKUP(A14,Master!AE$60:AQ$107,4,FALSE)),"",VLOOKUP(A14,Master!AE$60:AQ$107,4,FALSE))</f>
        <v/>
      </c>
      <c r="F14" s="124" t="str">
        <f>IF(ISNA(VLOOKUP(A14,Master!AE$60:AQ$107,5,FALSE)),"",VLOOKUP(A14,Master!AE$60:AQ$107,5,FALSE))</f>
        <v/>
      </c>
      <c r="G14" s="419" t="str">
        <f>IF(ISNA(VLOOKUP(A14,Master!AE$60:AQ$107,6,FALSE)),"",VLOOKUP(A14,Master!AE$60:AQ$107,6,FALSE))</f>
        <v/>
      </c>
      <c r="H14" s="419" t="str">
        <f t="shared" si="35"/>
        <v/>
      </c>
      <c r="I14" s="420" t="str">
        <f t="shared" ca="1" si="36"/>
        <v/>
      </c>
      <c r="J14" s="419" t="str">
        <f t="shared" si="37"/>
        <v/>
      </c>
      <c r="K14" s="419" t="str">
        <f t="shared" si="38"/>
        <v/>
      </c>
      <c r="L14" s="419" t="str">
        <f t="shared" si="39"/>
        <v/>
      </c>
      <c r="M14" s="419" t="str">
        <f>IF(ISNA(VLOOKUP(A14,Master!AE$60:AQ$107,12,FALSE)),"",VLOOKUP(A14,Master!AE$60:AQ$107,12,FALSE))</f>
        <v/>
      </c>
      <c r="N14" s="163"/>
      <c r="O14" s="163"/>
      <c r="P14" s="163"/>
      <c r="Q14" s="163">
        <f t="shared" si="0"/>
        <v>0</v>
      </c>
      <c r="R14" s="52">
        <f t="shared" si="40"/>
        <v>1</v>
      </c>
      <c r="S14" s="1" t="str">
        <f>IF(ISNA(VLOOKUP(A14,Master!AE$60:AQ$107,10,FALSE)),"",VLOOKUP(A14,Master!AE$60:AQ$107,10,FALSE))</f>
        <v/>
      </c>
      <c r="T14" s="77"/>
      <c r="U14" s="77"/>
      <c r="V14" s="78" t="str">
        <f>IF(ISNA(VLOOKUP(A14,Master!AE$60:AQ$107,11,FALSE)),"",VLOOKUP(A14,Master!AE$60:AQ$107,11,FALSE))</f>
        <v/>
      </c>
      <c r="W14" s="78" t="str">
        <f>IF(ISNA(VLOOKUP(A14,Master!AE$60:AQ$107,9,FALSE)),"",VLOOKUP(A14,Master!AE$60:AQ$107,9,FALSE))</f>
        <v/>
      </c>
      <c r="X14" s="79">
        <f t="shared" si="1"/>
        <v>0</v>
      </c>
      <c r="Y14" s="79">
        <f t="shared" si="2"/>
        <v>0</v>
      </c>
      <c r="Z14" s="79">
        <f t="shared" si="3"/>
        <v>0</v>
      </c>
      <c r="AA14" s="79">
        <f t="shared" si="4"/>
        <v>0</v>
      </c>
      <c r="AB14" s="79">
        <f t="shared" si="5"/>
        <v>0</v>
      </c>
      <c r="AC14" s="79">
        <f t="shared" si="6"/>
        <v>0</v>
      </c>
      <c r="AD14" s="80" t="str">
        <f t="shared" si="41"/>
        <v/>
      </c>
      <c r="AE14" s="80" t="str">
        <f t="shared" si="42"/>
        <v/>
      </c>
      <c r="AF14" s="80" t="str">
        <f t="shared" si="43"/>
        <v/>
      </c>
      <c r="AG14" s="80" t="str">
        <f t="shared" si="44"/>
        <v/>
      </c>
      <c r="AH14" s="80" t="str">
        <f t="shared" si="45"/>
        <v/>
      </c>
      <c r="AI14" s="78" t="str">
        <f t="shared" si="46"/>
        <v/>
      </c>
      <c r="AJ14" s="78">
        <v>0</v>
      </c>
      <c r="AK14" s="79">
        <v>0</v>
      </c>
      <c r="AL14" s="78" t="str">
        <f t="shared" si="47"/>
        <v/>
      </c>
      <c r="AM14" s="79">
        <f t="shared" si="7"/>
        <v>0</v>
      </c>
      <c r="AN14" s="78">
        <f t="shared" si="48"/>
        <v>0</v>
      </c>
      <c r="AO14" s="78">
        <f t="shared" si="8"/>
        <v>0</v>
      </c>
      <c r="AP14" s="78">
        <f t="shared" si="9"/>
        <v>0</v>
      </c>
      <c r="AQ14" s="78">
        <f t="shared" si="10"/>
        <v>0</v>
      </c>
      <c r="AR14" s="80">
        <f t="shared" si="11"/>
        <v>0</v>
      </c>
      <c r="AS14" s="80">
        <f t="shared" si="12"/>
        <v>0</v>
      </c>
      <c r="AT14" s="78"/>
      <c r="AU14" s="78"/>
      <c r="AV14" s="80">
        <f t="shared" si="13"/>
        <v>0</v>
      </c>
      <c r="AW14" s="80">
        <f t="shared" si="14"/>
        <v>0</v>
      </c>
      <c r="AX14" s="80">
        <f t="shared" si="15"/>
        <v>0</v>
      </c>
      <c r="AY14" s="80">
        <f t="shared" si="16"/>
        <v>0</v>
      </c>
      <c r="AZ14" s="80">
        <f t="shared" si="17"/>
        <v>0</v>
      </c>
      <c r="BA14" s="78">
        <f t="shared" si="18"/>
        <v>0</v>
      </c>
      <c r="BB14" s="78">
        <f t="shared" si="19"/>
        <v>0</v>
      </c>
      <c r="BC14" s="79">
        <v>0</v>
      </c>
      <c r="BD14" s="78">
        <f t="shared" si="20"/>
        <v>0</v>
      </c>
      <c r="BE14" s="79">
        <f t="shared" si="21"/>
        <v>0</v>
      </c>
      <c r="BF14" s="78">
        <f t="shared" si="49"/>
        <v>0</v>
      </c>
      <c r="BG14" s="78">
        <f t="shared" si="22"/>
        <v>0</v>
      </c>
      <c r="BH14" s="78">
        <f t="shared" si="23"/>
        <v>0</v>
      </c>
      <c r="BI14" s="78">
        <f t="shared" si="24"/>
        <v>0</v>
      </c>
      <c r="BJ14" s="80">
        <f t="shared" si="25"/>
        <v>0</v>
      </c>
      <c r="BK14" s="80">
        <f t="shared" si="26"/>
        <v>0</v>
      </c>
      <c r="BL14" s="78"/>
      <c r="BM14" s="78"/>
      <c r="BN14" s="80">
        <f t="shared" si="27"/>
        <v>0</v>
      </c>
      <c r="BO14" s="74">
        <f t="shared" si="28"/>
        <v>0</v>
      </c>
      <c r="BP14" s="74">
        <f t="shared" si="29"/>
        <v>1</v>
      </c>
      <c r="BQ14" s="74">
        <f t="shared" si="30"/>
        <v>0</v>
      </c>
      <c r="BR14" s="74">
        <f t="shared" si="31"/>
        <v>0</v>
      </c>
      <c r="BS14" s="74">
        <f t="shared" si="50"/>
        <v>0</v>
      </c>
      <c r="BT14" s="74">
        <f t="shared" si="32"/>
        <v>1</v>
      </c>
      <c r="BU14" s="60">
        <f t="shared" si="33"/>
        <v>0</v>
      </c>
      <c r="BV14" s="81">
        <f t="shared" si="51"/>
        <v>1</v>
      </c>
      <c r="BW14" s="60">
        <f t="shared" si="52"/>
        <v>0</v>
      </c>
      <c r="BX14" s="60">
        <f t="shared" si="53"/>
        <v>0</v>
      </c>
      <c r="BY14" s="49" t="str">
        <f t="shared" si="34"/>
        <v/>
      </c>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row>
    <row r="15" spans="1:101" s="76" customFormat="1" ht="15.75">
      <c r="A15" s="125">
        <v>4</v>
      </c>
      <c r="B15" s="414" t="str">
        <f>IF(ISNA(VLOOKUP(A15,Master!AE$60:AQ$107,3,FALSE)),"",VLOOKUP(A15,Master!AE$60:AQ$107,3,FALSE))</f>
        <v/>
      </c>
      <c r="C15" s="415" t="str">
        <f>IF(ISNA(VLOOKUP(A15,Master!AE$60:AQ$107,7,FALSE)),"",VLOOKUP(A15,Master!AE$60:AQ$107,7,FALSE))</f>
        <v/>
      </c>
      <c r="D15" s="416" t="str">
        <f>IF(ISNA(VLOOKUP(A15,Master!AE$60:AQ$107,8,FALSE)),"",VLOOKUP(A15,Master!AE$60:AQ$107,8,FALSE))</f>
        <v/>
      </c>
      <c r="E15" s="417" t="str">
        <f>IF(ISNA(VLOOKUP(A15,Master!AE$60:AQ$107,4,FALSE)),"",VLOOKUP(A15,Master!AE$60:AQ$107,4,FALSE))</f>
        <v/>
      </c>
      <c r="F15" s="124" t="str">
        <f>IF(ISNA(VLOOKUP(A15,Master!AE$60:AQ$107,5,FALSE)),"",VLOOKUP(A15,Master!AE$60:AQ$107,5,FALSE))</f>
        <v/>
      </c>
      <c r="G15" s="419" t="str">
        <f>IF(ISNA(VLOOKUP(A15,Master!AE$60:AQ$107,6,FALSE)),"",VLOOKUP(A15,Master!AE$60:AQ$107,6,FALSE))</f>
        <v/>
      </c>
      <c r="H15" s="419" t="str">
        <f t="shared" si="35"/>
        <v/>
      </c>
      <c r="I15" s="420" t="str">
        <f t="shared" ca="1" si="36"/>
        <v/>
      </c>
      <c r="J15" s="419" t="str">
        <f t="shared" si="37"/>
        <v/>
      </c>
      <c r="K15" s="419" t="str">
        <f t="shared" si="38"/>
        <v/>
      </c>
      <c r="L15" s="419" t="str">
        <f t="shared" si="39"/>
        <v/>
      </c>
      <c r="M15" s="419" t="str">
        <f>IF(ISNA(VLOOKUP(A15,Master!AE$60:AQ$107,12,FALSE)),"",VLOOKUP(A15,Master!AE$60:AQ$107,12,FALSE))</f>
        <v/>
      </c>
      <c r="N15" s="163"/>
      <c r="O15" s="163"/>
      <c r="P15" s="163"/>
      <c r="Q15" s="163">
        <f t="shared" si="0"/>
        <v>0</v>
      </c>
      <c r="R15" s="52">
        <f t="shared" si="40"/>
        <v>1</v>
      </c>
      <c r="S15" s="1" t="str">
        <f>IF(ISNA(VLOOKUP(A15,Master!AE$60:AQ$107,10,FALSE)),"",VLOOKUP(A15,Master!AE$60:AQ$107,10,FALSE))</f>
        <v/>
      </c>
      <c r="T15" s="77"/>
      <c r="U15" s="77"/>
      <c r="V15" s="78" t="str">
        <f>IF(ISNA(VLOOKUP(A15,Master!AE$60:AQ$107,11,FALSE)),"",VLOOKUP(A15,Master!AE$60:AQ$107,11,FALSE))</f>
        <v/>
      </c>
      <c r="W15" s="78" t="str">
        <f>IF(ISNA(VLOOKUP(A15,Master!AE$60:AQ$107,9,FALSE)),"",VLOOKUP(A15,Master!AE$60:AQ$107,9,FALSE))</f>
        <v/>
      </c>
      <c r="X15" s="79">
        <f t="shared" si="1"/>
        <v>0</v>
      </c>
      <c r="Y15" s="79">
        <f t="shared" si="2"/>
        <v>0</v>
      </c>
      <c r="Z15" s="79">
        <f t="shared" si="3"/>
        <v>0</v>
      </c>
      <c r="AA15" s="79">
        <f t="shared" si="4"/>
        <v>0</v>
      </c>
      <c r="AB15" s="79">
        <f t="shared" si="5"/>
        <v>0</v>
      </c>
      <c r="AC15" s="79">
        <f t="shared" si="6"/>
        <v>0</v>
      </c>
      <c r="AD15" s="80" t="str">
        <f t="shared" si="41"/>
        <v/>
      </c>
      <c r="AE15" s="80" t="str">
        <f t="shared" si="42"/>
        <v/>
      </c>
      <c r="AF15" s="80" t="str">
        <f t="shared" si="43"/>
        <v/>
      </c>
      <c r="AG15" s="80" t="str">
        <f t="shared" si="44"/>
        <v/>
      </c>
      <c r="AH15" s="80" t="str">
        <f t="shared" si="45"/>
        <v/>
      </c>
      <c r="AI15" s="78" t="str">
        <f t="shared" si="46"/>
        <v/>
      </c>
      <c r="AJ15" s="78">
        <v>0</v>
      </c>
      <c r="AK15" s="79">
        <v>0</v>
      </c>
      <c r="AL15" s="78" t="str">
        <f t="shared" si="47"/>
        <v/>
      </c>
      <c r="AM15" s="79">
        <f t="shared" si="7"/>
        <v>0</v>
      </c>
      <c r="AN15" s="78">
        <f t="shared" si="48"/>
        <v>0</v>
      </c>
      <c r="AO15" s="78">
        <f t="shared" si="8"/>
        <v>0</v>
      </c>
      <c r="AP15" s="78">
        <f t="shared" si="9"/>
        <v>0</v>
      </c>
      <c r="AQ15" s="78">
        <f t="shared" si="10"/>
        <v>0</v>
      </c>
      <c r="AR15" s="80">
        <f t="shared" si="11"/>
        <v>0</v>
      </c>
      <c r="AS15" s="80">
        <f t="shared" si="12"/>
        <v>0</v>
      </c>
      <c r="AT15" s="78"/>
      <c r="AU15" s="78"/>
      <c r="AV15" s="80">
        <f t="shared" si="13"/>
        <v>0</v>
      </c>
      <c r="AW15" s="80">
        <f t="shared" si="14"/>
        <v>0</v>
      </c>
      <c r="AX15" s="80">
        <f t="shared" si="15"/>
        <v>0</v>
      </c>
      <c r="AY15" s="80">
        <f t="shared" si="16"/>
        <v>0</v>
      </c>
      <c r="AZ15" s="80">
        <f t="shared" si="17"/>
        <v>0</v>
      </c>
      <c r="BA15" s="78">
        <f t="shared" si="18"/>
        <v>0</v>
      </c>
      <c r="BB15" s="78">
        <f t="shared" si="19"/>
        <v>0</v>
      </c>
      <c r="BC15" s="79">
        <v>0</v>
      </c>
      <c r="BD15" s="78">
        <f t="shared" si="20"/>
        <v>0</v>
      </c>
      <c r="BE15" s="79">
        <f t="shared" si="21"/>
        <v>0</v>
      </c>
      <c r="BF15" s="78">
        <f t="shared" si="49"/>
        <v>0</v>
      </c>
      <c r="BG15" s="78">
        <f t="shared" si="22"/>
        <v>0</v>
      </c>
      <c r="BH15" s="78">
        <f t="shared" si="23"/>
        <v>0</v>
      </c>
      <c r="BI15" s="78">
        <f t="shared" si="24"/>
        <v>0</v>
      </c>
      <c r="BJ15" s="80">
        <f t="shared" si="25"/>
        <v>0</v>
      </c>
      <c r="BK15" s="80">
        <f t="shared" si="26"/>
        <v>0</v>
      </c>
      <c r="BL15" s="78"/>
      <c r="BM15" s="78"/>
      <c r="BN15" s="80">
        <f t="shared" si="27"/>
        <v>0</v>
      </c>
      <c r="BO15" s="74">
        <f t="shared" si="28"/>
        <v>0</v>
      </c>
      <c r="BP15" s="74">
        <f t="shared" si="29"/>
        <v>1</v>
      </c>
      <c r="BQ15" s="74">
        <f t="shared" si="30"/>
        <v>0</v>
      </c>
      <c r="BR15" s="74">
        <f t="shared" si="31"/>
        <v>0</v>
      </c>
      <c r="BS15" s="74">
        <f t="shared" si="50"/>
        <v>0</v>
      </c>
      <c r="BT15" s="74">
        <f t="shared" si="32"/>
        <v>1</v>
      </c>
      <c r="BU15" s="60">
        <f t="shared" si="33"/>
        <v>0</v>
      </c>
      <c r="BV15" s="81">
        <f t="shared" si="51"/>
        <v>1</v>
      </c>
      <c r="BW15" s="60">
        <f t="shared" si="52"/>
        <v>0</v>
      </c>
      <c r="BX15" s="60">
        <f t="shared" si="53"/>
        <v>0</v>
      </c>
      <c r="BY15" s="49" t="str">
        <f t="shared" si="34"/>
        <v/>
      </c>
      <c r="BZ15" s="82"/>
      <c r="CA15" s="49"/>
      <c r="CB15" s="49"/>
      <c r="CC15" s="49"/>
      <c r="CD15" s="49"/>
      <c r="CE15" s="49"/>
      <c r="CF15" s="49"/>
      <c r="CG15" s="49"/>
      <c r="CH15" s="49"/>
      <c r="CI15" s="49"/>
      <c r="CJ15" s="49"/>
      <c r="CK15" s="49"/>
      <c r="CL15" s="49"/>
      <c r="CM15" s="49"/>
      <c r="CN15" s="49"/>
      <c r="CO15" s="49"/>
      <c r="CP15" s="49"/>
      <c r="CQ15" s="49"/>
      <c r="CR15" s="49"/>
      <c r="CS15" s="49"/>
      <c r="CT15" s="49"/>
      <c r="CU15" s="49"/>
      <c r="CV15" s="49"/>
      <c r="CW15" s="49"/>
    </row>
    <row r="16" spans="1:101" s="76" customFormat="1" ht="15.75">
      <c r="A16" s="125">
        <v>5</v>
      </c>
      <c r="B16" s="414" t="str">
        <f>IF(ISNA(VLOOKUP(A16,Master!AE$60:AQ$107,3,FALSE)),"",VLOOKUP(A16,Master!AE$60:AQ$107,3,FALSE))</f>
        <v/>
      </c>
      <c r="C16" s="415" t="str">
        <f>IF(ISNA(VLOOKUP(A16,Master!AE$60:AQ$107,7,FALSE)),"",VLOOKUP(A16,Master!AE$60:AQ$107,7,FALSE))</f>
        <v/>
      </c>
      <c r="D16" s="416" t="str">
        <f>IF(ISNA(VLOOKUP(A16,Master!AE$60:AQ$107,8,FALSE)),"",VLOOKUP(A16,Master!AE$60:AQ$107,8,FALSE))</f>
        <v/>
      </c>
      <c r="E16" s="417" t="str">
        <f>IF(ISNA(VLOOKUP(A16,Master!AE$60:AQ$107,4,FALSE)),"",VLOOKUP(A16,Master!AE$60:AQ$107,4,FALSE))</f>
        <v/>
      </c>
      <c r="F16" s="124" t="str">
        <f>IF(ISNA(VLOOKUP(A16,Master!AE$60:AQ$107,5,FALSE)),"",VLOOKUP(A16,Master!AE$60:AQ$107,5,FALSE))</f>
        <v/>
      </c>
      <c r="G16" s="419" t="str">
        <f>IF(ISNA(VLOOKUP(A16,Master!AE$60:AQ$107,6,FALSE)),"",VLOOKUP(A16,Master!AE$60:AQ$107,6,FALSE))</f>
        <v/>
      </c>
      <c r="H16" s="419" t="str">
        <f t="shared" si="35"/>
        <v/>
      </c>
      <c r="I16" s="420" t="str">
        <f t="shared" ca="1" si="36"/>
        <v/>
      </c>
      <c r="J16" s="419" t="str">
        <f t="shared" si="37"/>
        <v/>
      </c>
      <c r="K16" s="419" t="str">
        <f t="shared" si="38"/>
        <v/>
      </c>
      <c r="L16" s="419" t="str">
        <f t="shared" si="39"/>
        <v/>
      </c>
      <c r="M16" s="419" t="str">
        <f>IF(ISNA(VLOOKUP(A16,Master!AE$60:AQ$107,12,FALSE)),"",VLOOKUP(A16,Master!AE$60:AQ$107,12,FALSE))</f>
        <v/>
      </c>
      <c r="N16" s="163"/>
      <c r="O16" s="163"/>
      <c r="P16" s="163"/>
      <c r="Q16" s="163">
        <f t="shared" si="0"/>
        <v>0</v>
      </c>
      <c r="R16" s="52">
        <f t="shared" si="40"/>
        <v>1</v>
      </c>
      <c r="S16" s="1" t="str">
        <f>IF(ISNA(VLOOKUP(A16,Master!AE$60:AQ$107,10,FALSE)),"",VLOOKUP(A16,Master!AE$60:AQ$107,10,FALSE))</f>
        <v/>
      </c>
      <c r="T16" s="77"/>
      <c r="U16" s="77"/>
      <c r="V16" s="78" t="str">
        <f>IF(ISNA(VLOOKUP(A16,Master!AE$60:AQ$107,11,FALSE)),"",VLOOKUP(A16,Master!AE$60:AQ$107,11,FALSE))</f>
        <v/>
      </c>
      <c r="W16" s="78" t="str">
        <f>IF(ISNA(VLOOKUP(A16,Master!AE$60:AQ$107,9,FALSE)),"",VLOOKUP(A16,Master!AE$60:AQ$107,9,FALSE))</f>
        <v/>
      </c>
      <c r="X16" s="79">
        <f t="shared" si="1"/>
        <v>0</v>
      </c>
      <c r="Y16" s="79">
        <f t="shared" si="2"/>
        <v>0</v>
      </c>
      <c r="Z16" s="79">
        <f t="shared" si="3"/>
        <v>0</v>
      </c>
      <c r="AA16" s="79">
        <f t="shared" si="4"/>
        <v>0</v>
      </c>
      <c r="AB16" s="79">
        <f t="shared" si="5"/>
        <v>0</v>
      </c>
      <c r="AC16" s="79">
        <f t="shared" si="6"/>
        <v>0</v>
      </c>
      <c r="AD16" s="80" t="str">
        <f t="shared" si="41"/>
        <v/>
      </c>
      <c r="AE16" s="80" t="str">
        <f t="shared" si="42"/>
        <v/>
      </c>
      <c r="AF16" s="80" t="str">
        <f t="shared" si="43"/>
        <v/>
      </c>
      <c r="AG16" s="80" t="str">
        <f t="shared" si="44"/>
        <v/>
      </c>
      <c r="AH16" s="80" t="str">
        <f t="shared" si="45"/>
        <v/>
      </c>
      <c r="AI16" s="78" t="str">
        <f t="shared" si="46"/>
        <v/>
      </c>
      <c r="AJ16" s="78">
        <v>0</v>
      </c>
      <c r="AK16" s="79">
        <v>0</v>
      </c>
      <c r="AL16" s="78" t="str">
        <f t="shared" si="47"/>
        <v/>
      </c>
      <c r="AM16" s="79">
        <f t="shared" si="7"/>
        <v>0</v>
      </c>
      <c r="AN16" s="78">
        <f t="shared" si="48"/>
        <v>0</v>
      </c>
      <c r="AO16" s="78">
        <f t="shared" si="8"/>
        <v>0</v>
      </c>
      <c r="AP16" s="78">
        <f t="shared" si="9"/>
        <v>0</v>
      </c>
      <c r="AQ16" s="78">
        <f t="shared" si="10"/>
        <v>0</v>
      </c>
      <c r="AR16" s="80">
        <f t="shared" si="11"/>
        <v>0</v>
      </c>
      <c r="AS16" s="80">
        <f t="shared" si="12"/>
        <v>0</v>
      </c>
      <c r="AT16" s="78"/>
      <c r="AU16" s="78"/>
      <c r="AV16" s="80">
        <f t="shared" si="13"/>
        <v>0</v>
      </c>
      <c r="AW16" s="80">
        <f t="shared" si="14"/>
        <v>0</v>
      </c>
      <c r="AX16" s="80">
        <f t="shared" si="15"/>
        <v>0</v>
      </c>
      <c r="AY16" s="80">
        <f t="shared" si="16"/>
        <v>0</v>
      </c>
      <c r="AZ16" s="80">
        <f t="shared" si="17"/>
        <v>0</v>
      </c>
      <c r="BA16" s="78">
        <f t="shared" si="18"/>
        <v>0</v>
      </c>
      <c r="BB16" s="78">
        <f t="shared" si="19"/>
        <v>0</v>
      </c>
      <c r="BC16" s="79">
        <v>0</v>
      </c>
      <c r="BD16" s="78">
        <f t="shared" si="20"/>
        <v>0</v>
      </c>
      <c r="BE16" s="79">
        <f t="shared" si="21"/>
        <v>0</v>
      </c>
      <c r="BF16" s="78">
        <f t="shared" si="49"/>
        <v>0</v>
      </c>
      <c r="BG16" s="78">
        <f t="shared" si="22"/>
        <v>0</v>
      </c>
      <c r="BH16" s="78">
        <f t="shared" si="23"/>
        <v>0</v>
      </c>
      <c r="BI16" s="78">
        <f t="shared" si="24"/>
        <v>0</v>
      </c>
      <c r="BJ16" s="80">
        <f t="shared" si="25"/>
        <v>0</v>
      </c>
      <c r="BK16" s="80">
        <f t="shared" si="26"/>
        <v>0</v>
      </c>
      <c r="BL16" s="78"/>
      <c r="BM16" s="78"/>
      <c r="BN16" s="80">
        <f t="shared" si="27"/>
        <v>0</v>
      </c>
      <c r="BO16" s="74">
        <f t="shared" si="28"/>
        <v>0</v>
      </c>
      <c r="BP16" s="74">
        <f t="shared" si="29"/>
        <v>1</v>
      </c>
      <c r="BQ16" s="74">
        <f t="shared" si="30"/>
        <v>0</v>
      </c>
      <c r="BR16" s="74">
        <f t="shared" si="31"/>
        <v>0</v>
      </c>
      <c r="BS16" s="74">
        <f t="shared" si="50"/>
        <v>0</v>
      </c>
      <c r="BT16" s="74">
        <f t="shared" si="32"/>
        <v>1</v>
      </c>
      <c r="BU16" s="60">
        <f t="shared" si="33"/>
        <v>0</v>
      </c>
      <c r="BV16" s="81">
        <f t="shared" si="51"/>
        <v>1</v>
      </c>
      <c r="BW16" s="60">
        <f t="shared" si="52"/>
        <v>0</v>
      </c>
      <c r="BX16" s="60">
        <f t="shared" si="53"/>
        <v>0</v>
      </c>
      <c r="BY16" s="49" t="str">
        <f t="shared" si="34"/>
        <v/>
      </c>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row>
    <row r="17" spans="1:103" s="76" customFormat="1" ht="15.75">
      <c r="A17" s="125">
        <v>6</v>
      </c>
      <c r="B17" s="414" t="str">
        <f>IF(ISNA(VLOOKUP(A17,Master!AE$60:AQ$107,3,FALSE)),"",VLOOKUP(A17,Master!AE$60:AQ$107,3,FALSE))</f>
        <v/>
      </c>
      <c r="C17" s="415" t="str">
        <f>IF(ISNA(VLOOKUP(A17,Master!AE$60:AQ$107,7,FALSE)),"",VLOOKUP(A17,Master!AE$60:AQ$107,7,FALSE))</f>
        <v/>
      </c>
      <c r="D17" s="416" t="str">
        <f>IF(ISNA(VLOOKUP(A17,Master!AE$60:AQ$107,8,FALSE)),"",VLOOKUP(A17,Master!AE$60:AQ$107,8,FALSE))</f>
        <v/>
      </c>
      <c r="E17" s="417" t="str">
        <f>IF(ISNA(VLOOKUP(A17,Master!AE$60:AQ$107,4,FALSE)),"",VLOOKUP(A17,Master!AE$60:AQ$107,4,FALSE))</f>
        <v/>
      </c>
      <c r="F17" s="124" t="str">
        <f>IF(ISNA(VLOOKUP(A17,Master!AE$60:AQ$107,5,FALSE)),"",VLOOKUP(A17,Master!AE$60:AQ$107,5,FALSE))</f>
        <v/>
      </c>
      <c r="G17" s="419" t="str">
        <f>IF(ISNA(VLOOKUP(A17,Master!AE$60:AQ$107,6,FALSE)),"",VLOOKUP(A17,Master!AE$60:AQ$107,6,FALSE))</f>
        <v/>
      </c>
      <c r="H17" s="419" t="str">
        <f t="shared" si="35"/>
        <v/>
      </c>
      <c r="I17" s="420" t="str">
        <f t="shared" ca="1" si="36"/>
        <v/>
      </c>
      <c r="J17" s="419" t="str">
        <f t="shared" si="37"/>
        <v/>
      </c>
      <c r="K17" s="419" t="str">
        <f t="shared" si="38"/>
        <v/>
      </c>
      <c r="L17" s="419" t="str">
        <f t="shared" si="39"/>
        <v/>
      </c>
      <c r="M17" s="419" t="str">
        <f>IF(ISNA(VLOOKUP(A17,Master!AE$60:AQ$107,12,FALSE)),"",VLOOKUP(A17,Master!AE$60:AQ$107,12,FALSE))</f>
        <v/>
      </c>
      <c r="N17" s="163"/>
      <c r="O17" s="163"/>
      <c r="P17" s="163"/>
      <c r="Q17" s="163">
        <f t="shared" si="0"/>
        <v>0</v>
      </c>
      <c r="R17" s="52">
        <f t="shared" si="40"/>
        <v>1</v>
      </c>
      <c r="S17" s="1" t="str">
        <f>IF(ISNA(VLOOKUP(A17,Master!AE$60:AQ$107,10,FALSE)),"",VLOOKUP(A17,Master!AE$60:AQ$107,10,FALSE))</f>
        <v/>
      </c>
      <c r="T17" s="77"/>
      <c r="U17" s="77"/>
      <c r="V17" s="78" t="str">
        <f>IF(ISNA(VLOOKUP(A17,Master!AE$60:AQ$107,11,FALSE)),"",VLOOKUP(A17,Master!AE$60:AQ$107,11,FALSE))</f>
        <v/>
      </c>
      <c r="W17" s="78" t="str">
        <f>IF(ISNA(VLOOKUP(A17,Master!AE$60:AQ$107,9,FALSE)),"",VLOOKUP(A17,Master!AE$60:AQ$107,9,FALSE))</f>
        <v/>
      </c>
      <c r="X17" s="79">
        <f t="shared" si="1"/>
        <v>0</v>
      </c>
      <c r="Y17" s="79">
        <f t="shared" si="2"/>
        <v>0</v>
      </c>
      <c r="Z17" s="79">
        <f t="shared" si="3"/>
        <v>0</v>
      </c>
      <c r="AA17" s="79">
        <f t="shared" si="4"/>
        <v>0</v>
      </c>
      <c r="AB17" s="79">
        <f t="shared" si="5"/>
        <v>0</v>
      </c>
      <c r="AC17" s="79">
        <f t="shared" si="6"/>
        <v>0</v>
      </c>
      <c r="AD17" s="80" t="str">
        <f t="shared" si="41"/>
        <v/>
      </c>
      <c r="AE17" s="80" t="str">
        <f t="shared" si="42"/>
        <v/>
      </c>
      <c r="AF17" s="80" t="str">
        <f t="shared" si="43"/>
        <v/>
      </c>
      <c r="AG17" s="80" t="str">
        <f t="shared" si="44"/>
        <v/>
      </c>
      <c r="AH17" s="80" t="str">
        <f t="shared" si="45"/>
        <v/>
      </c>
      <c r="AI17" s="78" t="str">
        <f t="shared" si="46"/>
        <v/>
      </c>
      <c r="AJ17" s="78">
        <v>0</v>
      </c>
      <c r="AK17" s="79">
        <v>0</v>
      </c>
      <c r="AL17" s="78" t="str">
        <f t="shared" si="47"/>
        <v/>
      </c>
      <c r="AM17" s="79">
        <f t="shared" si="7"/>
        <v>0</v>
      </c>
      <c r="AN17" s="78">
        <f t="shared" si="48"/>
        <v>0</v>
      </c>
      <c r="AO17" s="78">
        <f t="shared" si="8"/>
        <v>0</v>
      </c>
      <c r="AP17" s="78">
        <f t="shared" si="9"/>
        <v>0</v>
      </c>
      <c r="AQ17" s="78">
        <f t="shared" si="10"/>
        <v>0</v>
      </c>
      <c r="AR17" s="80">
        <f t="shared" si="11"/>
        <v>0</v>
      </c>
      <c r="AS17" s="80">
        <f t="shared" si="12"/>
        <v>0</v>
      </c>
      <c r="AT17" s="78"/>
      <c r="AU17" s="78"/>
      <c r="AV17" s="80">
        <f t="shared" si="13"/>
        <v>0</v>
      </c>
      <c r="AW17" s="80">
        <f t="shared" si="14"/>
        <v>0</v>
      </c>
      <c r="AX17" s="80">
        <f t="shared" si="15"/>
        <v>0</v>
      </c>
      <c r="AY17" s="80">
        <f t="shared" si="16"/>
        <v>0</v>
      </c>
      <c r="AZ17" s="80">
        <f t="shared" si="17"/>
        <v>0</v>
      </c>
      <c r="BA17" s="78">
        <f t="shared" si="18"/>
        <v>0</v>
      </c>
      <c r="BB17" s="78">
        <f t="shared" si="19"/>
        <v>0</v>
      </c>
      <c r="BC17" s="79">
        <v>0</v>
      </c>
      <c r="BD17" s="78">
        <f t="shared" si="20"/>
        <v>0</v>
      </c>
      <c r="BE17" s="79">
        <f t="shared" si="21"/>
        <v>0</v>
      </c>
      <c r="BF17" s="78">
        <f t="shared" si="49"/>
        <v>0</v>
      </c>
      <c r="BG17" s="78">
        <f t="shared" si="22"/>
        <v>0</v>
      </c>
      <c r="BH17" s="78">
        <f t="shared" si="23"/>
        <v>0</v>
      </c>
      <c r="BI17" s="78">
        <f t="shared" si="24"/>
        <v>0</v>
      </c>
      <c r="BJ17" s="80">
        <f t="shared" si="25"/>
        <v>0</v>
      </c>
      <c r="BK17" s="80">
        <f t="shared" si="26"/>
        <v>0</v>
      </c>
      <c r="BL17" s="78"/>
      <c r="BM17" s="78"/>
      <c r="BN17" s="80">
        <f t="shared" si="27"/>
        <v>0</v>
      </c>
      <c r="BO17" s="74">
        <f t="shared" si="28"/>
        <v>0</v>
      </c>
      <c r="BP17" s="74">
        <f t="shared" si="29"/>
        <v>1</v>
      </c>
      <c r="BQ17" s="74">
        <f t="shared" si="30"/>
        <v>0</v>
      </c>
      <c r="BR17" s="74">
        <f t="shared" si="31"/>
        <v>0</v>
      </c>
      <c r="BS17" s="74">
        <f t="shared" si="50"/>
        <v>0</v>
      </c>
      <c r="BT17" s="74">
        <f t="shared" si="32"/>
        <v>1</v>
      </c>
      <c r="BU17" s="60">
        <f t="shared" si="33"/>
        <v>0</v>
      </c>
      <c r="BV17" s="81">
        <f t="shared" si="51"/>
        <v>1</v>
      </c>
      <c r="BW17" s="60">
        <f t="shared" si="52"/>
        <v>0</v>
      </c>
      <c r="BX17" s="60">
        <f t="shared" si="53"/>
        <v>0</v>
      </c>
      <c r="BY17" s="49" t="str">
        <f t="shared" si="34"/>
        <v/>
      </c>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row>
    <row r="18" spans="1:103" s="76" customFormat="1" ht="15.75">
      <c r="A18" s="125">
        <v>7</v>
      </c>
      <c r="B18" s="414" t="str">
        <f>IF(ISNA(VLOOKUP(A18,Master!AE$60:AQ$107,3,FALSE)),"",VLOOKUP(A18,Master!AE$60:AQ$107,3,FALSE))</f>
        <v/>
      </c>
      <c r="C18" s="415" t="str">
        <f>IF(ISNA(VLOOKUP(A18,Master!AE$60:AQ$107,7,FALSE)),"",VLOOKUP(A18,Master!AE$60:AQ$107,7,FALSE))</f>
        <v/>
      </c>
      <c r="D18" s="416" t="str">
        <f>IF(ISNA(VLOOKUP(A18,Master!AE$60:AQ$107,8,FALSE)),"",VLOOKUP(A18,Master!AE$60:AQ$107,8,FALSE))</f>
        <v/>
      </c>
      <c r="E18" s="417" t="str">
        <f>IF(ISNA(VLOOKUP(A18,Master!AE$60:AQ$107,4,FALSE)),"",VLOOKUP(A18,Master!AE$60:AQ$107,4,FALSE))</f>
        <v/>
      </c>
      <c r="F18" s="124" t="str">
        <f>IF(ISNA(VLOOKUP(A18,Master!AE$60:AQ$107,5,FALSE)),"",VLOOKUP(A18,Master!AE$60:AQ$107,5,FALSE))</f>
        <v/>
      </c>
      <c r="G18" s="419" t="str">
        <f>IF(ISNA(VLOOKUP(A18,Master!AE$60:AQ$107,6,FALSE)),"",VLOOKUP(A18,Master!AE$60:AQ$107,6,FALSE))</f>
        <v/>
      </c>
      <c r="H18" s="419" t="str">
        <f t="shared" si="35"/>
        <v/>
      </c>
      <c r="I18" s="420" t="str">
        <f t="shared" ca="1" si="36"/>
        <v/>
      </c>
      <c r="J18" s="419" t="str">
        <f t="shared" si="37"/>
        <v/>
      </c>
      <c r="K18" s="419" t="str">
        <f t="shared" si="38"/>
        <v/>
      </c>
      <c r="L18" s="419" t="str">
        <f t="shared" si="39"/>
        <v/>
      </c>
      <c r="M18" s="419" t="str">
        <f>IF(ISNA(VLOOKUP(A18,Master!AE$60:AQ$107,12,FALSE)),"",VLOOKUP(A18,Master!AE$60:AQ$107,12,FALSE))</f>
        <v/>
      </c>
      <c r="N18" s="163"/>
      <c r="O18" s="163"/>
      <c r="P18" s="163"/>
      <c r="Q18" s="163">
        <f t="shared" si="0"/>
        <v>0</v>
      </c>
      <c r="R18" s="52">
        <f t="shared" si="40"/>
        <v>1</v>
      </c>
      <c r="S18" s="1" t="str">
        <f>IF(ISNA(VLOOKUP(A18,Master!AE$60:AQ$107,10,FALSE)),"",VLOOKUP(A18,Master!AE$60:AQ$107,10,FALSE))</f>
        <v/>
      </c>
      <c r="T18" s="77"/>
      <c r="U18" s="77"/>
      <c r="V18" s="78" t="str">
        <f>IF(ISNA(VLOOKUP(A18,Master!AE$60:AQ$107,11,FALSE)),"",VLOOKUP(A18,Master!AE$60:AQ$107,11,FALSE))</f>
        <v/>
      </c>
      <c r="W18" s="78" t="str">
        <f>IF(ISNA(VLOOKUP(A18,Master!AE$60:AQ$107,9,FALSE)),"",VLOOKUP(A18,Master!AE$60:AQ$107,9,FALSE))</f>
        <v/>
      </c>
      <c r="X18" s="79">
        <f t="shared" si="1"/>
        <v>0</v>
      </c>
      <c r="Y18" s="79">
        <f t="shared" si="2"/>
        <v>0</v>
      </c>
      <c r="Z18" s="79">
        <f t="shared" si="3"/>
        <v>0</v>
      </c>
      <c r="AA18" s="79">
        <f t="shared" si="4"/>
        <v>0</v>
      </c>
      <c r="AB18" s="79">
        <f t="shared" si="5"/>
        <v>0</v>
      </c>
      <c r="AC18" s="79">
        <f t="shared" si="6"/>
        <v>0</v>
      </c>
      <c r="AD18" s="80" t="str">
        <f t="shared" si="41"/>
        <v/>
      </c>
      <c r="AE18" s="80" t="str">
        <f t="shared" si="42"/>
        <v/>
      </c>
      <c r="AF18" s="80" t="str">
        <f t="shared" si="43"/>
        <v/>
      </c>
      <c r="AG18" s="80" t="str">
        <f t="shared" si="44"/>
        <v/>
      </c>
      <c r="AH18" s="80" t="str">
        <f t="shared" si="45"/>
        <v/>
      </c>
      <c r="AI18" s="78" t="str">
        <f t="shared" si="46"/>
        <v/>
      </c>
      <c r="AJ18" s="78">
        <v>0</v>
      </c>
      <c r="AK18" s="79">
        <v>0</v>
      </c>
      <c r="AL18" s="78" t="str">
        <f t="shared" si="47"/>
        <v/>
      </c>
      <c r="AM18" s="79">
        <f t="shared" si="7"/>
        <v>0</v>
      </c>
      <c r="AN18" s="78">
        <f t="shared" si="48"/>
        <v>0</v>
      </c>
      <c r="AO18" s="78">
        <f t="shared" si="8"/>
        <v>0</v>
      </c>
      <c r="AP18" s="78">
        <f t="shared" si="9"/>
        <v>0</v>
      </c>
      <c r="AQ18" s="78">
        <f t="shared" si="10"/>
        <v>0</v>
      </c>
      <c r="AR18" s="80">
        <f t="shared" si="11"/>
        <v>0</v>
      </c>
      <c r="AS18" s="80">
        <f t="shared" si="12"/>
        <v>0</v>
      </c>
      <c r="AT18" s="78"/>
      <c r="AU18" s="78"/>
      <c r="AV18" s="80">
        <f t="shared" si="13"/>
        <v>0</v>
      </c>
      <c r="AW18" s="80">
        <f t="shared" si="14"/>
        <v>0</v>
      </c>
      <c r="AX18" s="80">
        <f t="shared" si="15"/>
        <v>0</v>
      </c>
      <c r="AY18" s="80">
        <f t="shared" si="16"/>
        <v>0</v>
      </c>
      <c r="AZ18" s="80">
        <f t="shared" si="17"/>
        <v>0</v>
      </c>
      <c r="BA18" s="78">
        <f t="shared" si="18"/>
        <v>0</v>
      </c>
      <c r="BB18" s="78">
        <f t="shared" si="19"/>
        <v>0</v>
      </c>
      <c r="BC18" s="79">
        <v>0</v>
      </c>
      <c r="BD18" s="78">
        <f t="shared" si="20"/>
        <v>0</v>
      </c>
      <c r="BE18" s="79">
        <f t="shared" si="21"/>
        <v>0</v>
      </c>
      <c r="BF18" s="78">
        <f t="shared" si="49"/>
        <v>0</v>
      </c>
      <c r="BG18" s="78">
        <f t="shared" si="22"/>
        <v>0</v>
      </c>
      <c r="BH18" s="78">
        <f t="shared" si="23"/>
        <v>0</v>
      </c>
      <c r="BI18" s="78">
        <f t="shared" si="24"/>
        <v>0</v>
      </c>
      <c r="BJ18" s="80">
        <f t="shared" si="25"/>
        <v>0</v>
      </c>
      <c r="BK18" s="80">
        <f t="shared" si="26"/>
        <v>0</v>
      </c>
      <c r="BL18" s="78"/>
      <c r="BM18" s="78"/>
      <c r="BN18" s="80">
        <f t="shared" si="27"/>
        <v>0</v>
      </c>
      <c r="BO18" s="74">
        <f t="shared" si="28"/>
        <v>0</v>
      </c>
      <c r="BP18" s="74">
        <f t="shared" si="29"/>
        <v>1</v>
      </c>
      <c r="BQ18" s="74">
        <f t="shared" si="30"/>
        <v>0</v>
      </c>
      <c r="BR18" s="74">
        <f t="shared" si="31"/>
        <v>0</v>
      </c>
      <c r="BS18" s="74">
        <f t="shared" si="50"/>
        <v>0</v>
      </c>
      <c r="BT18" s="74">
        <f t="shared" si="32"/>
        <v>1</v>
      </c>
      <c r="BU18" s="60">
        <f t="shared" si="33"/>
        <v>0</v>
      </c>
      <c r="BV18" s="81">
        <f t="shared" si="51"/>
        <v>1</v>
      </c>
      <c r="BW18" s="60">
        <f t="shared" si="52"/>
        <v>0</v>
      </c>
      <c r="BX18" s="60">
        <f t="shared" si="53"/>
        <v>0</v>
      </c>
      <c r="BY18" s="49" t="str">
        <f t="shared" si="34"/>
        <v/>
      </c>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row>
    <row r="19" spans="1:103" s="76" customFormat="1" ht="15.75">
      <c r="A19" s="125">
        <v>8</v>
      </c>
      <c r="B19" s="414" t="str">
        <f>IF(ISNA(VLOOKUP(A19,Master!AE$60:AQ$107,3,FALSE)),"",VLOOKUP(A19,Master!AE$60:AQ$107,3,FALSE))</f>
        <v/>
      </c>
      <c r="C19" s="415" t="str">
        <f>IF(ISNA(VLOOKUP(A19,Master!AE$60:AQ$107,7,FALSE)),"",VLOOKUP(A19,Master!AE$60:AQ$107,7,FALSE))</f>
        <v/>
      </c>
      <c r="D19" s="416" t="str">
        <f>IF(ISNA(VLOOKUP(A19,Master!AE$60:AQ$107,8,FALSE)),"",VLOOKUP(A19,Master!AE$60:AQ$107,8,FALSE))</f>
        <v/>
      </c>
      <c r="E19" s="417" t="str">
        <f>IF(ISNA(VLOOKUP(A19,Master!AE$60:AQ$107,4,FALSE)),"",VLOOKUP(A19,Master!AE$60:AQ$107,4,FALSE))</f>
        <v/>
      </c>
      <c r="F19" s="124" t="str">
        <f>IF(ISNA(VLOOKUP(A19,Master!AE$60:AQ$107,5,FALSE)),"",VLOOKUP(A19,Master!AE$60:AQ$107,5,FALSE))</f>
        <v/>
      </c>
      <c r="G19" s="419" t="str">
        <f>IF(ISNA(VLOOKUP(A19,Master!AE$60:AQ$107,6,FALSE)),"",VLOOKUP(A19,Master!AE$60:AQ$107,6,FALSE))</f>
        <v/>
      </c>
      <c r="H19" s="419" t="str">
        <f t="shared" si="35"/>
        <v/>
      </c>
      <c r="I19" s="420" t="str">
        <f t="shared" ca="1" si="36"/>
        <v/>
      </c>
      <c r="J19" s="419" t="str">
        <f t="shared" si="37"/>
        <v/>
      </c>
      <c r="K19" s="419" t="str">
        <f t="shared" si="38"/>
        <v/>
      </c>
      <c r="L19" s="419" t="str">
        <f t="shared" si="39"/>
        <v/>
      </c>
      <c r="M19" s="419" t="str">
        <f>IF(ISNA(VLOOKUP(A19,Master!AE$60:AQ$107,12,FALSE)),"",VLOOKUP(A19,Master!AE$60:AQ$107,12,FALSE))</f>
        <v/>
      </c>
      <c r="N19" s="163"/>
      <c r="O19" s="163"/>
      <c r="P19" s="163"/>
      <c r="Q19" s="163">
        <f t="shared" si="0"/>
        <v>0</v>
      </c>
      <c r="R19" s="52">
        <f t="shared" si="40"/>
        <v>1</v>
      </c>
      <c r="S19" s="1" t="str">
        <f>IF(ISNA(VLOOKUP(A19,Master!AE$60:AQ$107,10,FALSE)),"",VLOOKUP(A19,Master!AE$60:AQ$107,10,FALSE))</f>
        <v/>
      </c>
      <c r="T19" s="77"/>
      <c r="U19" s="77"/>
      <c r="V19" s="78" t="str">
        <f>IF(ISNA(VLOOKUP(A19,Master!AE$60:AQ$107,11,FALSE)),"",VLOOKUP(A19,Master!AE$60:AQ$107,11,FALSE))</f>
        <v/>
      </c>
      <c r="W19" s="78" t="str">
        <f>IF(ISNA(VLOOKUP(A19,Master!AE$60:AQ$107,9,FALSE)),"",VLOOKUP(A19,Master!AE$60:AQ$107,9,FALSE))</f>
        <v/>
      </c>
      <c r="X19" s="79">
        <f t="shared" si="1"/>
        <v>0</v>
      </c>
      <c r="Y19" s="79">
        <f t="shared" si="2"/>
        <v>0</v>
      </c>
      <c r="Z19" s="79">
        <f t="shared" si="3"/>
        <v>0</v>
      </c>
      <c r="AA19" s="79">
        <f t="shared" si="4"/>
        <v>0</v>
      </c>
      <c r="AB19" s="79">
        <f t="shared" si="5"/>
        <v>0</v>
      </c>
      <c r="AC19" s="79">
        <f t="shared" si="6"/>
        <v>0</v>
      </c>
      <c r="AD19" s="80" t="str">
        <f t="shared" si="41"/>
        <v/>
      </c>
      <c r="AE19" s="80" t="str">
        <f t="shared" si="42"/>
        <v/>
      </c>
      <c r="AF19" s="80" t="str">
        <f t="shared" si="43"/>
        <v/>
      </c>
      <c r="AG19" s="80" t="str">
        <f t="shared" si="44"/>
        <v/>
      </c>
      <c r="AH19" s="80" t="str">
        <f t="shared" si="45"/>
        <v/>
      </c>
      <c r="AI19" s="78" t="str">
        <f t="shared" si="46"/>
        <v/>
      </c>
      <c r="AJ19" s="78">
        <v>0</v>
      </c>
      <c r="AK19" s="79">
        <v>0</v>
      </c>
      <c r="AL19" s="78" t="str">
        <f t="shared" si="47"/>
        <v/>
      </c>
      <c r="AM19" s="79">
        <f t="shared" si="7"/>
        <v>0</v>
      </c>
      <c r="AN19" s="78">
        <f t="shared" si="48"/>
        <v>0</v>
      </c>
      <c r="AO19" s="78">
        <f t="shared" si="8"/>
        <v>0</v>
      </c>
      <c r="AP19" s="78">
        <f t="shared" si="9"/>
        <v>0</v>
      </c>
      <c r="AQ19" s="78">
        <f t="shared" si="10"/>
        <v>0</v>
      </c>
      <c r="AR19" s="80">
        <f t="shared" si="11"/>
        <v>0</v>
      </c>
      <c r="AS19" s="80">
        <f t="shared" si="12"/>
        <v>0</v>
      </c>
      <c r="AT19" s="78"/>
      <c r="AU19" s="78"/>
      <c r="AV19" s="80">
        <f t="shared" si="13"/>
        <v>0</v>
      </c>
      <c r="AW19" s="80">
        <f t="shared" si="14"/>
        <v>0</v>
      </c>
      <c r="AX19" s="80">
        <f t="shared" si="15"/>
        <v>0</v>
      </c>
      <c r="AY19" s="80">
        <f t="shared" si="16"/>
        <v>0</v>
      </c>
      <c r="AZ19" s="80">
        <f t="shared" si="17"/>
        <v>0</v>
      </c>
      <c r="BA19" s="78">
        <f t="shared" si="18"/>
        <v>0</v>
      </c>
      <c r="BB19" s="78">
        <f t="shared" si="19"/>
        <v>0</v>
      </c>
      <c r="BC19" s="79">
        <v>0</v>
      </c>
      <c r="BD19" s="78">
        <f t="shared" si="20"/>
        <v>0</v>
      </c>
      <c r="BE19" s="79">
        <f t="shared" si="21"/>
        <v>0</v>
      </c>
      <c r="BF19" s="78">
        <f t="shared" si="49"/>
        <v>0</v>
      </c>
      <c r="BG19" s="78">
        <f t="shared" si="22"/>
        <v>0</v>
      </c>
      <c r="BH19" s="78">
        <f t="shared" si="23"/>
        <v>0</v>
      </c>
      <c r="BI19" s="78">
        <f t="shared" si="24"/>
        <v>0</v>
      </c>
      <c r="BJ19" s="80">
        <f t="shared" si="25"/>
        <v>0</v>
      </c>
      <c r="BK19" s="80">
        <f t="shared" si="26"/>
        <v>0</v>
      </c>
      <c r="BL19" s="78"/>
      <c r="BM19" s="78"/>
      <c r="BN19" s="80">
        <f t="shared" si="27"/>
        <v>0</v>
      </c>
      <c r="BO19" s="74">
        <f t="shared" si="28"/>
        <v>0</v>
      </c>
      <c r="BP19" s="74">
        <f t="shared" si="29"/>
        <v>1</v>
      </c>
      <c r="BQ19" s="74">
        <f t="shared" si="30"/>
        <v>0</v>
      </c>
      <c r="BR19" s="74">
        <f t="shared" si="31"/>
        <v>0</v>
      </c>
      <c r="BS19" s="74">
        <f t="shared" si="50"/>
        <v>0</v>
      </c>
      <c r="BT19" s="74">
        <f t="shared" si="32"/>
        <v>1</v>
      </c>
      <c r="BU19" s="60">
        <f t="shared" si="33"/>
        <v>0</v>
      </c>
      <c r="BV19" s="81">
        <f t="shared" si="51"/>
        <v>1</v>
      </c>
      <c r="BW19" s="60">
        <f t="shared" si="52"/>
        <v>0</v>
      </c>
      <c r="BX19" s="60">
        <f t="shared" si="53"/>
        <v>0</v>
      </c>
      <c r="BY19" s="49" t="str">
        <f t="shared" si="34"/>
        <v/>
      </c>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row>
    <row r="20" spans="1:103" s="76" customFormat="1" ht="15.75">
      <c r="A20" s="125">
        <v>9</v>
      </c>
      <c r="B20" s="414" t="str">
        <f>IF(ISNA(VLOOKUP(A20,Master!AE$60:AQ$107,3,FALSE)),"",VLOOKUP(A20,Master!AE$60:AQ$107,3,FALSE))</f>
        <v/>
      </c>
      <c r="C20" s="415" t="str">
        <f>IF(ISNA(VLOOKUP(A20,Master!AE$60:AQ$107,7,FALSE)),"",VLOOKUP(A20,Master!AE$60:AQ$107,7,FALSE))</f>
        <v/>
      </c>
      <c r="D20" s="416" t="str">
        <f>IF(ISNA(VLOOKUP(A20,Master!AE$60:AQ$107,8,FALSE)),"",VLOOKUP(A20,Master!AE$60:AQ$107,8,FALSE))</f>
        <v/>
      </c>
      <c r="E20" s="417" t="str">
        <f>IF(ISNA(VLOOKUP(A20,Master!AE$60:AQ$107,4,FALSE)),"",VLOOKUP(A20,Master!AE$60:AQ$107,4,FALSE))</f>
        <v/>
      </c>
      <c r="F20" s="124" t="str">
        <f>IF(ISNA(VLOOKUP(A20,Master!AE$60:AQ$107,5,FALSE)),"",VLOOKUP(A20,Master!AE$60:AQ$107,5,FALSE))</f>
        <v/>
      </c>
      <c r="G20" s="419" t="str">
        <f>IF(ISNA(VLOOKUP(A20,Master!AE$60:AQ$107,6,FALSE)),"",VLOOKUP(A20,Master!AE$60:AQ$107,6,FALSE))</f>
        <v/>
      </c>
      <c r="H20" s="419" t="str">
        <f t="shared" si="35"/>
        <v/>
      </c>
      <c r="I20" s="420" t="str">
        <f t="shared" ca="1" si="36"/>
        <v/>
      </c>
      <c r="J20" s="419" t="str">
        <f t="shared" si="37"/>
        <v/>
      </c>
      <c r="K20" s="419" t="str">
        <f t="shared" si="38"/>
        <v/>
      </c>
      <c r="L20" s="419" t="str">
        <f t="shared" si="39"/>
        <v/>
      </c>
      <c r="M20" s="419" t="str">
        <f>IF(ISNA(VLOOKUP(A20,Master!AE$60:AQ$107,12,FALSE)),"",VLOOKUP(A20,Master!AE$60:AQ$107,12,FALSE))</f>
        <v/>
      </c>
      <c r="N20" s="163"/>
      <c r="O20" s="163"/>
      <c r="P20" s="163"/>
      <c r="Q20" s="163">
        <f t="shared" si="0"/>
        <v>0</v>
      </c>
      <c r="R20" s="52">
        <f t="shared" si="40"/>
        <v>1</v>
      </c>
      <c r="S20" s="1" t="str">
        <f>IF(ISNA(VLOOKUP(A20,Master!AE$60:AQ$107,10,FALSE)),"",VLOOKUP(A20,Master!AE$60:AQ$107,10,FALSE))</f>
        <v/>
      </c>
      <c r="T20" s="77"/>
      <c r="U20" s="77"/>
      <c r="V20" s="78" t="str">
        <f>IF(ISNA(VLOOKUP(A20,Master!AE$60:AQ$107,11,FALSE)),"",VLOOKUP(A20,Master!AE$60:AQ$107,11,FALSE))</f>
        <v/>
      </c>
      <c r="W20" s="78" t="str">
        <f>IF(ISNA(VLOOKUP(A20,Master!AE$60:AQ$107,9,FALSE)),"",VLOOKUP(A20,Master!AE$60:AQ$107,9,FALSE))</f>
        <v/>
      </c>
      <c r="X20" s="79">
        <f t="shared" si="1"/>
        <v>0</v>
      </c>
      <c r="Y20" s="79">
        <f t="shared" si="2"/>
        <v>0</v>
      </c>
      <c r="Z20" s="79">
        <f t="shared" si="3"/>
        <v>0</v>
      </c>
      <c r="AA20" s="79">
        <f t="shared" si="4"/>
        <v>0</v>
      </c>
      <c r="AB20" s="79">
        <f t="shared" si="5"/>
        <v>0</v>
      </c>
      <c r="AC20" s="79">
        <f t="shared" si="6"/>
        <v>0</v>
      </c>
      <c r="AD20" s="80" t="str">
        <f t="shared" si="41"/>
        <v/>
      </c>
      <c r="AE20" s="80" t="str">
        <f t="shared" si="42"/>
        <v/>
      </c>
      <c r="AF20" s="80" t="str">
        <f t="shared" si="43"/>
        <v/>
      </c>
      <c r="AG20" s="80" t="str">
        <f t="shared" si="44"/>
        <v/>
      </c>
      <c r="AH20" s="80" t="str">
        <f t="shared" si="45"/>
        <v/>
      </c>
      <c r="AI20" s="78" t="str">
        <f t="shared" si="46"/>
        <v/>
      </c>
      <c r="AJ20" s="78">
        <v>0</v>
      </c>
      <c r="AK20" s="79">
        <v>0</v>
      </c>
      <c r="AL20" s="78" t="str">
        <f t="shared" si="47"/>
        <v/>
      </c>
      <c r="AM20" s="79">
        <f t="shared" si="7"/>
        <v>0</v>
      </c>
      <c r="AN20" s="78">
        <f t="shared" si="48"/>
        <v>0</v>
      </c>
      <c r="AO20" s="78">
        <f t="shared" si="8"/>
        <v>0</v>
      </c>
      <c r="AP20" s="78">
        <f t="shared" si="9"/>
        <v>0</v>
      </c>
      <c r="AQ20" s="78">
        <f t="shared" si="10"/>
        <v>0</v>
      </c>
      <c r="AR20" s="80">
        <f t="shared" si="11"/>
        <v>0</v>
      </c>
      <c r="AS20" s="80">
        <f t="shared" si="12"/>
        <v>0</v>
      </c>
      <c r="AT20" s="78"/>
      <c r="AU20" s="78"/>
      <c r="AV20" s="80">
        <f t="shared" si="13"/>
        <v>0</v>
      </c>
      <c r="AW20" s="80">
        <f t="shared" si="14"/>
        <v>0</v>
      </c>
      <c r="AX20" s="80">
        <f t="shared" si="15"/>
        <v>0</v>
      </c>
      <c r="AY20" s="80">
        <f t="shared" si="16"/>
        <v>0</v>
      </c>
      <c r="AZ20" s="80">
        <f t="shared" si="17"/>
        <v>0</v>
      </c>
      <c r="BA20" s="78">
        <f t="shared" si="18"/>
        <v>0</v>
      </c>
      <c r="BB20" s="78">
        <f t="shared" si="19"/>
        <v>0</v>
      </c>
      <c r="BC20" s="79">
        <v>0</v>
      </c>
      <c r="BD20" s="78">
        <f t="shared" si="20"/>
        <v>0</v>
      </c>
      <c r="BE20" s="79">
        <f t="shared" si="21"/>
        <v>0</v>
      </c>
      <c r="BF20" s="78">
        <f t="shared" si="49"/>
        <v>0</v>
      </c>
      <c r="BG20" s="78">
        <f t="shared" si="22"/>
        <v>0</v>
      </c>
      <c r="BH20" s="78">
        <f t="shared" si="23"/>
        <v>0</v>
      </c>
      <c r="BI20" s="78">
        <f t="shared" si="24"/>
        <v>0</v>
      </c>
      <c r="BJ20" s="80">
        <f t="shared" si="25"/>
        <v>0</v>
      </c>
      <c r="BK20" s="80">
        <f t="shared" si="26"/>
        <v>0</v>
      </c>
      <c r="BL20" s="78"/>
      <c r="BM20" s="78"/>
      <c r="BN20" s="80">
        <f t="shared" si="27"/>
        <v>0</v>
      </c>
      <c r="BO20" s="74">
        <f t="shared" si="28"/>
        <v>0</v>
      </c>
      <c r="BP20" s="74">
        <f t="shared" si="29"/>
        <v>1</v>
      </c>
      <c r="BQ20" s="74">
        <f t="shared" si="30"/>
        <v>0</v>
      </c>
      <c r="BR20" s="74">
        <f t="shared" si="31"/>
        <v>0</v>
      </c>
      <c r="BS20" s="74">
        <f t="shared" si="50"/>
        <v>0</v>
      </c>
      <c r="BT20" s="74">
        <f t="shared" si="32"/>
        <v>1</v>
      </c>
      <c r="BU20" s="60">
        <f t="shared" si="33"/>
        <v>0</v>
      </c>
      <c r="BV20" s="81">
        <f t="shared" si="51"/>
        <v>1</v>
      </c>
      <c r="BW20" s="60">
        <f t="shared" si="52"/>
        <v>0</v>
      </c>
      <c r="BX20" s="60">
        <f t="shared" si="53"/>
        <v>0</v>
      </c>
      <c r="BY20" s="49" t="str">
        <f t="shared" si="34"/>
        <v/>
      </c>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row>
    <row r="21" spans="1:103" s="76" customFormat="1" ht="15.75">
      <c r="A21" s="125">
        <v>10</v>
      </c>
      <c r="B21" s="414" t="str">
        <f>IF(ISNA(VLOOKUP(A21,Master!AE$60:AQ$107,3,FALSE)),"",VLOOKUP(A21,Master!AE$60:AQ$107,3,FALSE))</f>
        <v/>
      </c>
      <c r="C21" s="415" t="str">
        <f>IF(ISNA(VLOOKUP(A21,Master!AE$60:AQ$107,7,FALSE)),"",VLOOKUP(A21,Master!AE$60:AQ$107,7,FALSE))</f>
        <v/>
      </c>
      <c r="D21" s="416" t="str">
        <f>IF(ISNA(VLOOKUP(A21,Master!AE$60:AQ$107,8,FALSE)),"",VLOOKUP(A21,Master!AE$60:AQ$107,8,FALSE))</f>
        <v/>
      </c>
      <c r="E21" s="417" t="str">
        <f>IF(ISNA(VLOOKUP(A21,Master!AE$60:AQ$107,4,FALSE)),"",VLOOKUP(A21,Master!AE$60:AQ$107,4,FALSE))</f>
        <v/>
      </c>
      <c r="F21" s="124" t="str">
        <f>IF(ISNA(VLOOKUP(A21,Master!AE$60:AQ$107,5,FALSE)),"",VLOOKUP(A21,Master!AE$60:AQ$107,5,FALSE))</f>
        <v/>
      </c>
      <c r="G21" s="419" t="str">
        <f>IF(ISNA(VLOOKUP(A21,Master!AE$60:AQ$107,6,FALSE)),"",VLOOKUP(A21,Master!AE$60:AQ$107,6,FALSE))</f>
        <v/>
      </c>
      <c r="H21" s="419" t="str">
        <f t="shared" si="35"/>
        <v/>
      </c>
      <c r="I21" s="420" t="str">
        <f t="shared" ca="1" si="36"/>
        <v/>
      </c>
      <c r="J21" s="419" t="str">
        <f t="shared" si="37"/>
        <v/>
      </c>
      <c r="K21" s="419" t="str">
        <f t="shared" si="38"/>
        <v/>
      </c>
      <c r="L21" s="419" t="str">
        <f t="shared" si="39"/>
        <v/>
      </c>
      <c r="M21" s="419" t="str">
        <f>IF(ISNA(VLOOKUP(A21,Master!AE$60:AQ$107,12,FALSE)),"",VLOOKUP(A21,Master!AE$60:AQ$107,12,FALSE))</f>
        <v/>
      </c>
      <c r="N21" s="163"/>
      <c r="O21" s="163"/>
      <c r="P21" s="163"/>
      <c r="Q21" s="163">
        <f t="shared" si="0"/>
        <v>0</v>
      </c>
      <c r="R21" s="52">
        <f t="shared" si="40"/>
        <v>1</v>
      </c>
      <c r="S21" s="1" t="str">
        <f>IF(ISNA(VLOOKUP(A21,Master!AE$60:AQ$107,10,FALSE)),"",VLOOKUP(A21,Master!AE$60:AQ$107,10,FALSE))</f>
        <v/>
      </c>
      <c r="T21" s="77"/>
      <c r="U21" s="77"/>
      <c r="V21" s="78" t="str">
        <f>IF(ISNA(VLOOKUP(A21,Master!AE$60:AQ$107,11,FALSE)),"",VLOOKUP(A21,Master!AE$60:AQ$107,11,FALSE))</f>
        <v/>
      </c>
      <c r="W21" s="78" t="str">
        <f>IF(ISNA(VLOOKUP(A21,Master!AE$60:AQ$107,9,FALSE)),"",VLOOKUP(A21,Master!AE$60:AQ$107,9,FALSE))</f>
        <v/>
      </c>
      <c r="X21" s="79">
        <f t="shared" si="1"/>
        <v>0</v>
      </c>
      <c r="Y21" s="79">
        <f t="shared" si="2"/>
        <v>0</v>
      </c>
      <c r="Z21" s="79">
        <f t="shared" si="3"/>
        <v>0</v>
      </c>
      <c r="AA21" s="79">
        <f t="shared" si="4"/>
        <v>0</v>
      </c>
      <c r="AB21" s="79">
        <f t="shared" si="5"/>
        <v>0</v>
      </c>
      <c r="AC21" s="79">
        <f t="shared" si="6"/>
        <v>0</v>
      </c>
      <c r="AD21" s="80" t="str">
        <f t="shared" si="41"/>
        <v/>
      </c>
      <c r="AE21" s="80" t="str">
        <f t="shared" si="42"/>
        <v/>
      </c>
      <c r="AF21" s="80" t="str">
        <f t="shared" si="43"/>
        <v/>
      </c>
      <c r="AG21" s="80" t="str">
        <f t="shared" si="44"/>
        <v/>
      </c>
      <c r="AH21" s="80" t="str">
        <f t="shared" si="45"/>
        <v/>
      </c>
      <c r="AI21" s="78" t="str">
        <f t="shared" si="46"/>
        <v/>
      </c>
      <c r="AJ21" s="78">
        <v>0</v>
      </c>
      <c r="AK21" s="79">
        <v>0</v>
      </c>
      <c r="AL21" s="78" t="str">
        <f t="shared" si="47"/>
        <v/>
      </c>
      <c r="AM21" s="79">
        <f t="shared" si="7"/>
        <v>0</v>
      </c>
      <c r="AN21" s="78">
        <f t="shared" si="48"/>
        <v>0</v>
      </c>
      <c r="AO21" s="78">
        <f t="shared" si="8"/>
        <v>0</v>
      </c>
      <c r="AP21" s="78">
        <f t="shared" si="9"/>
        <v>0</v>
      </c>
      <c r="AQ21" s="78">
        <f t="shared" si="10"/>
        <v>0</v>
      </c>
      <c r="AR21" s="80">
        <f t="shared" si="11"/>
        <v>0</v>
      </c>
      <c r="AS21" s="80">
        <f t="shared" si="12"/>
        <v>0</v>
      </c>
      <c r="AT21" s="78"/>
      <c r="AU21" s="78"/>
      <c r="AV21" s="80">
        <f t="shared" si="13"/>
        <v>0</v>
      </c>
      <c r="AW21" s="80">
        <f t="shared" si="14"/>
        <v>0</v>
      </c>
      <c r="AX21" s="80">
        <f t="shared" si="15"/>
        <v>0</v>
      </c>
      <c r="AY21" s="80">
        <f t="shared" si="16"/>
        <v>0</v>
      </c>
      <c r="AZ21" s="80">
        <f t="shared" si="17"/>
        <v>0</v>
      </c>
      <c r="BA21" s="78">
        <f t="shared" si="18"/>
        <v>0</v>
      </c>
      <c r="BB21" s="78">
        <f t="shared" si="19"/>
        <v>0</v>
      </c>
      <c r="BC21" s="79">
        <v>0</v>
      </c>
      <c r="BD21" s="78">
        <f t="shared" si="20"/>
        <v>0</v>
      </c>
      <c r="BE21" s="79">
        <f t="shared" si="21"/>
        <v>0</v>
      </c>
      <c r="BF21" s="78">
        <f t="shared" si="49"/>
        <v>0</v>
      </c>
      <c r="BG21" s="78">
        <f t="shared" si="22"/>
        <v>0</v>
      </c>
      <c r="BH21" s="78">
        <f t="shared" si="23"/>
        <v>0</v>
      </c>
      <c r="BI21" s="78">
        <f t="shared" si="24"/>
        <v>0</v>
      </c>
      <c r="BJ21" s="80">
        <f t="shared" si="25"/>
        <v>0</v>
      </c>
      <c r="BK21" s="80">
        <f t="shared" si="26"/>
        <v>0</v>
      </c>
      <c r="BL21" s="78"/>
      <c r="BM21" s="78"/>
      <c r="BN21" s="80">
        <f t="shared" si="27"/>
        <v>0</v>
      </c>
      <c r="BO21" s="74">
        <f t="shared" si="28"/>
        <v>0</v>
      </c>
      <c r="BP21" s="74">
        <f t="shared" si="29"/>
        <v>1</v>
      </c>
      <c r="BQ21" s="74">
        <f t="shared" si="30"/>
        <v>0</v>
      </c>
      <c r="BR21" s="74">
        <f t="shared" si="31"/>
        <v>0</v>
      </c>
      <c r="BS21" s="74">
        <f t="shared" si="50"/>
        <v>0</v>
      </c>
      <c r="BT21" s="74">
        <f t="shared" si="32"/>
        <v>1</v>
      </c>
      <c r="BU21" s="60">
        <f t="shared" si="33"/>
        <v>0</v>
      </c>
      <c r="BV21" s="81">
        <f t="shared" si="51"/>
        <v>1</v>
      </c>
      <c r="BW21" s="60">
        <f t="shared" si="52"/>
        <v>0</v>
      </c>
      <c r="BX21" s="60">
        <f t="shared" si="53"/>
        <v>0</v>
      </c>
      <c r="BY21" s="49" t="str">
        <f t="shared" si="34"/>
        <v/>
      </c>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row>
    <row r="22" spans="1:103" s="76" customFormat="1" ht="15.75">
      <c r="A22" s="125">
        <v>11</v>
      </c>
      <c r="B22" s="414" t="str">
        <f>IF(ISNA(VLOOKUP(A22,Master!AE$60:AQ$107,3,FALSE)),"",VLOOKUP(A22,Master!AE$60:AQ$107,3,FALSE))</f>
        <v/>
      </c>
      <c r="C22" s="415" t="str">
        <f>IF(ISNA(VLOOKUP(A22,Master!AE$60:AQ$107,7,FALSE)),"",VLOOKUP(A22,Master!AE$60:AQ$107,7,FALSE))</f>
        <v/>
      </c>
      <c r="D22" s="416" t="str">
        <f>IF(ISNA(VLOOKUP(A22,Master!AE$60:AQ$107,8,FALSE)),"",VLOOKUP(A22,Master!AE$60:AQ$107,8,FALSE))</f>
        <v/>
      </c>
      <c r="E22" s="417" t="str">
        <f>IF(ISNA(VLOOKUP(A22,Master!AE$60:AQ$107,4,FALSE)),"",VLOOKUP(A22,Master!AE$60:AQ$107,4,FALSE))</f>
        <v/>
      </c>
      <c r="F22" s="124" t="str">
        <f>IF(ISNA(VLOOKUP(A22,Master!AE$60:AQ$107,5,FALSE)),"",VLOOKUP(A22,Master!AE$60:AQ$107,5,FALSE))</f>
        <v/>
      </c>
      <c r="G22" s="419" t="str">
        <f>IF(ISNA(VLOOKUP(A22,Master!AE$60:AQ$107,6,FALSE)),"",VLOOKUP(A22,Master!AE$60:AQ$107,6,FALSE))</f>
        <v/>
      </c>
      <c r="H22" s="419" t="str">
        <f t="shared" si="35"/>
        <v/>
      </c>
      <c r="I22" s="420" t="str">
        <f t="shared" ca="1" si="36"/>
        <v/>
      </c>
      <c r="J22" s="419" t="str">
        <f t="shared" si="37"/>
        <v/>
      </c>
      <c r="K22" s="419" t="str">
        <f t="shared" si="38"/>
        <v/>
      </c>
      <c r="L22" s="419" t="str">
        <f t="shared" si="39"/>
        <v/>
      </c>
      <c r="M22" s="419" t="str">
        <f>IF(ISNA(VLOOKUP(A22,Master!AE$60:AQ$107,12,FALSE)),"",VLOOKUP(A22,Master!AE$60:AQ$107,12,FALSE))</f>
        <v/>
      </c>
      <c r="N22" s="163"/>
      <c r="O22" s="163"/>
      <c r="P22" s="163"/>
      <c r="Q22" s="163">
        <f t="shared" si="0"/>
        <v>0</v>
      </c>
      <c r="R22" s="52">
        <f t="shared" si="40"/>
        <v>1</v>
      </c>
      <c r="S22" s="1" t="str">
        <f>IF(ISNA(VLOOKUP(A22,Master!AE$60:AQ$107,10,FALSE)),"",VLOOKUP(A22,Master!AE$60:AQ$107,10,FALSE))</f>
        <v/>
      </c>
      <c r="T22" s="77"/>
      <c r="U22" s="77"/>
      <c r="V22" s="78" t="str">
        <f>IF(ISNA(VLOOKUP(A22,Master!AE$60:AQ$107,11,FALSE)),"",VLOOKUP(A22,Master!AE$60:AQ$107,11,FALSE))</f>
        <v/>
      </c>
      <c r="W22" s="78" t="str">
        <f>IF(ISNA(VLOOKUP(A22,Master!AE$60:AQ$107,9,FALSE)),"",VLOOKUP(A22,Master!AE$60:AQ$107,9,FALSE))</f>
        <v/>
      </c>
      <c r="X22" s="79">
        <f t="shared" si="1"/>
        <v>0</v>
      </c>
      <c r="Y22" s="79">
        <f t="shared" si="2"/>
        <v>0</v>
      </c>
      <c r="Z22" s="79">
        <f t="shared" si="3"/>
        <v>0</v>
      </c>
      <c r="AA22" s="79">
        <f t="shared" si="4"/>
        <v>0</v>
      </c>
      <c r="AB22" s="79">
        <f t="shared" si="5"/>
        <v>0</v>
      </c>
      <c r="AC22" s="79">
        <f t="shared" si="6"/>
        <v>0</v>
      </c>
      <c r="AD22" s="80" t="str">
        <f t="shared" si="41"/>
        <v/>
      </c>
      <c r="AE22" s="80" t="str">
        <f t="shared" si="42"/>
        <v/>
      </c>
      <c r="AF22" s="80" t="str">
        <f t="shared" si="43"/>
        <v/>
      </c>
      <c r="AG22" s="80" t="str">
        <f t="shared" si="44"/>
        <v/>
      </c>
      <c r="AH22" s="80" t="str">
        <f t="shared" si="45"/>
        <v/>
      </c>
      <c r="AI22" s="78" t="str">
        <f t="shared" si="46"/>
        <v/>
      </c>
      <c r="AJ22" s="78">
        <v>0</v>
      </c>
      <c r="AK22" s="79">
        <v>0</v>
      </c>
      <c r="AL22" s="78" t="str">
        <f t="shared" si="47"/>
        <v/>
      </c>
      <c r="AM22" s="79">
        <f t="shared" si="7"/>
        <v>0</v>
      </c>
      <c r="AN22" s="78">
        <f t="shared" si="48"/>
        <v>0</v>
      </c>
      <c r="AO22" s="78">
        <f t="shared" si="8"/>
        <v>0</v>
      </c>
      <c r="AP22" s="78">
        <f t="shared" si="9"/>
        <v>0</v>
      </c>
      <c r="AQ22" s="78">
        <f t="shared" si="10"/>
        <v>0</v>
      </c>
      <c r="AR22" s="80">
        <f t="shared" si="11"/>
        <v>0</v>
      </c>
      <c r="AS22" s="80">
        <f t="shared" si="12"/>
        <v>0</v>
      </c>
      <c r="AT22" s="78"/>
      <c r="AU22" s="78"/>
      <c r="AV22" s="80">
        <f t="shared" si="13"/>
        <v>0</v>
      </c>
      <c r="AW22" s="80">
        <f t="shared" si="14"/>
        <v>0</v>
      </c>
      <c r="AX22" s="80">
        <f t="shared" si="15"/>
        <v>0</v>
      </c>
      <c r="AY22" s="80">
        <f t="shared" si="16"/>
        <v>0</v>
      </c>
      <c r="AZ22" s="80">
        <f t="shared" si="17"/>
        <v>0</v>
      </c>
      <c r="BA22" s="78">
        <f t="shared" si="18"/>
        <v>0</v>
      </c>
      <c r="BB22" s="78">
        <f t="shared" si="19"/>
        <v>0</v>
      </c>
      <c r="BC22" s="79">
        <v>0</v>
      </c>
      <c r="BD22" s="78">
        <f t="shared" si="20"/>
        <v>0</v>
      </c>
      <c r="BE22" s="79">
        <f t="shared" si="21"/>
        <v>0</v>
      </c>
      <c r="BF22" s="78">
        <f t="shared" si="49"/>
        <v>0</v>
      </c>
      <c r="BG22" s="78">
        <f t="shared" si="22"/>
        <v>0</v>
      </c>
      <c r="BH22" s="78">
        <f t="shared" si="23"/>
        <v>0</v>
      </c>
      <c r="BI22" s="78">
        <f t="shared" si="24"/>
        <v>0</v>
      </c>
      <c r="BJ22" s="80">
        <f t="shared" si="25"/>
        <v>0</v>
      </c>
      <c r="BK22" s="80">
        <f t="shared" si="26"/>
        <v>0</v>
      </c>
      <c r="BL22" s="78"/>
      <c r="BM22" s="78"/>
      <c r="BN22" s="80">
        <f t="shared" si="27"/>
        <v>0</v>
      </c>
      <c r="BO22" s="74">
        <f t="shared" si="28"/>
        <v>0</v>
      </c>
      <c r="BP22" s="74">
        <f t="shared" si="29"/>
        <v>1</v>
      </c>
      <c r="BQ22" s="74">
        <f t="shared" si="30"/>
        <v>0</v>
      </c>
      <c r="BR22" s="74">
        <f t="shared" si="31"/>
        <v>0</v>
      </c>
      <c r="BS22" s="74">
        <f t="shared" si="50"/>
        <v>0</v>
      </c>
      <c r="BT22" s="74">
        <f t="shared" si="32"/>
        <v>1</v>
      </c>
      <c r="BU22" s="60">
        <f t="shared" si="33"/>
        <v>0</v>
      </c>
      <c r="BV22" s="81">
        <f t="shared" si="51"/>
        <v>1</v>
      </c>
      <c r="BW22" s="60">
        <f t="shared" si="52"/>
        <v>0</v>
      </c>
      <c r="BX22" s="60">
        <f t="shared" si="53"/>
        <v>0</v>
      </c>
      <c r="BY22" s="49" t="str">
        <f t="shared" si="34"/>
        <v/>
      </c>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row>
    <row r="23" spans="1:103" s="76" customFormat="1" ht="15.75">
      <c r="A23" s="125">
        <v>12</v>
      </c>
      <c r="B23" s="414" t="str">
        <f>IF(ISNA(VLOOKUP(A23,Master!AE$60:AQ$107,3,FALSE)),"",VLOOKUP(A23,Master!AE$60:AQ$107,3,FALSE))</f>
        <v/>
      </c>
      <c r="C23" s="415" t="str">
        <f>IF(ISNA(VLOOKUP(A23,Master!AE$60:AQ$107,7,FALSE)),"",VLOOKUP(A23,Master!AE$60:AQ$107,7,FALSE))</f>
        <v/>
      </c>
      <c r="D23" s="416" t="str">
        <f>IF(ISNA(VLOOKUP(A23,Master!AE$60:AQ$107,8,FALSE)),"",VLOOKUP(A23,Master!AE$60:AQ$107,8,FALSE))</f>
        <v/>
      </c>
      <c r="E23" s="417" t="str">
        <f>IF(ISNA(VLOOKUP(A23,Master!AE$60:AQ$107,4,FALSE)),"",VLOOKUP(A23,Master!AE$60:AQ$107,4,FALSE))</f>
        <v/>
      </c>
      <c r="F23" s="124" t="str">
        <f>IF(ISNA(VLOOKUP(A23,Master!AE$60:AQ$107,5,FALSE)),"",VLOOKUP(A23,Master!AE$60:AQ$107,5,FALSE))</f>
        <v/>
      </c>
      <c r="G23" s="419" t="str">
        <f>IF(ISNA(VLOOKUP(A23,Master!AE$60:AQ$107,6,FALSE)),"",VLOOKUP(A23,Master!AE$60:AQ$107,6,FALSE))</f>
        <v/>
      </c>
      <c r="H23" s="419" t="str">
        <f t="shared" si="35"/>
        <v/>
      </c>
      <c r="I23" s="420" t="str">
        <f t="shared" ca="1" si="36"/>
        <v/>
      </c>
      <c r="J23" s="419" t="str">
        <f t="shared" si="37"/>
        <v/>
      </c>
      <c r="K23" s="419" t="str">
        <f t="shared" si="38"/>
        <v/>
      </c>
      <c r="L23" s="419" t="str">
        <f t="shared" si="39"/>
        <v/>
      </c>
      <c r="M23" s="419" t="str">
        <f>IF(ISNA(VLOOKUP(A23,Master!AE$60:AQ$107,12,FALSE)),"",VLOOKUP(A23,Master!AE$60:AQ$107,12,FALSE))</f>
        <v/>
      </c>
      <c r="N23" s="163"/>
      <c r="O23" s="163"/>
      <c r="P23" s="163"/>
      <c r="Q23" s="163">
        <f t="shared" si="0"/>
        <v>0</v>
      </c>
      <c r="R23" s="52">
        <f t="shared" si="40"/>
        <v>1</v>
      </c>
      <c r="S23" s="1" t="str">
        <f>IF(ISNA(VLOOKUP(A23,Master!AE$60:AQ$107,10,FALSE)),"",VLOOKUP(A23,Master!AE$60:AQ$107,10,FALSE))</f>
        <v/>
      </c>
      <c r="T23" s="77"/>
      <c r="U23" s="77"/>
      <c r="V23" s="78" t="str">
        <f>IF(ISNA(VLOOKUP(A23,Master!AE$60:AQ$107,11,FALSE)),"",VLOOKUP(A23,Master!AE$60:AQ$107,11,FALSE))</f>
        <v/>
      </c>
      <c r="W23" s="78" t="str">
        <f>IF(ISNA(VLOOKUP(A23,Master!AE$60:AQ$107,9,FALSE)),"",VLOOKUP(A23,Master!AE$60:AQ$107,9,FALSE))</f>
        <v/>
      </c>
      <c r="X23" s="79">
        <f t="shared" si="1"/>
        <v>0</v>
      </c>
      <c r="Y23" s="79">
        <f t="shared" si="2"/>
        <v>0</v>
      </c>
      <c r="Z23" s="79">
        <f t="shared" si="3"/>
        <v>0</v>
      </c>
      <c r="AA23" s="79">
        <f t="shared" si="4"/>
        <v>0</v>
      </c>
      <c r="AB23" s="79">
        <f t="shared" si="5"/>
        <v>0</v>
      </c>
      <c r="AC23" s="79">
        <f t="shared" si="6"/>
        <v>0</v>
      </c>
      <c r="AD23" s="80" t="str">
        <f t="shared" si="41"/>
        <v/>
      </c>
      <c r="AE23" s="80" t="str">
        <f t="shared" si="42"/>
        <v/>
      </c>
      <c r="AF23" s="80" t="str">
        <f t="shared" si="43"/>
        <v/>
      </c>
      <c r="AG23" s="80" t="str">
        <f t="shared" si="44"/>
        <v/>
      </c>
      <c r="AH23" s="80" t="str">
        <f t="shared" si="45"/>
        <v/>
      </c>
      <c r="AI23" s="78" t="str">
        <f t="shared" si="46"/>
        <v/>
      </c>
      <c r="AJ23" s="78">
        <v>0</v>
      </c>
      <c r="AK23" s="79">
        <v>0</v>
      </c>
      <c r="AL23" s="78" t="str">
        <f t="shared" si="47"/>
        <v/>
      </c>
      <c r="AM23" s="79">
        <f t="shared" si="7"/>
        <v>0</v>
      </c>
      <c r="AN23" s="78">
        <f t="shared" si="48"/>
        <v>0</v>
      </c>
      <c r="AO23" s="78">
        <f t="shared" si="8"/>
        <v>0</v>
      </c>
      <c r="AP23" s="78">
        <f t="shared" si="9"/>
        <v>0</v>
      </c>
      <c r="AQ23" s="78">
        <f t="shared" si="10"/>
        <v>0</v>
      </c>
      <c r="AR23" s="80">
        <f t="shared" si="11"/>
        <v>0</v>
      </c>
      <c r="AS23" s="80">
        <f t="shared" si="12"/>
        <v>0</v>
      </c>
      <c r="AT23" s="78"/>
      <c r="AU23" s="78"/>
      <c r="AV23" s="80">
        <f t="shared" si="13"/>
        <v>0</v>
      </c>
      <c r="AW23" s="80">
        <f t="shared" si="14"/>
        <v>0</v>
      </c>
      <c r="AX23" s="80">
        <f t="shared" si="15"/>
        <v>0</v>
      </c>
      <c r="AY23" s="80">
        <f t="shared" si="16"/>
        <v>0</v>
      </c>
      <c r="AZ23" s="80">
        <f t="shared" si="17"/>
        <v>0</v>
      </c>
      <c r="BA23" s="78">
        <f t="shared" si="18"/>
        <v>0</v>
      </c>
      <c r="BB23" s="78">
        <f t="shared" si="19"/>
        <v>0</v>
      </c>
      <c r="BC23" s="79">
        <v>0</v>
      </c>
      <c r="BD23" s="78">
        <f t="shared" si="20"/>
        <v>0</v>
      </c>
      <c r="BE23" s="79">
        <f t="shared" si="21"/>
        <v>0</v>
      </c>
      <c r="BF23" s="78">
        <f t="shared" si="49"/>
        <v>0</v>
      </c>
      <c r="BG23" s="78">
        <f t="shared" si="22"/>
        <v>0</v>
      </c>
      <c r="BH23" s="78">
        <f t="shared" si="23"/>
        <v>0</v>
      </c>
      <c r="BI23" s="78">
        <f t="shared" si="24"/>
        <v>0</v>
      </c>
      <c r="BJ23" s="80">
        <f t="shared" si="25"/>
        <v>0</v>
      </c>
      <c r="BK23" s="80">
        <f t="shared" si="26"/>
        <v>0</v>
      </c>
      <c r="BL23" s="78"/>
      <c r="BM23" s="78"/>
      <c r="BN23" s="80">
        <f t="shared" si="27"/>
        <v>0</v>
      </c>
      <c r="BO23" s="74">
        <f t="shared" si="28"/>
        <v>0</v>
      </c>
      <c r="BP23" s="74">
        <f t="shared" si="29"/>
        <v>1</v>
      </c>
      <c r="BQ23" s="74">
        <f t="shared" si="30"/>
        <v>0</v>
      </c>
      <c r="BR23" s="74">
        <f t="shared" si="31"/>
        <v>0</v>
      </c>
      <c r="BS23" s="74">
        <f t="shared" si="50"/>
        <v>0</v>
      </c>
      <c r="BT23" s="74">
        <f t="shared" si="32"/>
        <v>1</v>
      </c>
      <c r="BU23" s="60">
        <f t="shared" si="33"/>
        <v>0</v>
      </c>
      <c r="BV23" s="81">
        <f t="shared" si="51"/>
        <v>1</v>
      </c>
      <c r="BW23" s="60">
        <f t="shared" si="52"/>
        <v>0</v>
      </c>
      <c r="BX23" s="60">
        <f t="shared" si="53"/>
        <v>0</v>
      </c>
      <c r="BY23" s="49" t="str">
        <f t="shared" si="34"/>
        <v/>
      </c>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row>
    <row r="24" spans="1:103" s="76" customFormat="1" ht="15.75">
      <c r="A24" s="125">
        <v>13</v>
      </c>
      <c r="B24" s="414" t="str">
        <f>IF(ISNA(VLOOKUP(A24,Master!AE$60:AQ$107,3,FALSE)),"",VLOOKUP(A24,Master!AE$60:AQ$107,3,FALSE))</f>
        <v/>
      </c>
      <c r="C24" s="415" t="str">
        <f>IF(ISNA(VLOOKUP(A24,Master!AE$60:AQ$107,7,FALSE)),"",VLOOKUP(A24,Master!AE$60:AQ$107,7,FALSE))</f>
        <v/>
      </c>
      <c r="D24" s="416" t="str">
        <f>IF(ISNA(VLOOKUP(A24,Master!AE$60:AQ$107,8,FALSE)),"",VLOOKUP(A24,Master!AE$60:AQ$107,8,FALSE))</f>
        <v/>
      </c>
      <c r="E24" s="417" t="str">
        <f>IF(ISNA(VLOOKUP(A24,Master!AE$60:AQ$107,4,FALSE)),"",VLOOKUP(A24,Master!AE$60:AQ$107,4,FALSE))</f>
        <v/>
      </c>
      <c r="F24" s="124" t="str">
        <f>IF(ISNA(VLOOKUP(A24,Master!AE$60:AQ$107,5,FALSE)),"",VLOOKUP(A24,Master!AE$60:AQ$107,5,FALSE))</f>
        <v/>
      </c>
      <c r="G24" s="419" t="str">
        <f>IF(ISNA(VLOOKUP(A24,Master!AE$60:AQ$107,6,FALSE)),"",VLOOKUP(A24,Master!AE$60:AQ$107,6,FALSE))</f>
        <v/>
      </c>
      <c r="H24" s="419" t="str">
        <f t="shared" si="35"/>
        <v/>
      </c>
      <c r="I24" s="420" t="str">
        <f t="shared" ca="1" si="36"/>
        <v/>
      </c>
      <c r="J24" s="419" t="str">
        <f t="shared" si="37"/>
        <v/>
      </c>
      <c r="K24" s="419" t="str">
        <f t="shared" si="38"/>
        <v/>
      </c>
      <c r="L24" s="419" t="str">
        <f t="shared" si="39"/>
        <v/>
      </c>
      <c r="M24" s="419" t="str">
        <f>IF(ISNA(VLOOKUP(A24,Master!AE$60:AQ$107,12,FALSE)),"",VLOOKUP(A24,Master!AE$60:AQ$107,12,FALSE))</f>
        <v/>
      </c>
      <c r="N24" s="163"/>
      <c r="O24" s="163"/>
      <c r="P24" s="163"/>
      <c r="Q24" s="163">
        <f t="shared" si="0"/>
        <v>0</v>
      </c>
      <c r="R24" s="52">
        <f t="shared" si="40"/>
        <v>1</v>
      </c>
      <c r="S24" s="1" t="str">
        <f>IF(ISNA(VLOOKUP(A24,Master!AE$60:AQ$107,10,FALSE)),"",VLOOKUP(A24,Master!AE$60:AQ$107,10,FALSE))</f>
        <v/>
      </c>
      <c r="T24" s="77"/>
      <c r="U24" s="77"/>
      <c r="V24" s="78" t="str">
        <f>IF(ISNA(VLOOKUP(A24,Master!AE$60:AQ$107,11,FALSE)),"",VLOOKUP(A24,Master!AE$60:AQ$107,11,FALSE))</f>
        <v/>
      </c>
      <c r="W24" s="78" t="str">
        <f>IF(ISNA(VLOOKUP(A24,Master!AE$60:AQ$107,9,FALSE)),"",VLOOKUP(A24,Master!AE$60:AQ$107,9,FALSE))</f>
        <v/>
      </c>
      <c r="X24" s="79">
        <f t="shared" si="1"/>
        <v>0</v>
      </c>
      <c r="Y24" s="79">
        <f t="shared" si="2"/>
        <v>0</v>
      </c>
      <c r="Z24" s="79">
        <f t="shared" si="3"/>
        <v>0</v>
      </c>
      <c r="AA24" s="79">
        <f t="shared" si="4"/>
        <v>0</v>
      </c>
      <c r="AB24" s="79">
        <f t="shared" si="5"/>
        <v>0</v>
      </c>
      <c r="AC24" s="79">
        <f t="shared" si="6"/>
        <v>0</v>
      </c>
      <c r="AD24" s="80" t="str">
        <f t="shared" si="41"/>
        <v/>
      </c>
      <c r="AE24" s="80" t="str">
        <f t="shared" si="42"/>
        <v/>
      </c>
      <c r="AF24" s="80" t="str">
        <f t="shared" si="43"/>
        <v/>
      </c>
      <c r="AG24" s="80" t="str">
        <f t="shared" si="44"/>
        <v/>
      </c>
      <c r="AH24" s="80" t="str">
        <f t="shared" si="45"/>
        <v/>
      </c>
      <c r="AI24" s="78" t="str">
        <f t="shared" si="46"/>
        <v/>
      </c>
      <c r="AJ24" s="78">
        <v>0</v>
      </c>
      <c r="AK24" s="79">
        <v>0</v>
      </c>
      <c r="AL24" s="78" t="str">
        <f t="shared" si="47"/>
        <v/>
      </c>
      <c r="AM24" s="79">
        <f t="shared" si="7"/>
        <v>0</v>
      </c>
      <c r="AN24" s="78">
        <f t="shared" si="48"/>
        <v>0</v>
      </c>
      <c r="AO24" s="78">
        <f t="shared" si="8"/>
        <v>0</v>
      </c>
      <c r="AP24" s="78">
        <f t="shared" si="9"/>
        <v>0</v>
      </c>
      <c r="AQ24" s="78">
        <f t="shared" si="10"/>
        <v>0</v>
      </c>
      <c r="AR24" s="80">
        <f t="shared" si="11"/>
        <v>0</v>
      </c>
      <c r="AS24" s="80">
        <f t="shared" si="12"/>
        <v>0</v>
      </c>
      <c r="AT24" s="78"/>
      <c r="AU24" s="78"/>
      <c r="AV24" s="80">
        <f t="shared" si="13"/>
        <v>0</v>
      </c>
      <c r="AW24" s="80">
        <f t="shared" si="14"/>
        <v>0</v>
      </c>
      <c r="AX24" s="80">
        <f t="shared" si="15"/>
        <v>0</v>
      </c>
      <c r="AY24" s="80">
        <f t="shared" si="16"/>
        <v>0</v>
      </c>
      <c r="AZ24" s="80">
        <f t="shared" si="17"/>
        <v>0</v>
      </c>
      <c r="BA24" s="78">
        <f t="shared" si="18"/>
        <v>0</v>
      </c>
      <c r="BB24" s="78">
        <f t="shared" si="19"/>
        <v>0</v>
      </c>
      <c r="BC24" s="79">
        <v>0</v>
      </c>
      <c r="BD24" s="78">
        <f t="shared" si="20"/>
        <v>0</v>
      </c>
      <c r="BE24" s="79">
        <f t="shared" si="21"/>
        <v>0</v>
      </c>
      <c r="BF24" s="78">
        <f t="shared" si="49"/>
        <v>0</v>
      </c>
      <c r="BG24" s="78">
        <f t="shared" si="22"/>
        <v>0</v>
      </c>
      <c r="BH24" s="78">
        <f t="shared" si="23"/>
        <v>0</v>
      </c>
      <c r="BI24" s="78">
        <f t="shared" si="24"/>
        <v>0</v>
      </c>
      <c r="BJ24" s="80">
        <f t="shared" si="25"/>
        <v>0</v>
      </c>
      <c r="BK24" s="80">
        <f t="shared" si="26"/>
        <v>0</v>
      </c>
      <c r="BL24" s="78"/>
      <c r="BM24" s="78"/>
      <c r="BN24" s="80">
        <f t="shared" si="27"/>
        <v>0</v>
      </c>
      <c r="BO24" s="74">
        <f t="shared" si="28"/>
        <v>0</v>
      </c>
      <c r="BP24" s="74">
        <f t="shared" si="29"/>
        <v>1</v>
      </c>
      <c r="BQ24" s="74">
        <f t="shared" si="30"/>
        <v>0</v>
      </c>
      <c r="BR24" s="74">
        <f t="shared" si="31"/>
        <v>0</v>
      </c>
      <c r="BS24" s="74">
        <f t="shared" si="50"/>
        <v>0</v>
      </c>
      <c r="BT24" s="74">
        <f t="shared" si="32"/>
        <v>1</v>
      </c>
      <c r="BU24" s="60">
        <f t="shared" si="33"/>
        <v>0</v>
      </c>
      <c r="BV24" s="81">
        <f t="shared" si="51"/>
        <v>1</v>
      </c>
      <c r="BW24" s="60">
        <f t="shared" si="52"/>
        <v>0</v>
      </c>
      <c r="BX24" s="60">
        <f t="shared" si="53"/>
        <v>0</v>
      </c>
      <c r="BY24" s="49" t="str">
        <f t="shared" si="34"/>
        <v/>
      </c>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row>
    <row r="25" spans="1:103" s="76" customFormat="1" ht="15.75">
      <c r="A25" s="125">
        <v>14</v>
      </c>
      <c r="B25" s="414" t="str">
        <f>IF(ISNA(VLOOKUP(A25,Master!AE$60:AQ$107,3,FALSE)),"",VLOOKUP(A25,Master!AE$60:AQ$107,3,FALSE))</f>
        <v/>
      </c>
      <c r="C25" s="415" t="str">
        <f>IF(ISNA(VLOOKUP(A25,Master!AE$60:AQ$107,7,FALSE)),"",VLOOKUP(A25,Master!AE$60:AQ$107,7,FALSE))</f>
        <v/>
      </c>
      <c r="D25" s="416" t="str">
        <f>IF(ISNA(VLOOKUP(A25,Master!AE$60:AQ$107,8,FALSE)),"",VLOOKUP(A25,Master!AE$60:AQ$107,8,FALSE))</f>
        <v/>
      </c>
      <c r="E25" s="417" t="str">
        <f>IF(ISNA(VLOOKUP(A25,Master!AE$60:AQ$107,4,FALSE)),"",VLOOKUP(A25,Master!AE$60:AQ$107,4,FALSE))</f>
        <v/>
      </c>
      <c r="F25" s="124" t="str">
        <f>IF(ISNA(VLOOKUP(A25,Master!AE$60:AQ$107,5,FALSE)),"",VLOOKUP(A25,Master!AE$60:AQ$107,5,FALSE))</f>
        <v/>
      </c>
      <c r="G25" s="419" t="str">
        <f>IF(ISNA(VLOOKUP(A25,Master!AE$60:AQ$107,6,FALSE)),"",VLOOKUP(A25,Master!AE$60:AQ$107,6,FALSE))</f>
        <v/>
      </c>
      <c r="H25" s="419" t="str">
        <f t="shared" si="35"/>
        <v/>
      </c>
      <c r="I25" s="420" t="str">
        <f t="shared" ca="1" si="36"/>
        <v/>
      </c>
      <c r="J25" s="419" t="str">
        <f t="shared" si="37"/>
        <v/>
      </c>
      <c r="K25" s="419" t="str">
        <f t="shared" si="38"/>
        <v/>
      </c>
      <c r="L25" s="419" t="str">
        <f t="shared" si="39"/>
        <v/>
      </c>
      <c r="M25" s="419" t="str">
        <f>IF(ISNA(VLOOKUP(A25,Master!AE$60:AQ$107,12,FALSE)),"",VLOOKUP(A25,Master!AE$60:AQ$107,12,FALSE))</f>
        <v/>
      </c>
      <c r="N25" s="163"/>
      <c r="O25" s="163"/>
      <c r="P25" s="163"/>
      <c r="Q25" s="163">
        <f t="shared" si="0"/>
        <v>0</v>
      </c>
      <c r="R25" s="52">
        <f t="shared" si="40"/>
        <v>1</v>
      </c>
      <c r="S25" s="1" t="str">
        <f>IF(ISNA(VLOOKUP(A25,Master!AE$60:AQ$107,10,FALSE)),"",VLOOKUP(A25,Master!AE$60:AQ$107,10,FALSE))</f>
        <v/>
      </c>
      <c r="T25" s="77"/>
      <c r="U25" s="77"/>
      <c r="V25" s="78" t="str">
        <f>IF(ISNA(VLOOKUP(A25,Master!AE$60:AQ$107,11,FALSE)),"",VLOOKUP(A25,Master!AE$60:AQ$107,11,FALSE))</f>
        <v/>
      </c>
      <c r="W25" s="78" t="str">
        <f>IF(ISNA(VLOOKUP(A25,Master!AE$60:AQ$107,9,FALSE)),"",VLOOKUP(A25,Master!AE$60:AQ$107,9,FALSE))</f>
        <v/>
      </c>
      <c r="X25" s="79">
        <f t="shared" si="1"/>
        <v>0</v>
      </c>
      <c r="Y25" s="79">
        <f t="shared" si="2"/>
        <v>0</v>
      </c>
      <c r="Z25" s="79">
        <f t="shared" si="3"/>
        <v>0</v>
      </c>
      <c r="AA25" s="79">
        <f t="shared" si="4"/>
        <v>0</v>
      </c>
      <c r="AB25" s="79">
        <f t="shared" si="5"/>
        <v>0</v>
      </c>
      <c r="AC25" s="79">
        <f t="shared" si="6"/>
        <v>0</v>
      </c>
      <c r="AD25" s="80" t="str">
        <f t="shared" si="41"/>
        <v/>
      </c>
      <c r="AE25" s="80" t="str">
        <f t="shared" si="42"/>
        <v/>
      </c>
      <c r="AF25" s="80" t="str">
        <f t="shared" si="43"/>
        <v/>
      </c>
      <c r="AG25" s="80" t="str">
        <f t="shared" si="44"/>
        <v/>
      </c>
      <c r="AH25" s="80" t="str">
        <f t="shared" si="45"/>
        <v/>
      </c>
      <c r="AI25" s="78" t="str">
        <f t="shared" si="46"/>
        <v/>
      </c>
      <c r="AJ25" s="78">
        <v>0</v>
      </c>
      <c r="AK25" s="79">
        <v>0</v>
      </c>
      <c r="AL25" s="78" t="str">
        <f>IF(AND(AE25=""),"",ROUND((AE25+AF25)*$AL$10,0)*BS25)</f>
        <v/>
      </c>
      <c r="AM25" s="79">
        <f t="shared" si="7"/>
        <v>0</v>
      </c>
      <c r="AN25" s="78">
        <f t="shared" si="48"/>
        <v>0</v>
      </c>
      <c r="AO25" s="78">
        <f t="shared" si="8"/>
        <v>0</v>
      </c>
      <c r="AP25" s="78">
        <f t="shared" si="9"/>
        <v>0</v>
      </c>
      <c r="AQ25" s="78">
        <f t="shared" si="10"/>
        <v>0</v>
      </c>
      <c r="AR25" s="80">
        <f t="shared" si="11"/>
        <v>0</v>
      </c>
      <c r="AS25" s="80">
        <f t="shared" si="12"/>
        <v>0</v>
      </c>
      <c r="AT25" s="78"/>
      <c r="AU25" s="78"/>
      <c r="AV25" s="80">
        <f t="shared" si="13"/>
        <v>0</v>
      </c>
      <c r="AW25" s="80">
        <f t="shared" si="14"/>
        <v>0</v>
      </c>
      <c r="AX25" s="80">
        <f t="shared" si="15"/>
        <v>0</v>
      </c>
      <c r="AY25" s="80">
        <f t="shared" si="16"/>
        <v>0</v>
      </c>
      <c r="AZ25" s="80">
        <f t="shared" si="17"/>
        <v>0</v>
      </c>
      <c r="BA25" s="78">
        <f t="shared" si="18"/>
        <v>0</v>
      </c>
      <c r="BB25" s="78">
        <f t="shared" si="19"/>
        <v>0</v>
      </c>
      <c r="BC25" s="79">
        <v>0</v>
      </c>
      <c r="BD25" s="78">
        <f t="shared" si="20"/>
        <v>0</v>
      </c>
      <c r="BE25" s="79">
        <f t="shared" si="21"/>
        <v>0</v>
      </c>
      <c r="BF25" s="78">
        <f t="shared" si="49"/>
        <v>0</v>
      </c>
      <c r="BG25" s="78">
        <f t="shared" si="22"/>
        <v>0</v>
      </c>
      <c r="BH25" s="78">
        <f t="shared" si="23"/>
        <v>0</v>
      </c>
      <c r="BI25" s="78">
        <f t="shared" si="24"/>
        <v>0</v>
      </c>
      <c r="BJ25" s="80">
        <f t="shared" si="25"/>
        <v>0</v>
      </c>
      <c r="BK25" s="80">
        <f t="shared" si="26"/>
        <v>0</v>
      </c>
      <c r="BL25" s="78"/>
      <c r="BM25" s="78"/>
      <c r="BN25" s="80">
        <f t="shared" si="27"/>
        <v>0</v>
      </c>
      <c r="BO25" s="74">
        <f t="shared" si="28"/>
        <v>0</v>
      </c>
      <c r="BP25" s="74">
        <f t="shared" si="29"/>
        <v>1</v>
      </c>
      <c r="BQ25" s="74">
        <f t="shared" si="30"/>
        <v>0</v>
      </c>
      <c r="BR25" s="74">
        <f t="shared" si="31"/>
        <v>0</v>
      </c>
      <c r="BS25" s="74">
        <f t="shared" si="50"/>
        <v>0</v>
      </c>
      <c r="BT25" s="74">
        <f t="shared" si="32"/>
        <v>1</v>
      </c>
      <c r="BU25" s="60">
        <f t="shared" si="33"/>
        <v>0</v>
      </c>
      <c r="BV25" s="81">
        <f t="shared" si="51"/>
        <v>1</v>
      </c>
      <c r="BW25" s="60">
        <f t="shared" si="52"/>
        <v>0</v>
      </c>
      <c r="BX25" s="60">
        <f t="shared" si="53"/>
        <v>0</v>
      </c>
      <c r="BY25" s="49" t="str">
        <f t="shared" si="34"/>
        <v/>
      </c>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row>
    <row r="26" spans="1:103" s="76" customFormat="1" ht="25.5" customHeight="1">
      <c r="A26" s="802"/>
      <c r="B26" s="803"/>
      <c r="C26" s="803"/>
      <c r="D26" s="126"/>
      <c r="E26" s="127" t="s">
        <v>180</v>
      </c>
      <c r="F26" s="128"/>
      <c r="G26" s="169"/>
      <c r="H26" s="169">
        <f t="shared" ref="H26:L26" si="54">SUM(H12:H25)</f>
        <v>855600</v>
      </c>
      <c r="I26" s="169"/>
      <c r="J26" s="169">
        <f t="shared" si="54"/>
        <v>16800</v>
      </c>
      <c r="K26" s="169">
        <f t="shared" si="54"/>
        <v>872400</v>
      </c>
      <c r="L26" s="169">
        <f t="shared" si="54"/>
        <v>847200</v>
      </c>
      <c r="M26" s="129"/>
      <c r="N26" s="164"/>
      <c r="O26" s="164"/>
      <c r="P26" s="164"/>
      <c r="Q26" s="164"/>
      <c r="R26" s="52"/>
      <c r="S26" s="1"/>
      <c r="T26" s="75"/>
      <c r="U26" s="75"/>
      <c r="V26" s="75"/>
      <c r="W26" s="75"/>
      <c r="X26" s="75"/>
      <c r="Y26" s="75"/>
      <c r="Z26" s="75"/>
      <c r="AA26" s="75"/>
      <c r="AB26" s="75"/>
      <c r="AC26" s="75"/>
      <c r="AD26" s="80"/>
      <c r="AE26" s="75"/>
      <c r="AF26" s="75"/>
      <c r="AG26" s="75"/>
      <c r="AH26" s="75"/>
      <c r="AI26" s="75"/>
      <c r="AJ26" s="75"/>
      <c r="AK26" s="75"/>
      <c r="AL26" s="75"/>
      <c r="AM26" s="75"/>
      <c r="AN26" s="78"/>
      <c r="AO26" s="75"/>
      <c r="AP26" s="78"/>
      <c r="AQ26" s="75"/>
      <c r="AR26" s="75"/>
      <c r="AS26" s="75"/>
      <c r="AT26" s="78"/>
      <c r="AU26" s="78"/>
      <c r="AV26" s="75"/>
      <c r="AW26" s="75"/>
      <c r="AX26" s="75"/>
      <c r="AY26" s="75"/>
      <c r="AZ26" s="75"/>
      <c r="BA26" s="75"/>
      <c r="BB26" s="75"/>
      <c r="BC26" s="75"/>
      <c r="BD26" s="75"/>
      <c r="BE26" s="75"/>
      <c r="BF26" s="78"/>
      <c r="BG26" s="75"/>
      <c r="BH26" s="75"/>
      <c r="BI26" s="75"/>
      <c r="BJ26" s="75"/>
      <c r="BK26" s="75"/>
      <c r="BL26" s="75"/>
      <c r="BM26" s="75"/>
      <c r="BN26" s="75"/>
      <c r="BO26" s="74"/>
      <c r="BP26" s="74"/>
      <c r="BQ26" s="74"/>
      <c r="BR26" s="74"/>
      <c r="BS26" s="74"/>
      <c r="BT26" s="74"/>
      <c r="BU26" s="60"/>
      <c r="BV26" s="60" t="str">
        <f>MID(C26,5,4)</f>
        <v/>
      </c>
      <c r="BW26" s="60"/>
      <c r="BX26" s="60"/>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row>
    <row r="27" spans="1:103" s="76" customFormat="1" ht="25.5" customHeight="1">
      <c r="A27" s="784" t="s">
        <v>556</v>
      </c>
      <c r="B27" s="785"/>
      <c r="C27" s="785"/>
      <c r="D27" s="785"/>
      <c r="E27" s="785"/>
      <c r="F27" s="785"/>
      <c r="G27" s="785"/>
      <c r="H27" s="785"/>
      <c r="I27" s="785"/>
      <c r="J27" s="785"/>
      <c r="K27" s="785"/>
      <c r="L27" s="785"/>
      <c r="M27" s="786"/>
      <c r="N27" s="164"/>
      <c r="O27" s="164"/>
      <c r="P27" s="164"/>
      <c r="Q27" s="164"/>
      <c r="R27" s="52"/>
      <c r="S27" s="1"/>
      <c r="T27" s="75"/>
      <c r="U27" s="75"/>
      <c r="V27" s="75"/>
      <c r="W27" s="75"/>
      <c r="X27" s="75"/>
      <c r="Y27" s="75"/>
      <c r="Z27" s="75"/>
      <c r="AA27" s="75"/>
      <c r="AB27" s="75"/>
      <c r="AC27" s="75"/>
      <c r="AD27" s="80"/>
      <c r="AE27" s="75"/>
      <c r="AF27" s="75"/>
      <c r="AG27" s="75"/>
      <c r="AH27" s="75"/>
      <c r="AI27" s="75"/>
      <c r="AJ27" s="75"/>
      <c r="AK27" s="75"/>
      <c r="AL27" s="75"/>
      <c r="AM27" s="75"/>
      <c r="AN27" s="78"/>
      <c r="AO27" s="75"/>
      <c r="AP27" s="78"/>
      <c r="AQ27" s="75"/>
      <c r="AR27" s="75"/>
      <c r="AS27" s="75"/>
      <c r="AT27" s="78"/>
      <c r="AU27" s="78"/>
      <c r="AV27" s="75"/>
      <c r="AW27" s="75"/>
      <c r="AX27" s="75"/>
      <c r="AY27" s="75"/>
      <c r="AZ27" s="75"/>
      <c r="BA27" s="75"/>
      <c r="BB27" s="75"/>
      <c r="BC27" s="75"/>
      <c r="BD27" s="75"/>
      <c r="BE27" s="75"/>
      <c r="BF27" s="78"/>
      <c r="BG27" s="75"/>
      <c r="BH27" s="75"/>
      <c r="BI27" s="75"/>
      <c r="BJ27" s="75"/>
      <c r="BK27" s="75"/>
      <c r="BL27" s="75"/>
      <c r="BM27" s="75"/>
      <c r="BN27" s="75"/>
      <c r="BO27" s="74"/>
      <c r="BP27" s="74"/>
      <c r="BQ27" s="74"/>
      <c r="BR27" s="74"/>
      <c r="BS27" s="74"/>
      <c r="BT27" s="74"/>
      <c r="BU27" s="60"/>
      <c r="BV27" s="60"/>
      <c r="BW27" s="60"/>
      <c r="BX27" s="60"/>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row>
    <row r="28" spans="1:103" s="76" customFormat="1" ht="15.75">
      <c r="A28" s="125">
        <v>1</v>
      </c>
      <c r="B28" s="414" t="str">
        <f>IF(ISNA(VLOOKUP(A28,Master!AR$60:BD$107,3,FALSE)),"",VLOOKUP(A28,Master!AR$60:BD$107,3,FALSE))</f>
        <v>Jh ;ksxsUnz</v>
      </c>
      <c r="C28" s="415" t="str">
        <f>IF(ISNA(VLOOKUP(A28,Master!AR$60:BD$107,7,FALSE)),"",VLOOKUP(A28,Master!AR$60:BD$107,7,FALSE))</f>
        <v>RJAJ199506021728</v>
      </c>
      <c r="D28" s="416">
        <f>IF(ISNA(VLOOKUP(A28,Master!AR$60:BD$107,8,FALSE)),"",VLOOKUP(A28,Master!AR$60:BD$107,8,FALSE))</f>
        <v>110041926330</v>
      </c>
      <c r="E28" s="421" t="str">
        <f>IF(ISNA(VLOOKUP(A28,Master!AR$60:BD$107,4,FALSE)),"",VLOOKUP(A28,Master!AR$60:BD$107,4,FALSE))</f>
        <v>TEACHER-II</v>
      </c>
      <c r="F28" s="124">
        <f>IF(ISNA(VLOOKUP(A28,Master!AR$60:BD$107,5,FALSE)),"",VLOOKUP(A28,Master!AR$60:BD$107,5,FALSE))</f>
        <v>11</v>
      </c>
      <c r="G28" s="419">
        <f>IF(ISNA(VLOOKUP(A28,Master!AR$60:BD$107,6,FALSE)),"",VLOOKUP(A28,Master!AR$60:BD$107,6,FALSE))</f>
        <v>45600</v>
      </c>
      <c r="H28" s="419">
        <f>IF(AND(G28=""),"",G28*12)</f>
        <v>547200</v>
      </c>
      <c r="I28" s="420" t="str">
        <f ca="1">IF(AND(G28=""),"",IF(G28&lt;=0,"",(CONCATENATE("01.07.",(YEAR(TODAY())+1)))))</f>
        <v>01.07.2022</v>
      </c>
      <c r="J28" s="419">
        <f>IF(AND(G28=""),"",ROUND(ROUND(G28*3%,0),-2)*IF(F28="FIX PAY",0,1)*8)</f>
        <v>11200</v>
      </c>
      <c r="K28" s="419">
        <f>IF(AND(G28=""),"",H28+J28)</f>
        <v>558400</v>
      </c>
      <c r="L28" s="419">
        <f>IF(AND(G28=""),"",IF(M28="FIX PAY",K28,((IF(M28="FIX PAY",0,AD28*4+G28*8)))))</f>
        <v>542000</v>
      </c>
      <c r="M28" s="419" t="str">
        <f>IF(ISNA(VLOOKUP(A28,Master!AR$60:BD$107,12,FALSE)),"",VLOOKUP(A28,Master!AR$60:BD$107,12,FALSE))</f>
        <v>NON GAZETTED - REGULAR</v>
      </c>
      <c r="N28" s="163"/>
      <c r="O28" s="163"/>
      <c r="P28" s="163"/>
      <c r="Q28" s="163">
        <f t="shared" ref="Q28:Q71" si="55">IF(AND(G28=0),0,IF(AND(M28=Y$2),$E$79*1*(IF(F28&lt;12,1,0)),0))</f>
        <v>6774</v>
      </c>
      <c r="R28" s="52">
        <f t="shared" si="40"/>
        <v>1</v>
      </c>
      <c r="S28" s="1" t="str">
        <f>IF(ISNA(VLOOKUP(A28,Master!AR$60:BD$107,10,FALSE)),"",VLOOKUP(A28,Master!AR$60:BD$107,10,FALSE))</f>
        <v>NO</v>
      </c>
      <c r="T28" s="77"/>
      <c r="U28" s="77"/>
      <c r="V28" s="78" t="str">
        <f>IF(ISNA(VLOOKUP(A28,Master!AR$60:BD$107,11,FALSE)),"",VLOOKUP(A28,Master!AR$60:BD$107,11,FALSE))</f>
        <v>NO</v>
      </c>
      <c r="W28" s="78" t="str">
        <f>IF(ISNA(VLOOKUP(A28,Master!AR$60:BD$107,9,FALSE)),"",VLOOKUP(A28,Master!AR$60:BD$107,9,FALSE))</f>
        <v>MALE</v>
      </c>
      <c r="X28" s="79">
        <f t="shared" ref="X28:X71" si="56">IF(W28="MALE",1,0)*(IF(E28="JAMADAR",1,0))*(IF(G28&lt;=0,0,1))</f>
        <v>0</v>
      </c>
      <c r="Y28" s="79">
        <f t="shared" ref="Y28:Y71" si="57">IF(W28="FEMALE",1,0)*(IF(E28="JAMADAR",1,0))*(IF(G28&lt;=0,0,1))</f>
        <v>0</v>
      </c>
      <c r="Z28" s="79">
        <f t="shared" ref="Z28:Z71" si="58">IF(W28="MALE",1,0)*(IF(E28="LAB BOY",1,0))*(IF(G28&lt;=0,0,1))</f>
        <v>0</v>
      </c>
      <c r="AA28" s="79">
        <f t="shared" ref="AA28:AA71" si="59">IF(W28="FEMALE",1,0)*(IF(E28="LAB BOY",1,0))*(IF(G28&lt;=0,0,1))</f>
        <v>0</v>
      </c>
      <c r="AB28" s="79">
        <f t="shared" ref="AB28:AB71" si="60">IF(W28="MALE",1,0)*(IF(E28="PEON",1,0))*(IF(G28&lt;=0,0,1))</f>
        <v>0</v>
      </c>
      <c r="AC28" s="79">
        <f t="shared" ref="AC28:AC71" si="61">IF(W28="FEMALE",1,0)*(IF(E28="PEON",1,0))*(IF(G28&lt;=0,0,1))</f>
        <v>0</v>
      </c>
      <c r="AD28" s="80">
        <f>IF(AND(G28=""),"",G28-ROUNDUP(ROUND((G28*3%)-(G28*3%)*2.9%,-2),0))</f>
        <v>44300</v>
      </c>
      <c r="AE28" s="80">
        <f>IF(AND(G28=""),"",$K28*$BO28)</f>
        <v>0</v>
      </c>
      <c r="AF28" s="80">
        <f>IF(AND(G28=""),"",$K28*$BP28)</f>
        <v>558400</v>
      </c>
      <c r="AG28" s="80">
        <f>IF(AND(G28=""),"",$K28*$BQ28)</f>
        <v>0</v>
      </c>
      <c r="AH28" s="80">
        <f>IF(AND(G28=""),"",$K28*$BR28)</f>
        <v>0</v>
      </c>
      <c r="AI28" s="78">
        <f>IF(AND(G28=""),"",ROUND((AE28+AF28)*$AI$10,0)*BS28)</f>
        <v>0</v>
      </c>
      <c r="AJ28" s="78">
        <v>0</v>
      </c>
      <c r="AK28" s="79">
        <v>0</v>
      </c>
      <c r="AL28" s="78">
        <f>IF(AND(G28=""),"",ROUND((AE28+AF28)*$AL$10,0)*BS28)</f>
        <v>0</v>
      </c>
      <c r="AM28" s="79">
        <f t="shared" ref="AM28:AM71" si="62">$E$79*BP28*BS28*(IF(G28&lt;=0,0,1))*(IF(F28&lt;=4800,1,0))</f>
        <v>0</v>
      </c>
      <c r="AN28" s="78">
        <f t="shared" si="48"/>
        <v>29184</v>
      </c>
      <c r="AO28" s="78">
        <f t="shared" ref="AO28:AO71" si="63">IF(E28="CLERK GRADE I",1,IF(E28="CLERK GRADE II",1,0))*75*12*BS28*(IF(G28&lt;=0,0,1))*BT28</f>
        <v>0</v>
      </c>
      <c r="AP28" s="78">
        <f t="shared" ref="AP28:AP71" si="64">IF(AND(G28=""),0,(IF(E28="ASSISTANT",12,IF(E28="CLERK GRADE I",12,IF(E28="CLERK GRADE II",12,IF(E28="FIELDMAN &amp; FIELD REC",12,IF(E28="LAB BOY",12,IF(E28="JAMADAR",12,IF(E28="PEON",12,10))))))))*(MINA(ROUND(G28*6%,0),600))*(IF($S28="yes",1,0)))</f>
        <v>0</v>
      </c>
      <c r="AQ28" s="78">
        <f t="shared" ref="AQ28:AQ71" si="65">(IF(E28="LAB BOY",150,IF(E28="JAMADAR",150,IF(E28="PEON",150,0))))*12*BS28*(IF(G28&lt;=0,0,1))</f>
        <v>0</v>
      </c>
      <c r="AR28" s="80">
        <f t="shared" ref="AR28:AR71" si="66">IF(AND(E28=""),0,SUM(AI28:AQ28)+AE28+AF28)</f>
        <v>587584</v>
      </c>
      <c r="AS28" s="80">
        <f t="shared" ref="AS28:AS71" si="67">IF(AND(E28=""),0,AR28)</f>
        <v>587584</v>
      </c>
      <c r="AT28" s="78"/>
      <c r="AU28" s="78"/>
      <c r="AV28" s="80">
        <f>AS28+AT28+AU28</f>
        <v>587584</v>
      </c>
      <c r="AW28" s="80">
        <f t="shared" ref="AW28:AW71" si="68">IF(AND(E28=""),0,L28*BO28)</f>
        <v>0</v>
      </c>
      <c r="AX28" s="80">
        <f t="shared" ref="AX28:AX71" si="69">IF(AND(E28=""),0,L28*BP28)</f>
        <v>542000</v>
      </c>
      <c r="AY28" s="80">
        <f t="shared" ref="AY28:AY71" si="70">IF(AND(E28=""),0,L28*BQ28)</f>
        <v>0</v>
      </c>
      <c r="AZ28" s="80">
        <f t="shared" ref="AZ28:AZ71" si="71">IF(AND(E28=""),0,L28*BR28)</f>
        <v>0</v>
      </c>
      <c r="BA28" s="78">
        <f>ROUND((AW28+AX28)*$BA$10,0)*BS28</f>
        <v>0</v>
      </c>
      <c r="BB28" s="78">
        <f t="shared" ref="BB28:BB71" si="72">IF(AND(E28=""),0,ROUND((IF(M28="FIX PAY",0,AD28))*$BB$10*2,0)*BS28)</f>
        <v>0</v>
      </c>
      <c r="BC28" s="79">
        <v>0</v>
      </c>
      <c r="BD28" s="78">
        <f>ROUND((AW28+AX28)*$BD$10,0)*BS28</f>
        <v>0</v>
      </c>
      <c r="BE28" s="79">
        <f t="shared" ref="BE28:BE71" si="73">3387*2*BP28*BS28*(IF(G28&lt;=0,0,1))*(IF(F28&lt;=4800,1,0))</f>
        <v>0</v>
      </c>
      <c r="BF28" s="78">
        <f t="shared" si="49"/>
        <v>28352</v>
      </c>
      <c r="BG28" s="78">
        <f t="shared" ref="BG28:BG71" si="74">IF(E28="CLERK GRADE I",1,IF(E28="CLERK GRADE II",1,0))*75*12*BS28*(IF(G28&lt;=0,0,1))*BT28</f>
        <v>0</v>
      </c>
      <c r="BH28" s="78">
        <f t="shared" ref="BH28:BH71" si="75">IF(AND(E28=""),0,(IF(E28="ASSISTANT",12,IF(E28="CLERK GRADE I",12,IF(E28="CLERK GRADE II",12,IF(E28="FIELDMAN &amp; FIELD REC",12,IF(E28="LAB BOY",12,IF(E28="JAMADAR",12,IF(E28="PEON",12,10))))))))*(MINA(ROUND(AD28*6%,0),600))*(IF($S28="yes",1,)))</f>
        <v>0</v>
      </c>
      <c r="BI28" s="78">
        <f t="shared" ref="BI28:BI71" si="76">(IF(E28="LAB BOY",150,IF(E28="JAMADAR",150,IF(E28="PEON",150,0))))*12*BS28*(IF(G28&lt;=0,0,1))</f>
        <v>0</v>
      </c>
      <c r="BJ28" s="80">
        <f>SUM(BA28:BI28)+AW28+AX28</f>
        <v>570352</v>
      </c>
      <c r="BK28" s="80">
        <f>BJ28</f>
        <v>570352</v>
      </c>
      <c r="BL28" s="78"/>
      <c r="BM28" s="78"/>
      <c r="BN28" s="80">
        <f>BK28+BL28+BM28</f>
        <v>570352</v>
      </c>
      <c r="BO28" s="74">
        <f t="shared" ref="BO28:BO71" si="77">(IF(E28="PRINCIPAL",1,IF(E28="H M",1,IF(E28="AGRICULTURE INST",1,IF(E28="TEACHER-1ST",1,IF(E28="PTI  I  (13)",1,IF(E28="AGRICULTURE TEACH",1,IF(E28="INSTRUCTOR",1,0))))))))+(IF(E28="JR TEACHER",1,IF(E28="LIBRARIAN I",1,0)))*(IF(M28="FIX PAY",0,1))</f>
        <v>0</v>
      </c>
      <c r="BP28" s="74">
        <f t="shared" ref="BP28:BP71" si="78">IF(BO28&lt;=0,1,0)*(IF(M28="FIX PAY",0,1))</f>
        <v>1</v>
      </c>
      <c r="BQ28" s="74">
        <f t="shared" ref="BQ28:BQ71" si="79">(IF(E28="PRINCIPAL (16)",1,IF(E28="V P (14)",1,IF(E28="H M (14)",1,IF(E28="AGRICULTURE INST (13)",1,IF(E28="TEACHER-1ST (13)",1,IF(E28="PTI  I  (13)",1,IF(E28="AGRICULTURE TEACH (13)",1,IF(E28="INSTRUCTOR (13)",1,0))))))))+(IF(E28="JR TEACHER (13)",1,IF(E28="LIBRARIAN I (13)",1,0))))*(IF(M28="FIX PAY",1,0))</f>
        <v>0</v>
      </c>
      <c r="BR28" s="74">
        <f t="shared" ref="BR28:BR71" si="80">IF(BQ28&lt;=0,1,0)*(IF(M28="FIX PAY",1,0))</f>
        <v>0</v>
      </c>
      <c r="BS28" s="74">
        <f t="shared" si="50"/>
        <v>0</v>
      </c>
      <c r="BT28" s="74">
        <f>IF(V28="No",0,1)</f>
        <v>0</v>
      </c>
      <c r="BU28" s="60">
        <f t="shared" ref="BU28:BU71" si="81">IF((ROUND((SUMPRODUCT(MID(0&amp;C28,LARGE(INDEX(ISNUMBER(--MID(C28,ROW($1:$25),1))* ROW($1:$25),0),ROW($1:$25))+1,1)*10^ROW($1:$25)/10)),-8)/100000000)&gt;=2004,1,0)</f>
        <v>0</v>
      </c>
      <c r="BV28" s="81">
        <f>IF(G28&lt;=0,0,1)</f>
        <v>1</v>
      </c>
      <c r="BW28" s="60">
        <f t="shared" si="52"/>
        <v>0</v>
      </c>
      <c r="BX28" s="60">
        <f t="shared" si="53"/>
        <v>0</v>
      </c>
      <c r="BY28" s="49">
        <f t="shared" ref="BY28:BY71" si="82">IF(AND(C28=""),"",IF(AND(C28&lt;=0),"",IF((ROUND((SUMPRODUCT(MID(0&amp;C28,LARGE(INDEX(ISNUMBER(--MID(C28,ROW($1:$71),1))* ROW($1:$71),0),ROW($1:$71))+1,1)*10^ROW($1:$71)/10)),-8)/100000000)&lt;2004,1,0)))</f>
        <v>1</v>
      </c>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row>
    <row r="29" spans="1:103" s="76" customFormat="1" ht="15.75">
      <c r="A29" s="125">
        <v>2</v>
      </c>
      <c r="B29" s="414" t="str">
        <f>IF(ISNA(VLOOKUP(A29,Master!AR$60:BD$107,3,FALSE)),"",VLOOKUP(A29,Master!AR$60:BD$107,3,FALSE))</f>
        <v>Jh lqjs'k pUn flaxkfM+;k</v>
      </c>
      <c r="C29" s="415" t="str">
        <f>IF(ISNA(VLOOKUP(A29,Master!AR$60:BD$107,7,FALSE)),"",VLOOKUP(A29,Master!AR$60:BD$107,7,FALSE))</f>
        <v>RJAJ199506021728</v>
      </c>
      <c r="D29" s="416">
        <f>IF(ISNA(VLOOKUP(A29,Master!AR$60:BD$107,8,FALSE)),"",VLOOKUP(A29,Master!AR$60:BD$107,8,FALSE))</f>
        <v>690644</v>
      </c>
      <c r="E29" s="421" t="str">
        <f>IF(ISNA(VLOOKUP(A29,Master!AR$60:BD$107,4,FALSE)),"",VLOOKUP(A29,Master!AR$60:BD$107,4,FALSE))</f>
        <v>TEACHER-II</v>
      </c>
      <c r="F29" s="124">
        <f>IF(ISNA(VLOOKUP(A29,Master!AR$60:BD$107,5,FALSE)),"",VLOOKUP(A29,Master!AR$60:BD$107,5,FALSE))</f>
        <v>11</v>
      </c>
      <c r="G29" s="419">
        <f>IF(ISNA(VLOOKUP(A29,Master!AR$60:BD$107,6,FALSE)),"",VLOOKUP(A29,Master!AR$60:BD$107,6,FALSE))</f>
        <v>53900</v>
      </c>
      <c r="H29" s="419">
        <f t="shared" ref="H29:H71" si="83">IF(AND(G29=""),"",G29*12)</f>
        <v>646800</v>
      </c>
      <c r="I29" s="420" t="str">
        <f t="shared" ref="I29:I71" ca="1" si="84">IF(AND(G29=""),"",IF(G29&lt;=0,"",(CONCATENATE("01.07.",(YEAR(TODAY())+1)))))</f>
        <v>01.07.2022</v>
      </c>
      <c r="J29" s="419">
        <f t="shared" ref="J29:J71" si="85">IF(AND(G29=""),"",ROUND(ROUND(G29*3%,0),-2)*IF(F29="FIX PAY",0,1)*8)</f>
        <v>12800</v>
      </c>
      <c r="K29" s="419">
        <f t="shared" ref="K29:K71" si="86">IF(AND(G29=""),"",H29+J29)</f>
        <v>659600</v>
      </c>
      <c r="L29" s="419">
        <f t="shared" ref="L29:L71" si="87">IF(AND(G29=""),"",IF(M29="FIX PAY",K29,((IF(M29="FIX PAY",0,AD29*4+G29*8)))))</f>
        <v>640400</v>
      </c>
      <c r="M29" s="419" t="str">
        <f>IF(ISNA(VLOOKUP(A29,Master!AR$60:BD$107,12,FALSE)),"",VLOOKUP(A29,Master!AR$60:BD$107,12,FALSE))</f>
        <v>NON GAZETTED - REGULAR</v>
      </c>
      <c r="N29" s="163"/>
      <c r="O29" s="163"/>
      <c r="P29" s="163"/>
      <c r="Q29" s="163">
        <f t="shared" si="55"/>
        <v>6774</v>
      </c>
      <c r="R29" s="52">
        <f t="shared" si="40"/>
        <v>1</v>
      </c>
      <c r="S29" s="1" t="str">
        <f>IF(ISNA(VLOOKUP(A29,Master!AR$60:BD$107,10,FALSE)),"",VLOOKUP(A29,Master!AR$60:BD$107,10,FALSE))</f>
        <v>NO</v>
      </c>
      <c r="T29" s="77"/>
      <c r="U29" s="77"/>
      <c r="V29" s="78" t="str">
        <f>IF(ISNA(VLOOKUP(A29,Master!AR$60:BD$107,11,FALSE)),"",VLOOKUP(A29,Master!AR$60:BD$107,11,FALSE))</f>
        <v>NO</v>
      </c>
      <c r="W29" s="78" t="str">
        <f>IF(ISNA(VLOOKUP(A29,Master!AR$60:BD$107,9,FALSE)),"",VLOOKUP(A29,Master!AR$60:BD$107,9,FALSE))</f>
        <v>MALE</v>
      </c>
      <c r="X29" s="79">
        <f t="shared" si="56"/>
        <v>0</v>
      </c>
      <c r="Y29" s="79">
        <f t="shared" si="57"/>
        <v>0</v>
      </c>
      <c r="Z29" s="79">
        <f t="shared" si="58"/>
        <v>0</v>
      </c>
      <c r="AA29" s="79">
        <f t="shared" si="59"/>
        <v>0</v>
      </c>
      <c r="AB29" s="79">
        <f t="shared" si="60"/>
        <v>0</v>
      </c>
      <c r="AC29" s="79">
        <f t="shared" si="61"/>
        <v>0</v>
      </c>
      <c r="AD29" s="80">
        <f t="shared" ref="AD29:AD70" si="88">IF(AND(G29=""),"",G29-ROUNDUP(ROUND((G29*3%)-(G29*3%)*2.9%,-2),0))</f>
        <v>52300</v>
      </c>
      <c r="AE29" s="80">
        <f t="shared" ref="AE29:AE71" si="89">IF(AND(G29=""),"",$K29*$BO29)</f>
        <v>0</v>
      </c>
      <c r="AF29" s="80">
        <f t="shared" ref="AF29:AF71" si="90">IF(AND(G29=""),"",$K29*$BP29)</f>
        <v>659600</v>
      </c>
      <c r="AG29" s="80">
        <f t="shared" ref="AG29:AG71" si="91">IF(AND(G29=""),"",$K29*$BQ29)</f>
        <v>0</v>
      </c>
      <c r="AH29" s="80">
        <f t="shared" ref="AH29:AH71" si="92">IF(AND(G29=""),"",$K29*$BR29)</f>
        <v>0</v>
      </c>
      <c r="AI29" s="78">
        <f t="shared" ref="AI29:AI71" si="93">IF(AND(G29=""),"",ROUND((AE29+AF29)*$AI$10,0)*BS29)</f>
        <v>0</v>
      </c>
      <c r="AJ29" s="78">
        <v>0</v>
      </c>
      <c r="AK29" s="79">
        <v>0</v>
      </c>
      <c r="AL29" s="78">
        <f t="shared" ref="AL29:AL71" si="94">IF(AND(G29=""),"",ROUND((AE29+AF29)*$AL$10,0)*BS29)</f>
        <v>0</v>
      </c>
      <c r="AM29" s="79">
        <f t="shared" si="62"/>
        <v>0</v>
      </c>
      <c r="AN29" s="78">
        <f t="shared" si="48"/>
        <v>34496</v>
      </c>
      <c r="AO29" s="78">
        <f t="shared" si="63"/>
        <v>0</v>
      </c>
      <c r="AP29" s="78">
        <f t="shared" si="64"/>
        <v>0</v>
      </c>
      <c r="AQ29" s="78">
        <f t="shared" si="65"/>
        <v>0</v>
      </c>
      <c r="AR29" s="80">
        <f t="shared" si="66"/>
        <v>694096</v>
      </c>
      <c r="AS29" s="80">
        <f t="shared" si="67"/>
        <v>694096</v>
      </c>
      <c r="AT29" s="78"/>
      <c r="AU29" s="78"/>
      <c r="AV29" s="80">
        <f t="shared" ref="AV29:AV71" si="95">AS29+AT29+AU29</f>
        <v>694096</v>
      </c>
      <c r="AW29" s="80">
        <f t="shared" si="68"/>
        <v>0</v>
      </c>
      <c r="AX29" s="80">
        <f t="shared" si="69"/>
        <v>640400</v>
      </c>
      <c r="AY29" s="80">
        <f t="shared" si="70"/>
        <v>0</v>
      </c>
      <c r="AZ29" s="80">
        <f t="shared" si="71"/>
        <v>0</v>
      </c>
      <c r="BA29" s="78">
        <f t="shared" ref="BA29:BA71" si="96">ROUND((AW29+AX29)*$BA$10,0)*BS29</f>
        <v>0</v>
      </c>
      <c r="BB29" s="78">
        <f t="shared" si="72"/>
        <v>0</v>
      </c>
      <c r="BC29" s="79">
        <v>0</v>
      </c>
      <c r="BD29" s="78">
        <f t="shared" ref="BD29:BD71" si="97">ROUND((AW29+AX29)*$BD$10,0)*BS29</f>
        <v>0</v>
      </c>
      <c r="BE29" s="79">
        <f t="shared" si="73"/>
        <v>0</v>
      </c>
      <c r="BF29" s="78">
        <f t="shared" si="49"/>
        <v>33472</v>
      </c>
      <c r="BG29" s="78">
        <f t="shared" si="74"/>
        <v>0</v>
      </c>
      <c r="BH29" s="78">
        <f t="shared" si="75"/>
        <v>0</v>
      </c>
      <c r="BI29" s="78">
        <f t="shared" si="76"/>
        <v>0</v>
      </c>
      <c r="BJ29" s="80">
        <f t="shared" ref="BJ29:BJ71" si="98">SUM(BA29:BI29)+AW29+AX29</f>
        <v>673872</v>
      </c>
      <c r="BK29" s="80">
        <f t="shared" ref="BK29:BK71" si="99">BJ29</f>
        <v>673872</v>
      </c>
      <c r="BL29" s="78"/>
      <c r="BM29" s="78"/>
      <c r="BN29" s="80">
        <f t="shared" ref="BN29:BN71" si="100">BK29+BL29+BM29</f>
        <v>673872</v>
      </c>
      <c r="BO29" s="74">
        <f t="shared" si="77"/>
        <v>0</v>
      </c>
      <c r="BP29" s="74">
        <f t="shared" si="78"/>
        <v>1</v>
      </c>
      <c r="BQ29" s="74">
        <f t="shared" si="79"/>
        <v>0</v>
      </c>
      <c r="BR29" s="74">
        <f t="shared" si="80"/>
        <v>0</v>
      </c>
      <c r="BS29" s="74">
        <f t="shared" si="50"/>
        <v>0</v>
      </c>
      <c r="BT29" s="74">
        <f t="shared" ref="BT29:BT71" si="101">IF(V29="No",0,1)</f>
        <v>0</v>
      </c>
      <c r="BU29" s="60">
        <f t="shared" si="81"/>
        <v>0</v>
      </c>
      <c r="BV29" s="81">
        <f t="shared" ref="BV29:BV71" si="102">IF(G29&lt;=0,0,1)</f>
        <v>1</v>
      </c>
      <c r="BW29" s="60">
        <f t="shared" si="52"/>
        <v>0</v>
      </c>
      <c r="BX29" s="60">
        <f t="shared" si="53"/>
        <v>0</v>
      </c>
      <c r="BY29" s="49">
        <f t="shared" si="82"/>
        <v>1</v>
      </c>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row>
    <row r="30" spans="1:103" s="76" customFormat="1" ht="15.75">
      <c r="A30" s="125">
        <v>3</v>
      </c>
      <c r="B30" s="414" t="str">
        <f>IF(ISNA(VLOOKUP(A30,Master!AR$60:BD$107,3,FALSE)),"",VLOOKUP(A30,Master!AR$60:BD$107,3,FALSE))</f>
        <v>Jh jkds'k dqekj 'kekZ</v>
      </c>
      <c r="C30" s="415" t="str">
        <f>IF(ISNA(VLOOKUP(A30,Master!AR$60:BD$107,7,FALSE)),"",VLOOKUP(A30,Master!AR$60:BD$107,7,FALSE))</f>
        <v>RJAJ199506021728</v>
      </c>
      <c r="D30" s="416">
        <f>IF(ISNA(VLOOKUP(A30,Master!AR$60:BD$107,8,FALSE)),"",VLOOKUP(A30,Master!AR$60:BD$107,8,FALSE))</f>
        <v>690644</v>
      </c>
      <c r="E30" s="421" t="str">
        <f>IF(ISNA(VLOOKUP(A30,Master!AR$60:BD$107,4,FALSE)),"",VLOOKUP(A30,Master!AR$60:BD$107,4,FALSE))</f>
        <v>TEACHER-II</v>
      </c>
      <c r="F30" s="124">
        <f>IF(ISNA(VLOOKUP(A30,Master!AR$60:BD$107,5,FALSE)),"",VLOOKUP(A30,Master!AR$60:BD$107,5,FALSE))</f>
        <v>11</v>
      </c>
      <c r="G30" s="419">
        <f>IF(ISNA(VLOOKUP(A30,Master!AR$60:BD$107,6,FALSE)),"",VLOOKUP(A30,Master!AR$60:BD$107,6,FALSE))</f>
        <v>45600</v>
      </c>
      <c r="H30" s="419">
        <f t="shared" si="83"/>
        <v>547200</v>
      </c>
      <c r="I30" s="420" t="str">
        <f t="shared" ca="1" si="84"/>
        <v>01.07.2022</v>
      </c>
      <c r="J30" s="419">
        <f t="shared" si="85"/>
        <v>11200</v>
      </c>
      <c r="K30" s="419">
        <f t="shared" si="86"/>
        <v>558400</v>
      </c>
      <c r="L30" s="419">
        <f t="shared" si="87"/>
        <v>542000</v>
      </c>
      <c r="M30" s="419" t="str">
        <f>IF(ISNA(VLOOKUP(A30,Master!AR$60:BD$107,12,FALSE)),"",VLOOKUP(A30,Master!AR$60:BD$107,12,FALSE))</f>
        <v>NON GAZETTED - REGULAR</v>
      </c>
      <c r="N30" s="163"/>
      <c r="O30" s="163"/>
      <c r="P30" s="163"/>
      <c r="Q30" s="163">
        <f t="shared" si="55"/>
        <v>6774</v>
      </c>
      <c r="R30" s="52">
        <f t="shared" si="40"/>
        <v>1</v>
      </c>
      <c r="S30" s="1" t="str">
        <f>IF(ISNA(VLOOKUP(A30,Master!AR$60:BD$107,10,FALSE)),"",VLOOKUP(A30,Master!AR$60:BD$107,10,FALSE))</f>
        <v>NO</v>
      </c>
      <c r="T30" s="77"/>
      <c r="U30" s="77"/>
      <c r="V30" s="78" t="str">
        <f>IF(ISNA(VLOOKUP(A30,Master!AR$60:BD$107,11,FALSE)),"",VLOOKUP(A30,Master!AR$60:BD$107,11,FALSE))</f>
        <v>NO</v>
      </c>
      <c r="W30" s="78" t="str">
        <f>IF(ISNA(VLOOKUP(A30,Master!AR$60:BD$107,9,FALSE)),"",VLOOKUP(A30,Master!AR$60:BD$107,9,FALSE))</f>
        <v>MALE</v>
      </c>
      <c r="X30" s="79">
        <f t="shared" si="56"/>
        <v>0</v>
      </c>
      <c r="Y30" s="79">
        <f t="shared" si="57"/>
        <v>0</v>
      </c>
      <c r="Z30" s="79">
        <f t="shared" si="58"/>
        <v>0</v>
      </c>
      <c r="AA30" s="79">
        <f t="shared" si="59"/>
        <v>0</v>
      </c>
      <c r="AB30" s="79">
        <f t="shared" si="60"/>
        <v>0</v>
      </c>
      <c r="AC30" s="79">
        <f t="shared" si="61"/>
        <v>0</v>
      </c>
      <c r="AD30" s="80">
        <f t="shared" si="88"/>
        <v>44300</v>
      </c>
      <c r="AE30" s="80">
        <f t="shared" si="89"/>
        <v>0</v>
      </c>
      <c r="AF30" s="80">
        <f t="shared" si="90"/>
        <v>558400</v>
      </c>
      <c r="AG30" s="80">
        <f t="shared" si="91"/>
        <v>0</v>
      </c>
      <c r="AH30" s="80">
        <f t="shared" si="92"/>
        <v>0</v>
      </c>
      <c r="AI30" s="78">
        <f t="shared" si="93"/>
        <v>0</v>
      </c>
      <c r="AJ30" s="78">
        <v>0</v>
      </c>
      <c r="AK30" s="79">
        <v>0</v>
      </c>
      <c r="AL30" s="78">
        <f t="shared" si="94"/>
        <v>0</v>
      </c>
      <c r="AM30" s="79">
        <f t="shared" si="62"/>
        <v>0</v>
      </c>
      <c r="AN30" s="78">
        <f t="shared" si="48"/>
        <v>29184</v>
      </c>
      <c r="AO30" s="78">
        <f t="shared" si="63"/>
        <v>0</v>
      </c>
      <c r="AP30" s="78">
        <f t="shared" si="64"/>
        <v>0</v>
      </c>
      <c r="AQ30" s="78">
        <f t="shared" si="65"/>
        <v>0</v>
      </c>
      <c r="AR30" s="80">
        <f t="shared" si="66"/>
        <v>587584</v>
      </c>
      <c r="AS30" s="80">
        <f t="shared" si="67"/>
        <v>587584</v>
      </c>
      <c r="AT30" s="78"/>
      <c r="AU30" s="78"/>
      <c r="AV30" s="80">
        <f t="shared" si="95"/>
        <v>587584</v>
      </c>
      <c r="AW30" s="80">
        <f t="shared" si="68"/>
        <v>0</v>
      </c>
      <c r="AX30" s="80">
        <f t="shared" si="69"/>
        <v>542000</v>
      </c>
      <c r="AY30" s="80">
        <f t="shared" si="70"/>
        <v>0</v>
      </c>
      <c r="AZ30" s="80">
        <f t="shared" si="71"/>
        <v>0</v>
      </c>
      <c r="BA30" s="78">
        <f t="shared" si="96"/>
        <v>0</v>
      </c>
      <c r="BB30" s="78">
        <f t="shared" si="72"/>
        <v>0</v>
      </c>
      <c r="BC30" s="79">
        <v>0</v>
      </c>
      <c r="BD30" s="78">
        <f t="shared" si="97"/>
        <v>0</v>
      </c>
      <c r="BE30" s="79">
        <f t="shared" si="73"/>
        <v>0</v>
      </c>
      <c r="BF30" s="78">
        <f t="shared" si="49"/>
        <v>28352</v>
      </c>
      <c r="BG30" s="78">
        <f t="shared" si="74"/>
        <v>0</v>
      </c>
      <c r="BH30" s="78">
        <f t="shared" si="75"/>
        <v>0</v>
      </c>
      <c r="BI30" s="78">
        <f t="shared" si="76"/>
        <v>0</v>
      </c>
      <c r="BJ30" s="80">
        <f t="shared" si="98"/>
        <v>570352</v>
      </c>
      <c r="BK30" s="80">
        <f t="shared" si="99"/>
        <v>570352</v>
      </c>
      <c r="BL30" s="78"/>
      <c r="BM30" s="78"/>
      <c r="BN30" s="80">
        <f t="shared" si="100"/>
        <v>570352</v>
      </c>
      <c r="BO30" s="74">
        <f t="shared" si="77"/>
        <v>0</v>
      </c>
      <c r="BP30" s="74">
        <f t="shared" si="78"/>
        <v>1</v>
      </c>
      <c r="BQ30" s="74">
        <f t="shared" si="79"/>
        <v>0</v>
      </c>
      <c r="BR30" s="74">
        <f t="shared" si="80"/>
        <v>0</v>
      </c>
      <c r="BS30" s="74">
        <f t="shared" si="50"/>
        <v>0</v>
      </c>
      <c r="BT30" s="74">
        <f t="shared" si="101"/>
        <v>0</v>
      </c>
      <c r="BU30" s="60">
        <f t="shared" si="81"/>
        <v>0</v>
      </c>
      <c r="BV30" s="81">
        <f t="shared" si="102"/>
        <v>1</v>
      </c>
      <c r="BW30" s="60">
        <f t="shared" si="52"/>
        <v>0</v>
      </c>
      <c r="BX30" s="60">
        <f t="shared" si="53"/>
        <v>0</v>
      </c>
      <c r="BY30" s="49">
        <f t="shared" si="82"/>
        <v>1</v>
      </c>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row>
    <row r="31" spans="1:103" s="76" customFormat="1" ht="15.75">
      <c r="A31" s="125">
        <v>4</v>
      </c>
      <c r="B31" s="414" t="str">
        <f>IF(ISNA(VLOOKUP(A31,Master!AR$60:BD$107,3,FALSE)),"",VLOOKUP(A31,Master!AR$60:BD$107,3,FALSE))</f>
        <v>Jh ghjkyky tkV</v>
      </c>
      <c r="C31" s="415" t="str">
        <f>IF(ISNA(VLOOKUP(A31,Master!AR$60:BD$107,7,FALSE)),"",VLOOKUP(A31,Master!AR$60:BD$107,7,FALSE))</f>
        <v>RJAJ199506021728</v>
      </c>
      <c r="D31" s="416">
        <f>IF(ISNA(VLOOKUP(A31,Master!AR$60:BD$107,8,FALSE)),"",VLOOKUP(A31,Master!AR$60:BD$107,8,FALSE))</f>
        <v>690644</v>
      </c>
      <c r="E31" s="421" t="str">
        <f>IF(ISNA(VLOOKUP(A31,Master!AR$60:BD$107,4,FALSE)),"",VLOOKUP(A31,Master!AR$60:BD$107,4,FALSE))</f>
        <v>TEACHER-II</v>
      </c>
      <c r="F31" s="124">
        <f>IF(ISNA(VLOOKUP(A31,Master!AR$60:BD$107,5,FALSE)),"",VLOOKUP(A31,Master!AR$60:BD$107,5,FALSE))</f>
        <v>11</v>
      </c>
      <c r="G31" s="419">
        <f>IF(ISNA(VLOOKUP(A31,Master!AR$60:BD$107,6,FALSE)),"",VLOOKUP(A31,Master!AR$60:BD$107,6,FALSE))</f>
        <v>52300</v>
      </c>
      <c r="H31" s="419">
        <f t="shared" si="83"/>
        <v>627600</v>
      </c>
      <c r="I31" s="420" t="str">
        <f t="shared" ca="1" si="84"/>
        <v>01.07.2022</v>
      </c>
      <c r="J31" s="419">
        <f t="shared" si="85"/>
        <v>12800</v>
      </c>
      <c r="K31" s="419">
        <f t="shared" si="86"/>
        <v>640400</v>
      </c>
      <c r="L31" s="419">
        <f t="shared" si="87"/>
        <v>621600</v>
      </c>
      <c r="M31" s="419" t="str">
        <f>IF(ISNA(VLOOKUP(A31,Master!AR$60:BD$107,12,FALSE)),"",VLOOKUP(A31,Master!AR$60:BD$107,12,FALSE))</f>
        <v>NON GAZETTED - REGULAR</v>
      </c>
      <c r="N31" s="163"/>
      <c r="O31" s="163"/>
      <c r="P31" s="163"/>
      <c r="Q31" s="163">
        <f t="shared" si="55"/>
        <v>6774</v>
      </c>
      <c r="R31" s="52">
        <f t="shared" si="40"/>
        <v>1</v>
      </c>
      <c r="S31" s="1" t="str">
        <f>IF(ISNA(VLOOKUP(A31,Master!AR$60:BD$107,10,FALSE)),"",VLOOKUP(A31,Master!AR$60:BD$107,10,FALSE))</f>
        <v>NO</v>
      </c>
      <c r="T31" s="77"/>
      <c r="U31" s="77"/>
      <c r="V31" s="78" t="str">
        <f>IF(ISNA(VLOOKUP(A31,Master!AR$60:BD$107,11,FALSE)),"",VLOOKUP(A31,Master!AR$60:BD$107,11,FALSE))</f>
        <v>NO</v>
      </c>
      <c r="W31" s="78" t="str">
        <f>IF(ISNA(VLOOKUP(A31,Master!AR$60:BD$107,9,FALSE)),"",VLOOKUP(A31,Master!AR$60:BD$107,9,FALSE))</f>
        <v>MALE</v>
      </c>
      <c r="X31" s="79">
        <f t="shared" si="56"/>
        <v>0</v>
      </c>
      <c r="Y31" s="79">
        <f t="shared" si="57"/>
        <v>0</v>
      </c>
      <c r="Z31" s="79">
        <f t="shared" si="58"/>
        <v>0</v>
      </c>
      <c r="AA31" s="79">
        <f t="shared" si="59"/>
        <v>0</v>
      </c>
      <c r="AB31" s="79">
        <f t="shared" si="60"/>
        <v>0</v>
      </c>
      <c r="AC31" s="79">
        <f t="shared" si="61"/>
        <v>0</v>
      </c>
      <c r="AD31" s="80">
        <f t="shared" si="88"/>
        <v>50800</v>
      </c>
      <c r="AE31" s="80">
        <f t="shared" si="89"/>
        <v>0</v>
      </c>
      <c r="AF31" s="80">
        <f t="shared" si="90"/>
        <v>640400</v>
      </c>
      <c r="AG31" s="80">
        <f t="shared" si="91"/>
        <v>0</v>
      </c>
      <c r="AH31" s="80">
        <f t="shared" si="92"/>
        <v>0</v>
      </c>
      <c r="AI31" s="78">
        <f t="shared" si="93"/>
        <v>0</v>
      </c>
      <c r="AJ31" s="78">
        <v>0</v>
      </c>
      <c r="AK31" s="79">
        <v>0</v>
      </c>
      <c r="AL31" s="78">
        <f t="shared" si="94"/>
        <v>0</v>
      </c>
      <c r="AM31" s="79">
        <f t="shared" si="62"/>
        <v>0</v>
      </c>
      <c r="AN31" s="78">
        <f t="shared" si="48"/>
        <v>33472</v>
      </c>
      <c r="AO31" s="78">
        <f t="shared" si="63"/>
        <v>0</v>
      </c>
      <c r="AP31" s="78">
        <f t="shared" si="64"/>
        <v>0</v>
      </c>
      <c r="AQ31" s="78">
        <f t="shared" si="65"/>
        <v>0</v>
      </c>
      <c r="AR31" s="80">
        <f t="shared" si="66"/>
        <v>673872</v>
      </c>
      <c r="AS31" s="80">
        <f t="shared" si="67"/>
        <v>673872</v>
      </c>
      <c r="AT31" s="78"/>
      <c r="AU31" s="78"/>
      <c r="AV31" s="80">
        <f t="shared" si="95"/>
        <v>673872</v>
      </c>
      <c r="AW31" s="80">
        <f t="shared" si="68"/>
        <v>0</v>
      </c>
      <c r="AX31" s="80">
        <f t="shared" si="69"/>
        <v>621600</v>
      </c>
      <c r="AY31" s="80">
        <f t="shared" si="70"/>
        <v>0</v>
      </c>
      <c r="AZ31" s="80">
        <f t="shared" si="71"/>
        <v>0</v>
      </c>
      <c r="BA31" s="78">
        <f t="shared" si="96"/>
        <v>0</v>
      </c>
      <c r="BB31" s="78">
        <f t="shared" si="72"/>
        <v>0</v>
      </c>
      <c r="BC31" s="79">
        <v>0</v>
      </c>
      <c r="BD31" s="78">
        <f t="shared" si="97"/>
        <v>0</v>
      </c>
      <c r="BE31" s="79">
        <f t="shared" si="73"/>
        <v>0</v>
      </c>
      <c r="BF31" s="78">
        <f t="shared" si="49"/>
        <v>32512</v>
      </c>
      <c r="BG31" s="78">
        <f t="shared" si="74"/>
        <v>0</v>
      </c>
      <c r="BH31" s="78">
        <f t="shared" si="75"/>
        <v>0</v>
      </c>
      <c r="BI31" s="78">
        <f t="shared" si="76"/>
        <v>0</v>
      </c>
      <c r="BJ31" s="80">
        <f t="shared" si="98"/>
        <v>654112</v>
      </c>
      <c r="BK31" s="80">
        <f t="shared" si="99"/>
        <v>654112</v>
      </c>
      <c r="BL31" s="78"/>
      <c r="BM31" s="78"/>
      <c r="BN31" s="80">
        <f t="shared" si="100"/>
        <v>654112</v>
      </c>
      <c r="BO31" s="74">
        <f t="shared" si="77"/>
        <v>0</v>
      </c>
      <c r="BP31" s="74">
        <f t="shared" si="78"/>
        <v>1</v>
      </c>
      <c r="BQ31" s="74">
        <f t="shared" si="79"/>
        <v>0</v>
      </c>
      <c r="BR31" s="74">
        <f t="shared" si="80"/>
        <v>0</v>
      </c>
      <c r="BS31" s="74">
        <f t="shared" si="50"/>
        <v>0</v>
      </c>
      <c r="BT31" s="74">
        <f t="shared" si="101"/>
        <v>0</v>
      </c>
      <c r="BU31" s="60">
        <f t="shared" si="81"/>
        <v>0</v>
      </c>
      <c r="BV31" s="81">
        <f t="shared" si="102"/>
        <v>1</v>
      </c>
      <c r="BW31" s="60">
        <f t="shared" si="52"/>
        <v>0</v>
      </c>
      <c r="BX31" s="60">
        <f t="shared" si="53"/>
        <v>0</v>
      </c>
      <c r="BY31" s="49">
        <f t="shared" si="82"/>
        <v>1</v>
      </c>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row>
    <row r="32" spans="1:103" s="76" customFormat="1" ht="15.75">
      <c r="A32" s="125">
        <v>5</v>
      </c>
      <c r="B32" s="414" t="str">
        <f>IF(ISNA(VLOOKUP(A32,Master!AR$60:BD$107,3,FALSE)),"",VLOOKUP(A32,Master!AR$60:BD$107,3,FALSE))</f>
        <v>Jh 'kjn 'kekZ</v>
      </c>
      <c r="C32" s="415" t="str">
        <f>IF(ISNA(VLOOKUP(A32,Master!AR$60:BD$107,7,FALSE)),"",VLOOKUP(A32,Master!AR$60:BD$107,7,FALSE))</f>
        <v>RJAJ199506021728</v>
      </c>
      <c r="D32" s="416">
        <f>IF(ISNA(VLOOKUP(A32,Master!AR$60:BD$107,8,FALSE)),"",VLOOKUP(A32,Master!AR$60:BD$107,8,FALSE))</f>
        <v>690644</v>
      </c>
      <c r="E32" s="421" t="str">
        <f>IF(ISNA(VLOOKUP(A32,Master!AR$60:BD$107,4,FALSE)),"",VLOOKUP(A32,Master!AR$60:BD$107,4,FALSE))</f>
        <v>TEACHER-II</v>
      </c>
      <c r="F32" s="124">
        <f>IF(ISNA(VLOOKUP(A32,Master!AR$60:BD$107,5,FALSE)),"",VLOOKUP(A32,Master!AR$60:BD$107,5,FALSE))</f>
        <v>11</v>
      </c>
      <c r="G32" s="419">
        <f>IF(ISNA(VLOOKUP(A32,Master!AR$60:BD$107,6,FALSE)),"",VLOOKUP(A32,Master!AR$60:BD$107,6,FALSE))</f>
        <v>41300</v>
      </c>
      <c r="H32" s="419">
        <f t="shared" si="83"/>
        <v>495600</v>
      </c>
      <c r="I32" s="420" t="str">
        <f t="shared" ca="1" si="84"/>
        <v>01.07.2022</v>
      </c>
      <c r="J32" s="419">
        <f t="shared" si="85"/>
        <v>9600</v>
      </c>
      <c r="K32" s="419">
        <f t="shared" si="86"/>
        <v>505200</v>
      </c>
      <c r="L32" s="419">
        <f t="shared" si="87"/>
        <v>490800</v>
      </c>
      <c r="M32" s="419" t="str">
        <f>IF(ISNA(VLOOKUP(A32,Master!AR$60:BD$107,12,FALSE)),"",VLOOKUP(A32,Master!AR$60:BD$107,12,FALSE))</f>
        <v>NON GAZETTED - REGULAR</v>
      </c>
      <c r="N32" s="163"/>
      <c r="O32" s="163"/>
      <c r="P32" s="163"/>
      <c r="Q32" s="163">
        <f t="shared" si="55"/>
        <v>6774</v>
      </c>
      <c r="R32" s="52">
        <f t="shared" si="40"/>
        <v>1</v>
      </c>
      <c r="S32" s="1" t="str">
        <f>IF(ISNA(VLOOKUP(A32,Master!AR$60:BD$107,10,FALSE)),"",VLOOKUP(A32,Master!AR$60:BD$107,10,FALSE))</f>
        <v>NO</v>
      </c>
      <c r="T32" s="77"/>
      <c r="U32" s="77"/>
      <c r="V32" s="78" t="str">
        <f>IF(ISNA(VLOOKUP(A32,Master!AR$60:BD$107,11,FALSE)),"",VLOOKUP(A32,Master!AR$60:BD$107,11,FALSE))</f>
        <v>NO</v>
      </c>
      <c r="W32" s="78" t="str">
        <f>IF(ISNA(VLOOKUP(A32,Master!AR$60:BD$107,9,FALSE)),"",VLOOKUP(A32,Master!AR$60:BD$107,9,FALSE))</f>
        <v>MALE</v>
      </c>
      <c r="X32" s="79">
        <f t="shared" si="56"/>
        <v>0</v>
      </c>
      <c r="Y32" s="79">
        <f t="shared" si="57"/>
        <v>0</v>
      </c>
      <c r="Z32" s="79">
        <f t="shared" si="58"/>
        <v>0</v>
      </c>
      <c r="AA32" s="79">
        <f t="shared" si="59"/>
        <v>0</v>
      </c>
      <c r="AB32" s="79">
        <f t="shared" si="60"/>
        <v>0</v>
      </c>
      <c r="AC32" s="79">
        <f t="shared" si="61"/>
        <v>0</v>
      </c>
      <c r="AD32" s="80">
        <f t="shared" si="88"/>
        <v>40100</v>
      </c>
      <c r="AE32" s="80">
        <f t="shared" si="89"/>
        <v>0</v>
      </c>
      <c r="AF32" s="80">
        <f t="shared" si="90"/>
        <v>505200</v>
      </c>
      <c r="AG32" s="80">
        <f t="shared" si="91"/>
        <v>0</v>
      </c>
      <c r="AH32" s="80">
        <f t="shared" si="92"/>
        <v>0</v>
      </c>
      <c r="AI32" s="78">
        <f t="shared" si="93"/>
        <v>0</v>
      </c>
      <c r="AJ32" s="78">
        <v>0</v>
      </c>
      <c r="AK32" s="79">
        <v>0</v>
      </c>
      <c r="AL32" s="78">
        <f t="shared" si="94"/>
        <v>0</v>
      </c>
      <c r="AM32" s="79">
        <f t="shared" si="62"/>
        <v>0</v>
      </c>
      <c r="AN32" s="78">
        <f t="shared" si="48"/>
        <v>26432</v>
      </c>
      <c r="AO32" s="78">
        <f t="shared" si="63"/>
        <v>0</v>
      </c>
      <c r="AP32" s="78">
        <f t="shared" si="64"/>
        <v>0</v>
      </c>
      <c r="AQ32" s="78">
        <f t="shared" si="65"/>
        <v>0</v>
      </c>
      <c r="AR32" s="80">
        <f t="shared" si="66"/>
        <v>531632</v>
      </c>
      <c r="AS32" s="80">
        <f t="shared" si="67"/>
        <v>531632</v>
      </c>
      <c r="AT32" s="78"/>
      <c r="AU32" s="78"/>
      <c r="AV32" s="80">
        <f t="shared" si="95"/>
        <v>531632</v>
      </c>
      <c r="AW32" s="80">
        <f t="shared" si="68"/>
        <v>0</v>
      </c>
      <c r="AX32" s="80">
        <f t="shared" si="69"/>
        <v>490800</v>
      </c>
      <c r="AY32" s="80">
        <f t="shared" si="70"/>
        <v>0</v>
      </c>
      <c r="AZ32" s="80">
        <f t="shared" si="71"/>
        <v>0</v>
      </c>
      <c r="BA32" s="78">
        <f t="shared" si="96"/>
        <v>0</v>
      </c>
      <c r="BB32" s="78">
        <f t="shared" si="72"/>
        <v>0</v>
      </c>
      <c r="BC32" s="79">
        <v>0</v>
      </c>
      <c r="BD32" s="78">
        <f t="shared" si="97"/>
        <v>0</v>
      </c>
      <c r="BE32" s="79">
        <f t="shared" si="73"/>
        <v>0</v>
      </c>
      <c r="BF32" s="78">
        <f t="shared" si="49"/>
        <v>25664</v>
      </c>
      <c r="BG32" s="78">
        <f t="shared" si="74"/>
        <v>0</v>
      </c>
      <c r="BH32" s="78">
        <f t="shared" si="75"/>
        <v>0</v>
      </c>
      <c r="BI32" s="78">
        <f t="shared" si="76"/>
        <v>0</v>
      </c>
      <c r="BJ32" s="80">
        <f t="shared" si="98"/>
        <v>516464</v>
      </c>
      <c r="BK32" s="80">
        <f t="shared" si="99"/>
        <v>516464</v>
      </c>
      <c r="BL32" s="78"/>
      <c r="BM32" s="78"/>
      <c r="BN32" s="80">
        <f t="shared" si="100"/>
        <v>516464</v>
      </c>
      <c r="BO32" s="74">
        <f t="shared" si="77"/>
        <v>0</v>
      </c>
      <c r="BP32" s="74">
        <f t="shared" si="78"/>
        <v>1</v>
      </c>
      <c r="BQ32" s="74">
        <f t="shared" si="79"/>
        <v>0</v>
      </c>
      <c r="BR32" s="74">
        <f t="shared" si="80"/>
        <v>0</v>
      </c>
      <c r="BS32" s="74">
        <f t="shared" si="50"/>
        <v>0</v>
      </c>
      <c r="BT32" s="74">
        <f t="shared" si="101"/>
        <v>0</v>
      </c>
      <c r="BU32" s="60">
        <f t="shared" si="81"/>
        <v>0</v>
      </c>
      <c r="BV32" s="81">
        <f t="shared" si="102"/>
        <v>1</v>
      </c>
      <c r="BW32" s="60">
        <f t="shared" si="52"/>
        <v>0</v>
      </c>
      <c r="BX32" s="60">
        <f t="shared" si="53"/>
        <v>0</v>
      </c>
      <c r="BY32" s="49">
        <f t="shared" si="82"/>
        <v>1</v>
      </c>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Y32" s="49"/>
    </row>
    <row r="33" spans="1:103" s="76" customFormat="1" ht="15.75">
      <c r="A33" s="125">
        <v>6</v>
      </c>
      <c r="B33" s="414" t="str">
        <f>IF(ISNA(VLOOKUP(A33,Master!AR$60:BD$107,3,FALSE)),"",VLOOKUP(A33,Master!AR$60:BD$107,3,FALSE))</f>
        <v>Jh jk/ks';ke</v>
      </c>
      <c r="C33" s="415" t="str">
        <f>IF(ISNA(VLOOKUP(A33,Master!AR$60:BD$107,7,FALSE)),"",VLOOKUP(A33,Master!AR$60:BD$107,7,FALSE))</f>
        <v>RJAJ199506021728</v>
      </c>
      <c r="D33" s="416">
        <f>IF(ISNA(VLOOKUP(A33,Master!AR$60:BD$107,8,FALSE)),"",VLOOKUP(A33,Master!AR$60:BD$107,8,FALSE))</f>
        <v>110021685029</v>
      </c>
      <c r="E33" s="421" t="str">
        <f>IF(ISNA(VLOOKUP(A33,Master!AR$60:BD$107,4,FALSE)),"",VLOOKUP(A33,Master!AR$60:BD$107,4,FALSE))</f>
        <v>TEACHER-II</v>
      </c>
      <c r="F33" s="124">
        <f>IF(ISNA(VLOOKUP(A33,Master!AR$60:BD$107,5,FALSE)),"",VLOOKUP(A33,Master!AR$60:BD$107,5,FALSE))</f>
        <v>12</v>
      </c>
      <c r="G33" s="419">
        <f>IF(ISNA(VLOOKUP(A33,Master!AR$60:BD$107,6,FALSE)),"",VLOOKUP(A33,Master!AR$60:BD$107,6,FALSE))</f>
        <v>69300</v>
      </c>
      <c r="H33" s="419">
        <f t="shared" si="83"/>
        <v>831600</v>
      </c>
      <c r="I33" s="420" t="str">
        <f t="shared" ca="1" si="84"/>
        <v>01.07.2022</v>
      </c>
      <c r="J33" s="419">
        <f t="shared" si="85"/>
        <v>16800</v>
      </c>
      <c r="K33" s="419">
        <f t="shared" si="86"/>
        <v>848400</v>
      </c>
      <c r="L33" s="419">
        <f t="shared" si="87"/>
        <v>823600</v>
      </c>
      <c r="M33" s="419" t="str">
        <f>IF(ISNA(VLOOKUP(A33,Master!AR$60:BD$107,12,FALSE)),"",VLOOKUP(A33,Master!AR$60:BD$107,12,FALSE))</f>
        <v>NON GAZETTED - REGULAR</v>
      </c>
      <c r="N33" s="163"/>
      <c r="O33" s="163"/>
      <c r="P33" s="163"/>
      <c r="Q33" s="163">
        <f t="shared" si="55"/>
        <v>0</v>
      </c>
      <c r="R33" s="52">
        <f t="shared" si="40"/>
        <v>1</v>
      </c>
      <c r="S33" s="1" t="str">
        <f>IF(ISNA(VLOOKUP(A33,Master!AR$60:BD$107,10,FALSE)),"",VLOOKUP(A33,Master!AR$60:BD$107,10,FALSE))</f>
        <v>NO</v>
      </c>
      <c r="T33" s="77"/>
      <c r="U33" s="77"/>
      <c r="V33" s="78" t="str">
        <f>IF(ISNA(VLOOKUP(A33,Master!AR$60:BD$107,11,FALSE)),"",VLOOKUP(A33,Master!AR$60:BD$107,11,FALSE))</f>
        <v>NO</v>
      </c>
      <c r="W33" s="78" t="str">
        <f>IF(ISNA(VLOOKUP(A33,Master!AR$60:BD$107,9,FALSE)),"",VLOOKUP(A33,Master!AR$60:BD$107,9,FALSE))</f>
        <v>MALE</v>
      </c>
      <c r="X33" s="79">
        <f t="shared" si="56"/>
        <v>0</v>
      </c>
      <c r="Y33" s="79">
        <f t="shared" si="57"/>
        <v>0</v>
      </c>
      <c r="Z33" s="79">
        <f t="shared" si="58"/>
        <v>0</v>
      </c>
      <c r="AA33" s="79">
        <f t="shared" si="59"/>
        <v>0</v>
      </c>
      <c r="AB33" s="79">
        <f t="shared" si="60"/>
        <v>0</v>
      </c>
      <c r="AC33" s="79">
        <f t="shared" si="61"/>
        <v>0</v>
      </c>
      <c r="AD33" s="80">
        <f t="shared" si="88"/>
        <v>67300</v>
      </c>
      <c r="AE33" s="80">
        <f t="shared" si="89"/>
        <v>0</v>
      </c>
      <c r="AF33" s="80">
        <f t="shared" si="90"/>
        <v>848400</v>
      </c>
      <c r="AG33" s="80">
        <f t="shared" si="91"/>
        <v>0</v>
      </c>
      <c r="AH33" s="80">
        <f t="shared" si="92"/>
        <v>0</v>
      </c>
      <c r="AI33" s="78">
        <f t="shared" si="93"/>
        <v>0</v>
      </c>
      <c r="AJ33" s="78">
        <v>0</v>
      </c>
      <c r="AK33" s="79">
        <v>0</v>
      </c>
      <c r="AL33" s="78">
        <f t="shared" si="94"/>
        <v>0</v>
      </c>
      <c r="AM33" s="79">
        <f t="shared" si="62"/>
        <v>0</v>
      </c>
      <c r="AN33" s="78">
        <f t="shared" si="48"/>
        <v>44352</v>
      </c>
      <c r="AO33" s="78">
        <f t="shared" si="63"/>
        <v>0</v>
      </c>
      <c r="AP33" s="78">
        <f t="shared" si="64"/>
        <v>0</v>
      </c>
      <c r="AQ33" s="78">
        <f t="shared" si="65"/>
        <v>0</v>
      </c>
      <c r="AR33" s="80">
        <f t="shared" si="66"/>
        <v>892752</v>
      </c>
      <c r="AS33" s="80">
        <f t="shared" si="67"/>
        <v>892752</v>
      </c>
      <c r="AT33" s="78"/>
      <c r="AU33" s="78"/>
      <c r="AV33" s="80">
        <f t="shared" si="95"/>
        <v>892752</v>
      </c>
      <c r="AW33" s="80">
        <f t="shared" si="68"/>
        <v>0</v>
      </c>
      <c r="AX33" s="80">
        <f t="shared" si="69"/>
        <v>823600</v>
      </c>
      <c r="AY33" s="80">
        <f t="shared" si="70"/>
        <v>0</v>
      </c>
      <c r="AZ33" s="80">
        <f t="shared" si="71"/>
        <v>0</v>
      </c>
      <c r="BA33" s="78">
        <f t="shared" si="96"/>
        <v>0</v>
      </c>
      <c r="BB33" s="78">
        <f t="shared" si="72"/>
        <v>0</v>
      </c>
      <c r="BC33" s="79">
        <v>0</v>
      </c>
      <c r="BD33" s="78">
        <f t="shared" si="97"/>
        <v>0</v>
      </c>
      <c r="BE33" s="79">
        <f t="shared" si="73"/>
        <v>0</v>
      </c>
      <c r="BF33" s="78">
        <f t="shared" si="49"/>
        <v>43072</v>
      </c>
      <c r="BG33" s="78">
        <f t="shared" si="74"/>
        <v>0</v>
      </c>
      <c r="BH33" s="78">
        <f t="shared" si="75"/>
        <v>0</v>
      </c>
      <c r="BI33" s="78">
        <f t="shared" si="76"/>
        <v>0</v>
      </c>
      <c r="BJ33" s="80">
        <f t="shared" si="98"/>
        <v>866672</v>
      </c>
      <c r="BK33" s="80">
        <f t="shared" si="99"/>
        <v>866672</v>
      </c>
      <c r="BL33" s="78"/>
      <c r="BM33" s="78"/>
      <c r="BN33" s="80">
        <f t="shared" si="100"/>
        <v>866672</v>
      </c>
      <c r="BO33" s="74">
        <f t="shared" si="77"/>
        <v>0</v>
      </c>
      <c r="BP33" s="74">
        <f t="shared" si="78"/>
        <v>1</v>
      </c>
      <c r="BQ33" s="74">
        <f t="shared" si="79"/>
        <v>0</v>
      </c>
      <c r="BR33" s="74">
        <f t="shared" si="80"/>
        <v>0</v>
      </c>
      <c r="BS33" s="74">
        <f t="shared" si="50"/>
        <v>0</v>
      </c>
      <c r="BT33" s="74">
        <f t="shared" si="101"/>
        <v>0</v>
      </c>
      <c r="BU33" s="60">
        <f t="shared" si="81"/>
        <v>0</v>
      </c>
      <c r="BV33" s="81">
        <f t="shared" si="102"/>
        <v>1</v>
      </c>
      <c r="BW33" s="60">
        <f t="shared" si="52"/>
        <v>0</v>
      </c>
      <c r="BX33" s="60">
        <f t="shared" si="53"/>
        <v>0</v>
      </c>
      <c r="BY33" s="49">
        <f t="shared" si="82"/>
        <v>1</v>
      </c>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Y33" s="49"/>
    </row>
    <row r="34" spans="1:103" s="76" customFormat="1" ht="15.75">
      <c r="A34" s="125">
        <v>7</v>
      </c>
      <c r="B34" s="414" t="str">
        <f>IF(ISNA(VLOOKUP(A34,Master!AR$60:BD$107,3,FALSE)),"",VLOOKUP(A34,Master!AR$60:BD$107,3,FALSE))</f>
        <v>Jh izdk'k pUn</v>
      </c>
      <c r="C34" s="415" t="str">
        <f>IF(ISNA(VLOOKUP(A34,Master!AR$60:BD$107,7,FALSE)),"",VLOOKUP(A34,Master!AR$60:BD$107,7,FALSE))</f>
        <v>RJAJ199506021728</v>
      </c>
      <c r="D34" s="416">
        <f>IF(ISNA(VLOOKUP(A34,Master!AR$60:BD$107,8,FALSE)),"",VLOOKUP(A34,Master!AR$60:BD$107,8,FALSE))</f>
        <v>479404</v>
      </c>
      <c r="E34" s="421" t="str">
        <f>IF(ISNA(VLOOKUP(A34,Master!AR$60:BD$107,4,FALSE)),"",VLOOKUP(A34,Master!AR$60:BD$107,4,FALSE))</f>
        <v>TEACHER-III</v>
      </c>
      <c r="F34" s="124">
        <f>IF(ISNA(VLOOKUP(A34,Master!AR$60:BD$107,5,FALSE)),"",VLOOKUP(A34,Master!AR$60:BD$107,5,FALSE))</f>
        <v>10</v>
      </c>
      <c r="G34" s="419">
        <f>IF(ISNA(VLOOKUP(A34,Master!AR$60:BD$107,6,FALSE)),"",VLOOKUP(A34,Master!AR$60:BD$107,6,FALSE))</f>
        <v>41100</v>
      </c>
      <c r="H34" s="419">
        <f t="shared" si="83"/>
        <v>493200</v>
      </c>
      <c r="I34" s="420" t="str">
        <f t="shared" ca="1" si="84"/>
        <v>01.07.2022</v>
      </c>
      <c r="J34" s="419">
        <f t="shared" si="85"/>
        <v>9600</v>
      </c>
      <c r="K34" s="419">
        <f t="shared" si="86"/>
        <v>502800</v>
      </c>
      <c r="L34" s="419">
        <f t="shared" si="87"/>
        <v>488400</v>
      </c>
      <c r="M34" s="419" t="str">
        <f>IF(ISNA(VLOOKUP(A34,Master!AR$60:BD$107,12,FALSE)),"",VLOOKUP(A34,Master!AR$60:BD$107,12,FALSE))</f>
        <v>NON GAZETTED - REGULAR</v>
      </c>
      <c r="N34" s="163"/>
      <c r="O34" s="163"/>
      <c r="P34" s="163"/>
      <c r="Q34" s="163">
        <f t="shared" si="55"/>
        <v>6774</v>
      </c>
      <c r="R34" s="52">
        <f t="shared" si="40"/>
        <v>1</v>
      </c>
      <c r="S34" s="1" t="str">
        <f>IF(ISNA(VLOOKUP(A34,Master!AR$60:BD$107,10,FALSE)),"",VLOOKUP(A34,Master!AR$60:BD$107,10,FALSE))</f>
        <v>NO</v>
      </c>
      <c r="T34" s="77"/>
      <c r="U34" s="77"/>
      <c r="V34" s="78" t="str">
        <f>IF(ISNA(VLOOKUP(A34,Master!AR$60:BD$107,11,FALSE)),"",VLOOKUP(A34,Master!AR$60:BD$107,11,FALSE))</f>
        <v>NO</v>
      </c>
      <c r="W34" s="78" t="str">
        <f>IF(ISNA(VLOOKUP(A34,Master!AR$60:BD$107,9,FALSE)),"",VLOOKUP(A34,Master!AR$60:BD$107,9,FALSE))</f>
        <v>MALE</v>
      </c>
      <c r="X34" s="79">
        <f t="shared" si="56"/>
        <v>0</v>
      </c>
      <c r="Y34" s="79">
        <f t="shared" si="57"/>
        <v>0</v>
      </c>
      <c r="Z34" s="79">
        <f t="shared" si="58"/>
        <v>0</v>
      </c>
      <c r="AA34" s="79">
        <f t="shared" si="59"/>
        <v>0</v>
      </c>
      <c r="AB34" s="79">
        <f t="shared" si="60"/>
        <v>0</v>
      </c>
      <c r="AC34" s="79">
        <f t="shared" si="61"/>
        <v>0</v>
      </c>
      <c r="AD34" s="80">
        <f t="shared" si="88"/>
        <v>39900</v>
      </c>
      <c r="AE34" s="80">
        <f t="shared" si="89"/>
        <v>0</v>
      </c>
      <c r="AF34" s="80">
        <f t="shared" si="90"/>
        <v>502800</v>
      </c>
      <c r="AG34" s="80">
        <f t="shared" si="91"/>
        <v>0</v>
      </c>
      <c r="AH34" s="80">
        <f t="shared" si="92"/>
        <v>0</v>
      </c>
      <c r="AI34" s="78">
        <f t="shared" si="93"/>
        <v>0</v>
      </c>
      <c r="AJ34" s="78">
        <v>0</v>
      </c>
      <c r="AK34" s="79">
        <v>0</v>
      </c>
      <c r="AL34" s="78">
        <f t="shared" si="94"/>
        <v>0</v>
      </c>
      <c r="AM34" s="79">
        <f t="shared" si="62"/>
        <v>0</v>
      </c>
      <c r="AN34" s="78">
        <f t="shared" si="48"/>
        <v>26304</v>
      </c>
      <c r="AO34" s="78">
        <f t="shared" si="63"/>
        <v>0</v>
      </c>
      <c r="AP34" s="78">
        <f t="shared" si="64"/>
        <v>0</v>
      </c>
      <c r="AQ34" s="78">
        <f t="shared" si="65"/>
        <v>0</v>
      </c>
      <c r="AR34" s="80">
        <f t="shared" si="66"/>
        <v>529104</v>
      </c>
      <c r="AS34" s="80">
        <f t="shared" si="67"/>
        <v>529104</v>
      </c>
      <c r="AT34" s="78"/>
      <c r="AU34" s="78"/>
      <c r="AV34" s="80">
        <f t="shared" si="95"/>
        <v>529104</v>
      </c>
      <c r="AW34" s="80">
        <f t="shared" si="68"/>
        <v>0</v>
      </c>
      <c r="AX34" s="80">
        <f t="shared" si="69"/>
        <v>488400</v>
      </c>
      <c r="AY34" s="80">
        <f t="shared" si="70"/>
        <v>0</v>
      </c>
      <c r="AZ34" s="80">
        <f t="shared" si="71"/>
        <v>0</v>
      </c>
      <c r="BA34" s="78">
        <f t="shared" si="96"/>
        <v>0</v>
      </c>
      <c r="BB34" s="78">
        <f t="shared" si="72"/>
        <v>0</v>
      </c>
      <c r="BC34" s="79">
        <v>0</v>
      </c>
      <c r="BD34" s="78">
        <f t="shared" si="97"/>
        <v>0</v>
      </c>
      <c r="BE34" s="79">
        <f t="shared" si="73"/>
        <v>0</v>
      </c>
      <c r="BF34" s="78">
        <f t="shared" si="49"/>
        <v>25536</v>
      </c>
      <c r="BG34" s="78">
        <f t="shared" si="74"/>
        <v>0</v>
      </c>
      <c r="BH34" s="78">
        <f t="shared" si="75"/>
        <v>0</v>
      </c>
      <c r="BI34" s="78">
        <f t="shared" si="76"/>
        <v>0</v>
      </c>
      <c r="BJ34" s="80">
        <f t="shared" si="98"/>
        <v>513936</v>
      </c>
      <c r="BK34" s="80">
        <f t="shared" si="99"/>
        <v>513936</v>
      </c>
      <c r="BL34" s="78"/>
      <c r="BM34" s="78"/>
      <c r="BN34" s="80">
        <f t="shared" si="100"/>
        <v>513936</v>
      </c>
      <c r="BO34" s="74">
        <f t="shared" si="77"/>
        <v>0</v>
      </c>
      <c r="BP34" s="74">
        <f t="shared" si="78"/>
        <v>1</v>
      </c>
      <c r="BQ34" s="74">
        <f t="shared" si="79"/>
        <v>0</v>
      </c>
      <c r="BR34" s="74">
        <f t="shared" si="80"/>
        <v>0</v>
      </c>
      <c r="BS34" s="74">
        <f t="shared" si="50"/>
        <v>0</v>
      </c>
      <c r="BT34" s="74">
        <f t="shared" si="101"/>
        <v>0</v>
      </c>
      <c r="BU34" s="60">
        <f t="shared" si="81"/>
        <v>0</v>
      </c>
      <c r="BV34" s="81">
        <f t="shared" si="102"/>
        <v>1</v>
      </c>
      <c r="BW34" s="60">
        <f t="shared" si="52"/>
        <v>0</v>
      </c>
      <c r="BX34" s="60">
        <f t="shared" si="53"/>
        <v>0</v>
      </c>
      <c r="BY34" s="49">
        <f t="shared" si="82"/>
        <v>1</v>
      </c>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Y34" s="49"/>
    </row>
    <row r="35" spans="1:103" s="76" customFormat="1" ht="15.75">
      <c r="A35" s="125">
        <v>8</v>
      </c>
      <c r="B35" s="414" t="str">
        <f>IF(ISNA(VLOOKUP(A35,Master!AR$60:BD$107,3,FALSE)),"",VLOOKUP(A35,Master!AR$60:BD$107,3,FALSE))</f>
        <v>Jherh eerk yokfu;k</v>
      </c>
      <c r="C35" s="415" t="str">
        <f>IF(ISNA(VLOOKUP(A35,Master!AR$60:BD$107,7,FALSE)),"",VLOOKUP(A35,Master!AR$60:BD$107,7,FALSE))</f>
        <v>RJAJ199506021728</v>
      </c>
      <c r="D35" s="416">
        <f>IF(ISNA(VLOOKUP(A35,Master!AR$60:BD$107,8,FALSE)),"",VLOOKUP(A35,Master!AR$60:BD$107,8,FALSE))</f>
        <v>479404</v>
      </c>
      <c r="E35" s="421" t="str">
        <f>IF(ISNA(VLOOKUP(A35,Master!AR$60:BD$107,4,FALSE)),"",VLOOKUP(A35,Master!AR$60:BD$107,4,FALSE))</f>
        <v>TEACHER-III</v>
      </c>
      <c r="F35" s="124">
        <f>IF(ISNA(VLOOKUP(A35,Master!AR$60:BD$107,5,FALSE)),"",VLOOKUP(A35,Master!AR$60:BD$107,5,FALSE))</f>
        <v>11</v>
      </c>
      <c r="G35" s="419">
        <f>IF(ISNA(VLOOKUP(A35,Master!AR$60:BD$107,6,FALSE)),"",VLOOKUP(A35,Master!AR$60:BD$107,6,FALSE))</f>
        <v>41100</v>
      </c>
      <c r="H35" s="419">
        <f t="shared" si="83"/>
        <v>493200</v>
      </c>
      <c r="I35" s="420" t="str">
        <f t="shared" ca="1" si="84"/>
        <v>01.07.2022</v>
      </c>
      <c r="J35" s="419">
        <f t="shared" si="85"/>
        <v>9600</v>
      </c>
      <c r="K35" s="419">
        <f t="shared" si="86"/>
        <v>502800</v>
      </c>
      <c r="L35" s="419">
        <f t="shared" si="87"/>
        <v>488400</v>
      </c>
      <c r="M35" s="419" t="str">
        <f>IF(ISNA(VLOOKUP(A35,Master!AR$60:BD$107,12,FALSE)),"",VLOOKUP(A35,Master!AR$60:BD$107,12,FALSE))</f>
        <v>NON GAZETTED - REGULAR</v>
      </c>
      <c r="N35" s="163"/>
      <c r="O35" s="163"/>
      <c r="P35" s="163"/>
      <c r="Q35" s="163">
        <f t="shared" si="55"/>
        <v>6774</v>
      </c>
      <c r="R35" s="52">
        <f t="shared" si="40"/>
        <v>1</v>
      </c>
      <c r="S35" s="1" t="str">
        <f>IF(ISNA(VLOOKUP(A35,Master!AR$60:BD$107,10,FALSE)),"",VLOOKUP(A35,Master!AR$60:BD$107,10,FALSE))</f>
        <v>NO</v>
      </c>
      <c r="T35" s="77"/>
      <c r="U35" s="77"/>
      <c r="V35" s="78" t="str">
        <f>IF(ISNA(VLOOKUP(A35,Master!AR$60:BD$107,11,FALSE)),"",VLOOKUP(A35,Master!AR$60:BD$107,11,FALSE))</f>
        <v>NO</v>
      </c>
      <c r="W35" s="78" t="str">
        <f>IF(ISNA(VLOOKUP(A35,Master!AR$60:BD$107,9,FALSE)),"",VLOOKUP(A35,Master!AR$60:BD$107,9,FALSE))</f>
        <v>FEMALE</v>
      </c>
      <c r="X35" s="79">
        <f t="shared" si="56"/>
        <v>0</v>
      </c>
      <c r="Y35" s="79">
        <f t="shared" si="57"/>
        <v>0</v>
      </c>
      <c r="Z35" s="79">
        <f t="shared" si="58"/>
        <v>0</v>
      </c>
      <c r="AA35" s="79">
        <f t="shared" si="59"/>
        <v>0</v>
      </c>
      <c r="AB35" s="79">
        <f t="shared" si="60"/>
        <v>0</v>
      </c>
      <c r="AC35" s="79">
        <f t="shared" si="61"/>
        <v>0</v>
      </c>
      <c r="AD35" s="80">
        <f t="shared" si="88"/>
        <v>39900</v>
      </c>
      <c r="AE35" s="80">
        <f t="shared" si="89"/>
        <v>0</v>
      </c>
      <c r="AF35" s="80">
        <f t="shared" si="90"/>
        <v>502800</v>
      </c>
      <c r="AG35" s="80">
        <f t="shared" si="91"/>
        <v>0</v>
      </c>
      <c r="AH35" s="80">
        <f t="shared" si="92"/>
        <v>0</v>
      </c>
      <c r="AI35" s="78">
        <f t="shared" si="93"/>
        <v>0</v>
      </c>
      <c r="AJ35" s="78">
        <v>0</v>
      </c>
      <c r="AK35" s="79">
        <v>0</v>
      </c>
      <c r="AL35" s="78">
        <f t="shared" si="94"/>
        <v>0</v>
      </c>
      <c r="AM35" s="79">
        <f t="shared" si="62"/>
        <v>0</v>
      </c>
      <c r="AN35" s="78">
        <f t="shared" si="48"/>
        <v>26304</v>
      </c>
      <c r="AO35" s="78">
        <f t="shared" si="63"/>
        <v>0</v>
      </c>
      <c r="AP35" s="78">
        <f t="shared" si="64"/>
        <v>0</v>
      </c>
      <c r="AQ35" s="78">
        <f t="shared" si="65"/>
        <v>0</v>
      </c>
      <c r="AR35" s="80">
        <f t="shared" si="66"/>
        <v>529104</v>
      </c>
      <c r="AS35" s="80">
        <f t="shared" si="67"/>
        <v>529104</v>
      </c>
      <c r="AT35" s="78"/>
      <c r="AU35" s="78"/>
      <c r="AV35" s="80">
        <f t="shared" si="95"/>
        <v>529104</v>
      </c>
      <c r="AW35" s="80">
        <f t="shared" si="68"/>
        <v>0</v>
      </c>
      <c r="AX35" s="80">
        <f t="shared" si="69"/>
        <v>488400</v>
      </c>
      <c r="AY35" s="80">
        <f t="shared" si="70"/>
        <v>0</v>
      </c>
      <c r="AZ35" s="80">
        <f t="shared" si="71"/>
        <v>0</v>
      </c>
      <c r="BA35" s="78">
        <f t="shared" si="96"/>
        <v>0</v>
      </c>
      <c r="BB35" s="78">
        <f t="shared" si="72"/>
        <v>0</v>
      </c>
      <c r="BC35" s="79">
        <v>0</v>
      </c>
      <c r="BD35" s="78">
        <f t="shared" si="97"/>
        <v>0</v>
      </c>
      <c r="BE35" s="79">
        <f t="shared" si="73"/>
        <v>0</v>
      </c>
      <c r="BF35" s="78">
        <f t="shared" si="49"/>
        <v>25536</v>
      </c>
      <c r="BG35" s="78">
        <f t="shared" si="74"/>
        <v>0</v>
      </c>
      <c r="BH35" s="78">
        <f t="shared" si="75"/>
        <v>0</v>
      </c>
      <c r="BI35" s="78">
        <f t="shared" si="76"/>
        <v>0</v>
      </c>
      <c r="BJ35" s="80">
        <f t="shared" si="98"/>
        <v>513936</v>
      </c>
      <c r="BK35" s="80">
        <f t="shared" si="99"/>
        <v>513936</v>
      </c>
      <c r="BL35" s="78"/>
      <c r="BM35" s="78"/>
      <c r="BN35" s="80">
        <f t="shared" si="100"/>
        <v>513936</v>
      </c>
      <c r="BO35" s="74">
        <f t="shared" si="77"/>
        <v>0</v>
      </c>
      <c r="BP35" s="74">
        <f t="shared" si="78"/>
        <v>1</v>
      </c>
      <c r="BQ35" s="74">
        <f t="shared" si="79"/>
        <v>0</v>
      </c>
      <c r="BR35" s="74">
        <f t="shared" si="80"/>
        <v>0</v>
      </c>
      <c r="BS35" s="74">
        <f t="shared" si="50"/>
        <v>0</v>
      </c>
      <c r="BT35" s="74">
        <f t="shared" si="101"/>
        <v>0</v>
      </c>
      <c r="BU35" s="60">
        <f t="shared" si="81"/>
        <v>0</v>
      </c>
      <c r="BV35" s="81">
        <f t="shared" si="102"/>
        <v>1</v>
      </c>
      <c r="BW35" s="60">
        <f t="shared" si="52"/>
        <v>0</v>
      </c>
      <c r="BX35" s="60">
        <f t="shared" si="53"/>
        <v>0</v>
      </c>
      <c r="BY35" s="49">
        <f t="shared" si="82"/>
        <v>1</v>
      </c>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Y35" s="49"/>
    </row>
    <row r="36" spans="1:103" s="76" customFormat="1" ht="15.75">
      <c r="A36" s="125">
        <v>9</v>
      </c>
      <c r="B36" s="414" t="str">
        <f>IF(ISNA(VLOOKUP(A36,Master!AR$60:BD$107,3,FALSE)),"",VLOOKUP(A36,Master!AR$60:BD$107,3,FALSE))</f>
        <v>Jh lEirjkt</v>
      </c>
      <c r="C36" s="415" t="str">
        <f>IF(ISNA(VLOOKUP(A36,Master!AR$60:BD$107,7,FALSE)),"",VLOOKUP(A36,Master!AR$60:BD$107,7,FALSE))</f>
        <v>RJAJ199506021728</v>
      </c>
      <c r="D36" s="416">
        <f>IF(ISNA(VLOOKUP(A36,Master!AR$60:BD$107,8,FALSE)),"",VLOOKUP(A36,Master!AR$60:BD$107,8,FALSE))</f>
        <v>479404</v>
      </c>
      <c r="E36" s="421" t="str">
        <f>IF(ISNA(VLOOKUP(A36,Master!AR$60:BD$107,4,FALSE)),"",VLOOKUP(A36,Master!AR$60:BD$107,4,FALSE))</f>
        <v>TEACHER-III</v>
      </c>
      <c r="F36" s="124">
        <f>IF(ISNA(VLOOKUP(A36,Master!AR$60:BD$107,5,FALSE)),"",VLOOKUP(A36,Master!AR$60:BD$107,5,FALSE))</f>
        <v>10</v>
      </c>
      <c r="G36" s="419">
        <f>IF(ISNA(VLOOKUP(A36,Master!AR$60:BD$107,6,FALSE)),"",VLOOKUP(A36,Master!AR$60:BD$107,6,FALSE))</f>
        <v>41100</v>
      </c>
      <c r="H36" s="419">
        <f t="shared" si="83"/>
        <v>493200</v>
      </c>
      <c r="I36" s="420" t="str">
        <f t="shared" ca="1" si="84"/>
        <v>01.07.2022</v>
      </c>
      <c r="J36" s="419">
        <f t="shared" si="85"/>
        <v>9600</v>
      </c>
      <c r="K36" s="419">
        <f t="shared" si="86"/>
        <v>502800</v>
      </c>
      <c r="L36" s="419">
        <f t="shared" si="87"/>
        <v>488400</v>
      </c>
      <c r="M36" s="419" t="str">
        <f>IF(ISNA(VLOOKUP(A36,Master!AR$60:BD$107,12,FALSE)),"",VLOOKUP(A36,Master!AR$60:BD$107,12,FALSE))</f>
        <v>NON GAZETTED - REGULAR</v>
      </c>
      <c r="N36" s="163"/>
      <c r="O36" s="163"/>
      <c r="P36" s="163"/>
      <c r="Q36" s="163">
        <f t="shared" si="55"/>
        <v>6774</v>
      </c>
      <c r="R36" s="52">
        <f t="shared" ref="R36:R71" si="103">IF(E36&gt;0,1,0)</f>
        <v>1</v>
      </c>
      <c r="S36" s="1" t="str">
        <f>IF(ISNA(VLOOKUP(A36,Master!AR$60:BD$107,10,FALSE)),"",VLOOKUP(A36,Master!AR$60:BD$107,10,FALSE))</f>
        <v>NO</v>
      </c>
      <c r="T36" s="77"/>
      <c r="U36" s="77"/>
      <c r="V36" s="78" t="str">
        <f>IF(ISNA(VLOOKUP(A36,Master!AR$60:BD$107,11,FALSE)),"",VLOOKUP(A36,Master!AR$60:BD$107,11,FALSE))</f>
        <v>NO</v>
      </c>
      <c r="W36" s="78" t="str">
        <f>IF(ISNA(VLOOKUP(A36,Master!AR$60:BD$107,9,FALSE)),"",VLOOKUP(A36,Master!AR$60:BD$107,9,FALSE))</f>
        <v>MALE</v>
      </c>
      <c r="X36" s="79">
        <f t="shared" si="56"/>
        <v>0</v>
      </c>
      <c r="Y36" s="79">
        <f t="shared" si="57"/>
        <v>0</v>
      </c>
      <c r="Z36" s="79">
        <f t="shared" si="58"/>
        <v>0</v>
      </c>
      <c r="AA36" s="79">
        <f t="shared" si="59"/>
        <v>0</v>
      </c>
      <c r="AB36" s="79">
        <f t="shared" si="60"/>
        <v>0</v>
      </c>
      <c r="AC36" s="79">
        <f t="shared" si="61"/>
        <v>0</v>
      </c>
      <c r="AD36" s="80">
        <f t="shared" si="88"/>
        <v>39900</v>
      </c>
      <c r="AE36" s="80">
        <f t="shared" si="89"/>
        <v>0</v>
      </c>
      <c r="AF36" s="80">
        <f t="shared" si="90"/>
        <v>502800</v>
      </c>
      <c r="AG36" s="80">
        <f t="shared" si="91"/>
        <v>0</v>
      </c>
      <c r="AH36" s="80">
        <f t="shared" si="92"/>
        <v>0</v>
      </c>
      <c r="AI36" s="78">
        <f t="shared" si="93"/>
        <v>0</v>
      </c>
      <c r="AJ36" s="78">
        <v>0</v>
      </c>
      <c r="AK36" s="79">
        <v>0</v>
      </c>
      <c r="AL36" s="78">
        <f t="shared" si="94"/>
        <v>0</v>
      </c>
      <c r="AM36" s="79">
        <f t="shared" si="62"/>
        <v>0</v>
      </c>
      <c r="AN36" s="78">
        <f t="shared" si="48"/>
        <v>26304</v>
      </c>
      <c r="AO36" s="78">
        <f t="shared" si="63"/>
        <v>0</v>
      </c>
      <c r="AP36" s="78">
        <f t="shared" si="64"/>
        <v>0</v>
      </c>
      <c r="AQ36" s="78">
        <f t="shared" si="65"/>
        <v>0</v>
      </c>
      <c r="AR36" s="80">
        <f t="shared" si="66"/>
        <v>529104</v>
      </c>
      <c r="AS36" s="80">
        <f t="shared" si="67"/>
        <v>529104</v>
      </c>
      <c r="AT36" s="78"/>
      <c r="AU36" s="78"/>
      <c r="AV36" s="80">
        <f t="shared" si="95"/>
        <v>529104</v>
      </c>
      <c r="AW36" s="80">
        <f t="shared" si="68"/>
        <v>0</v>
      </c>
      <c r="AX36" s="80">
        <f t="shared" si="69"/>
        <v>488400</v>
      </c>
      <c r="AY36" s="80">
        <f t="shared" si="70"/>
        <v>0</v>
      </c>
      <c r="AZ36" s="80">
        <f t="shared" si="71"/>
        <v>0</v>
      </c>
      <c r="BA36" s="78">
        <f t="shared" si="96"/>
        <v>0</v>
      </c>
      <c r="BB36" s="78">
        <f t="shared" si="72"/>
        <v>0</v>
      </c>
      <c r="BC36" s="79">
        <v>0</v>
      </c>
      <c r="BD36" s="78">
        <f t="shared" si="97"/>
        <v>0</v>
      </c>
      <c r="BE36" s="79">
        <f t="shared" si="73"/>
        <v>0</v>
      </c>
      <c r="BF36" s="78">
        <f t="shared" si="49"/>
        <v>25536</v>
      </c>
      <c r="BG36" s="78">
        <f t="shared" si="74"/>
        <v>0</v>
      </c>
      <c r="BH36" s="78">
        <f t="shared" si="75"/>
        <v>0</v>
      </c>
      <c r="BI36" s="78">
        <f t="shared" si="76"/>
        <v>0</v>
      </c>
      <c r="BJ36" s="80">
        <f t="shared" si="98"/>
        <v>513936</v>
      </c>
      <c r="BK36" s="80">
        <f t="shared" si="99"/>
        <v>513936</v>
      </c>
      <c r="BL36" s="78"/>
      <c r="BM36" s="78"/>
      <c r="BN36" s="80">
        <f t="shared" si="100"/>
        <v>513936</v>
      </c>
      <c r="BO36" s="74">
        <f t="shared" si="77"/>
        <v>0</v>
      </c>
      <c r="BP36" s="74">
        <f t="shared" si="78"/>
        <v>1</v>
      </c>
      <c r="BQ36" s="74">
        <f t="shared" si="79"/>
        <v>0</v>
      </c>
      <c r="BR36" s="74">
        <f t="shared" si="80"/>
        <v>0</v>
      </c>
      <c r="BS36" s="74">
        <f t="shared" si="50"/>
        <v>0</v>
      </c>
      <c r="BT36" s="74">
        <f t="shared" si="101"/>
        <v>0</v>
      </c>
      <c r="BU36" s="60">
        <f t="shared" si="81"/>
        <v>0</v>
      </c>
      <c r="BV36" s="81">
        <f t="shared" si="102"/>
        <v>1</v>
      </c>
      <c r="BW36" s="60">
        <f t="shared" si="52"/>
        <v>0</v>
      </c>
      <c r="BX36" s="60">
        <f t="shared" si="53"/>
        <v>0</v>
      </c>
      <c r="BY36" s="49">
        <f t="shared" si="82"/>
        <v>1</v>
      </c>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Y36" s="49"/>
    </row>
    <row r="37" spans="1:103" s="76" customFormat="1" ht="15.75">
      <c r="A37" s="125">
        <v>10</v>
      </c>
      <c r="B37" s="414" t="str">
        <f>IF(ISNA(VLOOKUP(A37,Master!AR$60:BD$107,3,FALSE)),"",VLOOKUP(A37,Master!AR$60:BD$107,3,FALSE))</f>
        <v>Jh eukst ikpksjh</v>
      </c>
      <c r="C37" s="415" t="str">
        <f>IF(ISNA(VLOOKUP(A37,Master!AR$60:BD$107,7,FALSE)),"",VLOOKUP(A37,Master!AR$60:BD$107,7,FALSE))</f>
        <v>RJAJ199506021728</v>
      </c>
      <c r="D37" s="416">
        <f>IF(ISNA(VLOOKUP(A37,Master!AR$60:BD$107,8,FALSE)),"",VLOOKUP(A37,Master!AR$60:BD$107,8,FALSE))</f>
        <v>111002730880</v>
      </c>
      <c r="E37" s="421" t="str">
        <f>IF(ISNA(VLOOKUP(A37,Master!AR$60:BD$107,4,FALSE)),"",VLOOKUP(A37,Master!AR$60:BD$107,4,FALSE))</f>
        <v>TEACHER-III</v>
      </c>
      <c r="F37" s="124">
        <f>IF(ISNA(VLOOKUP(A37,Master!AR$60:BD$107,5,FALSE)),"",VLOOKUP(A37,Master!AR$60:BD$107,5,FALSE))</f>
        <v>10</v>
      </c>
      <c r="G37" s="419">
        <f>IF(ISNA(VLOOKUP(A37,Master!AR$60:BD$107,6,FALSE)),"",VLOOKUP(A37,Master!AR$60:BD$107,6,FALSE))</f>
        <v>41100</v>
      </c>
      <c r="H37" s="419">
        <f t="shared" si="83"/>
        <v>493200</v>
      </c>
      <c r="I37" s="420" t="str">
        <f t="shared" ca="1" si="84"/>
        <v>01.07.2022</v>
      </c>
      <c r="J37" s="419">
        <f t="shared" si="85"/>
        <v>9600</v>
      </c>
      <c r="K37" s="419">
        <f t="shared" si="86"/>
        <v>502800</v>
      </c>
      <c r="L37" s="419">
        <f t="shared" si="87"/>
        <v>488400</v>
      </c>
      <c r="M37" s="419" t="str">
        <f>IF(ISNA(VLOOKUP(A37,Master!AR$60:BD$107,12,FALSE)),"",VLOOKUP(A37,Master!AR$60:BD$107,12,FALSE))</f>
        <v>NON GAZETTED - REGULAR</v>
      </c>
      <c r="N37" s="163"/>
      <c r="O37" s="163"/>
      <c r="P37" s="163"/>
      <c r="Q37" s="163">
        <f t="shared" si="55"/>
        <v>6774</v>
      </c>
      <c r="R37" s="52">
        <f t="shared" si="103"/>
        <v>1</v>
      </c>
      <c r="S37" s="1" t="str">
        <f>IF(ISNA(VLOOKUP(A37,Master!AR$60:BD$107,10,FALSE)),"",VLOOKUP(A37,Master!AR$60:BD$107,10,FALSE))</f>
        <v>NO</v>
      </c>
      <c r="T37" s="77"/>
      <c r="U37" s="77"/>
      <c r="V37" s="78" t="str">
        <f>IF(ISNA(VLOOKUP(A37,Master!AR$60:BD$107,11,FALSE)),"",VLOOKUP(A37,Master!AR$60:BD$107,11,FALSE))</f>
        <v>NO</v>
      </c>
      <c r="W37" s="78" t="str">
        <f>IF(ISNA(VLOOKUP(A37,Master!AR$60:BD$107,9,FALSE)),"",VLOOKUP(A37,Master!AR$60:BD$107,9,FALSE))</f>
        <v>MALE</v>
      </c>
      <c r="X37" s="79">
        <f t="shared" si="56"/>
        <v>0</v>
      </c>
      <c r="Y37" s="79">
        <f t="shared" si="57"/>
        <v>0</v>
      </c>
      <c r="Z37" s="79">
        <f t="shared" si="58"/>
        <v>0</v>
      </c>
      <c r="AA37" s="79">
        <f t="shared" si="59"/>
        <v>0</v>
      </c>
      <c r="AB37" s="79">
        <f t="shared" si="60"/>
        <v>0</v>
      </c>
      <c r="AC37" s="79">
        <f t="shared" si="61"/>
        <v>0</v>
      </c>
      <c r="AD37" s="80">
        <f t="shared" si="88"/>
        <v>39900</v>
      </c>
      <c r="AE37" s="80">
        <f t="shared" si="89"/>
        <v>0</v>
      </c>
      <c r="AF37" s="80">
        <f t="shared" si="90"/>
        <v>502800</v>
      </c>
      <c r="AG37" s="80">
        <f t="shared" si="91"/>
        <v>0</v>
      </c>
      <c r="AH37" s="80">
        <f t="shared" si="92"/>
        <v>0</v>
      </c>
      <c r="AI37" s="78">
        <f t="shared" si="93"/>
        <v>0</v>
      </c>
      <c r="AJ37" s="78">
        <v>0</v>
      </c>
      <c r="AK37" s="79">
        <v>0</v>
      </c>
      <c r="AL37" s="78">
        <f t="shared" si="94"/>
        <v>0</v>
      </c>
      <c r="AM37" s="79">
        <f t="shared" si="62"/>
        <v>0</v>
      </c>
      <c r="AN37" s="78">
        <f t="shared" si="48"/>
        <v>26304</v>
      </c>
      <c r="AO37" s="78">
        <f t="shared" si="63"/>
        <v>0</v>
      </c>
      <c r="AP37" s="78">
        <f t="shared" si="64"/>
        <v>0</v>
      </c>
      <c r="AQ37" s="78">
        <f t="shared" si="65"/>
        <v>0</v>
      </c>
      <c r="AR37" s="80">
        <f t="shared" si="66"/>
        <v>529104</v>
      </c>
      <c r="AS37" s="80">
        <f t="shared" si="67"/>
        <v>529104</v>
      </c>
      <c r="AT37" s="78"/>
      <c r="AU37" s="78"/>
      <c r="AV37" s="80">
        <f t="shared" si="95"/>
        <v>529104</v>
      </c>
      <c r="AW37" s="80">
        <f t="shared" si="68"/>
        <v>0</v>
      </c>
      <c r="AX37" s="80">
        <f t="shared" si="69"/>
        <v>488400</v>
      </c>
      <c r="AY37" s="80">
        <f t="shared" si="70"/>
        <v>0</v>
      </c>
      <c r="AZ37" s="80">
        <f t="shared" si="71"/>
        <v>0</v>
      </c>
      <c r="BA37" s="78">
        <f t="shared" si="96"/>
        <v>0</v>
      </c>
      <c r="BB37" s="78">
        <f t="shared" si="72"/>
        <v>0</v>
      </c>
      <c r="BC37" s="79">
        <v>0</v>
      </c>
      <c r="BD37" s="78">
        <f t="shared" si="97"/>
        <v>0</v>
      </c>
      <c r="BE37" s="79">
        <f t="shared" si="73"/>
        <v>0</v>
      </c>
      <c r="BF37" s="78">
        <f t="shared" si="49"/>
        <v>25536</v>
      </c>
      <c r="BG37" s="78">
        <f t="shared" si="74"/>
        <v>0</v>
      </c>
      <c r="BH37" s="78">
        <f t="shared" si="75"/>
        <v>0</v>
      </c>
      <c r="BI37" s="78">
        <f t="shared" si="76"/>
        <v>0</v>
      </c>
      <c r="BJ37" s="80">
        <f t="shared" si="98"/>
        <v>513936</v>
      </c>
      <c r="BK37" s="80">
        <f t="shared" si="99"/>
        <v>513936</v>
      </c>
      <c r="BL37" s="78"/>
      <c r="BM37" s="78"/>
      <c r="BN37" s="80">
        <f t="shared" si="100"/>
        <v>513936</v>
      </c>
      <c r="BO37" s="74">
        <f t="shared" si="77"/>
        <v>0</v>
      </c>
      <c r="BP37" s="74">
        <f t="shared" si="78"/>
        <v>1</v>
      </c>
      <c r="BQ37" s="74">
        <f t="shared" si="79"/>
        <v>0</v>
      </c>
      <c r="BR37" s="74">
        <f t="shared" si="80"/>
        <v>0</v>
      </c>
      <c r="BS37" s="74">
        <f t="shared" si="50"/>
        <v>0</v>
      </c>
      <c r="BT37" s="74">
        <f t="shared" si="101"/>
        <v>0</v>
      </c>
      <c r="BU37" s="60">
        <f t="shared" si="81"/>
        <v>0</v>
      </c>
      <c r="BV37" s="81">
        <f t="shared" si="102"/>
        <v>1</v>
      </c>
      <c r="BW37" s="60">
        <f t="shared" si="52"/>
        <v>0</v>
      </c>
      <c r="BX37" s="60">
        <f t="shared" si="53"/>
        <v>0</v>
      </c>
      <c r="BY37" s="49">
        <f t="shared" si="82"/>
        <v>1</v>
      </c>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Y37" s="49"/>
    </row>
    <row r="38" spans="1:103" s="76" customFormat="1" ht="15.75">
      <c r="A38" s="125">
        <v>11</v>
      </c>
      <c r="B38" s="414" t="str">
        <f>IF(ISNA(VLOOKUP(A38,Master!AR$60:BD$107,3,FALSE)),"",VLOOKUP(A38,Master!AR$60:BD$107,3,FALSE))</f>
        <v>Jh iznhiflag</v>
      </c>
      <c r="C38" s="415" t="str">
        <f>IF(ISNA(VLOOKUP(A38,Master!AR$60:BD$107,7,FALSE)),"",VLOOKUP(A38,Master!AR$60:BD$107,7,FALSE))</f>
        <v>RJAJ199506021728</v>
      </c>
      <c r="D38" s="416">
        <f>IF(ISNA(VLOOKUP(A38,Master!AR$60:BD$107,8,FALSE)),"",VLOOKUP(A38,Master!AR$60:BD$107,8,FALSE))</f>
        <v>1057886</v>
      </c>
      <c r="E38" s="421" t="str">
        <f>IF(ISNA(VLOOKUP(A38,Master!AR$60:BD$107,4,FALSE)),"",VLOOKUP(A38,Master!AR$60:BD$107,4,FALSE))</f>
        <v>TEACHER-III</v>
      </c>
      <c r="F38" s="124">
        <f>IF(ISNA(VLOOKUP(A38,Master!AR$60:BD$107,5,FALSE)),"",VLOOKUP(A38,Master!AR$60:BD$107,5,FALSE))</f>
        <v>10</v>
      </c>
      <c r="G38" s="419">
        <f>IF(ISNA(VLOOKUP(A38,Master!AR$60:BD$107,6,FALSE)),"",VLOOKUP(A38,Master!AR$60:BD$107,6,FALSE))</f>
        <v>41100</v>
      </c>
      <c r="H38" s="419">
        <f t="shared" si="83"/>
        <v>493200</v>
      </c>
      <c r="I38" s="420" t="str">
        <f t="shared" ca="1" si="84"/>
        <v>01.07.2022</v>
      </c>
      <c r="J38" s="419">
        <f t="shared" si="85"/>
        <v>9600</v>
      </c>
      <c r="K38" s="419">
        <f t="shared" si="86"/>
        <v>502800</v>
      </c>
      <c r="L38" s="419">
        <f t="shared" si="87"/>
        <v>488400</v>
      </c>
      <c r="M38" s="419" t="str">
        <f>IF(ISNA(VLOOKUP(A38,Master!AR$60:BD$107,12,FALSE)),"",VLOOKUP(A38,Master!AR$60:BD$107,12,FALSE))</f>
        <v>NON GAZETTED - REGULAR</v>
      </c>
      <c r="N38" s="163"/>
      <c r="O38" s="163"/>
      <c r="P38" s="163"/>
      <c r="Q38" s="163">
        <f t="shared" si="55"/>
        <v>6774</v>
      </c>
      <c r="R38" s="52">
        <f t="shared" si="103"/>
        <v>1</v>
      </c>
      <c r="S38" s="1" t="str">
        <f>IF(ISNA(VLOOKUP(A38,Master!AR$60:BD$107,10,FALSE)),"",VLOOKUP(A38,Master!AR$60:BD$107,10,FALSE))</f>
        <v>NO</v>
      </c>
      <c r="T38" s="77"/>
      <c r="U38" s="77"/>
      <c r="V38" s="78" t="str">
        <f>IF(ISNA(VLOOKUP(A38,Master!AR$60:BD$107,11,FALSE)),"",VLOOKUP(A38,Master!AR$60:BD$107,11,FALSE))</f>
        <v>NO</v>
      </c>
      <c r="W38" s="78" t="str">
        <f>IF(ISNA(VLOOKUP(A38,Master!AR$60:BD$107,9,FALSE)),"",VLOOKUP(A38,Master!AR$60:BD$107,9,FALSE))</f>
        <v>MALE</v>
      </c>
      <c r="X38" s="79">
        <f t="shared" si="56"/>
        <v>0</v>
      </c>
      <c r="Y38" s="79">
        <f t="shared" si="57"/>
        <v>0</v>
      </c>
      <c r="Z38" s="79">
        <f t="shared" si="58"/>
        <v>0</v>
      </c>
      <c r="AA38" s="79">
        <f t="shared" si="59"/>
        <v>0</v>
      </c>
      <c r="AB38" s="79">
        <f t="shared" si="60"/>
        <v>0</v>
      </c>
      <c r="AC38" s="79">
        <f t="shared" si="61"/>
        <v>0</v>
      </c>
      <c r="AD38" s="80">
        <f t="shared" si="88"/>
        <v>39900</v>
      </c>
      <c r="AE38" s="80">
        <f t="shared" si="89"/>
        <v>0</v>
      </c>
      <c r="AF38" s="80">
        <f t="shared" si="90"/>
        <v>502800</v>
      </c>
      <c r="AG38" s="80">
        <f t="shared" si="91"/>
        <v>0</v>
      </c>
      <c r="AH38" s="80">
        <f t="shared" si="92"/>
        <v>0</v>
      </c>
      <c r="AI38" s="78">
        <f t="shared" si="93"/>
        <v>0</v>
      </c>
      <c r="AJ38" s="78">
        <v>0</v>
      </c>
      <c r="AK38" s="79">
        <v>0</v>
      </c>
      <c r="AL38" s="78">
        <f t="shared" si="94"/>
        <v>0</v>
      </c>
      <c r="AM38" s="79">
        <f t="shared" si="62"/>
        <v>0</v>
      </c>
      <c r="AN38" s="78">
        <f t="shared" si="48"/>
        <v>26304</v>
      </c>
      <c r="AO38" s="78">
        <f t="shared" si="63"/>
        <v>0</v>
      </c>
      <c r="AP38" s="78">
        <f t="shared" si="64"/>
        <v>0</v>
      </c>
      <c r="AQ38" s="78">
        <f t="shared" si="65"/>
        <v>0</v>
      </c>
      <c r="AR38" s="80">
        <f t="shared" si="66"/>
        <v>529104</v>
      </c>
      <c r="AS38" s="80">
        <f t="shared" si="67"/>
        <v>529104</v>
      </c>
      <c r="AT38" s="78"/>
      <c r="AU38" s="78"/>
      <c r="AV38" s="80">
        <f t="shared" si="95"/>
        <v>529104</v>
      </c>
      <c r="AW38" s="80">
        <f t="shared" si="68"/>
        <v>0</v>
      </c>
      <c r="AX38" s="80">
        <f t="shared" si="69"/>
        <v>488400</v>
      </c>
      <c r="AY38" s="80">
        <f t="shared" si="70"/>
        <v>0</v>
      </c>
      <c r="AZ38" s="80">
        <f t="shared" si="71"/>
        <v>0</v>
      </c>
      <c r="BA38" s="78">
        <f t="shared" si="96"/>
        <v>0</v>
      </c>
      <c r="BB38" s="78">
        <f t="shared" si="72"/>
        <v>0</v>
      </c>
      <c r="BC38" s="79">
        <v>0</v>
      </c>
      <c r="BD38" s="78">
        <f t="shared" si="97"/>
        <v>0</v>
      </c>
      <c r="BE38" s="79">
        <f t="shared" si="73"/>
        <v>0</v>
      </c>
      <c r="BF38" s="78">
        <f t="shared" si="49"/>
        <v>25536</v>
      </c>
      <c r="BG38" s="78">
        <f t="shared" si="74"/>
        <v>0</v>
      </c>
      <c r="BH38" s="78">
        <f t="shared" si="75"/>
        <v>0</v>
      </c>
      <c r="BI38" s="78">
        <f t="shared" si="76"/>
        <v>0</v>
      </c>
      <c r="BJ38" s="80">
        <f t="shared" si="98"/>
        <v>513936</v>
      </c>
      <c r="BK38" s="80">
        <f t="shared" si="99"/>
        <v>513936</v>
      </c>
      <c r="BL38" s="78"/>
      <c r="BM38" s="78"/>
      <c r="BN38" s="80">
        <f t="shared" si="100"/>
        <v>513936</v>
      </c>
      <c r="BO38" s="74">
        <f t="shared" si="77"/>
        <v>0</v>
      </c>
      <c r="BP38" s="74">
        <f t="shared" si="78"/>
        <v>1</v>
      </c>
      <c r="BQ38" s="74">
        <f t="shared" si="79"/>
        <v>0</v>
      </c>
      <c r="BR38" s="74">
        <f t="shared" si="80"/>
        <v>0</v>
      </c>
      <c r="BS38" s="74">
        <f t="shared" si="50"/>
        <v>0</v>
      </c>
      <c r="BT38" s="74">
        <f t="shared" si="101"/>
        <v>0</v>
      </c>
      <c r="BU38" s="60">
        <f t="shared" si="81"/>
        <v>0</v>
      </c>
      <c r="BV38" s="81">
        <f t="shared" si="102"/>
        <v>1</v>
      </c>
      <c r="BW38" s="60">
        <f t="shared" si="52"/>
        <v>0</v>
      </c>
      <c r="BX38" s="60">
        <f t="shared" si="53"/>
        <v>0</v>
      </c>
      <c r="BY38" s="49">
        <f t="shared" si="82"/>
        <v>1</v>
      </c>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Y38" s="49"/>
    </row>
    <row r="39" spans="1:103" s="76" customFormat="1" ht="15.75">
      <c r="A39" s="125">
        <v>12</v>
      </c>
      <c r="B39" s="414" t="str">
        <f>IF(ISNA(VLOOKUP(A39,Master!AR$60:BD$107,3,FALSE)),"",VLOOKUP(A39,Master!AR$60:BD$107,3,FALSE))</f>
        <v>Jh vfHkeU;q flag</v>
      </c>
      <c r="C39" s="415" t="str">
        <f>IF(ISNA(VLOOKUP(A39,Master!AR$60:BD$107,7,FALSE)),"",VLOOKUP(A39,Master!AR$60:BD$107,7,FALSE))</f>
        <v>RJAJ199506021728</v>
      </c>
      <c r="D39" s="416">
        <f>IF(ISNA(VLOOKUP(A39,Master!AR$60:BD$107,8,FALSE)),"",VLOOKUP(A39,Master!AR$60:BD$107,8,FALSE))</f>
        <v>1057886</v>
      </c>
      <c r="E39" s="421" t="str">
        <f>IF(ISNA(VLOOKUP(A39,Master!AR$60:BD$107,4,FALSE)),"",VLOOKUP(A39,Master!AR$60:BD$107,4,FALSE))</f>
        <v>TEACHER-III</v>
      </c>
      <c r="F39" s="124">
        <f>IF(ISNA(VLOOKUP(A39,Master!AR$60:BD$107,5,FALSE)),"",VLOOKUP(A39,Master!AR$60:BD$107,5,FALSE))</f>
        <v>10</v>
      </c>
      <c r="G39" s="419">
        <f>IF(ISNA(VLOOKUP(A39,Master!AR$60:BD$107,6,FALSE)),"",VLOOKUP(A39,Master!AR$60:BD$107,6,FALSE))</f>
        <v>41100</v>
      </c>
      <c r="H39" s="419">
        <f t="shared" si="83"/>
        <v>493200</v>
      </c>
      <c r="I39" s="420" t="str">
        <f t="shared" ca="1" si="84"/>
        <v>01.07.2022</v>
      </c>
      <c r="J39" s="419">
        <f t="shared" si="85"/>
        <v>9600</v>
      </c>
      <c r="K39" s="419">
        <f t="shared" si="86"/>
        <v>502800</v>
      </c>
      <c r="L39" s="419">
        <f t="shared" si="87"/>
        <v>488400</v>
      </c>
      <c r="M39" s="419" t="str">
        <f>IF(ISNA(VLOOKUP(A39,Master!AR$60:BD$107,12,FALSE)),"",VLOOKUP(A39,Master!AR$60:BD$107,12,FALSE))</f>
        <v>NON GAZETTED - REGULAR</v>
      </c>
      <c r="N39" s="163"/>
      <c r="O39" s="163"/>
      <c r="P39" s="163"/>
      <c r="Q39" s="163">
        <f t="shared" si="55"/>
        <v>6774</v>
      </c>
      <c r="R39" s="52">
        <f t="shared" si="103"/>
        <v>1</v>
      </c>
      <c r="S39" s="1" t="str">
        <f>IF(ISNA(VLOOKUP(A39,Master!AR$60:BD$107,10,FALSE)),"",VLOOKUP(A39,Master!AR$60:BD$107,10,FALSE))</f>
        <v>NO</v>
      </c>
      <c r="T39" s="77"/>
      <c r="U39" s="77"/>
      <c r="V39" s="78" t="str">
        <f>IF(ISNA(VLOOKUP(A39,Master!AR$60:BD$107,11,FALSE)),"",VLOOKUP(A39,Master!AR$60:BD$107,11,FALSE))</f>
        <v>NO</v>
      </c>
      <c r="W39" s="78" t="str">
        <f>IF(ISNA(VLOOKUP(A39,Master!AR$60:BD$107,9,FALSE)),"",VLOOKUP(A39,Master!AR$60:BD$107,9,FALSE))</f>
        <v>MALE</v>
      </c>
      <c r="X39" s="79">
        <f t="shared" si="56"/>
        <v>0</v>
      </c>
      <c r="Y39" s="79">
        <f t="shared" si="57"/>
        <v>0</v>
      </c>
      <c r="Z39" s="79">
        <f t="shared" si="58"/>
        <v>0</v>
      </c>
      <c r="AA39" s="79">
        <f t="shared" si="59"/>
        <v>0</v>
      </c>
      <c r="AB39" s="79">
        <f t="shared" si="60"/>
        <v>0</v>
      </c>
      <c r="AC39" s="79">
        <f t="shared" si="61"/>
        <v>0</v>
      </c>
      <c r="AD39" s="80">
        <f t="shared" si="88"/>
        <v>39900</v>
      </c>
      <c r="AE39" s="80">
        <f t="shared" si="89"/>
        <v>0</v>
      </c>
      <c r="AF39" s="80">
        <f t="shared" si="90"/>
        <v>502800</v>
      </c>
      <c r="AG39" s="80">
        <f t="shared" si="91"/>
        <v>0</v>
      </c>
      <c r="AH39" s="80">
        <f t="shared" si="92"/>
        <v>0</v>
      </c>
      <c r="AI39" s="78">
        <f t="shared" si="93"/>
        <v>0</v>
      </c>
      <c r="AJ39" s="78">
        <v>0</v>
      </c>
      <c r="AK39" s="79">
        <v>0</v>
      </c>
      <c r="AL39" s="78">
        <f t="shared" si="94"/>
        <v>0</v>
      </c>
      <c r="AM39" s="79">
        <f t="shared" si="62"/>
        <v>0</v>
      </c>
      <c r="AN39" s="78">
        <f t="shared" si="48"/>
        <v>26304</v>
      </c>
      <c r="AO39" s="78">
        <f t="shared" si="63"/>
        <v>0</v>
      </c>
      <c r="AP39" s="78">
        <f t="shared" si="64"/>
        <v>0</v>
      </c>
      <c r="AQ39" s="78">
        <f t="shared" si="65"/>
        <v>0</v>
      </c>
      <c r="AR39" s="80">
        <f t="shared" si="66"/>
        <v>529104</v>
      </c>
      <c r="AS39" s="80">
        <f t="shared" si="67"/>
        <v>529104</v>
      </c>
      <c r="AT39" s="78"/>
      <c r="AU39" s="78"/>
      <c r="AV39" s="80">
        <f t="shared" si="95"/>
        <v>529104</v>
      </c>
      <c r="AW39" s="80">
        <f t="shared" si="68"/>
        <v>0</v>
      </c>
      <c r="AX39" s="80">
        <f t="shared" si="69"/>
        <v>488400</v>
      </c>
      <c r="AY39" s="80">
        <f t="shared" si="70"/>
        <v>0</v>
      </c>
      <c r="AZ39" s="80">
        <f t="shared" si="71"/>
        <v>0</v>
      </c>
      <c r="BA39" s="78">
        <f t="shared" si="96"/>
        <v>0</v>
      </c>
      <c r="BB39" s="78">
        <f t="shared" si="72"/>
        <v>0</v>
      </c>
      <c r="BC39" s="79">
        <v>0</v>
      </c>
      <c r="BD39" s="78">
        <f t="shared" si="97"/>
        <v>0</v>
      </c>
      <c r="BE39" s="79">
        <f t="shared" si="73"/>
        <v>0</v>
      </c>
      <c r="BF39" s="78">
        <f t="shared" si="49"/>
        <v>25536</v>
      </c>
      <c r="BG39" s="78">
        <f t="shared" si="74"/>
        <v>0</v>
      </c>
      <c r="BH39" s="78">
        <f t="shared" si="75"/>
        <v>0</v>
      </c>
      <c r="BI39" s="78">
        <f t="shared" si="76"/>
        <v>0</v>
      </c>
      <c r="BJ39" s="80">
        <f t="shared" si="98"/>
        <v>513936</v>
      </c>
      <c r="BK39" s="80">
        <f t="shared" si="99"/>
        <v>513936</v>
      </c>
      <c r="BL39" s="78"/>
      <c r="BM39" s="78"/>
      <c r="BN39" s="80">
        <f t="shared" si="100"/>
        <v>513936</v>
      </c>
      <c r="BO39" s="74">
        <f t="shared" si="77"/>
        <v>0</v>
      </c>
      <c r="BP39" s="74">
        <f t="shared" si="78"/>
        <v>1</v>
      </c>
      <c r="BQ39" s="74">
        <f t="shared" si="79"/>
        <v>0</v>
      </c>
      <c r="BR39" s="74">
        <f t="shared" si="80"/>
        <v>0</v>
      </c>
      <c r="BS39" s="74">
        <f t="shared" si="50"/>
        <v>0</v>
      </c>
      <c r="BT39" s="74">
        <f t="shared" si="101"/>
        <v>0</v>
      </c>
      <c r="BU39" s="60">
        <f t="shared" si="81"/>
        <v>0</v>
      </c>
      <c r="BV39" s="81">
        <f t="shared" si="102"/>
        <v>1</v>
      </c>
      <c r="BW39" s="60">
        <f t="shared" si="52"/>
        <v>0</v>
      </c>
      <c r="BX39" s="60">
        <f t="shared" si="53"/>
        <v>0</v>
      </c>
      <c r="BY39" s="49">
        <f t="shared" si="82"/>
        <v>1</v>
      </c>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Y39" s="49"/>
    </row>
    <row r="40" spans="1:103" s="76" customFormat="1" ht="15.75">
      <c r="A40" s="125">
        <v>13</v>
      </c>
      <c r="B40" s="414" t="str">
        <f>IF(ISNA(VLOOKUP(A40,Master!AR$60:BD$107,3,FALSE)),"",VLOOKUP(A40,Master!AR$60:BD$107,3,FALSE))</f>
        <v>Jh iq"isUn toM+k</v>
      </c>
      <c r="C40" s="415" t="str">
        <f>IF(ISNA(VLOOKUP(A40,Master!AR$60:BD$107,7,FALSE)),"",VLOOKUP(A40,Master!AR$60:BD$107,7,FALSE))</f>
        <v>RJAJ199506021728</v>
      </c>
      <c r="D40" s="416">
        <f>IF(ISNA(VLOOKUP(A40,Master!AR$60:BD$107,8,FALSE)),"",VLOOKUP(A40,Master!AR$60:BD$107,8,FALSE))</f>
        <v>1057886</v>
      </c>
      <c r="E40" s="421" t="str">
        <f>IF(ISNA(VLOOKUP(A40,Master!AR$60:BD$107,4,FALSE)),"",VLOOKUP(A40,Master!AR$60:BD$107,4,FALSE))</f>
        <v>TEACHER-III</v>
      </c>
      <c r="F40" s="124">
        <f>IF(ISNA(VLOOKUP(A40,Master!AR$60:BD$107,5,FALSE)),"",VLOOKUP(A40,Master!AR$60:BD$107,5,FALSE))</f>
        <v>10</v>
      </c>
      <c r="G40" s="419">
        <f>IF(ISNA(VLOOKUP(A40,Master!AR$60:BD$107,6,FALSE)),"",VLOOKUP(A40,Master!AR$60:BD$107,6,FALSE))</f>
        <v>41100</v>
      </c>
      <c r="H40" s="419">
        <f t="shared" si="83"/>
        <v>493200</v>
      </c>
      <c r="I40" s="420" t="str">
        <f t="shared" ca="1" si="84"/>
        <v>01.07.2022</v>
      </c>
      <c r="J40" s="419">
        <f t="shared" si="85"/>
        <v>9600</v>
      </c>
      <c r="K40" s="419">
        <f t="shared" si="86"/>
        <v>502800</v>
      </c>
      <c r="L40" s="419">
        <f t="shared" si="87"/>
        <v>488400</v>
      </c>
      <c r="M40" s="419" t="str">
        <f>IF(ISNA(VLOOKUP(A40,Master!AR$60:BD$107,12,FALSE)),"",VLOOKUP(A40,Master!AR$60:BD$107,12,FALSE))</f>
        <v>NON GAZETTED - REGULAR</v>
      </c>
      <c r="N40" s="163"/>
      <c r="O40" s="163"/>
      <c r="P40" s="163"/>
      <c r="Q40" s="163">
        <f t="shared" si="55"/>
        <v>6774</v>
      </c>
      <c r="R40" s="52">
        <f t="shared" si="103"/>
        <v>1</v>
      </c>
      <c r="S40" s="1" t="str">
        <f>IF(ISNA(VLOOKUP(A40,Master!AR$60:BD$107,10,FALSE)),"",VLOOKUP(A40,Master!AR$60:BD$107,10,FALSE))</f>
        <v>NO</v>
      </c>
      <c r="T40" s="77"/>
      <c r="U40" s="77"/>
      <c r="V40" s="78" t="str">
        <f>IF(ISNA(VLOOKUP(A40,Master!AR$60:BD$107,11,FALSE)),"",VLOOKUP(A40,Master!AR$60:BD$107,11,FALSE))</f>
        <v>NO</v>
      </c>
      <c r="W40" s="78" t="str">
        <f>IF(ISNA(VLOOKUP(A40,Master!AR$60:BD$107,9,FALSE)),"",VLOOKUP(A40,Master!AR$60:BD$107,9,FALSE))</f>
        <v>MALE</v>
      </c>
      <c r="X40" s="79">
        <f t="shared" si="56"/>
        <v>0</v>
      </c>
      <c r="Y40" s="79">
        <f t="shared" si="57"/>
        <v>0</v>
      </c>
      <c r="Z40" s="79">
        <f t="shared" si="58"/>
        <v>0</v>
      </c>
      <c r="AA40" s="79">
        <f t="shared" si="59"/>
        <v>0</v>
      </c>
      <c r="AB40" s="79">
        <f t="shared" si="60"/>
        <v>0</v>
      </c>
      <c r="AC40" s="79">
        <f t="shared" si="61"/>
        <v>0</v>
      </c>
      <c r="AD40" s="80">
        <f t="shared" si="88"/>
        <v>39900</v>
      </c>
      <c r="AE40" s="80">
        <f t="shared" si="89"/>
        <v>0</v>
      </c>
      <c r="AF40" s="80">
        <f t="shared" si="90"/>
        <v>502800</v>
      </c>
      <c r="AG40" s="80">
        <f t="shared" si="91"/>
        <v>0</v>
      </c>
      <c r="AH40" s="80">
        <f t="shared" si="92"/>
        <v>0</v>
      </c>
      <c r="AI40" s="78">
        <f t="shared" si="93"/>
        <v>0</v>
      </c>
      <c r="AJ40" s="78">
        <v>0</v>
      </c>
      <c r="AK40" s="79">
        <v>0</v>
      </c>
      <c r="AL40" s="78">
        <f t="shared" si="94"/>
        <v>0</v>
      </c>
      <c r="AM40" s="79">
        <f t="shared" si="62"/>
        <v>0</v>
      </c>
      <c r="AN40" s="78">
        <f t="shared" si="48"/>
        <v>26304</v>
      </c>
      <c r="AO40" s="78">
        <f t="shared" si="63"/>
        <v>0</v>
      </c>
      <c r="AP40" s="78">
        <f t="shared" si="64"/>
        <v>0</v>
      </c>
      <c r="AQ40" s="78">
        <f t="shared" si="65"/>
        <v>0</v>
      </c>
      <c r="AR40" s="80">
        <f t="shared" si="66"/>
        <v>529104</v>
      </c>
      <c r="AS40" s="80">
        <f t="shared" si="67"/>
        <v>529104</v>
      </c>
      <c r="AT40" s="78"/>
      <c r="AU40" s="78"/>
      <c r="AV40" s="80">
        <f t="shared" si="95"/>
        <v>529104</v>
      </c>
      <c r="AW40" s="80">
        <f t="shared" si="68"/>
        <v>0</v>
      </c>
      <c r="AX40" s="80">
        <f t="shared" si="69"/>
        <v>488400</v>
      </c>
      <c r="AY40" s="80">
        <f t="shared" si="70"/>
        <v>0</v>
      </c>
      <c r="AZ40" s="80">
        <f t="shared" si="71"/>
        <v>0</v>
      </c>
      <c r="BA40" s="78">
        <f t="shared" si="96"/>
        <v>0</v>
      </c>
      <c r="BB40" s="78">
        <f t="shared" si="72"/>
        <v>0</v>
      </c>
      <c r="BC40" s="79">
        <v>0</v>
      </c>
      <c r="BD40" s="78">
        <f t="shared" si="97"/>
        <v>0</v>
      </c>
      <c r="BE40" s="79">
        <f t="shared" si="73"/>
        <v>0</v>
      </c>
      <c r="BF40" s="78">
        <f t="shared" si="49"/>
        <v>25536</v>
      </c>
      <c r="BG40" s="78">
        <f t="shared" si="74"/>
        <v>0</v>
      </c>
      <c r="BH40" s="78">
        <f t="shared" si="75"/>
        <v>0</v>
      </c>
      <c r="BI40" s="78">
        <f t="shared" si="76"/>
        <v>0</v>
      </c>
      <c r="BJ40" s="80">
        <f t="shared" si="98"/>
        <v>513936</v>
      </c>
      <c r="BK40" s="80">
        <f t="shared" si="99"/>
        <v>513936</v>
      </c>
      <c r="BL40" s="78"/>
      <c r="BM40" s="78"/>
      <c r="BN40" s="80">
        <f t="shared" si="100"/>
        <v>513936</v>
      </c>
      <c r="BO40" s="74">
        <f t="shared" si="77"/>
        <v>0</v>
      </c>
      <c r="BP40" s="74">
        <f t="shared" si="78"/>
        <v>1</v>
      </c>
      <c r="BQ40" s="74">
        <f t="shared" si="79"/>
        <v>0</v>
      </c>
      <c r="BR40" s="74">
        <f t="shared" si="80"/>
        <v>0</v>
      </c>
      <c r="BS40" s="74">
        <f t="shared" si="50"/>
        <v>0</v>
      </c>
      <c r="BT40" s="74">
        <f t="shared" si="101"/>
        <v>0</v>
      </c>
      <c r="BU40" s="60">
        <f t="shared" si="81"/>
        <v>0</v>
      </c>
      <c r="BV40" s="81">
        <f t="shared" si="102"/>
        <v>1</v>
      </c>
      <c r="BW40" s="60">
        <f t="shared" si="52"/>
        <v>0</v>
      </c>
      <c r="BX40" s="60">
        <f t="shared" si="53"/>
        <v>0</v>
      </c>
      <c r="BY40" s="49">
        <f t="shared" si="82"/>
        <v>1</v>
      </c>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Y40" s="49"/>
    </row>
    <row r="41" spans="1:103" s="76" customFormat="1" ht="15.75">
      <c r="A41" s="125">
        <v>14</v>
      </c>
      <c r="B41" s="414" t="str">
        <f>IF(ISNA(VLOOKUP(A41,Master!AR$60:BD$107,3,FALSE)),"",VLOOKUP(A41,Master!AR$60:BD$107,3,FALSE))</f>
        <v>Jh lq[kohjflag</v>
      </c>
      <c r="C41" s="415" t="str">
        <f>IF(ISNA(VLOOKUP(A41,Master!AR$60:BD$107,7,FALSE)),"",VLOOKUP(A41,Master!AR$60:BD$107,7,FALSE))</f>
        <v>RJAJ199506021728</v>
      </c>
      <c r="D41" s="416">
        <f>IF(ISNA(VLOOKUP(A41,Master!AR$60:BD$107,8,FALSE)),"",VLOOKUP(A41,Master!AR$60:BD$107,8,FALSE))</f>
        <v>1057886</v>
      </c>
      <c r="E41" s="421" t="str">
        <f>IF(ISNA(VLOOKUP(A41,Master!AR$60:BD$107,4,FALSE)),"",VLOOKUP(A41,Master!AR$60:BD$107,4,FALSE))</f>
        <v>TEACHER-III</v>
      </c>
      <c r="F41" s="124">
        <f>IF(ISNA(VLOOKUP(A41,Master!AR$60:BD$107,5,FALSE)),"",VLOOKUP(A41,Master!AR$60:BD$107,5,FALSE))</f>
        <v>10</v>
      </c>
      <c r="G41" s="419">
        <f>IF(ISNA(VLOOKUP(A41,Master!AR$60:BD$107,6,FALSE)),"",VLOOKUP(A41,Master!AR$60:BD$107,6,FALSE))</f>
        <v>34600</v>
      </c>
      <c r="H41" s="419">
        <f t="shared" si="83"/>
        <v>415200</v>
      </c>
      <c r="I41" s="420" t="str">
        <f t="shared" ca="1" si="84"/>
        <v>01.07.2022</v>
      </c>
      <c r="J41" s="419">
        <f t="shared" si="85"/>
        <v>8000</v>
      </c>
      <c r="K41" s="419">
        <f t="shared" si="86"/>
        <v>423200</v>
      </c>
      <c r="L41" s="419">
        <f t="shared" si="87"/>
        <v>411200</v>
      </c>
      <c r="M41" s="419" t="str">
        <f>IF(ISNA(VLOOKUP(A41,Master!AR$60:BD$107,12,FALSE)),"",VLOOKUP(A41,Master!AR$60:BD$107,12,FALSE))</f>
        <v>NON GAZETTED - REGULAR</v>
      </c>
      <c r="N41" s="163"/>
      <c r="O41" s="163"/>
      <c r="P41" s="163"/>
      <c r="Q41" s="163">
        <f t="shared" si="55"/>
        <v>6774</v>
      </c>
      <c r="R41" s="52">
        <f t="shared" si="103"/>
        <v>1</v>
      </c>
      <c r="S41" s="1" t="str">
        <f>IF(ISNA(VLOOKUP(A41,Master!AR$60:BD$107,10,FALSE)),"",VLOOKUP(A41,Master!AR$60:BD$107,10,FALSE))</f>
        <v>NO</v>
      </c>
      <c r="T41" s="77"/>
      <c r="U41" s="77"/>
      <c r="V41" s="78" t="str">
        <f>IF(ISNA(VLOOKUP(A41,Master!AR$60:BD$107,11,FALSE)),"",VLOOKUP(A41,Master!AR$60:BD$107,11,FALSE))</f>
        <v>NO</v>
      </c>
      <c r="W41" s="78" t="str">
        <f>IF(ISNA(VLOOKUP(A41,Master!AR$60:BD$107,9,FALSE)),"",VLOOKUP(A41,Master!AR$60:BD$107,9,FALSE))</f>
        <v>MALE</v>
      </c>
      <c r="X41" s="79">
        <f t="shared" si="56"/>
        <v>0</v>
      </c>
      <c r="Y41" s="79">
        <f t="shared" si="57"/>
        <v>0</v>
      </c>
      <c r="Z41" s="79">
        <f t="shared" si="58"/>
        <v>0</v>
      </c>
      <c r="AA41" s="79">
        <f t="shared" si="59"/>
        <v>0</v>
      </c>
      <c r="AB41" s="79">
        <f t="shared" si="60"/>
        <v>0</v>
      </c>
      <c r="AC41" s="79">
        <f t="shared" si="61"/>
        <v>0</v>
      </c>
      <c r="AD41" s="80">
        <f t="shared" si="88"/>
        <v>33600</v>
      </c>
      <c r="AE41" s="80">
        <f t="shared" si="89"/>
        <v>0</v>
      </c>
      <c r="AF41" s="80">
        <f t="shared" si="90"/>
        <v>423200</v>
      </c>
      <c r="AG41" s="80">
        <f t="shared" si="91"/>
        <v>0</v>
      </c>
      <c r="AH41" s="80">
        <f t="shared" si="92"/>
        <v>0</v>
      </c>
      <c r="AI41" s="78">
        <f t="shared" si="93"/>
        <v>0</v>
      </c>
      <c r="AJ41" s="78">
        <v>0</v>
      </c>
      <c r="AK41" s="79">
        <v>0</v>
      </c>
      <c r="AL41" s="78">
        <f t="shared" si="94"/>
        <v>0</v>
      </c>
      <c r="AM41" s="79">
        <f t="shared" si="62"/>
        <v>0</v>
      </c>
      <c r="AN41" s="78">
        <f t="shared" si="48"/>
        <v>22144</v>
      </c>
      <c r="AO41" s="78">
        <f t="shared" si="63"/>
        <v>0</v>
      </c>
      <c r="AP41" s="78">
        <f t="shared" si="64"/>
        <v>0</v>
      </c>
      <c r="AQ41" s="78">
        <f t="shared" si="65"/>
        <v>0</v>
      </c>
      <c r="AR41" s="80">
        <f t="shared" si="66"/>
        <v>445344</v>
      </c>
      <c r="AS41" s="80">
        <f t="shared" si="67"/>
        <v>445344</v>
      </c>
      <c r="AT41" s="78"/>
      <c r="AU41" s="78"/>
      <c r="AV41" s="80">
        <f t="shared" si="95"/>
        <v>445344</v>
      </c>
      <c r="AW41" s="80">
        <f t="shared" si="68"/>
        <v>0</v>
      </c>
      <c r="AX41" s="80">
        <f t="shared" si="69"/>
        <v>411200</v>
      </c>
      <c r="AY41" s="80">
        <f t="shared" si="70"/>
        <v>0</v>
      </c>
      <c r="AZ41" s="80">
        <f t="shared" si="71"/>
        <v>0</v>
      </c>
      <c r="BA41" s="78">
        <f t="shared" si="96"/>
        <v>0</v>
      </c>
      <c r="BB41" s="78">
        <f t="shared" si="72"/>
        <v>0</v>
      </c>
      <c r="BC41" s="79">
        <v>0</v>
      </c>
      <c r="BD41" s="78">
        <f t="shared" si="97"/>
        <v>0</v>
      </c>
      <c r="BE41" s="79">
        <f t="shared" si="73"/>
        <v>0</v>
      </c>
      <c r="BF41" s="78">
        <f t="shared" si="49"/>
        <v>21504</v>
      </c>
      <c r="BG41" s="78">
        <f t="shared" si="74"/>
        <v>0</v>
      </c>
      <c r="BH41" s="78">
        <f t="shared" si="75"/>
        <v>0</v>
      </c>
      <c r="BI41" s="78">
        <f t="shared" si="76"/>
        <v>0</v>
      </c>
      <c r="BJ41" s="80">
        <f t="shared" si="98"/>
        <v>432704</v>
      </c>
      <c r="BK41" s="80">
        <f t="shared" si="99"/>
        <v>432704</v>
      </c>
      <c r="BL41" s="78"/>
      <c r="BM41" s="78"/>
      <c r="BN41" s="80">
        <f t="shared" si="100"/>
        <v>432704</v>
      </c>
      <c r="BO41" s="74">
        <f t="shared" si="77"/>
        <v>0</v>
      </c>
      <c r="BP41" s="74">
        <f t="shared" si="78"/>
        <v>1</v>
      </c>
      <c r="BQ41" s="74">
        <f t="shared" si="79"/>
        <v>0</v>
      </c>
      <c r="BR41" s="74">
        <f t="shared" si="80"/>
        <v>0</v>
      </c>
      <c r="BS41" s="74">
        <f t="shared" si="50"/>
        <v>0</v>
      </c>
      <c r="BT41" s="74">
        <f t="shared" si="101"/>
        <v>0</v>
      </c>
      <c r="BU41" s="60">
        <f t="shared" si="81"/>
        <v>0</v>
      </c>
      <c r="BV41" s="81">
        <f t="shared" si="102"/>
        <v>1</v>
      </c>
      <c r="BW41" s="60">
        <f t="shared" si="52"/>
        <v>0</v>
      </c>
      <c r="BX41" s="60">
        <f t="shared" si="53"/>
        <v>0</v>
      </c>
      <c r="BY41" s="49">
        <f t="shared" si="82"/>
        <v>1</v>
      </c>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Y41" s="49"/>
    </row>
    <row r="42" spans="1:103" s="76" customFormat="1" ht="15.75">
      <c r="A42" s="125">
        <v>15</v>
      </c>
      <c r="B42" s="414" t="str">
        <f>IF(ISNA(VLOOKUP(A42,Master!AR$60:BD$107,3,FALSE)),"",VLOOKUP(A42,Master!AR$60:BD$107,3,FALSE))</f>
        <v>Jh izoh.k lksyadh</v>
      </c>
      <c r="C42" s="415" t="str">
        <f>IF(ISNA(VLOOKUP(A42,Master!AR$60:BD$107,7,FALSE)),"",VLOOKUP(A42,Master!AR$60:BD$107,7,FALSE))</f>
        <v>RJAJ199506021728</v>
      </c>
      <c r="D42" s="416">
        <f>IF(ISNA(VLOOKUP(A42,Master!AR$60:BD$107,8,FALSE)),"",VLOOKUP(A42,Master!AR$60:BD$107,8,FALSE))</f>
        <v>1057886</v>
      </c>
      <c r="E42" s="421" t="str">
        <f>IF(ISNA(VLOOKUP(A42,Master!AR$60:BD$107,4,FALSE)),"",VLOOKUP(A42,Master!AR$60:BD$107,4,FALSE))</f>
        <v>LIBRARIAN III</v>
      </c>
      <c r="F42" s="124">
        <f>IF(ISNA(VLOOKUP(A42,Master!AR$60:BD$107,5,FALSE)),"",VLOOKUP(A42,Master!AR$60:BD$107,5,FALSE))</f>
        <v>10</v>
      </c>
      <c r="G42" s="419">
        <f>IF(ISNA(VLOOKUP(A42,Master!AR$60:BD$107,6,FALSE)),"",VLOOKUP(A42,Master!AR$60:BD$107,6,FALSE))</f>
        <v>34600</v>
      </c>
      <c r="H42" s="419">
        <f t="shared" si="83"/>
        <v>415200</v>
      </c>
      <c r="I42" s="420" t="str">
        <f t="shared" ca="1" si="84"/>
        <v>01.07.2022</v>
      </c>
      <c r="J42" s="419">
        <f t="shared" si="85"/>
        <v>8000</v>
      </c>
      <c r="K42" s="419">
        <f t="shared" si="86"/>
        <v>423200</v>
      </c>
      <c r="L42" s="419">
        <f t="shared" si="87"/>
        <v>411200</v>
      </c>
      <c r="M42" s="419" t="str">
        <f>IF(ISNA(VLOOKUP(A42,Master!AR$60:BD$107,12,FALSE)),"",VLOOKUP(A42,Master!AR$60:BD$107,12,FALSE))</f>
        <v>NON GAZETTED - REGULAR</v>
      </c>
      <c r="N42" s="163"/>
      <c r="O42" s="163"/>
      <c r="P42" s="163"/>
      <c r="Q42" s="163">
        <f t="shared" si="55"/>
        <v>6774</v>
      </c>
      <c r="R42" s="52">
        <f t="shared" si="103"/>
        <v>1</v>
      </c>
      <c r="S42" s="1">
        <f>IF(ISNA(VLOOKUP(A42,Master!AR$60:BD$107,10,FALSE)),"",VLOOKUP(A42,Master!AR$60:BD$107,10,FALSE))</f>
        <v>0</v>
      </c>
      <c r="T42" s="77"/>
      <c r="U42" s="77"/>
      <c r="V42" s="78">
        <f>IF(ISNA(VLOOKUP(A42,Master!AR$60:BD$107,11,FALSE)),"",VLOOKUP(A42,Master!AR$60:BD$107,11,FALSE))</f>
        <v>0</v>
      </c>
      <c r="W42" s="78" t="str">
        <f>IF(ISNA(VLOOKUP(A42,Master!AR$60:BD$107,9,FALSE)),"",VLOOKUP(A42,Master!AR$60:BD$107,9,FALSE))</f>
        <v>MALE</v>
      </c>
      <c r="X42" s="79">
        <f t="shared" si="56"/>
        <v>0</v>
      </c>
      <c r="Y42" s="79">
        <f t="shared" si="57"/>
        <v>0</v>
      </c>
      <c r="Z42" s="79">
        <f t="shared" si="58"/>
        <v>0</v>
      </c>
      <c r="AA42" s="79">
        <f t="shared" si="59"/>
        <v>0</v>
      </c>
      <c r="AB42" s="79">
        <f t="shared" si="60"/>
        <v>0</v>
      </c>
      <c r="AC42" s="79">
        <f t="shared" si="61"/>
        <v>0</v>
      </c>
      <c r="AD42" s="80">
        <f t="shared" si="88"/>
        <v>33600</v>
      </c>
      <c r="AE42" s="80">
        <f t="shared" si="89"/>
        <v>0</v>
      </c>
      <c r="AF42" s="80">
        <f t="shared" si="90"/>
        <v>423200</v>
      </c>
      <c r="AG42" s="80">
        <f t="shared" si="91"/>
        <v>0</v>
      </c>
      <c r="AH42" s="80">
        <f t="shared" si="92"/>
        <v>0</v>
      </c>
      <c r="AI42" s="78">
        <f t="shared" si="93"/>
        <v>0</v>
      </c>
      <c r="AJ42" s="78">
        <v>0</v>
      </c>
      <c r="AK42" s="79">
        <v>0</v>
      </c>
      <c r="AL42" s="78">
        <f t="shared" si="94"/>
        <v>0</v>
      </c>
      <c r="AM42" s="79">
        <f t="shared" si="62"/>
        <v>0</v>
      </c>
      <c r="AN42" s="78">
        <f t="shared" si="48"/>
        <v>22144</v>
      </c>
      <c r="AO42" s="78">
        <f t="shared" si="63"/>
        <v>0</v>
      </c>
      <c r="AP42" s="78">
        <f t="shared" si="64"/>
        <v>0</v>
      </c>
      <c r="AQ42" s="78">
        <f t="shared" si="65"/>
        <v>0</v>
      </c>
      <c r="AR42" s="80">
        <f t="shared" si="66"/>
        <v>445344</v>
      </c>
      <c r="AS42" s="80">
        <f t="shared" si="67"/>
        <v>445344</v>
      </c>
      <c r="AT42" s="78"/>
      <c r="AU42" s="78"/>
      <c r="AV42" s="80">
        <f t="shared" si="95"/>
        <v>445344</v>
      </c>
      <c r="AW42" s="80">
        <f t="shared" si="68"/>
        <v>0</v>
      </c>
      <c r="AX42" s="80">
        <f t="shared" si="69"/>
        <v>411200</v>
      </c>
      <c r="AY42" s="80">
        <f t="shared" si="70"/>
        <v>0</v>
      </c>
      <c r="AZ42" s="80">
        <f t="shared" si="71"/>
        <v>0</v>
      </c>
      <c r="BA42" s="78">
        <f t="shared" si="96"/>
        <v>0</v>
      </c>
      <c r="BB42" s="78">
        <f t="shared" si="72"/>
        <v>0</v>
      </c>
      <c r="BC42" s="79">
        <v>0</v>
      </c>
      <c r="BD42" s="78">
        <f t="shared" si="97"/>
        <v>0</v>
      </c>
      <c r="BE42" s="79">
        <f t="shared" si="73"/>
        <v>0</v>
      </c>
      <c r="BF42" s="78">
        <f t="shared" si="49"/>
        <v>21504</v>
      </c>
      <c r="BG42" s="78">
        <f t="shared" si="74"/>
        <v>0</v>
      </c>
      <c r="BH42" s="78">
        <f t="shared" si="75"/>
        <v>0</v>
      </c>
      <c r="BI42" s="78">
        <f t="shared" si="76"/>
        <v>0</v>
      </c>
      <c r="BJ42" s="80">
        <f t="shared" si="98"/>
        <v>432704</v>
      </c>
      <c r="BK42" s="80">
        <f t="shared" si="99"/>
        <v>432704</v>
      </c>
      <c r="BL42" s="78"/>
      <c r="BM42" s="78"/>
      <c r="BN42" s="80">
        <f t="shared" si="100"/>
        <v>432704</v>
      </c>
      <c r="BO42" s="74">
        <f t="shared" si="77"/>
        <v>0</v>
      </c>
      <c r="BP42" s="74">
        <f t="shared" si="78"/>
        <v>1</v>
      </c>
      <c r="BQ42" s="74">
        <f t="shared" si="79"/>
        <v>0</v>
      </c>
      <c r="BR42" s="74">
        <f t="shared" si="80"/>
        <v>0</v>
      </c>
      <c r="BS42" s="74">
        <f t="shared" si="50"/>
        <v>0</v>
      </c>
      <c r="BT42" s="74">
        <f t="shared" si="101"/>
        <v>1</v>
      </c>
      <c r="BU42" s="60">
        <f t="shared" si="81"/>
        <v>0</v>
      </c>
      <c r="BV42" s="81">
        <f t="shared" si="102"/>
        <v>1</v>
      </c>
      <c r="BW42" s="60">
        <f t="shared" si="52"/>
        <v>0</v>
      </c>
      <c r="BX42" s="60">
        <f t="shared" si="53"/>
        <v>0</v>
      </c>
      <c r="BY42" s="49">
        <f t="shared" si="82"/>
        <v>1</v>
      </c>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Y42" s="49"/>
    </row>
    <row r="43" spans="1:103" s="76" customFormat="1" ht="15.75">
      <c r="A43" s="125">
        <v>16</v>
      </c>
      <c r="B43" s="414" t="str">
        <f>IF(ISNA(VLOOKUP(A43,Master!AR$60:BD$107,3,FALSE)),"",VLOOKUP(A43,Master!AR$60:BD$107,3,FALSE))</f>
        <v>Jherh 'kkjnk pkS/kjh</v>
      </c>
      <c r="C43" s="415" t="str">
        <f>IF(ISNA(VLOOKUP(A43,Master!AR$60:BD$107,7,FALSE)),"",VLOOKUP(A43,Master!AR$60:BD$107,7,FALSE))</f>
        <v>RJAJ199506021728</v>
      </c>
      <c r="D43" s="416">
        <f>IF(ISNA(VLOOKUP(A43,Master!AR$60:BD$107,8,FALSE)),"",VLOOKUP(A43,Master!AR$60:BD$107,8,FALSE))</f>
        <v>1057886</v>
      </c>
      <c r="E43" s="421" t="str">
        <f>IF(ISNA(VLOOKUP(A43,Master!AR$60:BD$107,4,FALSE)),"",VLOOKUP(A43,Master!AR$60:BD$107,4,FALSE))</f>
        <v>PTI  III</v>
      </c>
      <c r="F43" s="124">
        <f>IF(ISNA(VLOOKUP(A43,Master!AR$60:BD$107,5,FALSE)),"",VLOOKUP(A43,Master!AR$60:BD$107,5,FALSE))</f>
        <v>13</v>
      </c>
      <c r="G43" s="419">
        <f>IF(ISNA(VLOOKUP(A43,Master!AR$60:BD$107,6,FALSE)),"",VLOOKUP(A43,Master!AR$60:BD$107,6,FALSE))</f>
        <v>34600</v>
      </c>
      <c r="H43" s="419">
        <f t="shared" si="83"/>
        <v>415200</v>
      </c>
      <c r="I43" s="420" t="str">
        <f t="shared" ca="1" si="84"/>
        <v>01.07.2022</v>
      </c>
      <c r="J43" s="419">
        <f t="shared" si="85"/>
        <v>8000</v>
      </c>
      <c r="K43" s="419">
        <f t="shared" si="86"/>
        <v>423200</v>
      </c>
      <c r="L43" s="419">
        <f t="shared" si="87"/>
        <v>411200</v>
      </c>
      <c r="M43" s="419" t="str">
        <f>IF(ISNA(VLOOKUP(A43,Master!AR$60:BD$107,12,FALSE)),"",VLOOKUP(A43,Master!AR$60:BD$107,12,FALSE))</f>
        <v>NON GAZETTED - REGULAR</v>
      </c>
      <c r="N43" s="163"/>
      <c r="O43" s="163"/>
      <c r="P43" s="163"/>
      <c r="Q43" s="163">
        <f t="shared" si="55"/>
        <v>0</v>
      </c>
      <c r="R43" s="52">
        <f t="shared" si="103"/>
        <v>1</v>
      </c>
      <c r="S43" s="1">
        <f>IF(ISNA(VLOOKUP(A43,Master!AR$60:BD$107,10,FALSE)),"",VLOOKUP(A43,Master!AR$60:BD$107,10,FALSE))</f>
        <v>0</v>
      </c>
      <c r="T43" s="77"/>
      <c r="U43" s="77"/>
      <c r="V43" s="78">
        <f>IF(ISNA(VLOOKUP(A43,Master!AR$60:BD$107,11,FALSE)),"",VLOOKUP(A43,Master!AR$60:BD$107,11,FALSE))</f>
        <v>0</v>
      </c>
      <c r="W43" s="78" t="str">
        <f>IF(ISNA(VLOOKUP(A43,Master!AR$60:BD$107,9,FALSE)),"",VLOOKUP(A43,Master!AR$60:BD$107,9,FALSE))</f>
        <v>FEMALE</v>
      </c>
      <c r="X43" s="79">
        <f t="shared" si="56"/>
        <v>0</v>
      </c>
      <c r="Y43" s="79">
        <f t="shared" si="57"/>
        <v>0</v>
      </c>
      <c r="Z43" s="79">
        <f t="shared" si="58"/>
        <v>0</v>
      </c>
      <c r="AA43" s="79">
        <f t="shared" si="59"/>
        <v>0</v>
      </c>
      <c r="AB43" s="79">
        <f t="shared" si="60"/>
        <v>0</v>
      </c>
      <c r="AC43" s="79">
        <f t="shared" si="61"/>
        <v>0</v>
      </c>
      <c r="AD43" s="80">
        <f t="shared" si="88"/>
        <v>33600</v>
      </c>
      <c r="AE43" s="80">
        <f t="shared" si="89"/>
        <v>0</v>
      </c>
      <c r="AF43" s="80">
        <f t="shared" si="90"/>
        <v>423200</v>
      </c>
      <c r="AG43" s="80">
        <f t="shared" si="91"/>
        <v>0</v>
      </c>
      <c r="AH43" s="80">
        <f t="shared" si="92"/>
        <v>0</v>
      </c>
      <c r="AI43" s="78">
        <f t="shared" si="93"/>
        <v>0</v>
      </c>
      <c r="AJ43" s="78">
        <v>0</v>
      </c>
      <c r="AK43" s="79">
        <v>0</v>
      </c>
      <c r="AL43" s="78">
        <f t="shared" si="94"/>
        <v>0</v>
      </c>
      <c r="AM43" s="79">
        <f t="shared" si="62"/>
        <v>0</v>
      </c>
      <c r="AN43" s="78">
        <f t="shared" si="48"/>
        <v>22144</v>
      </c>
      <c r="AO43" s="78">
        <f t="shared" si="63"/>
        <v>0</v>
      </c>
      <c r="AP43" s="78">
        <f t="shared" si="64"/>
        <v>0</v>
      </c>
      <c r="AQ43" s="78">
        <f t="shared" si="65"/>
        <v>0</v>
      </c>
      <c r="AR43" s="80">
        <f t="shared" si="66"/>
        <v>445344</v>
      </c>
      <c r="AS43" s="80">
        <f t="shared" si="67"/>
        <v>445344</v>
      </c>
      <c r="AT43" s="78"/>
      <c r="AU43" s="78"/>
      <c r="AV43" s="80">
        <f t="shared" si="95"/>
        <v>445344</v>
      </c>
      <c r="AW43" s="80">
        <f t="shared" si="68"/>
        <v>0</v>
      </c>
      <c r="AX43" s="80">
        <f t="shared" si="69"/>
        <v>411200</v>
      </c>
      <c r="AY43" s="80">
        <f t="shared" si="70"/>
        <v>0</v>
      </c>
      <c r="AZ43" s="80">
        <f t="shared" si="71"/>
        <v>0</v>
      </c>
      <c r="BA43" s="78">
        <f t="shared" si="96"/>
        <v>0</v>
      </c>
      <c r="BB43" s="78">
        <f t="shared" si="72"/>
        <v>0</v>
      </c>
      <c r="BC43" s="79">
        <v>0</v>
      </c>
      <c r="BD43" s="78">
        <f t="shared" si="97"/>
        <v>0</v>
      </c>
      <c r="BE43" s="79">
        <f t="shared" si="73"/>
        <v>0</v>
      </c>
      <c r="BF43" s="78">
        <f t="shared" si="49"/>
        <v>21504</v>
      </c>
      <c r="BG43" s="78">
        <f t="shared" si="74"/>
        <v>0</v>
      </c>
      <c r="BH43" s="78">
        <f t="shared" si="75"/>
        <v>0</v>
      </c>
      <c r="BI43" s="78">
        <f t="shared" si="76"/>
        <v>0</v>
      </c>
      <c r="BJ43" s="80">
        <f t="shared" si="98"/>
        <v>432704</v>
      </c>
      <c r="BK43" s="80">
        <f t="shared" si="99"/>
        <v>432704</v>
      </c>
      <c r="BL43" s="78"/>
      <c r="BM43" s="78"/>
      <c r="BN43" s="80">
        <f t="shared" si="100"/>
        <v>432704</v>
      </c>
      <c r="BO43" s="74">
        <f t="shared" si="77"/>
        <v>0</v>
      </c>
      <c r="BP43" s="74">
        <f t="shared" si="78"/>
        <v>1</v>
      </c>
      <c r="BQ43" s="74">
        <f t="shared" si="79"/>
        <v>0</v>
      </c>
      <c r="BR43" s="74">
        <f t="shared" si="80"/>
        <v>0</v>
      </c>
      <c r="BS43" s="74">
        <f t="shared" si="50"/>
        <v>0</v>
      </c>
      <c r="BT43" s="74">
        <f t="shared" si="101"/>
        <v>1</v>
      </c>
      <c r="BU43" s="60">
        <f t="shared" si="81"/>
        <v>0</v>
      </c>
      <c r="BV43" s="81">
        <f t="shared" si="102"/>
        <v>1</v>
      </c>
      <c r="BW43" s="60">
        <f t="shared" si="52"/>
        <v>0</v>
      </c>
      <c r="BX43" s="60">
        <f t="shared" si="53"/>
        <v>0</v>
      </c>
      <c r="BY43" s="49">
        <f t="shared" si="82"/>
        <v>1</v>
      </c>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Y43" s="49"/>
    </row>
    <row r="44" spans="1:103" s="76" customFormat="1" ht="15.75">
      <c r="A44" s="125">
        <v>17</v>
      </c>
      <c r="B44" s="414" t="str">
        <f>IF(ISNA(VLOOKUP(A44,Master!AR$60:BD$107,3,FALSE)),"",VLOOKUP(A44,Master!AR$60:BD$107,3,FALSE))</f>
        <v>Jh eqds'k dqekj</v>
      </c>
      <c r="C44" s="415" t="str">
        <f>IF(ISNA(VLOOKUP(A44,Master!AR$60:BD$107,7,FALSE)),"",VLOOKUP(A44,Master!AR$60:BD$107,7,FALSE))</f>
        <v>RJAJ199506021728</v>
      </c>
      <c r="D44" s="416">
        <f>IF(ISNA(VLOOKUP(A44,Master!AR$60:BD$107,8,FALSE)),"",VLOOKUP(A44,Master!AR$60:BD$107,8,FALSE))</f>
        <v>1057886</v>
      </c>
      <c r="E44" s="421" t="str">
        <f>IF(ISNA(VLOOKUP(A44,Master!AR$60:BD$107,4,FALSE)),"",VLOOKUP(A44,Master!AR$60:BD$107,4,FALSE))</f>
        <v>LAB ASST</v>
      </c>
      <c r="F44" s="124">
        <f>IF(ISNA(VLOOKUP(A44,Master!AR$60:BD$107,5,FALSE)),"",VLOOKUP(A44,Master!AR$60:BD$107,5,FALSE))</f>
        <v>8</v>
      </c>
      <c r="G44" s="419">
        <f>IF(ISNA(VLOOKUP(A44,Master!AR$60:BD$107,6,FALSE)),"",VLOOKUP(A44,Master!AR$60:BD$107,6,FALSE))</f>
        <v>34600</v>
      </c>
      <c r="H44" s="419">
        <f t="shared" si="83"/>
        <v>415200</v>
      </c>
      <c r="I44" s="420" t="str">
        <f t="shared" ca="1" si="84"/>
        <v>01.07.2022</v>
      </c>
      <c r="J44" s="419">
        <f t="shared" si="85"/>
        <v>8000</v>
      </c>
      <c r="K44" s="419">
        <f t="shared" si="86"/>
        <v>423200</v>
      </c>
      <c r="L44" s="419">
        <f t="shared" si="87"/>
        <v>411200</v>
      </c>
      <c r="M44" s="419" t="str">
        <f>IF(ISNA(VLOOKUP(A44,Master!AR$60:BD$107,12,FALSE)),"",VLOOKUP(A44,Master!AR$60:BD$107,12,FALSE))</f>
        <v>NON GAZETTED - REGULAR</v>
      </c>
      <c r="N44" s="163"/>
      <c r="O44" s="163"/>
      <c r="P44" s="163"/>
      <c r="Q44" s="163">
        <f t="shared" si="55"/>
        <v>6774</v>
      </c>
      <c r="R44" s="52">
        <f t="shared" si="103"/>
        <v>1</v>
      </c>
      <c r="S44" s="1">
        <f>IF(ISNA(VLOOKUP(A44,Master!AR$60:BD$107,10,FALSE)),"",VLOOKUP(A44,Master!AR$60:BD$107,10,FALSE))</f>
        <v>0</v>
      </c>
      <c r="T44" s="77"/>
      <c r="U44" s="77"/>
      <c r="V44" s="78">
        <f>IF(ISNA(VLOOKUP(A44,Master!AR$60:BD$107,11,FALSE)),"",VLOOKUP(A44,Master!AR$60:BD$107,11,FALSE))</f>
        <v>0</v>
      </c>
      <c r="W44" s="78" t="str">
        <f>IF(ISNA(VLOOKUP(A44,Master!AR$60:BD$107,9,FALSE)),"",VLOOKUP(A44,Master!AR$60:BD$107,9,FALSE))</f>
        <v>MALE</v>
      </c>
      <c r="X44" s="79">
        <f t="shared" si="56"/>
        <v>0</v>
      </c>
      <c r="Y44" s="79">
        <f t="shared" si="57"/>
        <v>0</v>
      </c>
      <c r="Z44" s="79">
        <f t="shared" si="58"/>
        <v>0</v>
      </c>
      <c r="AA44" s="79">
        <f t="shared" si="59"/>
        <v>0</v>
      </c>
      <c r="AB44" s="79">
        <f t="shared" si="60"/>
        <v>0</v>
      </c>
      <c r="AC44" s="79">
        <f t="shared" si="61"/>
        <v>0</v>
      </c>
      <c r="AD44" s="80">
        <f t="shared" si="88"/>
        <v>33600</v>
      </c>
      <c r="AE44" s="80">
        <f t="shared" si="89"/>
        <v>0</v>
      </c>
      <c r="AF44" s="80">
        <f t="shared" si="90"/>
        <v>423200</v>
      </c>
      <c r="AG44" s="80">
        <f t="shared" si="91"/>
        <v>0</v>
      </c>
      <c r="AH44" s="80">
        <f t="shared" si="92"/>
        <v>0</v>
      </c>
      <c r="AI44" s="78">
        <f t="shared" si="93"/>
        <v>0</v>
      </c>
      <c r="AJ44" s="78">
        <v>0</v>
      </c>
      <c r="AK44" s="79">
        <v>0</v>
      </c>
      <c r="AL44" s="78">
        <f t="shared" si="94"/>
        <v>0</v>
      </c>
      <c r="AM44" s="79">
        <f t="shared" si="62"/>
        <v>0</v>
      </c>
      <c r="AN44" s="78">
        <f t="shared" si="48"/>
        <v>22144</v>
      </c>
      <c r="AO44" s="78">
        <f t="shared" si="63"/>
        <v>0</v>
      </c>
      <c r="AP44" s="78">
        <f t="shared" si="64"/>
        <v>0</v>
      </c>
      <c r="AQ44" s="78">
        <f t="shared" si="65"/>
        <v>0</v>
      </c>
      <c r="AR44" s="80">
        <f t="shared" si="66"/>
        <v>445344</v>
      </c>
      <c r="AS44" s="80">
        <f t="shared" si="67"/>
        <v>445344</v>
      </c>
      <c r="AT44" s="78"/>
      <c r="AU44" s="78"/>
      <c r="AV44" s="80">
        <f t="shared" si="95"/>
        <v>445344</v>
      </c>
      <c r="AW44" s="80">
        <f t="shared" si="68"/>
        <v>0</v>
      </c>
      <c r="AX44" s="80">
        <f t="shared" si="69"/>
        <v>411200</v>
      </c>
      <c r="AY44" s="80">
        <f t="shared" si="70"/>
        <v>0</v>
      </c>
      <c r="AZ44" s="80">
        <f t="shared" si="71"/>
        <v>0</v>
      </c>
      <c r="BA44" s="78">
        <f t="shared" si="96"/>
        <v>0</v>
      </c>
      <c r="BB44" s="78">
        <f t="shared" si="72"/>
        <v>0</v>
      </c>
      <c r="BC44" s="79">
        <v>0</v>
      </c>
      <c r="BD44" s="78">
        <f t="shared" si="97"/>
        <v>0</v>
      </c>
      <c r="BE44" s="79">
        <f t="shared" si="73"/>
        <v>0</v>
      </c>
      <c r="BF44" s="78">
        <f t="shared" si="49"/>
        <v>21504</v>
      </c>
      <c r="BG44" s="78">
        <f t="shared" si="74"/>
        <v>0</v>
      </c>
      <c r="BH44" s="78">
        <f t="shared" si="75"/>
        <v>0</v>
      </c>
      <c r="BI44" s="78">
        <f t="shared" si="76"/>
        <v>0</v>
      </c>
      <c r="BJ44" s="80">
        <f t="shared" si="98"/>
        <v>432704</v>
      </c>
      <c r="BK44" s="80">
        <f t="shared" si="99"/>
        <v>432704</v>
      </c>
      <c r="BL44" s="78"/>
      <c r="BM44" s="78"/>
      <c r="BN44" s="80">
        <f t="shared" si="100"/>
        <v>432704</v>
      </c>
      <c r="BO44" s="74">
        <f t="shared" si="77"/>
        <v>0</v>
      </c>
      <c r="BP44" s="74">
        <f t="shared" si="78"/>
        <v>1</v>
      </c>
      <c r="BQ44" s="74">
        <f t="shared" si="79"/>
        <v>0</v>
      </c>
      <c r="BR44" s="74">
        <f t="shared" si="80"/>
        <v>0</v>
      </c>
      <c r="BS44" s="74">
        <f t="shared" si="50"/>
        <v>0</v>
      </c>
      <c r="BT44" s="74">
        <f t="shared" si="101"/>
        <v>1</v>
      </c>
      <c r="BU44" s="60">
        <f t="shared" si="81"/>
        <v>0</v>
      </c>
      <c r="BV44" s="81">
        <f t="shared" si="102"/>
        <v>1</v>
      </c>
      <c r="BW44" s="60">
        <f t="shared" si="52"/>
        <v>0</v>
      </c>
      <c r="BX44" s="60">
        <f t="shared" si="53"/>
        <v>0</v>
      </c>
      <c r="BY44" s="49">
        <f t="shared" si="82"/>
        <v>1</v>
      </c>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Y44" s="49"/>
    </row>
    <row r="45" spans="1:103" s="76" customFormat="1" ht="15.75">
      <c r="A45" s="125">
        <v>18</v>
      </c>
      <c r="B45" s="414" t="str">
        <f>IF(ISNA(VLOOKUP(A45,Master!AR$60:BD$107,3,FALSE)),"",VLOOKUP(A45,Master!AR$60:BD$107,3,FALSE))</f>
        <v xml:space="preserve">Jh jkds'k dqekj </v>
      </c>
      <c r="C45" s="415" t="str">
        <f>IF(ISNA(VLOOKUP(A45,Master!AR$60:BD$107,7,FALSE)),"",VLOOKUP(A45,Master!AR$60:BD$107,7,FALSE))</f>
        <v>RJAJ199506021728</v>
      </c>
      <c r="D45" s="416">
        <f>IF(ISNA(VLOOKUP(A45,Master!AR$60:BD$107,8,FALSE)),"",VLOOKUP(A45,Master!AR$60:BD$107,8,FALSE))</f>
        <v>1057886</v>
      </c>
      <c r="E45" s="421" t="str">
        <f>IF(ISNA(VLOOKUP(A45,Master!AR$60:BD$107,4,FALSE)),"",VLOOKUP(A45,Master!AR$60:BD$107,4,FALSE))</f>
        <v>CLERK GRADE II</v>
      </c>
      <c r="F45" s="124">
        <f>IF(ISNA(VLOOKUP(A45,Master!AR$60:BD$107,5,FALSE)),"",VLOOKUP(A45,Master!AR$60:BD$107,5,FALSE))</f>
        <v>9</v>
      </c>
      <c r="G45" s="419">
        <f>IF(ISNA(VLOOKUP(A45,Master!AR$60:BD$107,6,FALSE)),"",VLOOKUP(A45,Master!AR$60:BD$107,6,FALSE))</f>
        <v>34600</v>
      </c>
      <c r="H45" s="419">
        <f t="shared" si="83"/>
        <v>415200</v>
      </c>
      <c r="I45" s="420" t="str">
        <f t="shared" ca="1" si="84"/>
        <v>01.07.2022</v>
      </c>
      <c r="J45" s="419">
        <f t="shared" si="85"/>
        <v>8000</v>
      </c>
      <c r="K45" s="419">
        <f t="shared" si="86"/>
        <v>423200</v>
      </c>
      <c r="L45" s="419">
        <f t="shared" si="87"/>
        <v>411200</v>
      </c>
      <c r="M45" s="419" t="str">
        <f>IF(ISNA(VLOOKUP(A45,Master!AR$60:BD$107,12,FALSE)),"",VLOOKUP(A45,Master!AR$60:BD$107,12,FALSE))</f>
        <v>NON GAZETTED - REGULAR</v>
      </c>
      <c r="N45" s="163"/>
      <c r="O45" s="163"/>
      <c r="P45" s="163"/>
      <c r="Q45" s="163">
        <f t="shared" si="55"/>
        <v>6774</v>
      </c>
      <c r="R45" s="52">
        <f t="shared" si="103"/>
        <v>1</v>
      </c>
      <c r="S45" s="1">
        <f>IF(ISNA(VLOOKUP(A45,Master!AR$60:BD$107,10,FALSE)),"",VLOOKUP(A45,Master!AR$60:BD$107,10,FALSE))</f>
        <v>0</v>
      </c>
      <c r="T45" s="77"/>
      <c r="U45" s="77"/>
      <c r="V45" s="78">
        <f>IF(ISNA(VLOOKUP(A45,Master!AR$60:BD$107,11,FALSE)),"",VLOOKUP(A45,Master!AR$60:BD$107,11,FALSE))</f>
        <v>0</v>
      </c>
      <c r="W45" s="78" t="str">
        <f>IF(ISNA(VLOOKUP(A45,Master!AR$60:BD$107,9,FALSE)),"",VLOOKUP(A45,Master!AR$60:BD$107,9,FALSE))</f>
        <v>MALE</v>
      </c>
      <c r="X45" s="79">
        <f t="shared" si="56"/>
        <v>0</v>
      </c>
      <c r="Y45" s="79">
        <f t="shared" si="57"/>
        <v>0</v>
      </c>
      <c r="Z45" s="79">
        <f t="shared" si="58"/>
        <v>0</v>
      </c>
      <c r="AA45" s="79">
        <f t="shared" si="59"/>
        <v>0</v>
      </c>
      <c r="AB45" s="79">
        <f t="shared" si="60"/>
        <v>0</v>
      </c>
      <c r="AC45" s="79">
        <f t="shared" si="61"/>
        <v>0</v>
      </c>
      <c r="AD45" s="80">
        <f t="shared" si="88"/>
        <v>33600</v>
      </c>
      <c r="AE45" s="80">
        <f t="shared" si="89"/>
        <v>0</v>
      </c>
      <c r="AF45" s="80">
        <f t="shared" si="90"/>
        <v>423200</v>
      </c>
      <c r="AG45" s="80">
        <f t="shared" si="91"/>
        <v>0</v>
      </c>
      <c r="AH45" s="80">
        <f t="shared" si="92"/>
        <v>0</v>
      </c>
      <c r="AI45" s="78">
        <f t="shared" si="93"/>
        <v>0</v>
      </c>
      <c r="AJ45" s="78">
        <v>0</v>
      </c>
      <c r="AK45" s="79">
        <v>0</v>
      </c>
      <c r="AL45" s="78">
        <f t="shared" si="94"/>
        <v>0</v>
      </c>
      <c r="AM45" s="79">
        <f t="shared" si="62"/>
        <v>0</v>
      </c>
      <c r="AN45" s="78">
        <f t="shared" si="48"/>
        <v>22144</v>
      </c>
      <c r="AO45" s="78">
        <f t="shared" si="63"/>
        <v>0</v>
      </c>
      <c r="AP45" s="78">
        <f t="shared" si="64"/>
        <v>0</v>
      </c>
      <c r="AQ45" s="78">
        <f t="shared" si="65"/>
        <v>0</v>
      </c>
      <c r="AR45" s="80">
        <f t="shared" si="66"/>
        <v>445344</v>
      </c>
      <c r="AS45" s="80">
        <f t="shared" si="67"/>
        <v>445344</v>
      </c>
      <c r="AT45" s="78"/>
      <c r="AU45" s="78"/>
      <c r="AV45" s="80">
        <f t="shared" si="95"/>
        <v>445344</v>
      </c>
      <c r="AW45" s="80">
        <f t="shared" si="68"/>
        <v>0</v>
      </c>
      <c r="AX45" s="80">
        <f t="shared" si="69"/>
        <v>411200</v>
      </c>
      <c r="AY45" s="80">
        <f t="shared" si="70"/>
        <v>0</v>
      </c>
      <c r="AZ45" s="80">
        <f t="shared" si="71"/>
        <v>0</v>
      </c>
      <c r="BA45" s="78">
        <f t="shared" si="96"/>
        <v>0</v>
      </c>
      <c r="BB45" s="78">
        <f t="shared" si="72"/>
        <v>0</v>
      </c>
      <c r="BC45" s="79">
        <v>0</v>
      </c>
      <c r="BD45" s="78">
        <f t="shared" si="97"/>
        <v>0</v>
      </c>
      <c r="BE45" s="79">
        <f t="shared" si="73"/>
        <v>0</v>
      </c>
      <c r="BF45" s="78">
        <f t="shared" si="49"/>
        <v>21504</v>
      </c>
      <c r="BG45" s="78">
        <f t="shared" si="74"/>
        <v>0</v>
      </c>
      <c r="BH45" s="78">
        <f t="shared" si="75"/>
        <v>0</v>
      </c>
      <c r="BI45" s="78">
        <f t="shared" si="76"/>
        <v>0</v>
      </c>
      <c r="BJ45" s="80">
        <f t="shared" si="98"/>
        <v>432704</v>
      </c>
      <c r="BK45" s="80">
        <f t="shared" si="99"/>
        <v>432704</v>
      </c>
      <c r="BL45" s="78"/>
      <c r="BM45" s="78"/>
      <c r="BN45" s="80">
        <f t="shared" si="100"/>
        <v>432704</v>
      </c>
      <c r="BO45" s="74">
        <f t="shared" si="77"/>
        <v>0</v>
      </c>
      <c r="BP45" s="74">
        <f t="shared" si="78"/>
        <v>1</v>
      </c>
      <c r="BQ45" s="74">
        <f t="shared" si="79"/>
        <v>0</v>
      </c>
      <c r="BR45" s="74">
        <f t="shared" si="80"/>
        <v>0</v>
      </c>
      <c r="BS45" s="74">
        <f t="shared" si="50"/>
        <v>0</v>
      </c>
      <c r="BT45" s="74">
        <f t="shared" si="101"/>
        <v>1</v>
      </c>
      <c r="BU45" s="60">
        <f t="shared" si="81"/>
        <v>0</v>
      </c>
      <c r="BV45" s="81">
        <f t="shared" si="102"/>
        <v>1</v>
      </c>
      <c r="BW45" s="60">
        <f t="shared" si="52"/>
        <v>0</v>
      </c>
      <c r="BX45" s="60">
        <f t="shared" si="53"/>
        <v>0</v>
      </c>
      <c r="BY45" s="49">
        <f t="shared" si="82"/>
        <v>1</v>
      </c>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Y45" s="49"/>
    </row>
    <row r="46" spans="1:103" s="76" customFormat="1" ht="15.75">
      <c r="A46" s="125">
        <v>19</v>
      </c>
      <c r="B46" s="414" t="str">
        <f>IF(ISNA(VLOOKUP(A46,Master!AR$60:BD$107,3,FALSE)),"",VLOOKUP(A46,Master!AR$60:BD$107,3,FALSE))</f>
        <v xml:space="preserve">Jh fueZy dqekj </v>
      </c>
      <c r="C46" s="415" t="str">
        <f>IF(ISNA(VLOOKUP(A46,Master!AR$60:BD$107,7,FALSE)),"",VLOOKUP(A46,Master!AR$60:BD$107,7,FALSE))</f>
        <v>RJAJ199506021728</v>
      </c>
      <c r="D46" s="416">
        <f>IF(ISNA(VLOOKUP(A46,Master!AR$60:BD$107,8,FALSE)),"",VLOOKUP(A46,Master!AR$60:BD$107,8,FALSE))</f>
        <v>1057886</v>
      </c>
      <c r="E46" s="421" t="str">
        <f>IF(ISNA(VLOOKUP(A46,Master!AR$60:BD$107,4,FALSE)),"",VLOOKUP(A46,Master!AR$60:BD$107,4,FALSE))</f>
        <v>CLERK GRADE III</v>
      </c>
      <c r="F46" s="124">
        <f>IF(ISNA(VLOOKUP(A46,Master!AR$60:BD$107,5,FALSE)),"",VLOOKUP(A46,Master!AR$60:BD$107,5,FALSE))</f>
        <v>5</v>
      </c>
      <c r="G46" s="419">
        <f>IF(ISNA(VLOOKUP(A46,Master!AR$60:BD$107,6,FALSE)),"",VLOOKUP(A46,Master!AR$60:BD$107,6,FALSE))</f>
        <v>34600</v>
      </c>
      <c r="H46" s="419">
        <f t="shared" si="83"/>
        <v>415200</v>
      </c>
      <c r="I46" s="420" t="str">
        <f t="shared" ca="1" si="84"/>
        <v>01.07.2022</v>
      </c>
      <c r="J46" s="419">
        <f t="shared" si="85"/>
        <v>8000</v>
      </c>
      <c r="K46" s="419">
        <f t="shared" si="86"/>
        <v>423200</v>
      </c>
      <c r="L46" s="419">
        <f t="shared" si="87"/>
        <v>411200</v>
      </c>
      <c r="M46" s="419" t="str">
        <f>IF(ISNA(VLOOKUP(A46,Master!AR$60:BD$107,12,FALSE)),"",VLOOKUP(A46,Master!AR$60:BD$107,12,FALSE))</f>
        <v>NON GAZETTED - REGULAR</v>
      </c>
      <c r="N46" s="163"/>
      <c r="O46" s="163"/>
      <c r="P46" s="163"/>
      <c r="Q46" s="163">
        <f t="shared" si="55"/>
        <v>6774</v>
      </c>
      <c r="R46" s="52">
        <f t="shared" si="103"/>
        <v>1</v>
      </c>
      <c r="S46" s="1">
        <f>IF(ISNA(VLOOKUP(A46,Master!AR$60:BD$107,10,FALSE)),"",VLOOKUP(A46,Master!AR$60:BD$107,10,FALSE))</f>
        <v>0</v>
      </c>
      <c r="T46" s="77"/>
      <c r="U46" s="77"/>
      <c r="V46" s="78">
        <f>IF(ISNA(VLOOKUP(A46,Master!AR$60:BD$107,11,FALSE)),"",VLOOKUP(A46,Master!AR$60:BD$107,11,FALSE))</f>
        <v>0</v>
      </c>
      <c r="W46" s="78" t="str">
        <f>IF(ISNA(VLOOKUP(A46,Master!AR$60:BD$107,9,FALSE)),"",VLOOKUP(A46,Master!AR$60:BD$107,9,FALSE))</f>
        <v>MALE</v>
      </c>
      <c r="X46" s="79">
        <f t="shared" si="56"/>
        <v>0</v>
      </c>
      <c r="Y46" s="79">
        <f t="shared" si="57"/>
        <v>0</v>
      </c>
      <c r="Z46" s="79">
        <f t="shared" si="58"/>
        <v>0</v>
      </c>
      <c r="AA46" s="79">
        <f t="shared" si="59"/>
        <v>0</v>
      </c>
      <c r="AB46" s="79">
        <f t="shared" si="60"/>
        <v>0</v>
      </c>
      <c r="AC46" s="79">
        <f t="shared" si="61"/>
        <v>0</v>
      </c>
      <c r="AD46" s="80">
        <f t="shared" si="88"/>
        <v>33600</v>
      </c>
      <c r="AE46" s="80">
        <f t="shared" si="89"/>
        <v>0</v>
      </c>
      <c r="AF46" s="80">
        <f t="shared" si="90"/>
        <v>423200</v>
      </c>
      <c r="AG46" s="80">
        <f t="shared" si="91"/>
        <v>0</v>
      </c>
      <c r="AH46" s="80">
        <f t="shared" si="92"/>
        <v>0</v>
      </c>
      <c r="AI46" s="78">
        <f t="shared" si="93"/>
        <v>0</v>
      </c>
      <c r="AJ46" s="78">
        <v>0</v>
      </c>
      <c r="AK46" s="79">
        <v>0</v>
      </c>
      <c r="AL46" s="78">
        <f t="shared" si="94"/>
        <v>0</v>
      </c>
      <c r="AM46" s="79">
        <f t="shared" si="62"/>
        <v>0</v>
      </c>
      <c r="AN46" s="78">
        <f t="shared" si="48"/>
        <v>22144</v>
      </c>
      <c r="AO46" s="78">
        <f t="shared" si="63"/>
        <v>0</v>
      </c>
      <c r="AP46" s="78">
        <f t="shared" si="64"/>
        <v>0</v>
      </c>
      <c r="AQ46" s="78">
        <f t="shared" si="65"/>
        <v>0</v>
      </c>
      <c r="AR46" s="80">
        <f t="shared" si="66"/>
        <v>445344</v>
      </c>
      <c r="AS46" s="80">
        <f t="shared" si="67"/>
        <v>445344</v>
      </c>
      <c r="AT46" s="78"/>
      <c r="AU46" s="78"/>
      <c r="AV46" s="80">
        <f t="shared" si="95"/>
        <v>445344</v>
      </c>
      <c r="AW46" s="80">
        <f t="shared" si="68"/>
        <v>0</v>
      </c>
      <c r="AX46" s="80">
        <f t="shared" si="69"/>
        <v>411200</v>
      </c>
      <c r="AY46" s="80">
        <f t="shared" si="70"/>
        <v>0</v>
      </c>
      <c r="AZ46" s="80">
        <f t="shared" si="71"/>
        <v>0</v>
      </c>
      <c r="BA46" s="78">
        <f t="shared" si="96"/>
        <v>0</v>
      </c>
      <c r="BB46" s="78">
        <f t="shared" si="72"/>
        <v>0</v>
      </c>
      <c r="BC46" s="79">
        <v>0</v>
      </c>
      <c r="BD46" s="78">
        <f t="shared" si="97"/>
        <v>0</v>
      </c>
      <c r="BE46" s="79">
        <f t="shared" si="73"/>
        <v>0</v>
      </c>
      <c r="BF46" s="78">
        <f t="shared" si="49"/>
        <v>21504</v>
      </c>
      <c r="BG46" s="78">
        <f t="shared" si="74"/>
        <v>0</v>
      </c>
      <c r="BH46" s="78">
        <f t="shared" si="75"/>
        <v>0</v>
      </c>
      <c r="BI46" s="78">
        <f t="shared" si="76"/>
        <v>0</v>
      </c>
      <c r="BJ46" s="80">
        <f t="shared" si="98"/>
        <v>432704</v>
      </c>
      <c r="BK46" s="80">
        <f t="shared" si="99"/>
        <v>432704</v>
      </c>
      <c r="BL46" s="78"/>
      <c r="BM46" s="78"/>
      <c r="BN46" s="80">
        <f t="shared" si="100"/>
        <v>432704</v>
      </c>
      <c r="BO46" s="74">
        <f t="shared" si="77"/>
        <v>0</v>
      </c>
      <c r="BP46" s="74">
        <f t="shared" si="78"/>
        <v>1</v>
      </c>
      <c r="BQ46" s="74">
        <f t="shared" si="79"/>
        <v>0</v>
      </c>
      <c r="BR46" s="74">
        <f t="shared" si="80"/>
        <v>0</v>
      </c>
      <c r="BS46" s="74">
        <f t="shared" si="50"/>
        <v>0</v>
      </c>
      <c r="BT46" s="74">
        <f t="shared" si="101"/>
        <v>1</v>
      </c>
      <c r="BU46" s="60">
        <f t="shared" si="81"/>
        <v>0</v>
      </c>
      <c r="BV46" s="81">
        <f t="shared" si="102"/>
        <v>1</v>
      </c>
      <c r="BW46" s="60">
        <f t="shared" si="52"/>
        <v>0</v>
      </c>
      <c r="BX46" s="60">
        <f t="shared" si="53"/>
        <v>0</v>
      </c>
      <c r="BY46" s="49">
        <f t="shared" si="82"/>
        <v>1</v>
      </c>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Y46" s="49"/>
    </row>
    <row r="47" spans="1:103" s="76" customFormat="1" ht="15.75">
      <c r="A47" s="125">
        <v>20</v>
      </c>
      <c r="B47" s="414" t="str">
        <f>IF(ISNA(VLOOKUP(A47,Master!AR$60:BD$107,3,FALSE)),"",VLOOKUP(A47,Master!AR$60:BD$107,3,FALSE))</f>
        <v/>
      </c>
      <c r="C47" s="415" t="str">
        <f>IF(ISNA(VLOOKUP(A47,Master!AR$60:BD$107,7,FALSE)),"",VLOOKUP(A47,Master!AR$60:BD$107,7,FALSE))</f>
        <v/>
      </c>
      <c r="D47" s="416" t="str">
        <f>IF(ISNA(VLOOKUP(A47,Master!AR$60:BD$107,8,FALSE)),"",VLOOKUP(A47,Master!AR$60:BD$107,8,FALSE))</f>
        <v/>
      </c>
      <c r="E47" s="421" t="str">
        <f>IF(ISNA(VLOOKUP(A47,Master!AR$60:BD$107,4,FALSE)),"",VLOOKUP(A47,Master!AR$60:BD$107,4,FALSE))</f>
        <v/>
      </c>
      <c r="F47" s="124" t="str">
        <f>IF(ISNA(VLOOKUP(A47,Master!AR$60:BD$107,5,FALSE)),"",VLOOKUP(A47,Master!AR$60:BD$107,5,FALSE))</f>
        <v/>
      </c>
      <c r="G47" s="419" t="str">
        <f>IF(ISNA(VLOOKUP(A47,Master!AR$60:BD$107,6,FALSE)),"",VLOOKUP(A47,Master!AR$60:BD$107,6,FALSE))</f>
        <v/>
      </c>
      <c r="H47" s="419" t="str">
        <f t="shared" si="83"/>
        <v/>
      </c>
      <c r="I47" s="420" t="str">
        <f t="shared" ca="1" si="84"/>
        <v/>
      </c>
      <c r="J47" s="419" t="str">
        <f t="shared" si="85"/>
        <v/>
      </c>
      <c r="K47" s="419" t="str">
        <f t="shared" si="86"/>
        <v/>
      </c>
      <c r="L47" s="419" t="str">
        <f t="shared" si="87"/>
        <v/>
      </c>
      <c r="M47" s="419" t="str">
        <f>IF(ISNA(VLOOKUP(A47,Master!AR$60:BD$107,12,FALSE)),"",VLOOKUP(A47,Master!AR$60:BD$107,12,FALSE))</f>
        <v/>
      </c>
      <c r="N47" s="163"/>
      <c r="O47" s="163"/>
      <c r="P47" s="163"/>
      <c r="Q47" s="163">
        <f t="shared" si="55"/>
        <v>0</v>
      </c>
      <c r="R47" s="52">
        <f t="shared" si="103"/>
        <v>1</v>
      </c>
      <c r="S47" s="1" t="str">
        <f>IF(ISNA(VLOOKUP(A47,Master!AR$60:BD$107,10,FALSE)),"",VLOOKUP(A47,Master!AR$60:BD$107,10,FALSE))</f>
        <v/>
      </c>
      <c r="T47" s="77"/>
      <c r="U47" s="77"/>
      <c r="V47" s="78" t="str">
        <f>IF(ISNA(VLOOKUP(A47,Master!AR$60:BD$107,11,FALSE)),"",VLOOKUP(A47,Master!AR$60:BD$107,11,FALSE))</f>
        <v/>
      </c>
      <c r="W47" s="78" t="str">
        <f>IF(ISNA(VLOOKUP(A47,Master!AR$60:BD$107,9,FALSE)),"",VLOOKUP(A47,Master!AR$60:BD$107,9,FALSE))</f>
        <v/>
      </c>
      <c r="X47" s="79">
        <f t="shared" si="56"/>
        <v>0</v>
      </c>
      <c r="Y47" s="79">
        <f t="shared" si="57"/>
        <v>0</v>
      </c>
      <c r="Z47" s="79">
        <f t="shared" si="58"/>
        <v>0</v>
      </c>
      <c r="AA47" s="79">
        <f t="shared" si="59"/>
        <v>0</v>
      </c>
      <c r="AB47" s="79">
        <f t="shared" si="60"/>
        <v>0</v>
      </c>
      <c r="AC47" s="79">
        <f t="shared" si="61"/>
        <v>0</v>
      </c>
      <c r="AD47" s="80" t="str">
        <f t="shared" si="88"/>
        <v/>
      </c>
      <c r="AE47" s="80" t="str">
        <f t="shared" si="89"/>
        <v/>
      </c>
      <c r="AF47" s="80" t="str">
        <f t="shared" si="90"/>
        <v/>
      </c>
      <c r="AG47" s="80" t="str">
        <f t="shared" si="91"/>
        <v/>
      </c>
      <c r="AH47" s="80" t="str">
        <f t="shared" si="92"/>
        <v/>
      </c>
      <c r="AI47" s="78" t="str">
        <f t="shared" si="93"/>
        <v/>
      </c>
      <c r="AJ47" s="78">
        <v>0</v>
      </c>
      <c r="AK47" s="79">
        <v>0</v>
      </c>
      <c r="AL47" s="78" t="str">
        <f t="shared" si="94"/>
        <v/>
      </c>
      <c r="AM47" s="79">
        <f t="shared" si="62"/>
        <v>0</v>
      </c>
      <c r="AN47" s="78">
        <f t="shared" si="48"/>
        <v>0</v>
      </c>
      <c r="AO47" s="78">
        <f t="shared" si="63"/>
        <v>0</v>
      </c>
      <c r="AP47" s="78">
        <f t="shared" si="64"/>
        <v>0</v>
      </c>
      <c r="AQ47" s="78">
        <f t="shared" si="65"/>
        <v>0</v>
      </c>
      <c r="AR47" s="80">
        <f t="shared" si="66"/>
        <v>0</v>
      </c>
      <c r="AS47" s="80">
        <f t="shared" si="67"/>
        <v>0</v>
      </c>
      <c r="AT47" s="78"/>
      <c r="AU47" s="78"/>
      <c r="AV47" s="80">
        <f t="shared" si="95"/>
        <v>0</v>
      </c>
      <c r="AW47" s="80">
        <f t="shared" si="68"/>
        <v>0</v>
      </c>
      <c r="AX47" s="80">
        <f t="shared" si="69"/>
        <v>0</v>
      </c>
      <c r="AY47" s="80">
        <f t="shared" si="70"/>
        <v>0</v>
      </c>
      <c r="AZ47" s="80">
        <f t="shared" si="71"/>
        <v>0</v>
      </c>
      <c r="BA47" s="78">
        <f t="shared" si="96"/>
        <v>0</v>
      </c>
      <c r="BB47" s="78">
        <f t="shared" si="72"/>
        <v>0</v>
      </c>
      <c r="BC47" s="79">
        <v>0</v>
      </c>
      <c r="BD47" s="78">
        <f t="shared" si="97"/>
        <v>0</v>
      </c>
      <c r="BE47" s="79">
        <f t="shared" si="73"/>
        <v>0</v>
      </c>
      <c r="BF47" s="78">
        <f t="shared" si="49"/>
        <v>0</v>
      </c>
      <c r="BG47" s="78">
        <f t="shared" si="74"/>
        <v>0</v>
      </c>
      <c r="BH47" s="78">
        <f t="shared" si="75"/>
        <v>0</v>
      </c>
      <c r="BI47" s="78">
        <f t="shared" si="76"/>
        <v>0</v>
      </c>
      <c r="BJ47" s="80">
        <f t="shared" si="98"/>
        <v>0</v>
      </c>
      <c r="BK47" s="80">
        <f t="shared" si="99"/>
        <v>0</v>
      </c>
      <c r="BL47" s="78"/>
      <c r="BM47" s="78"/>
      <c r="BN47" s="80">
        <f t="shared" si="100"/>
        <v>0</v>
      </c>
      <c r="BO47" s="74">
        <f t="shared" si="77"/>
        <v>0</v>
      </c>
      <c r="BP47" s="74">
        <f t="shared" si="78"/>
        <v>1</v>
      </c>
      <c r="BQ47" s="74">
        <f t="shared" si="79"/>
        <v>0</v>
      </c>
      <c r="BR47" s="74">
        <f t="shared" si="80"/>
        <v>0</v>
      </c>
      <c r="BS47" s="74">
        <f t="shared" si="50"/>
        <v>0</v>
      </c>
      <c r="BT47" s="74">
        <f t="shared" si="101"/>
        <v>1</v>
      </c>
      <c r="BU47" s="60">
        <f t="shared" si="81"/>
        <v>0</v>
      </c>
      <c r="BV47" s="81">
        <f t="shared" si="102"/>
        <v>1</v>
      </c>
      <c r="BW47" s="60">
        <f t="shared" si="52"/>
        <v>0</v>
      </c>
      <c r="BX47" s="60">
        <f t="shared" si="53"/>
        <v>0</v>
      </c>
      <c r="BY47" s="49" t="str">
        <f t="shared" si="82"/>
        <v/>
      </c>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Y47" s="49"/>
    </row>
    <row r="48" spans="1:103" s="76" customFormat="1" ht="15.75">
      <c r="A48" s="125">
        <v>21</v>
      </c>
      <c r="B48" s="414" t="str">
        <f>IF(ISNA(VLOOKUP(A48,Master!AR$60:BD$107,3,FALSE)),"",VLOOKUP(A48,Master!AR$60:BD$107,3,FALSE))</f>
        <v/>
      </c>
      <c r="C48" s="415" t="str">
        <f>IF(ISNA(VLOOKUP(A48,Master!AR$60:BD$107,7,FALSE)),"",VLOOKUP(A48,Master!AR$60:BD$107,7,FALSE))</f>
        <v/>
      </c>
      <c r="D48" s="416" t="str">
        <f>IF(ISNA(VLOOKUP(A48,Master!AR$60:BD$107,8,FALSE)),"",VLOOKUP(A48,Master!AR$60:BD$107,8,FALSE))</f>
        <v/>
      </c>
      <c r="E48" s="421" t="str">
        <f>IF(ISNA(VLOOKUP(A48,Master!AR$60:BD$107,4,FALSE)),"",VLOOKUP(A48,Master!AR$60:BD$107,4,FALSE))</f>
        <v/>
      </c>
      <c r="F48" s="124" t="str">
        <f>IF(ISNA(VLOOKUP(A48,Master!AR$60:BD$107,5,FALSE)),"",VLOOKUP(A48,Master!AR$60:BD$107,5,FALSE))</f>
        <v/>
      </c>
      <c r="G48" s="419" t="str">
        <f>IF(ISNA(VLOOKUP(A48,Master!AR$60:BD$107,6,FALSE)),"",VLOOKUP(A48,Master!AR$60:BD$107,6,FALSE))</f>
        <v/>
      </c>
      <c r="H48" s="419" t="str">
        <f t="shared" si="83"/>
        <v/>
      </c>
      <c r="I48" s="420" t="str">
        <f t="shared" ca="1" si="84"/>
        <v/>
      </c>
      <c r="J48" s="419" t="str">
        <f t="shared" si="85"/>
        <v/>
      </c>
      <c r="K48" s="419" t="str">
        <f t="shared" si="86"/>
        <v/>
      </c>
      <c r="L48" s="419" t="str">
        <f t="shared" si="87"/>
        <v/>
      </c>
      <c r="M48" s="419" t="str">
        <f>IF(ISNA(VLOOKUP(A48,Master!AR$60:BD$107,12,FALSE)),"",VLOOKUP(A48,Master!AR$60:BD$107,12,FALSE))</f>
        <v/>
      </c>
      <c r="N48" s="163"/>
      <c r="O48" s="163"/>
      <c r="P48" s="163"/>
      <c r="Q48" s="163">
        <f t="shared" si="55"/>
        <v>0</v>
      </c>
      <c r="R48" s="52">
        <f t="shared" si="103"/>
        <v>1</v>
      </c>
      <c r="S48" s="1" t="str">
        <f>IF(ISNA(VLOOKUP(A48,Master!AR$60:BD$107,10,FALSE)),"",VLOOKUP(A48,Master!AR$60:BD$107,10,FALSE))</f>
        <v/>
      </c>
      <c r="T48" s="77"/>
      <c r="U48" s="77"/>
      <c r="V48" s="78" t="str">
        <f>IF(ISNA(VLOOKUP(A48,Master!AR$60:BD$107,11,FALSE)),"",VLOOKUP(A48,Master!AR$60:BD$107,11,FALSE))</f>
        <v/>
      </c>
      <c r="W48" s="78" t="str">
        <f>IF(ISNA(VLOOKUP(A48,Master!AR$60:BD$107,9,FALSE)),"",VLOOKUP(A48,Master!AR$60:BD$107,9,FALSE))</f>
        <v/>
      </c>
      <c r="X48" s="79">
        <f t="shared" si="56"/>
        <v>0</v>
      </c>
      <c r="Y48" s="79">
        <f t="shared" si="57"/>
        <v>0</v>
      </c>
      <c r="Z48" s="79">
        <f t="shared" si="58"/>
        <v>0</v>
      </c>
      <c r="AA48" s="79">
        <f t="shared" si="59"/>
        <v>0</v>
      </c>
      <c r="AB48" s="79">
        <f t="shared" si="60"/>
        <v>0</v>
      </c>
      <c r="AC48" s="79">
        <f t="shared" si="61"/>
        <v>0</v>
      </c>
      <c r="AD48" s="80" t="str">
        <f t="shared" si="88"/>
        <v/>
      </c>
      <c r="AE48" s="80" t="str">
        <f t="shared" si="89"/>
        <v/>
      </c>
      <c r="AF48" s="80" t="str">
        <f t="shared" si="90"/>
        <v/>
      </c>
      <c r="AG48" s="80" t="str">
        <f t="shared" si="91"/>
        <v/>
      </c>
      <c r="AH48" s="80" t="str">
        <f t="shared" si="92"/>
        <v/>
      </c>
      <c r="AI48" s="78" t="str">
        <f t="shared" si="93"/>
        <v/>
      </c>
      <c r="AJ48" s="78">
        <v>0</v>
      </c>
      <c r="AK48" s="79">
        <v>0</v>
      </c>
      <c r="AL48" s="78" t="str">
        <f t="shared" si="94"/>
        <v/>
      </c>
      <c r="AM48" s="79">
        <f t="shared" si="62"/>
        <v>0</v>
      </c>
      <c r="AN48" s="78">
        <f t="shared" si="48"/>
        <v>0</v>
      </c>
      <c r="AO48" s="78">
        <f t="shared" si="63"/>
        <v>0</v>
      </c>
      <c r="AP48" s="78">
        <f t="shared" si="64"/>
        <v>0</v>
      </c>
      <c r="AQ48" s="78">
        <f t="shared" si="65"/>
        <v>0</v>
      </c>
      <c r="AR48" s="80">
        <f t="shared" si="66"/>
        <v>0</v>
      </c>
      <c r="AS48" s="80">
        <f t="shared" si="67"/>
        <v>0</v>
      </c>
      <c r="AT48" s="78"/>
      <c r="AU48" s="78"/>
      <c r="AV48" s="80">
        <f t="shared" si="95"/>
        <v>0</v>
      </c>
      <c r="AW48" s="80">
        <f t="shared" si="68"/>
        <v>0</v>
      </c>
      <c r="AX48" s="80">
        <f t="shared" si="69"/>
        <v>0</v>
      </c>
      <c r="AY48" s="80">
        <f t="shared" si="70"/>
        <v>0</v>
      </c>
      <c r="AZ48" s="80">
        <f t="shared" si="71"/>
        <v>0</v>
      </c>
      <c r="BA48" s="78">
        <f t="shared" si="96"/>
        <v>0</v>
      </c>
      <c r="BB48" s="78">
        <f t="shared" si="72"/>
        <v>0</v>
      </c>
      <c r="BC48" s="79">
        <v>0</v>
      </c>
      <c r="BD48" s="78">
        <f t="shared" si="97"/>
        <v>0</v>
      </c>
      <c r="BE48" s="79">
        <f t="shared" si="73"/>
        <v>0</v>
      </c>
      <c r="BF48" s="78">
        <f t="shared" si="49"/>
        <v>0</v>
      </c>
      <c r="BG48" s="78">
        <f t="shared" si="74"/>
        <v>0</v>
      </c>
      <c r="BH48" s="78">
        <f t="shared" si="75"/>
        <v>0</v>
      </c>
      <c r="BI48" s="78">
        <f t="shared" si="76"/>
        <v>0</v>
      </c>
      <c r="BJ48" s="80">
        <f t="shared" si="98"/>
        <v>0</v>
      </c>
      <c r="BK48" s="80">
        <f t="shared" si="99"/>
        <v>0</v>
      </c>
      <c r="BL48" s="78"/>
      <c r="BM48" s="78"/>
      <c r="BN48" s="80">
        <f t="shared" si="100"/>
        <v>0</v>
      </c>
      <c r="BO48" s="74">
        <f t="shared" si="77"/>
        <v>0</v>
      </c>
      <c r="BP48" s="74">
        <f t="shared" si="78"/>
        <v>1</v>
      </c>
      <c r="BQ48" s="74">
        <f t="shared" si="79"/>
        <v>0</v>
      </c>
      <c r="BR48" s="74">
        <f t="shared" si="80"/>
        <v>0</v>
      </c>
      <c r="BS48" s="74">
        <f t="shared" si="50"/>
        <v>0</v>
      </c>
      <c r="BT48" s="74">
        <f t="shared" si="101"/>
        <v>1</v>
      </c>
      <c r="BU48" s="60">
        <f t="shared" si="81"/>
        <v>0</v>
      </c>
      <c r="BV48" s="81">
        <f t="shared" si="102"/>
        <v>1</v>
      </c>
      <c r="BW48" s="60">
        <f t="shared" si="52"/>
        <v>0</v>
      </c>
      <c r="BX48" s="60">
        <f t="shared" si="53"/>
        <v>0</v>
      </c>
      <c r="BY48" s="49" t="str">
        <f t="shared" si="82"/>
        <v/>
      </c>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Y48" s="49"/>
    </row>
    <row r="49" spans="1:103" s="76" customFormat="1" ht="15.75">
      <c r="A49" s="125">
        <v>22</v>
      </c>
      <c r="B49" s="414" t="str">
        <f>IF(ISNA(VLOOKUP(A49,Master!AR$60:BD$107,3,FALSE)),"",VLOOKUP(A49,Master!AR$60:BD$107,3,FALSE))</f>
        <v/>
      </c>
      <c r="C49" s="415" t="str">
        <f>IF(ISNA(VLOOKUP(A49,Master!AR$60:BD$107,7,FALSE)),"",VLOOKUP(A49,Master!AR$60:BD$107,7,FALSE))</f>
        <v/>
      </c>
      <c r="D49" s="416" t="str">
        <f>IF(ISNA(VLOOKUP(A49,Master!AR$60:BD$107,8,FALSE)),"",VLOOKUP(A49,Master!AR$60:BD$107,8,FALSE))</f>
        <v/>
      </c>
      <c r="E49" s="421" t="str">
        <f>IF(ISNA(VLOOKUP(A49,Master!AR$60:BD$107,4,FALSE)),"",VLOOKUP(A49,Master!AR$60:BD$107,4,FALSE))</f>
        <v/>
      </c>
      <c r="F49" s="124" t="str">
        <f>IF(ISNA(VLOOKUP(A49,Master!AR$60:BD$107,5,FALSE)),"",VLOOKUP(A49,Master!AR$60:BD$107,5,FALSE))</f>
        <v/>
      </c>
      <c r="G49" s="419" t="str">
        <f>IF(ISNA(VLOOKUP(A49,Master!AR$60:BD$107,6,FALSE)),"",VLOOKUP(A49,Master!AR$60:BD$107,6,FALSE))</f>
        <v/>
      </c>
      <c r="H49" s="419" t="str">
        <f t="shared" si="83"/>
        <v/>
      </c>
      <c r="I49" s="420" t="str">
        <f t="shared" ca="1" si="84"/>
        <v/>
      </c>
      <c r="J49" s="419" t="str">
        <f t="shared" si="85"/>
        <v/>
      </c>
      <c r="K49" s="419" t="str">
        <f t="shared" si="86"/>
        <v/>
      </c>
      <c r="L49" s="419" t="str">
        <f t="shared" si="87"/>
        <v/>
      </c>
      <c r="M49" s="419" t="str">
        <f>IF(ISNA(VLOOKUP(A49,Master!AR$60:BD$107,12,FALSE)),"",VLOOKUP(A49,Master!AR$60:BD$107,12,FALSE))</f>
        <v/>
      </c>
      <c r="N49" s="163"/>
      <c r="O49" s="163"/>
      <c r="P49" s="163"/>
      <c r="Q49" s="163">
        <f t="shared" si="55"/>
        <v>0</v>
      </c>
      <c r="R49" s="52">
        <f t="shared" si="103"/>
        <v>1</v>
      </c>
      <c r="S49" s="1" t="str">
        <f>IF(ISNA(VLOOKUP(A49,Master!AR$60:BD$107,10,FALSE)),"",VLOOKUP(A49,Master!AR$60:BD$107,10,FALSE))</f>
        <v/>
      </c>
      <c r="T49" s="77"/>
      <c r="U49" s="77"/>
      <c r="V49" s="78" t="str">
        <f>IF(ISNA(VLOOKUP(A49,Master!AR$60:BD$107,11,FALSE)),"",VLOOKUP(A49,Master!AR$60:BD$107,11,FALSE))</f>
        <v/>
      </c>
      <c r="W49" s="78" t="str">
        <f>IF(ISNA(VLOOKUP(A49,Master!AR$60:BD$107,9,FALSE)),"",VLOOKUP(A49,Master!AR$60:BD$107,9,FALSE))</f>
        <v/>
      </c>
      <c r="X49" s="79">
        <f t="shared" si="56"/>
        <v>0</v>
      </c>
      <c r="Y49" s="79">
        <f t="shared" si="57"/>
        <v>0</v>
      </c>
      <c r="Z49" s="79">
        <f t="shared" si="58"/>
        <v>0</v>
      </c>
      <c r="AA49" s="79">
        <f t="shared" si="59"/>
        <v>0</v>
      </c>
      <c r="AB49" s="79">
        <f t="shared" si="60"/>
        <v>0</v>
      </c>
      <c r="AC49" s="79">
        <f t="shared" si="61"/>
        <v>0</v>
      </c>
      <c r="AD49" s="80" t="str">
        <f t="shared" si="88"/>
        <v/>
      </c>
      <c r="AE49" s="80" t="str">
        <f t="shared" si="89"/>
        <v/>
      </c>
      <c r="AF49" s="80" t="str">
        <f t="shared" si="90"/>
        <v/>
      </c>
      <c r="AG49" s="80" t="str">
        <f t="shared" si="91"/>
        <v/>
      </c>
      <c r="AH49" s="80" t="str">
        <f t="shared" si="92"/>
        <v/>
      </c>
      <c r="AI49" s="78" t="str">
        <f t="shared" si="93"/>
        <v/>
      </c>
      <c r="AJ49" s="78">
        <v>0</v>
      </c>
      <c r="AK49" s="79">
        <v>0</v>
      </c>
      <c r="AL49" s="78" t="str">
        <f t="shared" si="94"/>
        <v/>
      </c>
      <c r="AM49" s="79">
        <f t="shared" si="62"/>
        <v>0</v>
      </c>
      <c r="AN49" s="78">
        <f t="shared" si="48"/>
        <v>0</v>
      </c>
      <c r="AO49" s="78">
        <f t="shared" si="63"/>
        <v>0</v>
      </c>
      <c r="AP49" s="78">
        <f t="shared" si="64"/>
        <v>0</v>
      </c>
      <c r="AQ49" s="78">
        <f t="shared" si="65"/>
        <v>0</v>
      </c>
      <c r="AR49" s="80">
        <f t="shared" si="66"/>
        <v>0</v>
      </c>
      <c r="AS49" s="80">
        <f t="shared" si="67"/>
        <v>0</v>
      </c>
      <c r="AT49" s="78"/>
      <c r="AU49" s="78"/>
      <c r="AV49" s="80">
        <f t="shared" si="95"/>
        <v>0</v>
      </c>
      <c r="AW49" s="80">
        <f t="shared" si="68"/>
        <v>0</v>
      </c>
      <c r="AX49" s="80">
        <f t="shared" si="69"/>
        <v>0</v>
      </c>
      <c r="AY49" s="80">
        <f t="shared" si="70"/>
        <v>0</v>
      </c>
      <c r="AZ49" s="80">
        <f t="shared" si="71"/>
        <v>0</v>
      </c>
      <c r="BA49" s="78">
        <f t="shared" si="96"/>
        <v>0</v>
      </c>
      <c r="BB49" s="78">
        <f t="shared" si="72"/>
        <v>0</v>
      </c>
      <c r="BC49" s="79">
        <v>0</v>
      </c>
      <c r="BD49" s="78">
        <f t="shared" si="97"/>
        <v>0</v>
      </c>
      <c r="BE49" s="79">
        <f t="shared" si="73"/>
        <v>0</v>
      </c>
      <c r="BF49" s="78">
        <f t="shared" si="49"/>
        <v>0</v>
      </c>
      <c r="BG49" s="78">
        <f t="shared" si="74"/>
        <v>0</v>
      </c>
      <c r="BH49" s="78">
        <f t="shared" si="75"/>
        <v>0</v>
      </c>
      <c r="BI49" s="78">
        <f t="shared" si="76"/>
        <v>0</v>
      </c>
      <c r="BJ49" s="80">
        <f t="shared" si="98"/>
        <v>0</v>
      </c>
      <c r="BK49" s="80">
        <f t="shared" si="99"/>
        <v>0</v>
      </c>
      <c r="BL49" s="78"/>
      <c r="BM49" s="78"/>
      <c r="BN49" s="80">
        <f t="shared" si="100"/>
        <v>0</v>
      </c>
      <c r="BO49" s="74">
        <f t="shared" si="77"/>
        <v>0</v>
      </c>
      <c r="BP49" s="74">
        <f t="shared" si="78"/>
        <v>1</v>
      </c>
      <c r="BQ49" s="74">
        <f t="shared" si="79"/>
        <v>0</v>
      </c>
      <c r="BR49" s="74">
        <f t="shared" si="80"/>
        <v>0</v>
      </c>
      <c r="BS49" s="74">
        <f t="shared" si="50"/>
        <v>0</v>
      </c>
      <c r="BT49" s="74">
        <f t="shared" si="101"/>
        <v>1</v>
      </c>
      <c r="BU49" s="60">
        <f t="shared" si="81"/>
        <v>0</v>
      </c>
      <c r="BV49" s="81">
        <f t="shared" si="102"/>
        <v>1</v>
      </c>
      <c r="BW49" s="60">
        <f t="shared" si="52"/>
        <v>0</v>
      </c>
      <c r="BX49" s="60">
        <f t="shared" si="53"/>
        <v>0</v>
      </c>
      <c r="BY49" s="49" t="str">
        <f t="shared" si="82"/>
        <v/>
      </c>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Y49" s="49"/>
    </row>
    <row r="50" spans="1:103" s="76" customFormat="1" ht="15.75">
      <c r="A50" s="125">
        <v>23</v>
      </c>
      <c r="B50" s="414" t="str">
        <f>IF(ISNA(VLOOKUP(A50,Master!AR$60:BD$107,3,FALSE)),"",VLOOKUP(A50,Master!AR$60:BD$107,3,FALSE))</f>
        <v/>
      </c>
      <c r="C50" s="415" t="str">
        <f>IF(ISNA(VLOOKUP(A50,Master!AR$60:BD$107,7,FALSE)),"",VLOOKUP(A50,Master!AR$60:BD$107,7,FALSE))</f>
        <v/>
      </c>
      <c r="D50" s="416" t="str">
        <f>IF(ISNA(VLOOKUP(A50,Master!AR$60:BD$107,8,FALSE)),"",VLOOKUP(A50,Master!AR$60:BD$107,8,FALSE))</f>
        <v/>
      </c>
      <c r="E50" s="421" t="str">
        <f>IF(ISNA(VLOOKUP(A50,Master!AR$60:BD$107,4,FALSE)),"",VLOOKUP(A50,Master!AR$60:BD$107,4,FALSE))</f>
        <v/>
      </c>
      <c r="F50" s="124" t="str">
        <f>IF(ISNA(VLOOKUP(A50,Master!AR$60:BD$107,5,FALSE)),"",VLOOKUP(A50,Master!AR$60:BD$107,5,FALSE))</f>
        <v/>
      </c>
      <c r="G50" s="419" t="str">
        <f>IF(ISNA(VLOOKUP(A50,Master!AR$60:BD$107,6,FALSE)),"",VLOOKUP(A50,Master!AR$60:BD$107,6,FALSE))</f>
        <v/>
      </c>
      <c r="H50" s="419" t="str">
        <f t="shared" si="83"/>
        <v/>
      </c>
      <c r="I50" s="420" t="str">
        <f t="shared" ca="1" si="84"/>
        <v/>
      </c>
      <c r="J50" s="419" t="str">
        <f t="shared" si="85"/>
        <v/>
      </c>
      <c r="K50" s="419" t="str">
        <f t="shared" si="86"/>
        <v/>
      </c>
      <c r="L50" s="419" t="str">
        <f t="shared" si="87"/>
        <v/>
      </c>
      <c r="M50" s="419" t="str">
        <f>IF(ISNA(VLOOKUP(A50,Master!AR$60:BD$107,12,FALSE)),"",VLOOKUP(A50,Master!AR$60:BD$107,12,FALSE))</f>
        <v/>
      </c>
      <c r="N50" s="163"/>
      <c r="O50" s="163"/>
      <c r="P50" s="163"/>
      <c r="Q50" s="163">
        <f t="shared" si="55"/>
        <v>0</v>
      </c>
      <c r="R50" s="52">
        <f t="shared" si="103"/>
        <v>1</v>
      </c>
      <c r="S50" s="1" t="str">
        <f>IF(ISNA(VLOOKUP(A50,Master!AR$60:BD$107,10,FALSE)),"",VLOOKUP(A50,Master!AR$60:BD$107,10,FALSE))</f>
        <v/>
      </c>
      <c r="T50" s="77"/>
      <c r="U50" s="77"/>
      <c r="V50" s="78" t="str">
        <f>IF(ISNA(VLOOKUP(A50,Master!AR$60:BD$107,11,FALSE)),"",VLOOKUP(A50,Master!AR$60:BD$107,11,FALSE))</f>
        <v/>
      </c>
      <c r="W50" s="78" t="str">
        <f>IF(ISNA(VLOOKUP(A50,Master!AR$60:BD$107,9,FALSE)),"",VLOOKUP(A50,Master!AR$60:BD$107,9,FALSE))</f>
        <v/>
      </c>
      <c r="X50" s="79">
        <f t="shared" si="56"/>
        <v>0</v>
      </c>
      <c r="Y50" s="79">
        <f t="shared" si="57"/>
        <v>0</v>
      </c>
      <c r="Z50" s="79">
        <f t="shared" si="58"/>
        <v>0</v>
      </c>
      <c r="AA50" s="79">
        <f t="shared" si="59"/>
        <v>0</v>
      </c>
      <c r="AB50" s="79">
        <f t="shared" si="60"/>
        <v>0</v>
      </c>
      <c r="AC50" s="79">
        <f t="shared" si="61"/>
        <v>0</v>
      </c>
      <c r="AD50" s="80" t="str">
        <f t="shared" si="88"/>
        <v/>
      </c>
      <c r="AE50" s="80" t="str">
        <f t="shared" si="89"/>
        <v/>
      </c>
      <c r="AF50" s="80" t="str">
        <f t="shared" si="90"/>
        <v/>
      </c>
      <c r="AG50" s="80" t="str">
        <f t="shared" si="91"/>
        <v/>
      </c>
      <c r="AH50" s="80" t="str">
        <f t="shared" si="92"/>
        <v/>
      </c>
      <c r="AI50" s="78" t="str">
        <f t="shared" si="93"/>
        <v/>
      </c>
      <c r="AJ50" s="78">
        <v>0</v>
      </c>
      <c r="AK50" s="79">
        <v>0</v>
      </c>
      <c r="AL50" s="78" t="str">
        <f t="shared" si="94"/>
        <v/>
      </c>
      <c r="AM50" s="79">
        <f t="shared" si="62"/>
        <v>0</v>
      </c>
      <c r="AN50" s="78">
        <f t="shared" si="48"/>
        <v>0</v>
      </c>
      <c r="AO50" s="78">
        <f t="shared" si="63"/>
        <v>0</v>
      </c>
      <c r="AP50" s="78">
        <f t="shared" si="64"/>
        <v>0</v>
      </c>
      <c r="AQ50" s="78">
        <f t="shared" si="65"/>
        <v>0</v>
      </c>
      <c r="AR50" s="80">
        <f t="shared" si="66"/>
        <v>0</v>
      </c>
      <c r="AS50" s="80">
        <f t="shared" si="67"/>
        <v>0</v>
      </c>
      <c r="AT50" s="78"/>
      <c r="AU50" s="78"/>
      <c r="AV50" s="80">
        <f t="shared" si="95"/>
        <v>0</v>
      </c>
      <c r="AW50" s="80">
        <f t="shared" si="68"/>
        <v>0</v>
      </c>
      <c r="AX50" s="80">
        <f t="shared" si="69"/>
        <v>0</v>
      </c>
      <c r="AY50" s="80">
        <f t="shared" si="70"/>
        <v>0</v>
      </c>
      <c r="AZ50" s="80">
        <f t="shared" si="71"/>
        <v>0</v>
      </c>
      <c r="BA50" s="78">
        <f t="shared" si="96"/>
        <v>0</v>
      </c>
      <c r="BB50" s="78">
        <f t="shared" si="72"/>
        <v>0</v>
      </c>
      <c r="BC50" s="79">
        <v>0</v>
      </c>
      <c r="BD50" s="78">
        <f t="shared" si="97"/>
        <v>0</v>
      </c>
      <c r="BE50" s="79">
        <f t="shared" si="73"/>
        <v>0</v>
      </c>
      <c r="BF50" s="78">
        <f t="shared" si="49"/>
        <v>0</v>
      </c>
      <c r="BG50" s="78">
        <f t="shared" si="74"/>
        <v>0</v>
      </c>
      <c r="BH50" s="78">
        <f t="shared" si="75"/>
        <v>0</v>
      </c>
      <c r="BI50" s="78">
        <f t="shared" si="76"/>
        <v>0</v>
      </c>
      <c r="BJ50" s="80">
        <f t="shared" si="98"/>
        <v>0</v>
      </c>
      <c r="BK50" s="80">
        <f t="shared" si="99"/>
        <v>0</v>
      </c>
      <c r="BL50" s="78"/>
      <c r="BM50" s="78"/>
      <c r="BN50" s="80">
        <f t="shared" si="100"/>
        <v>0</v>
      </c>
      <c r="BO50" s="74">
        <f t="shared" si="77"/>
        <v>0</v>
      </c>
      <c r="BP50" s="74">
        <f t="shared" si="78"/>
        <v>1</v>
      </c>
      <c r="BQ50" s="74">
        <f t="shared" si="79"/>
        <v>0</v>
      </c>
      <c r="BR50" s="74">
        <f t="shared" si="80"/>
        <v>0</v>
      </c>
      <c r="BS50" s="74">
        <f t="shared" si="50"/>
        <v>0</v>
      </c>
      <c r="BT50" s="74">
        <f t="shared" si="101"/>
        <v>1</v>
      </c>
      <c r="BU50" s="60">
        <f t="shared" si="81"/>
        <v>0</v>
      </c>
      <c r="BV50" s="81">
        <f t="shared" si="102"/>
        <v>1</v>
      </c>
      <c r="BW50" s="60">
        <f t="shared" si="52"/>
        <v>0</v>
      </c>
      <c r="BX50" s="60">
        <f t="shared" si="53"/>
        <v>0</v>
      </c>
      <c r="BY50" s="49" t="str">
        <f t="shared" si="82"/>
        <v/>
      </c>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Y50" s="49"/>
    </row>
    <row r="51" spans="1:103" s="76" customFormat="1" ht="15.75">
      <c r="A51" s="125">
        <v>24</v>
      </c>
      <c r="B51" s="414" t="str">
        <f>IF(ISNA(VLOOKUP(A51,Master!AR$60:BD$107,3,FALSE)),"",VLOOKUP(A51,Master!AR$60:BD$107,3,FALSE))</f>
        <v/>
      </c>
      <c r="C51" s="415" t="str">
        <f>IF(ISNA(VLOOKUP(A51,Master!AR$60:BD$107,7,FALSE)),"",VLOOKUP(A51,Master!AR$60:BD$107,7,FALSE))</f>
        <v/>
      </c>
      <c r="D51" s="416" t="str">
        <f>IF(ISNA(VLOOKUP(A51,Master!AR$60:BD$107,8,FALSE)),"",VLOOKUP(A51,Master!AR$60:BD$107,8,FALSE))</f>
        <v/>
      </c>
      <c r="E51" s="421" t="str">
        <f>IF(ISNA(VLOOKUP(A51,Master!AR$60:BD$107,4,FALSE)),"",VLOOKUP(A51,Master!AR$60:BD$107,4,FALSE))</f>
        <v/>
      </c>
      <c r="F51" s="124" t="str">
        <f>IF(ISNA(VLOOKUP(A51,Master!AR$60:BD$107,5,FALSE)),"",VLOOKUP(A51,Master!AR$60:BD$107,5,FALSE))</f>
        <v/>
      </c>
      <c r="G51" s="419" t="str">
        <f>IF(ISNA(VLOOKUP(A51,Master!AR$60:BD$107,6,FALSE)),"",VLOOKUP(A51,Master!AR$60:BD$107,6,FALSE))</f>
        <v/>
      </c>
      <c r="H51" s="419" t="str">
        <f t="shared" si="83"/>
        <v/>
      </c>
      <c r="I51" s="420" t="str">
        <f t="shared" ca="1" si="84"/>
        <v/>
      </c>
      <c r="J51" s="419" t="str">
        <f t="shared" si="85"/>
        <v/>
      </c>
      <c r="K51" s="419" t="str">
        <f t="shared" si="86"/>
        <v/>
      </c>
      <c r="L51" s="419" t="str">
        <f t="shared" si="87"/>
        <v/>
      </c>
      <c r="M51" s="419" t="str">
        <f>IF(ISNA(VLOOKUP(A51,Master!AR$60:BD$107,12,FALSE)),"",VLOOKUP(A51,Master!AR$60:BD$107,12,FALSE))</f>
        <v/>
      </c>
      <c r="N51" s="163"/>
      <c r="O51" s="163"/>
      <c r="P51" s="163"/>
      <c r="Q51" s="163">
        <f t="shared" si="55"/>
        <v>0</v>
      </c>
      <c r="R51" s="52">
        <f t="shared" si="103"/>
        <v>1</v>
      </c>
      <c r="S51" s="1" t="str">
        <f>IF(ISNA(VLOOKUP(A51,Master!AR$60:BD$107,10,FALSE)),"",VLOOKUP(A51,Master!AR$60:BD$107,10,FALSE))</f>
        <v/>
      </c>
      <c r="T51" s="77"/>
      <c r="U51" s="77"/>
      <c r="V51" s="78" t="str">
        <f>IF(ISNA(VLOOKUP(A51,Master!AR$60:BD$107,11,FALSE)),"",VLOOKUP(A51,Master!AR$60:BD$107,11,FALSE))</f>
        <v/>
      </c>
      <c r="W51" s="78" t="str">
        <f>IF(ISNA(VLOOKUP(A51,Master!AR$60:BD$107,9,FALSE)),"",VLOOKUP(A51,Master!AR$60:BD$107,9,FALSE))</f>
        <v/>
      </c>
      <c r="X51" s="79">
        <f t="shared" si="56"/>
        <v>0</v>
      </c>
      <c r="Y51" s="79">
        <f t="shared" si="57"/>
        <v>0</v>
      </c>
      <c r="Z51" s="79">
        <f t="shared" si="58"/>
        <v>0</v>
      </c>
      <c r="AA51" s="79">
        <f t="shared" si="59"/>
        <v>0</v>
      </c>
      <c r="AB51" s="79">
        <f t="shared" si="60"/>
        <v>0</v>
      </c>
      <c r="AC51" s="79">
        <f t="shared" si="61"/>
        <v>0</v>
      </c>
      <c r="AD51" s="80" t="str">
        <f t="shared" si="88"/>
        <v/>
      </c>
      <c r="AE51" s="80" t="str">
        <f t="shared" si="89"/>
        <v/>
      </c>
      <c r="AF51" s="80" t="str">
        <f t="shared" si="90"/>
        <v/>
      </c>
      <c r="AG51" s="80" t="str">
        <f t="shared" si="91"/>
        <v/>
      </c>
      <c r="AH51" s="80" t="str">
        <f t="shared" si="92"/>
        <v/>
      </c>
      <c r="AI51" s="78" t="str">
        <f t="shared" si="93"/>
        <v/>
      </c>
      <c r="AJ51" s="78">
        <v>0</v>
      </c>
      <c r="AK51" s="79">
        <v>0</v>
      </c>
      <c r="AL51" s="78" t="str">
        <f t="shared" si="94"/>
        <v/>
      </c>
      <c r="AM51" s="79">
        <f t="shared" si="62"/>
        <v>0</v>
      </c>
      <c r="AN51" s="78">
        <f t="shared" si="48"/>
        <v>0</v>
      </c>
      <c r="AO51" s="78">
        <f t="shared" si="63"/>
        <v>0</v>
      </c>
      <c r="AP51" s="78">
        <f t="shared" si="64"/>
        <v>0</v>
      </c>
      <c r="AQ51" s="78">
        <f t="shared" si="65"/>
        <v>0</v>
      </c>
      <c r="AR51" s="80">
        <f t="shared" si="66"/>
        <v>0</v>
      </c>
      <c r="AS51" s="80">
        <f t="shared" si="67"/>
        <v>0</v>
      </c>
      <c r="AT51" s="78"/>
      <c r="AU51" s="78"/>
      <c r="AV51" s="80">
        <f t="shared" si="95"/>
        <v>0</v>
      </c>
      <c r="AW51" s="80">
        <f t="shared" si="68"/>
        <v>0</v>
      </c>
      <c r="AX51" s="80">
        <f t="shared" si="69"/>
        <v>0</v>
      </c>
      <c r="AY51" s="80">
        <f t="shared" si="70"/>
        <v>0</v>
      </c>
      <c r="AZ51" s="80">
        <f t="shared" si="71"/>
        <v>0</v>
      </c>
      <c r="BA51" s="78">
        <f t="shared" si="96"/>
        <v>0</v>
      </c>
      <c r="BB51" s="78">
        <f t="shared" si="72"/>
        <v>0</v>
      </c>
      <c r="BC51" s="79">
        <v>0</v>
      </c>
      <c r="BD51" s="78">
        <f t="shared" si="97"/>
        <v>0</v>
      </c>
      <c r="BE51" s="79">
        <f t="shared" si="73"/>
        <v>0</v>
      </c>
      <c r="BF51" s="78">
        <f t="shared" si="49"/>
        <v>0</v>
      </c>
      <c r="BG51" s="78">
        <f t="shared" si="74"/>
        <v>0</v>
      </c>
      <c r="BH51" s="78">
        <f t="shared" si="75"/>
        <v>0</v>
      </c>
      <c r="BI51" s="78">
        <f t="shared" si="76"/>
        <v>0</v>
      </c>
      <c r="BJ51" s="80">
        <f t="shared" si="98"/>
        <v>0</v>
      </c>
      <c r="BK51" s="80">
        <f t="shared" si="99"/>
        <v>0</v>
      </c>
      <c r="BL51" s="78"/>
      <c r="BM51" s="78"/>
      <c r="BN51" s="80">
        <f t="shared" si="100"/>
        <v>0</v>
      </c>
      <c r="BO51" s="74">
        <f t="shared" si="77"/>
        <v>0</v>
      </c>
      <c r="BP51" s="74">
        <f t="shared" si="78"/>
        <v>1</v>
      </c>
      <c r="BQ51" s="74">
        <f t="shared" si="79"/>
        <v>0</v>
      </c>
      <c r="BR51" s="74">
        <f t="shared" si="80"/>
        <v>0</v>
      </c>
      <c r="BS51" s="74">
        <f t="shared" si="50"/>
        <v>0</v>
      </c>
      <c r="BT51" s="74">
        <f t="shared" si="101"/>
        <v>1</v>
      </c>
      <c r="BU51" s="60">
        <f t="shared" si="81"/>
        <v>0</v>
      </c>
      <c r="BV51" s="81">
        <f t="shared" si="102"/>
        <v>1</v>
      </c>
      <c r="BW51" s="60">
        <f t="shared" si="52"/>
        <v>0</v>
      </c>
      <c r="BX51" s="60">
        <f t="shared" si="53"/>
        <v>0</v>
      </c>
      <c r="BY51" s="49" t="str">
        <f t="shared" si="82"/>
        <v/>
      </c>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Y51" s="49"/>
    </row>
    <row r="52" spans="1:103" s="76" customFormat="1" ht="15.75">
      <c r="A52" s="125">
        <v>25</v>
      </c>
      <c r="B52" s="414" t="str">
        <f>IF(ISNA(VLOOKUP(A52,Master!AR$60:BD$107,3,FALSE)),"",VLOOKUP(A52,Master!AR$60:BD$107,3,FALSE))</f>
        <v/>
      </c>
      <c r="C52" s="415" t="str">
        <f>IF(ISNA(VLOOKUP(A52,Master!AR$60:BD$107,7,FALSE)),"",VLOOKUP(A52,Master!AR$60:BD$107,7,FALSE))</f>
        <v/>
      </c>
      <c r="D52" s="416" t="str">
        <f>IF(ISNA(VLOOKUP(A52,Master!AR$60:BD$107,8,FALSE)),"",VLOOKUP(A52,Master!AR$60:BD$107,8,FALSE))</f>
        <v/>
      </c>
      <c r="E52" s="421" t="str">
        <f>IF(ISNA(VLOOKUP(A52,Master!AR$60:BD$107,4,FALSE)),"",VLOOKUP(A52,Master!AR$60:BD$107,4,FALSE))</f>
        <v/>
      </c>
      <c r="F52" s="124" t="str">
        <f>IF(ISNA(VLOOKUP(A52,Master!AR$60:BD$107,5,FALSE)),"",VLOOKUP(A52,Master!AR$60:BD$107,5,FALSE))</f>
        <v/>
      </c>
      <c r="G52" s="419" t="str">
        <f>IF(ISNA(VLOOKUP(A52,Master!AR$60:BD$107,6,FALSE)),"",VLOOKUP(A52,Master!AR$60:BD$107,6,FALSE))</f>
        <v/>
      </c>
      <c r="H52" s="419" t="str">
        <f t="shared" si="83"/>
        <v/>
      </c>
      <c r="I52" s="420" t="str">
        <f t="shared" ca="1" si="84"/>
        <v/>
      </c>
      <c r="J52" s="419" t="str">
        <f t="shared" si="85"/>
        <v/>
      </c>
      <c r="K52" s="419" t="str">
        <f t="shared" si="86"/>
        <v/>
      </c>
      <c r="L52" s="419" t="str">
        <f t="shared" si="87"/>
        <v/>
      </c>
      <c r="M52" s="419" t="str">
        <f>IF(ISNA(VLOOKUP(A52,Master!AR$60:BD$107,12,FALSE)),"",VLOOKUP(A52,Master!AR$60:BD$107,12,FALSE))</f>
        <v/>
      </c>
      <c r="N52" s="163"/>
      <c r="O52" s="163"/>
      <c r="P52" s="163"/>
      <c r="Q52" s="163">
        <f t="shared" si="55"/>
        <v>0</v>
      </c>
      <c r="R52" s="52">
        <f t="shared" si="103"/>
        <v>1</v>
      </c>
      <c r="S52" s="1" t="str">
        <f>IF(ISNA(VLOOKUP(A52,Master!AR$60:BD$107,10,FALSE)),"",VLOOKUP(A52,Master!AR$60:BD$107,10,FALSE))</f>
        <v/>
      </c>
      <c r="T52" s="77"/>
      <c r="U52" s="77"/>
      <c r="V52" s="78" t="str">
        <f>IF(ISNA(VLOOKUP(A52,Master!AR$60:BD$107,11,FALSE)),"",VLOOKUP(A52,Master!AR$60:BD$107,11,FALSE))</f>
        <v/>
      </c>
      <c r="W52" s="78" t="str">
        <f>IF(ISNA(VLOOKUP(A52,Master!AR$60:BD$107,9,FALSE)),"",VLOOKUP(A52,Master!AR$60:BD$107,9,FALSE))</f>
        <v/>
      </c>
      <c r="X52" s="79">
        <f t="shared" si="56"/>
        <v>0</v>
      </c>
      <c r="Y52" s="79">
        <f t="shared" si="57"/>
        <v>0</v>
      </c>
      <c r="Z52" s="79">
        <f t="shared" si="58"/>
        <v>0</v>
      </c>
      <c r="AA52" s="79">
        <f t="shared" si="59"/>
        <v>0</v>
      </c>
      <c r="AB52" s="79">
        <f t="shared" si="60"/>
        <v>0</v>
      </c>
      <c r="AC52" s="79">
        <f t="shared" si="61"/>
        <v>0</v>
      </c>
      <c r="AD52" s="80" t="str">
        <f t="shared" si="88"/>
        <v/>
      </c>
      <c r="AE52" s="80" t="str">
        <f t="shared" si="89"/>
        <v/>
      </c>
      <c r="AF52" s="80" t="str">
        <f t="shared" si="90"/>
        <v/>
      </c>
      <c r="AG52" s="80" t="str">
        <f t="shared" si="91"/>
        <v/>
      </c>
      <c r="AH52" s="80" t="str">
        <f t="shared" si="92"/>
        <v/>
      </c>
      <c r="AI52" s="78" t="str">
        <f t="shared" si="93"/>
        <v/>
      </c>
      <c r="AJ52" s="78">
        <v>0</v>
      </c>
      <c r="AK52" s="79">
        <v>0</v>
      </c>
      <c r="AL52" s="78" t="str">
        <f t="shared" si="94"/>
        <v/>
      </c>
      <c r="AM52" s="79">
        <f t="shared" si="62"/>
        <v>0</v>
      </c>
      <c r="AN52" s="78">
        <f t="shared" si="48"/>
        <v>0</v>
      </c>
      <c r="AO52" s="78">
        <f t="shared" si="63"/>
        <v>0</v>
      </c>
      <c r="AP52" s="78">
        <f t="shared" si="64"/>
        <v>0</v>
      </c>
      <c r="AQ52" s="78">
        <f t="shared" si="65"/>
        <v>0</v>
      </c>
      <c r="AR52" s="80">
        <f t="shared" si="66"/>
        <v>0</v>
      </c>
      <c r="AS52" s="80">
        <f t="shared" si="67"/>
        <v>0</v>
      </c>
      <c r="AT52" s="78"/>
      <c r="AU52" s="78"/>
      <c r="AV52" s="80">
        <f t="shared" si="95"/>
        <v>0</v>
      </c>
      <c r="AW52" s="80">
        <f t="shared" si="68"/>
        <v>0</v>
      </c>
      <c r="AX52" s="80">
        <f t="shared" si="69"/>
        <v>0</v>
      </c>
      <c r="AY52" s="80">
        <f t="shared" si="70"/>
        <v>0</v>
      </c>
      <c r="AZ52" s="80">
        <f t="shared" si="71"/>
        <v>0</v>
      </c>
      <c r="BA52" s="78">
        <f t="shared" si="96"/>
        <v>0</v>
      </c>
      <c r="BB52" s="78">
        <f t="shared" si="72"/>
        <v>0</v>
      </c>
      <c r="BC52" s="79">
        <v>0</v>
      </c>
      <c r="BD52" s="78">
        <f t="shared" si="97"/>
        <v>0</v>
      </c>
      <c r="BE52" s="79">
        <f t="shared" si="73"/>
        <v>0</v>
      </c>
      <c r="BF52" s="78">
        <f t="shared" si="49"/>
        <v>0</v>
      </c>
      <c r="BG52" s="78">
        <f t="shared" si="74"/>
        <v>0</v>
      </c>
      <c r="BH52" s="78">
        <f t="shared" si="75"/>
        <v>0</v>
      </c>
      <c r="BI52" s="78">
        <f t="shared" si="76"/>
        <v>0</v>
      </c>
      <c r="BJ52" s="80">
        <f t="shared" si="98"/>
        <v>0</v>
      </c>
      <c r="BK52" s="80">
        <f t="shared" si="99"/>
        <v>0</v>
      </c>
      <c r="BL52" s="78"/>
      <c r="BM52" s="78"/>
      <c r="BN52" s="80">
        <f t="shared" si="100"/>
        <v>0</v>
      </c>
      <c r="BO52" s="74">
        <f t="shared" si="77"/>
        <v>0</v>
      </c>
      <c r="BP52" s="74">
        <f t="shared" si="78"/>
        <v>1</v>
      </c>
      <c r="BQ52" s="74">
        <f t="shared" si="79"/>
        <v>0</v>
      </c>
      <c r="BR52" s="74">
        <f t="shared" si="80"/>
        <v>0</v>
      </c>
      <c r="BS52" s="74">
        <f t="shared" si="50"/>
        <v>0</v>
      </c>
      <c r="BT52" s="74">
        <f t="shared" si="101"/>
        <v>1</v>
      </c>
      <c r="BU52" s="60">
        <f t="shared" si="81"/>
        <v>0</v>
      </c>
      <c r="BV52" s="81">
        <f t="shared" si="102"/>
        <v>1</v>
      </c>
      <c r="BW52" s="60">
        <f t="shared" si="52"/>
        <v>0</v>
      </c>
      <c r="BX52" s="60">
        <f t="shared" si="53"/>
        <v>0</v>
      </c>
      <c r="BY52" s="49" t="str">
        <f t="shared" si="82"/>
        <v/>
      </c>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Y52" s="49"/>
    </row>
    <row r="53" spans="1:103" s="76" customFormat="1" ht="15.75">
      <c r="A53" s="125">
        <v>26</v>
      </c>
      <c r="B53" s="414" t="str">
        <f>IF(ISNA(VLOOKUP(A53,Master!AR$60:BD$107,3,FALSE)),"",VLOOKUP(A53,Master!AR$60:BD$107,3,FALSE))</f>
        <v/>
      </c>
      <c r="C53" s="415" t="str">
        <f>IF(ISNA(VLOOKUP(A53,Master!AR$60:BD$107,7,FALSE)),"",VLOOKUP(A53,Master!AR$60:BD$107,7,FALSE))</f>
        <v/>
      </c>
      <c r="D53" s="416" t="str">
        <f>IF(ISNA(VLOOKUP(A53,Master!AR$60:BD$107,8,FALSE)),"",VLOOKUP(A53,Master!AR$60:BD$107,8,FALSE))</f>
        <v/>
      </c>
      <c r="E53" s="421" t="str">
        <f>IF(ISNA(VLOOKUP(A53,Master!AR$60:BD$107,4,FALSE)),"",VLOOKUP(A53,Master!AR$60:BD$107,4,FALSE))</f>
        <v/>
      </c>
      <c r="F53" s="124" t="str">
        <f>IF(ISNA(VLOOKUP(A53,Master!AR$60:BD$107,5,FALSE)),"",VLOOKUP(A53,Master!AR$60:BD$107,5,FALSE))</f>
        <v/>
      </c>
      <c r="G53" s="419" t="str">
        <f>IF(ISNA(VLOOKUP(A53,Master!AR$60:BD$107,6,FALSE)),"",VLOOKUP(A53,Master!AR$60:BD$107,6,FALSE))</f>
        <v/>
      </c>
      <c r="H53" s="419" t="str">
        <f t="shared" si="83"/>
        <v/>
      </c>
      <c r="I53" s="420" t="str">
        <f t="shared" ca="1" si="84"/>
        <v/>
      </c>
      <c r="J53" s="419" t="str">
        <f t="shared" si="85"/>
        <v/>
      </c>
      <c r="K53" s="419" t="str">
        <f t="shared" si="86"/>
        <v/>
      </c>
      <c r="L53" s="419" t="str">
        <f t="shared" si="87"/>
        <v/>
      </c>
      <c r="M53" s="419" t="str">
        <f>IF(ISNA(VLOOKUP(A53,Master!AR$60:BD$107,12,FALSE)),"",VLOOKUP(A53,Master!AR$60:BD$107,12,FALSE))</f>
        <v/>
      </c>
      <c r="N53" s="163"/>
      <c r="O53" s="163"/>
      <c r="P53" s="163"/>
      <c r="Q53" s="163">
        <f t="shared" si="55"/>
        <v>0</v>
      </c>
      <c r="R53" s="52">
        <f t="shared" si="103"/>
        <v>1</v>
      </c>
      <c r="S53" s="1" t="str">
        <f>IF(ISNA(VLOOKUP(A53,Master!AR$60:BD$107,10,FALSE)),"",VLOOKUP(A53,Master!AR$60:BD$107,10,FALSE))</f>
        <v/>
      </c>
      <c r="T53" s="77"/>
      <c r="U53" s="77"/>
      <c r="V53" s="78" t="str">
        <f>IF(ISNA(VLOOKUP(A53,Master!AR$60:BD$107,11,FALSE)),"",VLOOKUP(A53,Master!AR$60:BD$107,11,FALSE))</f>
        <v/>
      </c>
      <c r="W53" s="78" t="str">
        <f>IF(ISNA(VLOOKUP(A53,Master!AR$60:BD$107,9,FALSE)),"",VLOOKUP(A53,Master!AR$60:BD$107,9,FALSE))</f>
        <v/>
      </c>
      <c r="X53" s="79">
        <f t="shared" si="56"/>
        <v>0</v>
      </c>
      <c r="Y53" s="79">
        <f t="shared" si="57"/>
        <v>0</v>
      </c>
      <c r="Z53" s="79">
        <f t="shared" si="58"/>
        <v>0</v>
      </c>
      <c r="AA53" s="79">
        <f t="shared" si="59"/>
        <v>0</v>
      </c>
      <c r="AB53" s="79">
        <f t="shared" si="60"/>
        <v>0</v>
      </c>
      <c r="AC53" s="79">
        <f t="shared" si="61"/>
        <v>0</v>
      </c>
      <c r="AD53" s="80" t="str">
        <f t="shared" si="88"/>
        <v/>
      </c>
      <c r="AE53" s="80" t="str">
        <f t="shared" si="89"/>
        <v/>
      </c>
      <c r="AF53" s="80" t="str">
        <f t="shared" si="90"/>
        <v/>
      </c>
      <c r="AG53" s="80" t="str">
        <f t="shared" si="91"/>
        <v/>
      </c>
      <c r="AH53" s="80" t="str">
        <f t="shared" si="92"/>
        <v/>
      </c>
      <c r="AI53" s="78" t="str">
        <f t="shared" si="93"/>
        <v/>
      </c>
      <c r="AJ53" s="78">
        <v>0</v>
      </c>
      <c r="AK53" s="79">
        <v>0</v>
      </c>
      <c r="AL53" s="78" t="str">
        <f t="shared" si="94"/>
        <v/>
      </c>
      <c r="AM53" s="79">
        <f t="shared" si="62"/>
        <v>0</v>
      </c>
      <c r="AN53" s="78">
        <f t="shared" si="48"/>
        <v>0</v>
      </c>
      <c r="AO53" s="78">
        <f t="shared" si="63"/>
        <v>0</v>
      </c>
      <c r="AP53" s="78">
        <f t="shared" si="64"/>
        <v>0</v>
      </c>
      <c r="AQ53" s="78">
        <f t="shared" si="65"/>
        <v>0</v>
      </c>
      <c r="AR53" s="80">
        <f t="shared" si="66"/>
        <v>0</v>
      </c>
      <c r="AS53" s="80">
        <f t="shared" si="67"/>
        <v>0</v>
      </c>
      <c r="AT53" s="78"/>
      <c r="AU53" s="78"/>
      <c r="AV53" s="80">
        <f t="shared" si="95"/>
        <v>0</v>
      </c>
      <c r="AW53" s="80">
        <f t="shared" si="68"/>
        <v>0</v>
      </c>
      <c r="AX53" s="80">
        <f t="shared" si="69"/>
        <v>0</v>
      </c>
      <c r="AY53" s="80">
        <f t="shared" si="70"/>
        <v>0</v>
      </c>
      <c r="AZ53" s="80">
        <f t="shared" si="71"/>
        <v>0</v>
      </c>
      <c r="BA53" s="78">
        <f t="shared" si="96"/>
        <v>0</v>
      </c>
      <c r="BB53" s="78">
        <f t="shared" si="72"/>
        <v>0</v>
      </c>
      <c r="BC53" s="79">
        <v>0</v>
      </c>
      <c r="BD53" s="78">
        <f t="shared" si="97"/>
        <v>0</v>
      </c>
      <c r="BE53" s="79">
        <f t="shared" si="73"/>
        <v>0</v>
      </c>
      <c r="BF53" s="78">
        <f t="shared" si="49"/>
        <v>0</v>
      </c>
      <c r="BG53" s="78">
        <f t="shared" si="74"/>
        <v>0</v>
      </c>
      <c r="BH53" s="78">
        <f t="shared" si="75"/>
        <v>0</v>
      </c>
      <c r="BI53" s="78">
        <f t="shared" si="76"/>
        <v>0</v>
      </c>
      <c r="BJ53" s="80">
        <f t="shared" si="98"/>
        <v>0</v>
      </c>
      <c r="BK53" s="80">
        <f t="shared" si="99"/>
        <v>0</v>
      </c>
      <c r="BL53" s="78"/>
      <c r="BM53" s="78"/>
      <c r="BN53" s="80">
        <f t="shared" si="100"/>
        <v>0</v>
      </c>
      <c r="BO53" s="74">
        <f t="shared" si="77"/>
        <v>0</v>
      </c>
      <c r="BP53" s="74">
        <f t="shared" si="78"/>
        <v>1</v>
      </c>
      <c r="BQ53" s="74">
        <f t="shared" si="79"/>
        <v>0</v>
      </c>
      <c r="BR53" s="74">
        <f t="shared" si="80"/>
        <v>0</v>
      </c>
      <c r="BS53" s="74">
        <f t="shared" si="50"/>
        <v>0</v>
      </c>
      <c r="BT53" s="74">
        <f t="shared" si="101"/>
        <v>1</v>
      </c>
      <c r="BU53" s="60">
        <f t="shared" si="81"/>
        <v>0</v>
      </c>
      <c r="BV53" s="81">
        <f t="shared" si="102"/>
        <v>1</v>
      </c>
      <c r="BW53" s="60">
        <f t="shared" si="52"/>
        <v>0</v>
      </c>
      <c r="BX53" s="60">
        <f t="shared" si="53"/>
        <v>0</v>
      </c>
      <c r="BY53" s="49" t="str">
        <f t="shared" si="82"/>
        <v/>
      </c>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Y53" s="49"/>
    </row>
    <row r="54" spans="1:103" s="76" customFormat="1" ht="15.75">
      <c r="A54" s="125">
        <v>27</v>
      </c>
      <c r="B54" s="414" t="str">
        <f>IF(ISNA(VLOOKUP(A54,Master!AR$60:BD$107,3,FALSE)),"",VLOOKUP(A54,Master!AR$60:BD$107,3,FALSE))</f>
        <v/>
      </c>
      <c r="C54" s="415" t="str">
        <f>IF(ISNA(VLOOKUP(A54,Master!AR$60:BD$107,7,FALSE)),"",VLOOKUP(A54,Master!AR$60:BD$107,7,FALSE))</f>
        <v/>
      </c>
      <c r="D54" s="416" t="str">
        <f>IF(ISNA(VLOOKUP(A54,Master!AR$60:BD$107,8,FALSE)),"",VLOOKUP(A54,Master!AR$60:BD$107,8,FALSE))</f>
        <v/>
      </c>
      <c r="E54" s="421" t="str">
        <f>IF(ISNA(VLOOKUP(A54,Master!AR$60:BD$107,4,FALSE)),"",VLOOKUP(A54,Master!AR$60:BD$107,4,FALSE))</f>
        <v/>
      </c>
      <c r="F54" s="124" t="str">
        <f>IF(ISNA(VLOOKUP(A54,Master!AR$60:BD$107,5,FALSE)),"",VLOOKUP(A54,Master!AR$60:BD$107,5,FALSE))</f>
        <v/>
      </c>
      <c r="G54" s="419" t="str">
        <f>IF(ISNA(VLOOKUP(A54,Master!AR$60:BD$107,6,FALSE)),"",VLOOKUP(A54,Master!AR$60:BD$107,6,FALSE))</f>
        <v/>
      </c>
      <c r="H54" s="419" t="str">
        <f t="shared" si="83"/>
        <v/>
      </c>
      <c r="I54" s="420" t="str">
        <f t="shared" ca="1" si="84"/>
        <v/>
      </c>
      <c r="J54" s="419" t="str">
        <f t="shared" si="85"/>
        <v/>
      </c>
      <c r="K54" s="419" t="str">
        <f t="shared" si="86"/>
        <v/>
      </c>
      <c r="L54" s="419" t="str">
        <f t="shared" si="87"/>
        <v/>
      </c>
      <c r="M54" s="419" t="str">
        <f>IF(ISNA(VLOOKUP(A54,Master!AR$60:BD$107,12,FALSE)),"",VLOOKUP(A54,Master!AR$60:BD$107,12,FALSE))</f>
        <v/>
      </c>
      <c r="N54" s="163"/>
      <c r="O54" s="163"/>
      <c r="P54" s="163"/>
      <c r="Q54" s="163">
        <f t="shared" si="55"/>
        <v>0</v>
      </c>
      <c r="R54" s="52">
        <f t="shared" si="103"/>
        <v>1</v>
      </c>
      <c r="S54" s="1" t="str">
        <f>IF(ISNA(VLOOKUP(A54,Master!AR$60:BD$107,10,FALSE)),"",VLOOKUP(A54,Master!AR$60:BD$107,10,FALSE))</f>
        <v/>
      </c>
      <c r="T54" s="77"/>
      <c r="U54" s="77"/>
      <c r="V54" s="78" t="str">
        <f>IF(ISNA(VLOOKUP(A54,Master!AR$60:BD$107,11,FALSE)),"",VLOOKUP(A54,Master!AR$60:BD$107,11,FALSE))</f>
        <v/>
      </c>
      <c r="W54" s="78" t="str">
        <f>IF(ISNA(VLOOKUP(A54,Master!AR$60:BD$107,9,FALSE)),"",VLOOKUP(A54,Master!AR$60:BD$107,9,FALSE))</f>
        <v/>
      </c>
      <c r="X54" s="79">
        <f t="shared" si="56"/>
        <v>0</v>
      </c>
      <c r="Y54" s="79">
        <f t="shared" si="57"/>
        <v>0</v>
      </c>
      <c r="Z54" s="79">
        <f t="shared" si="58"/>
        <v>0</v>
      </c>
      <c r="AA54" s="79">
        <f t="shared" si="59"/>
        <v>0</v>
      </c>
      <c r="AB54" s="79">
        <f t="shared" si="60"/>
        <v>0</v>
      </c>
      <c r="AC54" s="79">
        <f t="shared" si="61"/>
        <v>0</v>
      </c>
      <c r="AD54" s="80" t="str">
        <f t="shared" si="88"/>
        <v/>
      </c>
      <c r="AE54" s="80" t="str">
        <f t="shared" si="89"/>
        <v/>
      </c>
      <c r="AF54" s="80" t="str">
        <f t="shared" si="90"/>
        <v/>
      </c>
      <c r="AG54" s="80" t="str">
        <f t="shared" si="91"/>
        <v/>
      </c>
      <c r="AH54" s="80" t="str">
        <f t="shared" si="92"/>
        <v/>
      </c>
      <c r="AI54" s="78" t="str">
        <f t="shared" si="93"/>
        <v/>
      </c>
      <c r="AJ54" s="78">
        <v>0</v>
      </c>
      <c r="AK54" s="79">
        <v>0</v>
      </c>
      <c r="AL54" s="78" t="str">
        <f t="shared" si="94"/>
        <v/>
      </c>
      <c r="AM54" s="79">
        <f t="shared" si="62"/>
        <v>0</v>
      </c>
      <c r="AN54" s="78">
        <f t="shared" si="48"/>
        <v>0</v>
      </c>
      <c r="AO54" s="78">
        <f t="shared" si="63"/>
        <v>0</v>
      </c>
      <c r="AP54" s="78">
        <f t="shared" si="64"/>
        <v>0</v>
      </c>
      <c r="AQ54" s="78">
        <f t="shared" si="65"/>
        <v>0</v>
      </c>
      <c r="AR54" s="80">
        <f t="shared" si="66"/>
        <v>0</v>
      </c>
      <c r="AS54" s="80">
        <f t="shared" si="67"/>
        <v>0</v>
      </c>
      <c r="AT54" s="78"/>
      <c r="AU54" s="78"/>
      <c r="AV54" s="80">
        <f t="shared" si="95"/>
        <v>0</v>
      </c>
      <c r="AW54" s="80">
        <f t="shared" si="68"/>
        <v>0</v>
      </c>
      <c r="AX54" s="80">
        <f t="shared" si="69"/>
        <v>0</v>
      </c>
      <c r="AY54" s="80">
        <f t="shared" si="70"/>
        <v>0</v>
      </c>
      <c r="AZ54" s="80">
        <f t="shared" si="71"/>
        <v>0</v>
      </c>
      <c r="BA54" s="78">
        <f t="shared" si="96"/>
        <v>0</v>
      </c>
      <c r="BB54" s="78">
        <f t="shared" si="72"/>
        <v>0</v>
      </c>
      <c r="BC54" s="79">
        <v>0</v>
      </c>
      <c r="BD54" s="78">
        <f t="shared" si="97"/>
        <v>0</v>
      </c>
      <c r="BE54" s="79">
        <f t="shared" si="73"/>
        <v>0</v>
      </c>
      <c r="BF54" s="78">
        <f t="shared" si="49"/>
        <v>0</v>
      </c>
      <c r="BG54" s="78">
        <f t="shared" si="74"/>
        <v>0</v>
      </c>
      <c r="BH54" s="78">
        <f t="shared" si="75"/>
        <v>0</v>
      </c>
      <c r="BI54" s="78">
        <f t="shared" si="76"/>
        <v>0</v>
      </c>
      <c r="BJ54" s="80">
        <f t="shared" si="98"/>
        <v>0</v>
      </c>
      <c r="BK54" s="80">
        <f t="shared" si="99"/>
        <v>0</v>
      </c>
      <c r="BL54" s="78"/>
      <c r="BM54" s="78"/>
      <c r="BN54" s="80">
        <f t="shared" si="100"/>
        <v>0</v>
      </c>
      <c r="BO54" s="74">
        <f t="shared" si="77"/>
        <v>0</v>
      </c>
      <c r="BP54" s="74">
        <f t="shared" si="78"/>
        <v>1</v>
      </c>
      <c r="BQ54" s="74">
        <f t="shared" si="79"/>
        <v>0</v>
      </c>
      <c r="BR54" s="74">
        <f t="shared" si="80"/>
        <v>0</v>
      </c>
      <c r="BS54" s="74">
        <f t="shared" si="50"/>
        <v>0</v>
      </c>
      <c r="BT54" s="74">
        <f t="shared" si="101"/>
        <v>1</v>
      </c>
      <c r="BU54" s="60">
        <f t="shared" si="81"/>
        <v>0</v>
      </c>
      <c r="BV54" s="81">
        <f t="shared" si="102"/>
        <v>1</v>
      </c>
      <c r="BW54" s="60">
        <f t="shared" si="52"/>
        <v>0</v>
      </c>
      <c r="BX54" s="60">
        <f t="shared" si="53"/>
        <v>0</v>
      </c>
      <c r="BY54" s="49" t="str">
        <f t="shared" si="82"/>
        <v/>
      </c>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Y54" s="49"/>
    </row>
    <row r="55" spans="1:103" s="76" customFormat="1" ht="15.75">
      <c r="A55" s="125">
        <v>28</v>
      </c>
      <c r="B55" s="414" t="str">
        <f>IF(ISNA(VLOOKUP(A55,Master!AR$60:BD$107,3,FALSE)),"",VLOOKUP(A55,Master!AR$60:BD$107,3,FALSE))</f>
        <v/>
      </c>
      <c r="C55" s="415" t="str">
        <f>IF(ISNA(VLOOKUP(A55,Master!AR$60:BD$107,7,FALSE)),"",VLOOKUP(A55,Master!AR$60:BD$107,7,FALSE))</f>
        <v/>
      </c>
      <c r="D55" s="416" t="str">
        <f>IF(ISNA(VLOOKUP(A55,Master!AR$60:BD$107,8,FALSE)),"",VLOOKUP(A55,Master!AR$60:BD$107,8,FALSE))</f>
        <v/>
      </c>
      <c r="E55" s="421" t="str">
        <f>IF(ISNA(VLOOKUP(A55,Master!AR$60:BD$107,4,FALSE)),"",VLOOKUP(A55,Master!AR$60:BD$107,4,FALSE))</f>
        <v/>
      </c>
      <c r="F55" s="124" t="str">
        <f>IF(ISNA(VLOOKUP(A55,Master!AR$60:BD$107,5,FALSE)),"",VLOOKUP(A55,Master!AR$60:BD$107,5,FALSE))</f>
        <v/>
      </c>
      <c r="G55" s="419" t="str">
        <f>IF(ISNA(VLOOKUP(A55,Master!AR$60:BD$107,6,FALSE)),"",VLOOKUP(A55,Master!AR$60:BD$107,6,FALSE))</f>
        <v/>
      </c>
      <c r="H55" s="419" t="str">
        <f t="shared" si="83"/>
        <v/>
      </c>
      <c r="I55" s="420" t="str">
        <f t="shared" ca="1" si="84"/>
        <v/>
      </c>
      <c r="J55" s="419" t="str">
        <f t="shared" si="85"/>
        <v/>
      </c>
      <c r="K55" s="419" t="str">
        <f t="shared" si="86"/>
        <v/>
      </c>
      <c r="L55" s="419" t="str">
        <f t="shared" si="87"/>
        <v/>
      </c>
      <c r="M55" s="419" t="str">
        <f>IF(ISNA(VLOOKUP(A55,Master!AR$60:BD$107,12,FALSE)),"",VLOOKUP(A55,Master!AR$60:BD$107,12,FALSE))</f>
        <v/>
      </c>
      <c r="N55" s="163"/>
      <c r="O55" s="163"/>
      <c r="P55" s="163"/>
      <c r="Q55" s="163">
        <f t="shared" si="55"/>
        <v>0</v>
      </c>
      <c r="R55" s="52">
        <f t="shared" si="103"/>
        <v>1</v>
      </c>
      <c r="S55" s="1" t="str">
        <f>IF(ISNA(VLOOKUP(A55,Master!AR$60:BD$107,10,FALSE)),"",VLOOKUP(A55,Master!AR$60:BD$107,10,FALSE))</f>
        <v/>
      </c>
      <c r="T55" s="77"/>
      <c r="U55" s="77"/>
      <c r="V55" s="78" t="str">
        <f>IF(ISNA(VLOOKUP(A55,Master!AR$60:BD$107,11,FALSE)),"",VLOOKUP(A55,Master!AR$60:BD$107,11,FALSE))</f>
        <v/>
      </c>
      <c r="W55" s="78" t="str">
        <f>IF(ISNA(VLOOKUP(A55,Master!AR$60:BD$107,9,FALSE)),"",VLOOKUP(A55,Master!AR$60:BD$107,9,FALSE))</f>
        <v/>
      </c>
      <c r="X55" s="79">
        <f t="shared" si="56"/>
        <v>0</v>
      </c>
      <c r="Y55" s="79">
        <f t="shared" si="57"/>
        <v>0</v>
      </c>
      <c r="Z55" s="79">
        <f t="shared" si="58"/>
        <v>0</v>
      </c>
      <c r="AA55" s="79">
        <f t="shared" si="59"/>
        <v>0</v>
      </c>
      <c r="AB55" s="79">
        <f t="shared" si="60"/>
        <v>0</v>
      </c>
      <c r="AC55" s="79">
        <f t="shared" si="61"/>
        <v>0</v>
      </c>
      <c r="AD55" s="80" t="str">
        <f t="shared" si="88"/>
        <v/>
      </c>
      <c r="AE55" s="80" t="str">
        <f t="shared" si="89"/>
        <v/>
      </c>
      <c r="AF55" s="80" t="str">
        <f t="shared" si="90"/>
        <v/>
      </c>
      <c r="AG55" s="80" t="str">
        <f t="shared" si="91"/>
        <v/>
      </c>
      <c r="AH55" s="80" t="str">
        <f t="shared" si="92"/>
        <v/>
      </c>
      <c r="AI55" s="78" t="str">
        <f t="shared" si="93"/>
        <v/>
      </c>
      <c r="AJ55" s="78">
        <v>0</v>
      </c>
      <c r="AK55" s="79">
        <v>0</v>
      </c>
      <c r="AL55" s="78" t="str">
        <f t="shared" si="94"/>
        <v/>
      </c>
      <c r="AM55" s="79">
        <f t="shared" si="62"/>
        <v>0</v>
      </c>
      <c r="AN55" s="78">
        <f t="shared" si="48"/>
        <v>0</v>
      </c>
      <c r="AO55" s="78">
        <f t="shared" si="63"/>
        <v>0</v>
      </c>
      <c r="AP55" s="78">
        <f t="shared" si="64"/>
        <v>0</v>
      </c>
      <c r="AQ55" s="78">
        <f t="shared" si="65"/>
        <v>0</v>
      </c>
      <c r="AR55" s="80">
        <f t="shared" si="66"/>
        <v>0</v>
      </c>
      <c r="AS55" s="80">
        <f t="shared" si="67"/>
        <v>0</v>
      </c>
      <c r="AT55" s="78"/>
      <c r="AU55" s="78"/>
      <c r="AV55" s="80">
        <f t="shared" si="95"/>
        <v>0</v>
      </c>
      <c r="AW55" s="80">
        <f t="shared" si="68"/>
        <v>0</v>
      </c>
      <c r="AX55" s="80">
        <f t="shared" si="69"/>
        <v>0</v>
      </c>
      <c r="AY55" s="80">
        <f t="shared" si="70"/>
        <v>0</v>
      </c>
      <c r="AZ55" s="80">
        <f t="shared" si="71"/>
        <v>0</v>
      </c>
      <c r="BA55" s="78">
        <f t="shared" si="96"/>
        <v>0</v>
      </c>
      <c r="BB55" s="78">
        <f t="shared" si="72"/>
        <v>0</v>
      </c>
      <c r="BC55" s="79">
        <v>0</v>
      </c>
      <c r="BD55" s="78">
        <f t="shared" si="97"/>
        <v>0</v>
      </c>
      <c r="BE55" s="79">
        <f t="shared" si="73"/>
        <v>0</v>
      </c>
      <c r="BF55" s="78">
        <f t="shared" si="49"/>
        <v>0</v>
      </c>
      <c r="BG55" s="78">
        <f t="shared" si="74"/>
        <v>0</v>
      </c>
      <c r="BH55" s="78">
        <f t="shared" si="75"/>
        <v>0</v>
      </c>
      <c r="BI55" s="78">
        <f t="shared" si="76"/>
        <v>0</v>
      </c>
      <c r="BJ55" s="80">
        <f t="shared" si="98"/>
        <v>0</v>
      </c>
      <c r="BK55" s="80">
        <f t="shared" si="99"/>
        <v>0</v>
      </c>
      <c r="BL55" s="78"/>
      <c r="BM55" s="78"/>
      <c r="BN55" s="80">
        <f t="shared" si="100"/>
        <v>0</v>
      </c>
      <c r="BO55" s="74">
        <f t="shared" si="77"/>
        <v>0</v>
      </c>
      <c r="BP55" s="74">
        <f t="shared" si="78"/>
        <v>1</v>
      </c>
      <c r="BQ55" s="74">
        <f t="shared" si="79"/>
        <v>0</v>
      </c>
      <c r="BR55" s="74">
        <f t="shared" si="80"/>
        <v>0</v>
      </c>
      <c r="BS55" s="74">
        <f t="shared" si="50"/>
        <v>0</v>
      </c>
      <c r="BT55" s="74">
        <f t="shared" si="101"/>
        <v>1</v>
      </c>
      <c r="BU55" s="60">
        <f t="shared" si="81"/>
        <v>0</v>
      </c>
      <c r="BV55" s="81">
        <f t="shared" si="102"/>
        <v>1</v>
      </c>
      <c r="BW55" s="60">
        <f t="shared" si="52"/>
        <v>0</v>
      </c>
      <c r="BX55" s="60">
        <f t="shared" si="53"/>
        <v>0</v>
      </c>
      <c r="BY55" s="49" t="str">
        <f t="shared" si="82"/>
        <v/>
      </c>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Y55" s="49"/>
    </row>
    <row r="56" spans="1:103" s="76" customFormat="1" ht="15.75">
      <c r="A56" s="125">
        <v>29</v>
      </c>
      <c r="B56" s="414" t="str">
        <f>IF(ISNA(VLOOKUP(A56,Master!AR$60:BD$107,3,FALSE)),"",VLOOKUP(A56,Master!AR$60:BD$107,3,FALSE))</f>
        <v/>
      </c>
      <c r="C56" s="415" t="str">
        <f>IF(ISNA(VLOOKUP(A56,Master!AR$60:BD$107,7,FALSE)),"",VLOOKUP(A56,Master!AR$60:BD$107,7,FALSE))</f>
        <v/>
      </c>
      <c r="D56" s="416" t="str">
        <f>IF(ISNA(VLOOKUP(A56,Master!AR$60:BD$107,8,FALSE)),"",VLOOKUP(A56,Master!AR$60:BD$107,8,FALSE))</f>
        <v/>
      </c>
      <c r="E56" s="421" t="str">
        <f>IF(ISNA(VLOOKUP(A56,Master!AR$60:BD$107,4,FALSE)),"",VLOOKUP(A56,Master!AR$60:BD$107,4,FALSE))</f>
        <v/>
      </c>
      <c r="F56" s="124" t="str">
        <f>IF(ISNA(VLOOKUP(A56,Master!AR$60:BD$107,5,FALSE)),"",VLOOKUP(A56,Master!AR$60:BD$107,5,FALSE))</f>
        <v/>
      </c>
      <c r="G56" s="419" t="str">
        <f>IF(ISNA(VLOOKUP(A56,Master!AR$60:BD$107,6,FALSE)),"",VLOOKUP(A56,Master!AR$60:BD$107,6,FALSE))</f>
        <v/>
      </c>
      <c r="H56" s="419" t="str">
        <f t="shared" si="83"/>
        <v/>
      </c>
      <c r="I56" s="420" t="str">
        <f t="shared" ca="1" si="84"/>
        <v/>
      </c>
      <c r="J56" s="419" t="str">
        <f t="shared" si="85"/>
        <v/>
      </c>
      <c r="K56" s="419" t="str">
        <f t="shared" si="86"/>
        <v/>
      </c>
      <c r="L56" s="419" t="str">
        <f t="shared" si="87"/>
        <v/>
      </c>
      <c r="M56" s="419" t="str">
        <f>IF(ISNA(VLOOKUP(A56,Master!AR$60:BD$107,12,FALSE)),"",VLOOKUP(A56,Master!AR$60:BD$107,12,FALSE))</f>
        <v/>
      </c>
      <c r="N56" s="163"/>
      <c r="O56" s="163"/>
      <c r="P56" s="163"/>
      <c r="Q56" s="163">
        <f t="shared" si="55"/>
        <v>0</v>
      </c>
      <c r="R56" s="52">
        <f t="shared" si="103"/>
        <v>1</v>
      </c>
      <c r="S56" s="1" t="str">
        <f>IF(ISNA(VLOOKUP(A56,Master!AR$60:BD$107,10,FALSE)),"",VLOOKUP(A56,Master!AR$60:BD$107,10,FALSE))</f>
        <v/>
      </c>
      <c r="T56" s="77"/>
      <c r="U56" s="77"/>
      <c r="V56" s="78" t="str">
        <f>IF(ISNA(VLOOKUP(A56,Master!AR$60:BD$107,11,FALSE)),"",VLOOKUP(A56,Master!AR$60:BD$107,11,FALSE))</f>
        <v/>
      </c>
      <c r="W56" s="78" t="str">
        <f>IF(ISNA(VLOOKUP(A56,Master!AR$60:BD$107,9,FALSE)),"",VLOOKUP(A56,Master!AR$60:BD$107,9,FALSE))</f>
        <v/>
      </c>
      <c r="X56" s="79">
        <f t="shared" si="56"/>
        <v>0</v>
      </c>
      <c r="Y56" s="79">
        <f t="shared" si="57"/>
        <v>0</v>
      </c>
      <c r="Z56" s="79">
        <f t="shared" si="58"/>
        <v>0</v>
      </c>
      <c r="AA56" s="79">
        <f t="shared" si="59"/>
        <v>0</v>
      </c>
      <c r="AB56" s="79">
        <f t="shared" si="60"/>
        <v>0</v>
      </c>
      <c r="AC56" s="79">
        <f t="shared" si="61"/>
        <v>0</v>
      </c>
      <c r="AD56" s="80" t="str">
        <f t="shared" si="88"/>
        <v/>
      </c>
      <c r="AE56" s="80" t="str">
        <f t="shared" si="89"/>
        <v/>
      </c>
      <c r="AF56" s="80" t="str">
        <f t="shared" si="90"/>
        <v/>
      </c>
      <c r="AG56" s="80" t="str">
        <f t="shared" si="91"/>
        <v/>
      </c>
      <c r="AH56" s="80" t="str">
        <f t="shared" si="92"/>
        <v/>
      </c>
      <c r="AI56" s="78" t="str">
        <f t="shared" si="93"/>
        <v/>
      </c>
      <c r="AJ56" s="78">
        <v>0</v>
      </c>
      <c r="AK56" s="79">
        <v>0</v>
      </c>
      <c r="AL56" s="78" t="str">
        <f t="shared" si="94"/>
        <v/>
      </c>
      <c r="AM56" s="79">
        <f t="shared" si="62"/>
        <v>0</v>
      </c>
      <c r="AN56" s="78">
        <f t="shared" si="48"/>
        <v>0</v>
      </c>
      <c r="AO56" s="78">
        <f t="shared" si="63"/>
        <v>0</v>
      </c>
      <c r="AP56" s="78">
        <f t="shared" si="64"/>
        <v>0</v>
      </c>
      <c r="AQ56" s="78">
        <f t="shared" si="65"/>
        <v>0</v>
      </c>
      <c r="AR56" s="80">
        <f t="shared" si="66"/>
        <v>0</v>
      </c>
      <c r="AS56" s="80">
        <f t="shared" si="67"/>
        <v>0</v>
      </c>
      <c r="AT56" s="78"/>
      <c r="AU56" s="78"/>
      <c r="AV56" s="80">
        <f t="shared" si="95"/>
        <v>0</v>
      </c>
      <c r="AW56" s="80">
        <f t="shared" si="68"/>
        <v>0</v>
      </c>
      <c r="AX56" s="80">
        <f t="shared" si="69"/>
        <v>0</v>
      </c>
      <c r="AY56" s="80">
        <f t="shared" si="70"/>
        <v>0</v>
      </c>
      <c r="AZ56" s="80">
        <f t="shared" si="71"/>
        <v>0</v>
      </c>
      <c r="BA56" s="78">
        <f t="shared" si="96"/>
        <v>0</v>
      </c>
      <c r="BB56" s="78">
        <f t="shared" si="72"/>
        <v>0</v>
      </c>
      <c r="BC56" s="79">
        <v>0</v>
      </c>
      <c r="BD56" s="78">
        <f t="shared" si="97"/>
        <v>0</v>
      </c>
      <c r="BE56" s="79">
        <f t="shared" si="73"/>
        <v>0</v>
      </c>
      <c r="BF56" s="78">
        <f t="shared" si="49"/>
        <v>0</v>
      </c>
      <c r="BG56" s="78">
        <f t="shared" si="74"/>
        <v>0</v>
      </c>
      <c r="BH56" s="78">
        <f t="shared" si="75"/>
        <v>0</v>
      </c>
      <c r="BI56" s="78">
        <f t="shared" si="76"/>
        <v>0</v>
      </c>
      <c r="BJ56" s="80">
        <f t="shared" si="98"/>
        <v>0</v>
      </c>
      <c r="BK56" s="80">
        <f t="shared" si="99"/>
        <v>0</v>
      </c>
      <c r="BL56" s="78"/>
      <c r="BM56" s="78"/>
      <c r="BN56" s="80">
        <f t="shared" si="100"/>
        <v>0</v>
      </c>
      <c r="BO56" s="74">
        <f t="shared" si="77"/>
        <v>0</v>
      </c>
      <c r="BP56" s="74">
        <f t="shared" si="78"/>
        <v>1</v>
      </c>
      <c r="BQ56" s="74">
        <f t="shared" si="79"/>
        <v>0</v>
      </c>
      <c r="BR56" s="74">
        <f t="shared" si="80"/>
        <v>0</v>
      </c>
      <c r="BS56" s="74">
        <f t="shared" si="50"/>
        <v>0</v>
      </c>
      <c r="BT56" s="74">
        <f t="shared" si="101"/>
        <v>1</v>
      </c>
      <c r="BU56" s="60">
        <f t="shared" si="81"/>
        <v>0</v>
      </c>
      <c r="BV56" s="81">
        <f t="shared" si="102"/>
        <v>1</v>
      </c>
      <c r="BW56" s="60">
        <f t="shared" si="52"/>
        <v>0</v>
      </c>
      <c r="BX56" s="60">
        <f t="shared" si="53"/>
        <v>0</v>
      </c>
      <c r="BY56" s="49" t="str">
        <f t="shared" si="82"/>
        <v/>
      </c>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Y56" s="49"/>
    </row>
    <row r="57" spans="1:103" s="76" customFormat="1" ht="15.75">
      <c r="A57" s="125">
        <v>30</v>
      </c>
      <c r="B57" s="414" t="str">
        <f>IF(ISNA(VLOOKUP(A57,Master!AR$60:BD$107,3,FALSE)),"",VLOOKUP(A57,Master!AR$60:BD$107,3,FALSE))</f>
        <v/>
      </c>
      <c r="C57" s="415" t="str">
        <f>IF(ISNA(VLOOKUP(A57,Master!AR$60:BD$107,7,FALSE)),"",VLOOKUP(A57,Master!AR$60:BD$107,7,FALSE))</f>
        <v/>
      </c>
      <c r="D57" s="416" t="str">
        <f>IF(ISNA(VLOOKUP(A57,Master!AR$60:BD$107,8,FALSE)),"",VLOOKUP(A57,Master!AR$60:BD$107,8,FALSE))</f>
        <v/>
      </c>
      <c r="E57" s="421" t="str">
        <f>IF(ISNA(VLOOKUP(A57,Master!AR$60:BD$107,4,FALSE)),"",VLOOKUP(A57,Master!AR$60:BD$107,4,FALSE))</f>
        <v/>
      </c>
      <c r="F57" s="124" t="str">
        <f>IF(ISNA(VLOOKUP(A57,Master!AR$60:BD$107,5,FALSE)),"",VLOOKUP(A57,Master!AR$60:BD$107,5,FALSE))</f>
        <v/>
      </c>
      <c r="G57" s="419" t="str">
        <f>IF(ISNA(VLOOKUP(A57,Master!AR$60:BD$107,6,FALSE)),"",VLOOKUP(A57,Master!AR$60:BD$107,6,FALSE))</f>
        <v/>
      </c>
      <c r="H57" s="419" t="str">
        <f t="shared" si="83"/>
        <v/>
      </c>
      <c r="I57" s="420" t="str">
        <f t="shared" ca="1" si="84"/>
        <v/>
      </c>
      <c r="J57" s="419" t="str">
        <f t="shared" si="85"/>
        <v/>
      </c>
      <c r="K57" s="419" t="str">
        <f t="shared" si="86"/>
        <v/>
      </c>
      <c r="L57" s="419" t="str">
        <f t="shared" si="87"/>
        <v/>
      </c>
      <c r="M57" s="419" t="str">
        <f>IF(ISNA(VLOOKUP(A57,Master!AR$60:BD$107,12,FALSE)),"",VLOOKUP(A57,Master!AR$60:BD$107,12,FALSE))</f>
        <v/>
      </c>
      <c r="N57" s="163"/>
      <c r="O57" s="163"/>
      <c r="P57" s="163"/>
      <c r="Q57" s="163">
        <f t="shared" si="55"/>
        <v>0</v>
      </c>
      <c r="R57" s="52">
        <f t="shared" si="103"/>
        <v>1</v>
      </c>
      <c r="S57" s="1" t="str">
        <f>IF(ISNA(VLOOKUP(A57,Master!AR$60:BD$107,10,FALSE)),"",VLOOKUP(A57,Master!AR$60:BD$107,10,FALSE))</f>
        <v/>
      </c>
      <c r="T57" s="77"/>
      <c r="U57" s="77"/>
      <c r="V57" s="78" t="str">
        <f>IF(ISNA(VLOOKUP(A57,Master!AR$60:BD$107,11,FALSE)),"",VLOOKUP(A57,Master!AR$60:BD$107,11,FALSE))</f>
        <v/>
      </c>
      <c r="W57" s="78" t="str">
        <f>IF(ISNA(VLOOKUP(A57,Master!AR$60:BD$107,9,FALSE)),"",VLOOKUP(A57,Master!AR$60:BD$107,9,FALSE))</f>
        <v/>
      </c>
      <c r="X57" s="79">
        <f t="shared" si="56"/>
        <v>0</v>
      </c>
      <c r="Y57" s="79">
        <f t="shared" si="57"/>
        <v>0</v>
      </c>
      <c r="Z57" s="79">
        <f t="shared" si="58"/>
        <v>0</v>
      </c>
      <c r="AA57" s="79">
        <f t="shared" si="59"/>
        <v>0</v>
      </c>
      <c r="AB57" s="79">
        <f t="shared" si="60"/>
        <v>0</v>
      </c>
      <c r="AC57" s="79">
        <f t="shared" si="61"/>
        <v>0</v>
      </c>
      <c r="AD57" s="80" t="str">
        <f t="shared" si="88"/>
        <v/>
      </c>
      <c r="AE57" s="80" t="str">
        <f t="shared" si="89"/>
        <v/>
      </c>
      <c r="AF57" s="80" t="str">
        <f t="shared" si="90"/>
        <v/>
      </c>
      <c r="AG57" s="80" t="str">
        <f t="shared" si="91"/>
        <v/>
      </c>
      <c r="AH57" s="80" t="str">
        <f t="shared" si="92"/>
        <v/>
      </c>
      <c r="AI57" s="78" t="str">
        <f t="shared" si="93"/>
        <v/>
      </c>
      <c r="AJ57" s="78">
        <v>0</v>
      </c>
      <c r="AK57" s="79">
        <v>0</v>
      </c>
      <c r="AL57" s="78" t="str">
        <f t="shared" si="94"/>
        <v/>
      </c>
      <c r="AM57" s="79">
        <f t="shared" si="62"/>
        <v>0</v>
      </c>
      <c r="AN57" s="78">
        <f t="shared" si="48"/>
        <v>0</v>
      </c>
      <c r="AO57" s="78">
        <f t="shared" si="63"/>
        <v>0</v>
      </c>
      <c r="AP57" s="78">
        <f t="shared" si="64"/>
        <v>0</v>
      </c>
      <c r="AQ57" s="78">
        <f t="shared" si="65"/>
        <v>0</v>
      </c>
      <c r="AR57" s="80">
        <f t="shared" si="66"/>
        <v>0</v>
      </c>
      <c r="AS57" s="80">
        <f t="shared" si="67"/>
        <v>0</v>
      </c>
      <c r="AT57" s="78"/>
      <c r="AU57" s="78"/>
      <c r="AV57" s="80">
        <f t="shared" si="95"/>
        <v>0</v>
      </c>
      <c r="AW57" s="80">
        <f t="shared" si="68"/>
        <v>0</v>
      </c>
      <c r="AX57" s="80">
        <f t="shared" si="69"/>
        <v>0</v>
      </c>
      <c r="AY57" s="80">
        <f t="shared" si="70"/>
        <v>0</v>
      </c>
      <c r="AZ57" s="80">
        <f t="shared" si="71"/>
        <v>0</v>
      </c>
      <c r="BA57" s="78">
        <f t="shared" si="96"/>
        <v>0</v>
      </c>
      <c r="BB57" s="78">
        <f t="shared" si="72"/>
        <v>0</v>
      </c>
      <c r="BC57" s="79">
        <v>0</v>
      </c>
      <c r="BD57" s="78">
        <f t="shared" si="97"/>
        <v>0</v>
      </c>
      <c r="BE57" s="79">
        <f t="shared" si="73"/>
        <v>0</v>
      </c>
      <c r="BF57" s="78">
        <f t="shared" si="49"/>
        <v>0</v>
      </c>
      <c r="BG57" s="78">
        <f t="shared" si="74"/>
        <v>0</v>
      </c>
      <c r="BH57" s="78">
        <f t="shared" si="75"/>
        <v>0</v>
      </c>
      <c r="BI57" s="78">
        <f t="shared" si="76"/>
        <v>0</v>
      </c>
      <c r="BJ57" s="80">
        <f t="shared" si="98"/>
        <v>0</v>
      </c>
      <c r="BK57" s="80">
        <f t="shared" si="99"/>
        <v>0</v>
      </c>
      <c r="BL57" s="78"/>
      <c r="BM57" s="78"/>
      <c r="BN57" s="80">
        <f t="shared" si="100"/>
        <v>0</v>
      </c>
      <c r="BO57" s="74">
        <f t="shared" si="77"/>
        <v>0</v>
      </c>
      <c r="BP57" s="74">
        <f t="shared" si="78"/>
        <v>1</v>
      </c>
      <c r="BQ57" s="74">
        <f t="shared" si="79"/>
        <v>0</v>
      </c>
      <c r="BR57" s="74">
        <f t="shared" si="80"/>
        <v>0</v>
      </c>
      <c r="BS57" s="74">
        <f t="shared" si="50"/>
        <v>0</v>
      </c>
      <c r="BT57" s="74">
        <f t="shared" si="101"/>
        <v>1</v>
      </c>
      <c r="BU57" s="60">
        <f t="shared" si="81"/>
        <v>0</v>
      </c>
      <c r="BV57" s="81">
        <f t="shared" si="102"/>
        <v>1</v>
      </c>
      <c r="BW57" s="60">
        <f t="shared" si="52"/>
        <v>0</v>
      </c>
      <c r="BX57" s="60">
        <f t="shared" si="53"/>
        <v>0</v>
      </c>
      <c r="BY57" s="49" t="str">
        <f t="shared" si="82"/>
        <v/>
      </c>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Y57" s="49"/>
    </row>
    <row r="58" spans="1:103" s="76" customFormat="1" ht="15.75">
      <c r="A58" s="125">
        <v>31</v>
      </c>
      <c r="B58" s="414" t="str">
        <f>IF(ISNA(VLOOKUP(A58,Master!AR$60:BD$107,3,FALSE)),"",VLOOKUP(A58,Master!AR$60:BD$107,3,FALSE))</f>
        <v/>
      </c>
      <c r="C58" s="415" t="str">
        <f>IF(ISNA(VLOOKUP(A58,Master!AR$60:BD$107,7,FALSE)),"",VLOOKUP(A58,Master!AR$60:BD$107,7,FALSE))</f>
        <v/>
      </c>
      <c r="D58" s="416" t="str">
        <f>IF(ISNA(VLOOKUP(A58,Master!AR$60:BD$107,8,FALSE)),"",VLOOKUP(A58,Master!AR$60:BD$107,8,FALSE))</f>
        <v/>
      </c>
      <c r="E58" s="421" t="str">
        <f>IF(ISNA(VLOOKUP(A58,Master!AR$60:BD$107,4,FALSE)),"",VLOOKUP(A58,Master!AR$60:BD$107,4,FALSE))</f>
        <v/>
      </c>
      <c r="F58" s="124" t="str">
        <f>IF(ISNA(VLOOKUP(A58,Master!AR$60:BD$107,5,FALSE)),"",VLOOKUP(A58,Master!AR$60:BD$107,5,FALSE))</f>
        <v/>
      </c>
      <c r="G58" s="419" t="str">
        <f>IF(ISNA(VLOOKUP(A58,Master!AR$60:BD$107,6,FALSE)),"",VLOOKUP(A58,Master!AR$60:BD$107,6,FALSE))</f>
        <v/>
      </c>
      <c r="H58" s="419" t="str">
        <f t="shared" si="83"/>
        <v/>
      </c>
      <c r="I58" s="420" t="str">
        <f t="shared" ca="1" si="84"/>
        <v/>
      </c>
      <c r="J58" s="419" t="str">
        <f t="shared" si="85"/>
        <v/>
      </c>
      <c r="K58" s="419" t="str">
        <f t="shared" si="86"/>
        <v/>
      </c>
      <c r="L58" s="419" t="str">
        <f t="shared" si="87"/>
        <v/>
      </c>
      <c r="M58" s="419" t="str">
        <f>IF(ISNA(VLOOKUP(A58,Master!AR$60:BD$107,12,FALSE)),"",VLOOKUP(A58,Master!AR$60:BD$107,12,FALSE))</f>
        <v/>
      </c>
      <c r="N58" s="163"/>
      <c r="O58" s="163"/>
      <c r="P58" s="163"/>
      <c r="Q58" s="163">
        <f t="shared" si="55"/>
        <v>0</v>
      </c>
      <c r="R58" s="52">
        <f t="shared" si="103"/>
        <v>1</v>
      </c>
      <c r="S58" s="1" t="str">
        <f>IF(ISNA(VLOOKUP(A58,Master!AR$60:BD$107,10,FALSE)),"",VLOOKUP(A58,Master!AR$60:BD$107,10,FALSE))</f>
        <v/>
      </c>
      <c r="T58" s="77"/>
      <c r="U58" s="77"/>
      <c r="V58" s="78" t="str">
        <f>IF(ISNA(VLOOKUP(A58,Master!AR$60:BD$107,11,FALSE)),"",VLOOKUP(A58,Master!AR$60:BD$107,11,FALSE))</f>
        <v/>
      </c>
      <c r="W58" s="78" t="str">
        <f>IF(ISNA(VLOOKUP(A58,Master!AR$60:BD$107,9,FALSE)),"",VLOOKUP(A58,Master!AR$60:BD$107,9,FALSE))</f>
        <v/>
      </c>
      <c r="X58" s="79">
        <f t="shared" si="56"/>
        <v>0</v>
      </c>
      <c r="Y58" s="79">
        <f t="shared" si="57"/>
        <v>0</v>
      </c>
      <c r="Z58" s="79">
        <f t="shared" si="58"/>
        <v>0</v>
      </c>
      <c r="AA58" s="79">
        <f t="shared" si="59"/>
        <v>0</v>
      </c>
      <c r="AB58" s="79">
        <f t="shared" si="60"/>
        <v>0</v>
      </c>
      <c r="AC58" s="79">
        <f t="shared" si="61"/>
        <v>0</v>
      </c>
      <c r="AD58" s="80" t="str">
        <f t="shared" si="88"/>
        <v/>
      </c>
      <c r="AE58" s="80" t="str">
        <f t="shared" si="89"/>
        <v/>
      </c>
      <c r="AF58" s="80" t="str">
        <f t="shared" si="90"/>
        <v/>
      </c>
      <c r="AG58" s="80" t="str">
        <f t="shared" si="91"/>
        <v/>
      </c>
      <c r="AH58" s="80" t="str">
        <f t="shared" si="92"/>
        <v/>
      </c>
      <c r="AI58" s="78" t="str">
        <f t="shared" si="93"/>
        <v/>
      </c>
      <c r="AJ58" s="78">
        <v>0</v>
      </c>
      <c r="AK58" s="79">
        <v>0</v>
      </c>
      <c r="AL58" s="78" t="str">
        <f t="shared" si="94"/>
        <v/>
      </c>
      <c r="AM58" s="79">
        <f t="shared" si="62"/>
        <v>0</v>
      </c>
      <c r="AN58" s="78">
        <f t="shared" si="48"/>
        <v>0</v>
      </c>
      <c r="AO58" s="78">
        <f t="shared" si="63"/>
        <v>0</v>
      </c>
      <c r="AP58" s="78">
        <f t="shared" si="64"/>
        <v>0</v>
      </c>
      <c r="AQ58" s="78">
        <f t="shared" si="65"/>
        <v>0</v>
      </c>
      <c r="AR58" s="80">
        <f t="shared" si="66"/>
        <v>0</v>
      </c>
      <c r="AS58" s="80">
        <f t="shared" si="67"/>
        <v>0</v>
      </c>
      <c r="AT58" s="78"/>
      <c r="AU58" s="78"/>
      <c r="AV58" s="80">
        <f t="shared" si="95"/>
        <v>0</v>
      </c>
      <c r="AW58" s="80">
        <f t="shared" si="68"/>
        <v>0</v>
      </c>
      <c r="AX58" s="80">
        <f t="shared" si="69"/>
        <v>0</v>
      </c>
      <c r="AY58" s="80">
        <f t="shared" si="70"/>
        <v>0</v>
      </c>
      <c r="AZ58" s="80">
        <f t="shared" si="71"/>
        <v>0</v>
      </c>
      <c r="BA58" s="78">
        <f t="shared" si="96"/>
        <v>0</v>
      </c>
      <c r="BB58" s="78">
        <f t="shared" si="72"/>
        <v>0</v>
      </c>
      <c r="BC58" s="79">
        <v>0</v>
      </c>
      <c r="BD58" s="78">
        <f t="shared" si="97"/>
        <v>0</v>
      </c>
      <c r="BE58" s="79">
        <f t="shared" si="73"/>
        <v>0</v>
      </c>
      <c r="BF58" s="78">
        <f t="shared" si="49"/>
        <v>0</v>
      </c>
      <c r="BG58" s="78">
        <f t="shared" si="74"/>
        <v>0</v>
      </c>
      <c r="BH58" s="78">
        <f t="shared" si="75"/>
        <v>0</v>
      </c>
      <c r="BI58" s="78">
        <f t="shared" si="76"/>
        <v>0</v>
      </c>
      <c r="BJ58" s="80">
        <f t="shared" si="98"/>
        <v>0</v>
      </c>
      <c r="BK58" s="80">
        <f t="shared" si="99"/>
        <v>0</v>
      </c>
      <c r="BL58" s="78"/>
      <c r="BM58" s="78"/>
      <c r="BN58" s="80">
        <f t="shared" si="100"/>
        <v>0</v>
      </c>
      <c r="BO58" s="74">
        <f t="shared" si="77"/>
        <v>0</v>
      </c>
      <c r="BP58" s="74">
        <f t="shared" si="78"/>
        <v>1</v>
      </c>
      <c r="BQ58" s="74">
        <f t="shared" si="79"/>
        <v>0</v>
      </c>
      <c r="BR58" s="74">
        <f t="shared" si="80"/>
        <v>0</v>
      </c>
      <c r="BS58" s="74">
        <f t="shared" si="50"/>
        <v>0</v>
      </c>
      <c r="BT58" s="74">
        <f t="shared" si="101"/>
        <v>1</v>
      </c>
      <c r="BU58" s="60">
        <f t="shared" si="81"/>
        <v>0</v>
      </c>
      <c r="BV58" s="81">
        <f t="shared" si="102"/>
        <v>1</v>
      </c>
      <c r="BW58" s="60">
        <f t="shared" si="52"/>
        <v>0</v>
      </c>
      <c r="BX58" s="60">
        <f t="shared" si="53"/>
        <v>0</v>
      </c>
      <c r="BY58" s="49" t="str">
        <f t="shared" si="82"/>
        <v/>
      </c>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Y58" s="49"/>
    </row>
    <row r="59" spans="1:103" s="76" customFormat="1" ht="15.75">
      <c r="A59" s="125">
        <v>32</v>
      </c>
      <c r="B59" s="414" t="str">
        <f>IF(ISNA(VLOOKUP(A59,Master!AR$60:BD$107,3,FALSE)),"",VLOOKUP(A59,Master!AR$60:BD$107,3,FALSE))</f>
        <v/>
      </c>
      <c r="C59" s="415" t="str">
        <f>IF(ISNA(VLOOKUP(A59,Master!AR$60:BD$107,7,FALSE)),"",VLOOKUP(A59,Master!AR$60:BD$107,7,FALSE))</f>
        <v/>
      </c>
      <c r="D59" s="416" t="str">
        <f>IF(ISNA(VLOOKUP(A59,Master!AR$60:BD$107,8,FALSE)),"",VLOOKUP(A59,Master!AR$60:BD$107,8,FALSE))</f>
        <v/>
      </c>
      <c r="E59" s="421" t="str">
        <f>IF(ISNA(VLOOKUP(A59,Master!AR$60:BD$107,4,FALSE)),"",VLOOKUP(A59,Master!AR$60:BD$107,4,FALSE))</f>
        <v/>
      </c>
      <c r="F59" s="124" t="str">
        <f>IF(ISNA(VLOOKUP(A59,Master!AR$60:BD$107,5,FALSE)),"",VLOOKUP(A59,Master!AR$60:BD$107,5,FALSE))</f>
        <v/>
      </c>
      <c r="G59" s="419" t="str">
        <f>IF(ISNA(VLOOKUP(A59,Master!AR$60:BD$107,6,FALSE)),"",VLOOKUP(A59,Master!AR$60:BD$107,6,FALSE))</f>
        <v/>
      </c>
      <c r="H59" s="419" t="str">
        <f t="shared" si="83"/>
        <v/>
      </c>
      <c r="I59" s="420" t="str">
        <f t="shared" ca="1" si="84"/>
        <v/>
      </c>
      <c r="J59" s="419" t="str">
        <f t="shared" si="85"/>
        <v/>
      </c>
      <c r="K59" s="419" t="str">
        <f t="shared" si="86"/>
        <v/>
      </c>
      <c r="L59" s="419" t="str">
        <f t="shared" si="87"/>
        <v/>
      </c>
      <c r="M59" s="419" t="str">
        <f>IF(ISNA(VLOOKUP(A59,Master!AR$60:BD$107,12,FALSE)),"",VLOOKUP(A59,Master!AR$60:BD$107,12,FALSE))</f>
        <v/>
      </c>
      <c r="N59" s="163"/>
      <c r="O59" s="163"/>
      <c r="P59" s="163"/>
      <c r="Q59" s="163">
        <f t="shared" si="55"/>
        <v>0</v>
      </c>
      <c r="R59" s="52">
        <f t="shared" si="103"/>
        <v>1</v>
      </c>
      <c r="S59" s="1" t="str">
        <f>IF(ISNA(VLOOKUP(A59,Master!AR$60:BD$107,10,FALSE)),"",VLOOKUP(A59,Master!AR$60:BD$107,10,FALSE))</f>
        <v/>
      </c>
      <c r="T59" s="77"/>
      <c r="U59" s="77"/>
      <c r="V59" s="78" t="str">
        <f>IF(ISNA(VLOOKUP(A59,Master!AR$60:BD$107,11,FALSE)),"",VLOOKUP(A59,Master!AR$60:BD$107,11,FALSE))</f>
        <v/>
      </c>
      <c r="W59" s="78" t="str">
        <f>IF(ISNA(VLOOKUP(A59,Master!AR$60:BD$107,9,FALSE)),"",VLOOKUP(A59,Master!AR$60:BD$107,9,FALSE))</f>
        <v/>
      </c>
      <c r="X59" s="79">
        <f t="shared" si="56"/>
        <v>0</v>
      </c>
      <c r="Y59" s="79">
        <f t="shared" si="57"/>
        <v>0</v>
      </c>
      <c r="Z59" s="79">
        <f t="shared" si="58"/>
        <v>0</v>
      </c>
      <c r="AA59" s="79">
        <f t="shared" si="59"/>
        <v>0</v>
      </c>
      <c r="AB59" s="79">
        <f t="shared" si="60"/>
        <v>0</v>
      </c>
      <c r="AC59" s="79">
        <f t="shared" si="61"/>
        <v>0</v>
      </c>
      <c r="AD59" s="80" t="str">
        <f t="shared" si="88"/>
        <v/>
      </c>
      <c r="AE59" s="80" t="str">
        <f t="shared" si="89"/>
        <v/>
      </c>
      <c r="AF59" s="80" t="str">
        <f t="shared" si="90"/>
        <v/>
      </c>
      <c r="AG59" s="80" t="str">
        <f t="shared" si="91"/>
        <v/>
      </c>
      <c r="AH59" s="80" t="str">
        <f t="shared" si="92"/>
        <v/>
      </c>
      <c r="AI59" s="78" t="str">
        <f t="shared" si="93"/>
        <v/>
      </c>
      <c r="AJ59" s="78">
        <v>0</v>
      </c>
      <c r="AK59" s="79">
        <v>0</v>
      </c>
      <c r="AL59" s="78" t="str">
        <f t="shared" si="94"/>
        <v/>
      </c>
      <c r="AM59" s="79">
        <f t="shared" si="62"/>
        <v>0</v>
      </c>
      <c r="AN59" s="78">
        <f t="shared" si="48"/>
        <v>0</v>
      </c>
      <c r="AO59" s="78">
        <f t="shared" si="63"/>
        <v>0</v>
      </c>
      <c r="AP59" s="78">
        <f t="shared" si="64"/>
        <v>0</v>
      </c>
      <c r="AQ59" s="78">
        <f t="shared" si="65"/>
        <v>0</v>
      </c>
      <c r="AR59" s="80">
        <f t="shared" si="66"/>
        <v>0</v>
      </c>
      <c r="AS59" s="80">
        <f t="shared" si="67"/>
        <v>0</v>
      </c>
      <c r="AT59" s="78"/>
      <c r="AU59" s="78"/>
      <c r="AV59" s="80">
        <f t="shared" si="95"/>
        <v>0</v>
      </c>
      <c r="AW59" s="80">
        <f t="shared" si="68"/>
        <v>0</v>
      </c>
      <c r="AX59" s="80">
        <f t="shared" si="69"/>
        <v>0</v>
      </c>
      <c r="AY59" s="80">
        <f t="shared" si="70"/>
        <v>0</v>
      </c>
      <c r="AZ59" s="80">
        <f t="shared" si="71"/>
        <v>0</v>
      </c>
      <c r="BA59" s="78">
        <f t="shared" si="96"/>
        <v>0</v>
      </c>
      <c r="BB59" s="78">
        <f t="shared" si="72"/>
        <v>0</v>
      </c>
      <c r="BC59" s="79">
        <v>0</v>
      </c>
      <c r="BD59" s="78">
        <f t="shared" si="97"/>
        <v>0</v>
      </c>
      <c r="BE59" s="79">
        <f t="shared" si="73"/>
        <v>0</v>
      </c>
      <c r="BF59" s="78">
        <f t="shared" si="49"/>
        <v>0</v>
      </c>
      <c r="BG59" s="78">
        <f t="shared" si="74"/>
        <v>0</v>
      </c>
      <c r="BH59" s="78">
        <f t="shared" si="75"/>
        <v>0</v>
      </c>
      <c r="BI59" s="78">
        <f t="shared" si="76"/>
        <v>0</v>
      </c>
      <c r="BJ59" s="80">
        <f t="shared" si="98"/>
        <v>0</v>
      </c>
      <c r="BK59" s="80">
        <f t="shared" si="99"/>
        <v>0</v>
      </c>
      <c r="BL59" s="78"/>
      <c r="BM59" s="78"/>
      <c r="BN59" s="80">
        <f t="shared" si="100"/>
        <v>0</v>
      </c>
      <c r="BO59" s="74">
        <f t="shared" si="77"/>
        <v>0</v>
      </c>
      <c r="BP59" s="74">
        <f t="shared" si="78"/>
        <v>1</v>
      </c>
      <c r="BQ59" s="74">
        <f t="shared" si="79"/>
        <v>0</v>
      </c>
      <c r="BR59" s="74">
        <f t="shared" si="80"/>
        <v>0</v>
      </c>
      <c r="BS59" s="74">
        <f t="shared" si="50"/>
        <v>0</v>
      </c>
      <c r="BT59" s="74">
        <f t="shared" si="101"/>
        <v>1</v>
      </c>
      <c r="BU59" s="60">
        <f t="shared" si="81"/>
        <v>0</v>
      </c>
      <c r="BV59" s="81">
        <f t="shared" si="102"/>
        <v>1</v>
      </c>
      <c r="BW59" s="60">
        <f t="shared" si="52"/>
        <v>0</v>
      </c>
      <c r="BX59" s="60">
        <f t="shared" si="53"/>
        <v>0</v>
      </c>
      <c r="BY59" s="49" t="str">
        <f t="shared" si="82"/>
        <v/>
      </c>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Y59" s="49"/>
    </row>
    <row r="60" spans="1:103" s="76" customFormat="1" ht="15.75">
      <c r="A60" s="125">
        <v>33</v>
      </c>
      <c r="B60" s="414" t="str">
        <f>IF(ISNA(VLOOKUP(A60,Master!AR$60:BD$107,3,FALSE)),"",VLOOKUP(A60,Master!AR$60:BD$107,3,FALSE))</f>
        <v/>
      </c>
      <c r="C60" s="415" t="str">
        <f>IF(ISNA(VLOOKUP(A60,Master!AR$60:BD$107,7,FALSE)),"",VLOOKUP(A60,Master!AR$60:BD$107,7,FALSE))</f>
        <v/>
      </c>
      <c r="D60" s="416" t="str">
        <f>IF(ISNA(VLOOKUP(A60,Master!AR$60:BD$107,8,FALSE)),"",VLOOKUP(A60,Master!AR$60:BD$107,8,FALSE))</f>
        <v/>
      </c>
      <c r="E60" s="421" t="str">
        <f>IF(ISNA(VLOOKUP(A60,Master!AR$60:BD$107,4,FALSE)),"",VLOOKUP(A60,Master!AR$60:BD$107,4,FALSE))</f>
        <v/>
      </c>
      <c r="F60" s="124" t="str">
        <f>IF(ISNA(VLOOKUP(A60,Master!AR$60:BD$107,5,FALSE)),"",VLOOKUP(A60,Master!AR$60:BD$107,5,FALSE))</f>
        <v/>
      </c>
      <c r="G60" s="419" t="str">
        <f>IF(ISNA(VLOOKUP(A60,Master!AR$60:BD$107,6,FALSE)),"",VLOOKUP(A60,Master!AR$60:BD$107,6,FALSE))</f>
        <v/>
      </c>
      <c r="H60" s="419" t="str">
        <f t="shared" si="83"/>
        <v/>
      </c>
      <c r="I60" s="420" t="str">
        <f t="shared" ca="1" si="84"/>
        <v/>
      </c>
      <c r="J60" s="419" t="str">
        <f t="shared" si="85"/>
        <v/>
      </c>
      <c r="K60" s="419" t="str">
        <f t="shared" si="86"/>
        <v/>
      </c>
      <c r="L60" s="419" t="str">
        <f t="shared" si="87"/>
        <v/>
      </c>
      <c r="M60" s="419" t="str">
        <f>IF(ISNA(VLOOKUP(A60,Master!AR$60:BD$107,12,FALSE)),"",VLOOKUP(A60,Master!AR$60:BD$107,12,FALSE))</f>
        <v/>
      </c>
      <c r="N60" s="163"/>
      <c r="O60" s="163"/>
      <c r="P60" s="163"/>
      <c r="Q60" s="163">
        <f t="shared" si="55"/>
        <v>0</v>
      </c>
      <c r="R60" s="52">
        <f t="shared" si="103"/>
        <v>1</v>
      </c>
      <c r="S60" s="1" t="str">
        <f>IF(ISNA(VLOOKUP(A60,Master!AR$60:BD$107,10,FALSE)),"",VLOOKUP(A60,Master!AR$60:BD$107,10,FALSE))</f>
        <v/>
      </c>
      <c r="T60" s="77"/>
      <c r="U60" s="77"/>
      <c r="V60" s="78" t="str">
        <f>IF(ISNA(VLOOKUP(A60,Master!AR$60:BD$107,11,FALSE)),"",VLOOKUP(A60,Master!AR$60:BD$107,11,FALSE))</f>
        <v/>
      </c>
      <c r="W60" s="78" t="str">
        <f>IF(ISNA(VLOOKUP(A60,Master!AR$60:BD$107,9,FALSE)),"",VLOOKUP(A60,Master!AR$60:BD$107,9,FALSE))</f>
        <v/>
      </c>
      <c r="X60" s="79">
        <f t="shared" si="56"/>
        <v>0</v>
      </c>
      <c r="Y60" s="79">
        <f t="shared" si="57"/>
        <v>0</v>
      </c>
      <c r="Z60" s="79">
        <f t="shared" si="58"/>
        <v>0</v>
      </c>
      <c r="AA60" s="79">
        <f t="shared" si="59"/>
        <v>0</v>
      </c>
      <c r="AB60" s="79">
        <f t="shared" si="60"/>
        <v>0</v>
      </c>
      <c r="AC60" s="79">
        <f t="shared" si="61"/>
        <v>0</v>
      </c>
      <c r="AD60" s="80" t="str">
        <f t="shared" si="88"/>
        <v/>
      </c>
      <c r="AE60" s="80" t="str">
        <f t="shared" si="89"/>
        <v/>
      </c>
      <c r="AF60" s="80" t="str">
        <f t="shared" si="90"/>
        <v/>
      </c>
      <c r="AG60" s="80" t="str">
        <f t="shared" si="91"/>
        <v/>
      </c>
      <c r="AH60" s="80" t="str">
        <f t="shared" si="92"/>
        <v/>
      </c>
      <c r="AI60" s="78" t="str">
        <f t="shared" si="93"/>
        <v/>
      </c>
      <c r="AJ60" s="78">
        <v>0</v>
      </c>
      <c r="AK60" s="79">
        <v>0</v>
      </c>
      <c r="AL60" s="78" t="str">
        <f t="shared" si="94"/>
        <v/>
      </c>
      <c r="AM60" s="79">
        <f t="shared" si="62"/>
        <v>0</v>
      </c>
      <c r="AN60" s="78">
        <f t="shared" si="48"/>
        <v>0</v>
      </c>
      <c r="AO60" s="78">
        <f t="shared" si="63"/>
        <v>0</v>
      </c>
      <c r="AP60" s="78">
        <f t="shared" si="64"/>
        <v>0</v>
      </c>
      <c r="AQ60" s="78">
        <f t="shared" si="65"/>
        <v>0</v>
      </c>
      <c r="AR60" s="80">
        <f t="shared" si="66"/>
        <v>0</v>
      </c>
      <c r="AS60" s="80">
        <f t="shared" si="67"/>
        <v>0</v>
      </c>
      <c r="AT60" s="78"/>
      <c r="AU60" s="78"/>
      <c r="AV60" s="80">
        <f t="shared" si="95"/>
        <v>0</v>
      </c>
      <c r="AW60" s="80">
        <f t="shared" si="68"/>
        <v>0</v>
      </c>
      <c r="AX60" s="80">
        <f t="shared" si="69"/>
        <v>0</v>
      </c>
      <c r="AY60" s="80">
        <f t="shared" si="70"/>
        <v>0</v>
      </c>
      <c r="AZ60" s="80">
        <f t="shared" si="71"/>
        <v>0</v>
      </c>
      <c r="BA60" s="78">
        <f t="shared" si="96"/>
        <v>0</v>
      </c>
      <c r="BB60" s="78">
        <f t="shared" si="72"/>
        <v>0</v>
      </c>
      <c r="BC60" s="79">
        <v>0</v>
      </c>
      <c r="BD60" s="78">
        <f t="shared" si="97"/>
        <v>0</v>
      </c>
      <c r="BE60" s="79">
        <f t="shared" si="73"/>
        <v>0</v>
      </c>
      <c r="BF60" s="78">
        <f t="shared" si="49"/>
        <v>0</v>
      </c>
      <c r="BG60" s="78">
        <f t="shared" si="74"/>
        <v>0</v>
      </c>
      <c r="BH60" s="78">
        <f t="shared" si="75"/>
        <v>0</v>
      </c>
      <c r="BI60" s="78">
        <f t="shared" si="76"/>
        <v>0</v>
      </c>
      <c r="BJ60" s="80">
        <f t="shared" si="98"/>
        <v>0</v>
      </c>
      <c r="BK60" s="80">
        <f t="shared" si="99"/>
        <v>0</v>
      </c>
      <c r="BL60" s="78"/>
      <c r="BM60" s="78"/>
      <c r="BN60" s="80">
        <f t="shared" si="100"/>
        <v>0</v>
      </c>
      <c r="BO60" s="74">
        <f t="shared" si="77"/>
        <v>0</v>
      </c>
      <c r="BP60" s="74">
        <f t="shared" si="78"/>
        <v>1</v>
      </c>
      <c r="BQ60" s="74">
        <f t="shared" si="79"/>
        <v>0</v>
      </c>
      <c r="BR60" s="74">
        <f t="shared" si="80"/>
        <v>0</v>
      </c>
      <c r="BS60" s="74">
        <f t="shared" si="50"/>
        <v>0</v>
      </c>
      <c r="BT60" s="74">
        <f t="shared" si="101"/>
        <v>1</v>
      </c>
      <c r="BU60" s="60">
        <f t="shared" si="81"/>
        <v>0</v>
      </c>
      <c r="BV60" s="81">
        <f t="shared" si="102"/>
        <v>1</v>
      </c>
      <c r="BW60" s="60">
        <f t="shared" si="52"/>
        <v>0</v>
      </c>
      <c r="BX60" s="60">
        <f t="shared" si="53"/>
        <v>0</v>
      </c>
      <c r="BY60" s="49" t="str">
        <f t="shared" si="82"/>
        <v/>
      </c>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Y60" s="49"/>
    </row>
    <row r="61" spans="1:103" s="76" customFormat="1" ht="15.75">
      <c r="A61" s="125">
        <v>34</v>
      </c>
      <c r="B61" s="414" t="str">
        <f>IF(ISNA(VLOOKUP(A61,Master!AR$60:BD$107,3,FALSE)),"",VLOOKUP(A61,Master!AR$60:BD$107,3,FALSE))</f>
        <v/>
      </c>
      <c r="C61" s="415" t="str">
        <f>IF(ISNA(VLOOKUP(A61,Master!AR$60:BD$107,7,FALSE)),"",VLOOKUP(A61,Master!AR$60:BD$107,7,FALSE))</f>
        <v/>
      </c>
      <c r="D61" s="416" t="str">
        <f>IF(ISNA(VLOOKUP(A61,Master!AR$60:BD$107,8,FALSE)),"",VLOOKUP(A61,Master!AR$60:BD$107,8,FALSE))</f>
        <v/>
      </c>
      <c r="E61" s="421" t="str">
        <f>IF(ISNA(VLOOKUP(A61,Master!AR$60:BD$107,4,FALSE)),"",VLOOKUP(A61,Master!AR$60:BD$107,4,FALSE))</f>
        <v/>
      </c>
      <c r="F61" s="124" t="str">
        <f>IF(ISNA(VLOOKUP(A61,Master!AR$60:BD$107,5,FALSE)),"",VLOOKUP(A61,Master!AR$60:BD$107,5,FALSE))</f>
        <v/>
      </c>
      <c r="G61" s="419" t="str">
        <f>IF(ISNA(VLOOKUP(A61,Master!AR$60:BD$107,6,FALSE)),"",VLOOKUP(A61,Master!AR$60:BD$107,6,FALSE))</f>
        <v/>
      </c>
      <c r="H61" s="419" t="str">
        <f t="shared" si="83"/>
        <v/>
      </c>
      <c r="I61" s="420" t="str">
        <f t="shared" ca="1" si="84"/>
        <v/>
      </c>
      <c r="J61" s="419" t="str">
        <f t="shared" si="85"/>
        <v/>
      </c>
      <c r="K61" s="419" t="str">
        <f t="shared" si="86"/>
        <v/>
      </c>
      <c r="L61" s="419" t="str">
        <f t="shared" si="87"/>
        <v/>
      </c>
      <c r="M61" s="419" t="str">
        <f>IF(ISNA(VLOOKUP(A61,Master!AR$60:BD$107,12,FALSE)),"",VLOOKUP(A61,Master!AR$60:BD$107,12,FALSE))</f>
        <v/>
      </c>
      <c r="N61" s="163"/>
      <c r="O61" s="163"/>
      <c r="P61" s="163"/>
      <c r="Q61" s="163">
        <f t="shared" si="55"/>
        <v>0</v>
      </c>
      <c r="R61" s="52">
        <f t="shared" si="103"/>
        <v>1</v>
      </c>
      <c r="S61" s="1" t="str">
        <f>IF(ISNA(VLOOKUP(A61,Master!AR$60:BD$107,10,FALSE)),"",VLOOKUP(A61,Master!AR$60:BD$107,10,FALSE))</f>
        <v/>
      </c>
      <c r="T61" s="77"/>
      <c r="U61" s="77"/>
      <c r="V61" s="78" t="str">
        <f>IF(ISNA(VLOOKUP(A61,Master!AR$60:BD$107,11,FALSE)),"",VLOOKUP(A61,Master!AR$60:BD$107,11,FALSE))</f>
        <v/>
      </c>
      <c r="W61" s="78" t="str">
        <f>IF(ISNA(VLOOKUP(A61,Master!AR$60:BD$107,9,FALSE)),"",VLOOKUP(A61,Master!AR$60:BD$107,9,FALSE))</f>
        <v/>
      </c>
      <c r="X61" s="79">
        <f t="shared" si="56"/>
        <v>0</v>
      </c>
      <c r="Y61" s="79">
        <f t="shared" si="57"/>
        <v>0</v>
      </c>
      <c r="Z61" s="79">
        <f t="shared" si="58"/>
        <v>0</v>
      </c>
      <c r="AA61" s="79">
        <f t="shared" si="59"/>
        <v>0</v>
      </c>
      <c r="AB61" s="79">
        <f t="shared" si="60"/>
        <v>0</v>
      </c>
      <c r="AC61" s="79">
        <f t="shared" si="61"/>
        <v>0</v>
      </c>
      <c r="AD61" s="80" t="str">
        <f t="shared" si="88"/>
        <v/>
      </c>
      <c r="AE61" s="80" t="str">
        <f t="shared" si="89"/>
        <v/>
      </c>
      <c r="AF61" s="80" t="str">
        <f t="shared" si="90"/>
        <v/>
      </c>
      <c r="AG61" s="80" t="str">
        <f t="shared" si="91"/>
        <v/>
      </c>
      <c r="AH61" s="80" t="str">
        <f t="shared" si="92"/>
        <v/>
      </c>
      <c r="AI61" s="78" t="str">
        <f t="shared" si="93"/>
        <v/>
      </c>
      <c r="AJ61" s="78">
        <v>0</v>
      </c>
      <c r="AK61" s="79">
        <v>0</v>
      </c>
      <c r="AL61" s="78" t="str">
        <f t="shared" si="94"/>
        <v/>
      </c>
      <c r="AM61" s="79">
        <f t="shared" si="62"/>
        <v>0</v>
      </c>
      <c r="AN61" s="78">
        <f t="shared" si="48"/>
        <v>0</v>
      </c>
      <c r="AO61" s="78">
        <f t="shared" si="63"/>
        <v>0</v>
      </c>
      <c r="AP61" s="78">
        <f t="shared" si="64"/>
        <v>0</v>
      </c>
      <c r="AQ61" s="78">
        <f t="shared" si="65"/>
        <v>0</v>
      </c>
      <c r="AR61" s="80">
        <f t="shared" si="66"/>
        <v>0</v>
      </c>
      <c r="AS61" s="80">
        <f t="shared" si="67"/>
        <v>0</v>
      </c>
      <c r="AT61" s="78"/>
      <c r="AU61" s="78"/>
      <c r="AV61" s="80">
        <f t="shared" si="95"/>
        <v>0</v>
      </c>
      <c r="AW61" s="80">
        <f t="shared" si="68"/>
        <v>0</v>
      </c>
      <c r="AX61" s="80">
        <f t="shared" si="69"/>
        <v>0</v>
      </c>
      <c r="AY61" s="80">
        <f t="shared" si="70"/>
        <v>0</v>
      </c>
      <c r="AZ61" s="80">
        <f t="shared" si="71"/>
        <v>0</v>
      </c>
      <c r="BA61" s="78">
        <f t="shared" si="96"/>
        <v>0</v>
      </c>
      <c r="BB61" s="78">
        <f t="shared" si="72"/>
        <v>0</v>
      </c>
      <c r="BC61" s="79">
        <v>0</v>
      </c>
      <c r="BD61" s="78">
        <f t="shared" si="97"/>
        <v>0</v>
      </c>
      <c r="BE61" s="79">
        <f t="shared" si="73"/>
        <v>0</v>
      </c>
      <c r="BF61" s="78">
        <f t="shared" si="49"/>
        <v>0</v>
      </c>
      <c r="BG61" s="78">
        <f t="shared" si="74"/>
        <v>0</v>
      </c>
      <c r="BH61" s="78">
        <f t="shared" si="75"/>
        <v>0</v>
      </c>
      <c r="BI61" s="78">
        <f t="shared" si="76"/>
        <v>0</v>
      </c>
      <c r="BJ61" s="80">
        <f t="shared" si="98"/>
        <v>0</v>
      </c>
      <c r="BK61" s="80">
        <f t="shared" si="99"/>
        <v>0</v>
      </c>
      <c r="BL61" s="78"/>
      <c r="BM61" s="78"/>
      <c r="BN61" s="80">
        <f t="shared" si="100"/>
        <v>0</v>
      </c>
      <c r="BO61" s="74">
        <f t="shared" si="77"/>
        <v>0</v>
      </c>
      <c r="BP61" s="74">
        <f t="shared" si="78"/>
        <v>1</v>
      </c>
      <c r="BQ61" s="74">
        <f t="shared" si="79"/>
        <v>0</v>
      </c>
      <c r="BR61" s="74">
        <f t="shared" si="80"/>
        <v>0</v>
      </c>
      <c r="BS61" s="74">
        <f t="shared" si="50"/>
        <v>0</v>
      </c>
      <c r="BT61" s="74">
        <f t="shared" si="101"/>
        <v>1</v>
      </c>
      <c r="BU61" s="60">
        <f t="shared" si="81"/>
        <v>0</v>
      </c>
      <c r="BV61" s="81">
        <f t="shared" si="102"/>
        <v>1</v>
      </c>
      <c r="BW61" s="60">
        <f t="shared" si="52"/>
        <v>0</v>
      </c>
      <c r="BX61" s="60">
        <f t="shared" si="53"/>
        <v>0</v>
      </c>
      <c r="BY61" s="49" t="str">
        <f t="shared" si="82"/>
        <v/>
      </c>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Y61" s="49"/>
    </row>
    <row r="62" spans="1:103" s="76" customFormat="1" ht="15.75">
      <c r="A62" s="125">
        <v>35</v>
      </c>
      <c r="B62" s="414" t="str">
        <f>IF(ISNA(VLOOKUP(A62,Master!AR$60:BD$107,3,FALSE)),"",VLOOKUP(A62,Master!AR$60:BD$107,3,FALSE))</f>
        <v/>
      </c>
      <c r="C62" s="415" t="str">
        <f>IF(ISNA(VLOOKUP(A62,Master!AR$60:BD$107,7,FALSE)),"",VLOOKUP(A62,Master!AR$60:BD$107,7,FALSE))</f>
        <v/>
      </c>
      <c r="D62" s="416" t="str">
        <f>IF(ISNA(VLOOKUP(A62,Master!AR$60:BD$107,8,FALSE)),"",VLOOKUP(A62,Master!AR$60:BD$107,8,FALSE))</f>
        <v/>
      </c>
      <c r="E62" s="421" t="str">
        <f>IF(ISNA(VLOOKUP(A62,Master!AR$60:BD$107,4,FALSE)),"",VLOOKUP(A62,Master!AR$60:BD$107,4,FALSE))</f>
        <v/>
      </c>
      <c r="F62" s="124" t="str">
        <f>IF(ISNA(VLOOKUP(A62,Master!AR$60:BD$107,5,FALSE)),"",VLOOKUP(A62,Master!AR$60:BD$107,5,FALSE))</f>
        <v/>
      </c>
      <c r="G62" s="419" t="str">
        <f>IF(ISNA(VLOOKUP(A62,Master!AR$60:BD$107,6,FALSE)),"",VLOOKUP(A62,Master!AR$60:BD$107,6,FALSE))</f>
        <v/>
      </c>
      <c r="H62" s="419" t="str">
        <f t="shared" si="83"/>
        <v/>
      </c>
      <c r="I62" s="420" t="str">
        <f t="shared" ca="1" si="84"/>
        <v/>
      </c>
      <c r="J62" s="419" t="str">
        <f t="shared" si="85"/>
        <v/>
      </c>
      <c r="K62" s="419" t="str">
        <f t="shared" si="86"/>
        <v/>
      </c>
      <c r="L62" s="419" t="str">
        <f t="shared" si="87"/>
        <v/>
      </c>
      <c r="M62" s="419" t="str">
        <f>IF(ISNA(VLOOKUP(A62,Master!AR$60:BD$107,12,FALSE)),"",VLOOKUP(A62,Master!AR$60:BD$107,12,FALSE))</f>
        <v/>
      </c>
      <c r="N62" s="163"/>
      <c r="O62" s="163"/>
      <c r="P62" s="163"/>
      <c r="Q62" s="163">
        <f t="shared" si="55"/>
        <v>0</v>
      </c>
      <c r="R62" s="52">
        <f t="shared" si="103"/>
        <v>1</v>
      </c>
      <c r="S62" s="1" t="str">
        <f>IF(ISNA(VLOOKUP(A62,Master!AR$60:BD$107,10,FALSE)),"",VLOOKUP(A62,Master!AR$60:BD$107,10,FALSE))</f>
        <v/>
      </c>
      <c r="T62" s="77"/>
      <c r="U62" s="77"/>
      <c r="V62" s="78" t="str">
        <f>IF(ISNA(VLOOKUP(A62,Master!AR$60:BD$107,11,FALSE)),"",VLOOKUP(A62,Master!AR$60:BD$107,11,FALSE))</f>
        <v/>
      </c>
      <c r="W62" s="78" t="str">
        <f>IF(ISNA(VLOOKUP(A62,Master!AR$60:BD$107,9,FALSE)),"",VLOOKUP(A62,Master!AR$60:BD$107,9,FALSE))</f>
        <v/>
      </c>
      <c r="X62" s="79">
        <f t="shared" si="56"/>
        <v>0</v>
      </c>
      <c r="Y62" s="79">
        <f t="shared" si="57"/>
        <v>0</v>
      </c>
      <c r="Z62" s="79">
        <f t="shared" si="58"/>
        <v>0</v>
      </c>
      <c r="AA62" s="79">
        <f t="shared" si="59"/>
        <v>0</v>
      </c>
      <c r="AB62" s="79">
        <f t="shared" si="60"/>
        <v>0</v>
      </c>
      <c r="AC62" s="79">
        <f t="shared" si="61"/>
        <v>0</v>
      </c>
      <c r="AD62" s="80" t="str">
        <f t="shared" si="88"/>
        <v/>
      </c>
      <c r="AE62" s="80" t="str">
        <f t="shared" si="89"/>
        <v/>
      </c>
      <c r="AF62" s="80" t="str">
        <f t="shared" si="90"/>
        <v/>
      </c>
      <c r="AG62" s="80" t="str">
        <f t="shared" si="91"/>
        <v/>
      </c>
      <c r="AH62" s="80" t="str">
        <f t="shared" si="92"/>
        <v/>
      </c>
      <c r="AI62" s="78" t="str">
        <f t="shared" si="93"/>
        <v/>
      </c>
      <c r="AJ62" s="78">
        <v>0</v>
      </c>
      <c r="AK62" s="79">
        <v>0</v>
      </c>
      <c r="AL62" s="78" t="str">
        <f t="shared" si="94"/>
        <v/>
      </c>
      <c r="AM62" s="79">
        <f t="shared" si="62"/>
        <v>0</v>
      </c>
      <c r="AN62" s="78">
        <f t="shared" si="48"/>
        <v>0</v>
      </c>
      <c r="AO62" s="78">
        <f t="shared" si="63"/>
        <v>0</v>
      </c>
      <c r="AP62" s="78">
        <f t="shared" si="64"/>
        <v>0</v>
      </c>
      <c r="AQ62" s="78">
        <f t="shared" si="65"/>
        <v>0</v>
      </c>
      <c r="AR62" s="80">
        <f t="shared" si="66"/>
        <v>0</v>
      </c>
      <c r="AS62" s="80">
        <f t="shared" si="67"/>
        <v>0</v>
      </c>
      <c r="AT62" s="78"/>
      <c r="AU62" s="78"/>
      <c r="AV62" s="80">
        <f t="shared" si="95"/>
        <v>0</v>
      </c>
      <c r="AW62" s="80">
        <f t="shared" si="68"/>
        <v>0</v>
      </c>
      <c r="AX62" s="80">
        <f t="shared" si="69"/>
        <v>0</v>
      </c>
      <c r="AY62" s="80">
        <f t="shared" si="70"/>
        <v>0</v>
      </c>
      <c r="AZ62" s="80">
        <f t="shared" si="71"/>
        <v>0</v>
      </c>
      <c r="BA62" s="78">
        <f t="shared" si="96"/>
        <v>0</v>
      </c>
      <c r="BB62" s="78">
        <f t="shared" si="72"/>
        <v>0</v>
      </c>
      <c r="BC62" s="79">
        <v>0</v>
      </c>
      <c r="BD62" s="78">
        <f t="shared" si="97"/>
        <v>0</v>
      </c>
      <c r="BE62" s="79">
        <f t="shared" si="73"/>
        <v>0</v>
      </c>
      <c r="BF62" s="78">
        <f t="shared" si="49"/>
        <v>0</v>
      </c>
      <c r="BG62" s="78">
        <f t="shared" si="74"/>
        <v>0</v>
      </c>
      <c r="BH62" s="78">
        <f t="shared" si="75"/>
        <v>0</v>
      </c>
      <c r="BI62" s="78">
        <f t="shared" si="76"/>
        <v>0</v>
      </c>
      <c r="BJ62" s="80">
        <f t="shared" si="98"/>
        <v>0</v>
      </c>
      <c r="BK62" s="80">
        <f t="shared" si="99"/>
        <v>0</v>
      </c>
      <c r="BL62" s="78"/>
      <c r="BM62" s="78"/>
      <c r="BN62" s="80">
        <f t="shared" si="100"/>
        <v>0</v>
      </c>
      <c r="BO62" s="74">
        <f t="shared" si="77"/>
        <v>0</v>
      </c>
      <c r="BP62" s="74">
        <f t="shared" si="78"/>
        <v>1</v>
      </c>
      <c r="BQ62" s="74">
        <f t="shared" si="79"/>
        <v>0</v>
      </c>
      <c r="BR62" s="74">
        <f t="shared" si="80"/>
        <v>0</v>
      </c>
      <c r="BS62" s="74">
        <f t="shared" si="50"/>
        <v>0</v>
      </c>
      <c r="BT62" s="74">
        <f t="shared" si="101"/>
        <v>1</v>
      </c>
      <c r="BU62" s="60">
        <f t="shared" si="81"/>
        <v>0</v>
      </c>
      <c r="BV62" s="81">
        <f t="shared" si="102"/>
        <v>1</v>
      </c>
      <c r="BW62" s="60">
        <f t="shared" si="52"/>
        <v>0</v>
      </c>
      <c r="BX62" s="60">
        <f t="shared" si="53"/>
        <v>0</v>
      </c>
      <c r="BY62" s="49" t="str">
        <f t="shared" si="82"/>
        <v/>
      </c>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Y62" s="49"/>
    </row>
    <row r="63" spans="1:103" s="76" customFormat="1" ht="15.75">
      <c r="A63" s="125">
        <v>36</v>
      </c>
      <c r="B63" s="414" t="str">
        <f>IF(ISNA(VLOOKUP(A63,Master!AR$60:BD$107,3,FALSE)),"",VLOOKUP(A63,Master!AR$60:BD$107,3,FALSE))</f>
        <v/>
      </c>
      <c r="C63" s="415" t="str">
        <f>IF(ISNA(VLOOKUP(A63,Master!AR$60:BD$107,7,FALSE)),"",VLOOKUP(A63,Master!AR$60:BD$107,7,FALSE))</f>
        <v/>
      </c>
      <c r="D63" s="416" t="str">
        <f>IF(ISNA(VLOOKUP(A63,Master!AR$60:BD$107,8,FALSE)),"",VLOOKUP(A63,Master!AR$60:BD$107,8,FALSE))</f>
        <v/>
      </c>
      <c r="E63" s="421" t="str">
        <f>IF(ISNA(VLOOKUP(A63,Master!AR$60:BD$107,4,FALSE)),"",VLOOKUP(A63,Master!AR$60:BD$107,4,FALSE))</f>
        <v/>
      </c>
      <c r="F63" s="124" t="str">
        <f>IF(ISNA(VLOOKUP(A63,Master!AR$60:BD$107,5,FALSE)),"",VLOOKUP(A63,Master!AR$60:BD$107,5,FALSE))</f>
        <v/>
      </c>
      <c r="G63" s="419" t="str">
        <f>IF(ISNA(VLOOKUP(A63,Master!AR$60:BD$107,6,FALSE)),"",VLOOKUP(A63,Master!AR$60:BD$107,6,FALSE))</f>
        <v/>
      </c>
      <c r="H63" s="419" t="str">
        <f t="shared" si="83"/>
        <v/>
      </c>
      <c r="I63" s="420" t="str">
        <f t="shared" ca="1" si="84"/>
        <v/>
      </c>
      <c r="J63" s="419" t="str">
        <f t="shared" si="85"/>
        <v/>
      </c>
      <c r="K63" s="419" t="str">
        <f t="shared" si="86"/>
        <v/>
      </c>
      <c r="L63" s="419" t="str">
        <f t="shared" si="87"/>
        <v/>
      </c>
      <c r="M63" s="419" t="str">
        <f>IF(ISNA(VLOOKUP(A63,Master!AR$60:BD$107,12,FALSE)),"",VLOOKUP(A63,Master!AR$60:BD$107,12,FALSE))</f>
        <v/>
      </c>
      <c r="N63" s="163"/>
      <c r="O63" s="163"/>
      <c r="P63" s="163"/>
      <c r="Q63" s="163">
        <f t="shared" si="55"/>
        <v>0</v>
      </c>
      <c r="R63" s="52">
        <f t="shared" si="103"/>
        <v>1</v>
      </c>
      <c r="S63" s="1" t="str">
        <f>IF(ISNA(VLOOKUP(A63,Master!AR$60:BD$107,10,FALSE)),"",VLOOKUP(A63,Master!AR$60:BD$107,10,FALSE))</f>
        <v/>
      </c>
      <c r="T63" s="77"/>
      <c r="U63" s="77"/>
      <c r="V63" s="78" t="str">
        <f>IF(ISNA(VLOOKUP(A63,Master!AR$60:BD$107,11,FALSE)),"",VLOOKUP(A63,Master!AR$60:BD$107,11,FALSE))</f>
        <v/>
      </c>
      <c r="W63" s="78" t="str">
        <f>IF(ISNA(VLOOKUP(A63,Master!AR$60:BD$107,9,FALSE)),"",VLOOKUP(A63,Master!AR$60:BD$107,9,FALSE))</f>
        <v/>
      </c>
      <c r="X63" s="79">
        <f t="shared" si="56"/>
        <v>0</v>
      </c>
      <c r="Y63" s="79">
        <f t="shared" si="57"/>
        <v>0</v>
      </c>
      <c r="Z63" s="79">
        <f t="shared" si="58"/>
        <v>0</v>
      </c>
      <c r="AA63" s="79">
        <f t="shared" si="59"/>
        <v>0</v>
      </c>
      <c r="AB63" s="79">
        <f t="shared" si="60"/>
        <v>0</v>
      </c>
      <c r="AC63" s="79">
        <f t="shared" si="61"/>
        <v>0</v>
      </c>
      <c r="AD63" s="80" t="str">
        <f t="shared" si="88"/>
        <v/>
      </c>
      <c r="AE63" s="80" t="str">
        <f t="shared" si="89"/>
        <v/>
      </c>
      <c r="AF63" s="80" t="str">
        <f t="shared" si="90"/>
        <v/>
      </c>
      <c r="AG63" s="80" t="str">
        <f t="shared" si="91"/>
        <v/>
      </c>
      <c r="AH63" s="80" t="str">
        <f t="shared" si="92"/>
        <v/>
      </c>
      <c r="AI63" s="78" t="str">
        <f t="shared" si="93"/>
        <v/>
      </c>
      <c r="AJ63" s="78">
        <v>0</v>
      </c>
      <c r="AK63" s="79">
        <v>0</v>
      </c>
      <c r="AL63" s="78" t="str">
        <f t="shared" si="94"/>
        <v/>
      </c>
      <c r="AM63" s="79">
        <f t="shared" si="62"/>
        <v>0</v>
      </c>
      <c r="AN63" s="78">
        <f t="shared" si="48"/>
        <v>0</v>
      </c>
      <c r="AO63" s="78">
        <f t="shared" si="63"/>
        <v>0</v>
      </c>
      <c r="AP63" s="78">
        <f t="shared" si="64"/>
        <v>0</v>
      </c>
      <c r="AQ63" s="78">
        <f t="shared" si="65"/>
        <v>0</v>
      </c>
      <c r="AR63" s="80">
        <f t="shared" si="66"/>
        <v>0</v>
      </c>
      <c r="AS63" s="80">
        <f t="shared" si="67"/>
        <v>0</v>
      </c>
      <c r="AT63" s="78"/>
      <c r="AU63" s="78"/>
      <c r="AV63" s="80">
        <f t="shared" si="95"/>
        <v>0</v>
      </c>
      <c r="AW63" s="80">
        <f t="shared" si="68"/>
        <v>0</v>
      </c>
      <c r="AX63" s="80">
        <f t="shared" si="69"/>
        <v>0</v>
      </c>
      <c r="AY63" s="80">
        <f t="shared" si="70"/>
        <v>0</v>
      </c>
      <c r="AZ63" s="80">
        <f t="shared" si="71"/>
        <v>0</v>
      </c>
      <c r="BA63" s="78">
        <f t="shared" si="96"/>
        <v>0</v>
      </c>
      <c r="BB63" s="78">
        <f t="shared" si="72"/>
        <v>0</v>
      </c>
      <c r="BC63" s="79">
        <v>0</v>
      </c>
      <c r="BD63" s="78">
        <f t="shared" si="97"/>
        <v>0</v>
      </c>
      <c r="BE63" s="79">
        <f t="shared" si="73"/>
        <v>0</v>
      </c>
      <c r="BF63" s="78">
        <f t="shared" si="49"/>
        <v>0</v>
      </c>
      <c r="BG63" s="78">
        <f t="shared" si="74"/>
        <v>0</v>
      </c>
      <c r="BH63" s="78">
        <f t="shared" si="75"/>
        <v>0</v>
      </c>
      <c r="BI63" s="78">
        <f t="shared" si="76"/>
        <v>0</v>
      </c>
      <c r="BJ63" s="80">
        <f t="shared" si="98"/>
        <v>0</v>
      </c>
      <c r="BK63" s="80">
        <f t="shared" si="99"/>
        <v>0</v>
      </c>
      <c r="BL63" s="78"/>
      <c r="BM63" s="78"/>
      <c r="BN63" s="80">
        <f t="shared" si="100"/>
        <v>0</v>
      </c>
      <c r="BO63" s="74">
        <f t="shared" si="77"/>
        <v>0</v>
      </c>
      <c r="BP63" s="74">
        <f t="shared" si="78"/>
        <v>1</v>
      </c>
      <c r="BQ63" s="74">
        <f t="shared" si="79"/>
        <v>0</v>
      </c>
      <c r="BR63" s="74">
        <f t="shared" si="80"/>
        <v>0</v>
      </c>
      <c r="BS63" s="74">
        <f t="shared" si="50"/>
        <v>0</v>
      </c>
      <c r="BT63" s="74">
        <f t="shared" si="101"/>
        <v>1</v>
      </c>
      <c r="BU63" s="60">
        <f t="shared" si="81"/>
        <v>0</v>
      </c>
      <c r="BV63" s="81">
        <f t="shared" si="102"/>
        <v>1</v>
      </c>
      <c r="BW63" s="60">
        <f t="shared" si="52"/>
        <v>0</v>
      </c>
      <c r="BX63" s="60">
        <f t="shared" si="53"/>
        <v>0</v>
      </c>
      <c r="BY63" s="49" t="str">
        <f t="shared" si="82"/>
        <v/>
      </c>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Y63" s="49"/>
    </row>
    <row r="64" spans="1:103" s="76" customFormat="1" ht="15.75">
      <c r="A64" s="125">
        <v>37</v>
      </c>
      <c r="B64" s="414" t="str">
        <f>IF(ISNA(VLOOKUP(A64,Master!AR$60:BD$107,3,FALSE)),"",VLOOKUP(A64,Master!AR$60:BD$107,3,FALSE))</f>
        <v/>
      </c>
      <c r="C64" s="415" t="str">
        <f>IF(ISNA(VLOOKUP(A64,Master!AR$60:BD$107,7,FALSE)),"",VLOOKUP(A64,Master!AR$60:BD$107,7,FALSE))</f>
        <v/>
      </c>
      <c r="D64" s="416" t="str">
        <f>IF(ISNA(VLOOKUP(A64,Master!AR$60:BD$107,8,FALSE)),"",VLOOKUP(A64,Master!AR$60:BD$107,8,FALSE))</f>
        <v/>
      </c>
      <c r="E64" s="421" t="str">
        <f>IF(ISNA(VLOOKUP(A64,Master!AR$60:BD$107,4,FALSE)),"",VLOOKUP(A64,Master!AR$60:BD$107,4,FALSE))</f>
        <v/>
      </c>
      <c r="F64" s="124" t="str">
        <f>IF(ISNA(VLOOKUP(A64,Master!AR$60:BD$107,5,FALSE)),"",VLOOKUP(A64,Master!AR$60:BD$107,5,FALSE))</f>
        <v/>
      </c>
      <c r="G64" s="419" t="str">
        <f>IF(ISNA(VLOOKUP(A64,Master!AR$60:BD$107,6,FALSE)),"",VLOOKUP(A64,Master!AR$60:BD$107,6,FALSE))</f>
        <v/>
      </c>
      <c r="H64" s="419" t="str">
        <f t="shared" si="83"/>
        <v/>
      </c>
      <c r="I64" s="420" t="str">
        <f t="shared" ca="1" si="84"/>
        <v/>
      </c>
      <c r="J64" s="419" t="str">
        <f t="shared" si="85"/>
        <v/>
      </c>
      <c r="K64" s="419" t="str">
        <f t="shared" si="86"/>
        <v/>
      </c>
      <c r="L64" s="419" t="str">
        <f t="shared" si="87"/>
        <v/>
      </c>
      <c r="M64" s="419" t="str">
        <f>IF(ISNA(VLOOKUP(A64,Master!AR$60:BD$107,12,FALSE)),"",VLOOKUP(A64,Master!AR$60:BD$107,12,FALSE))</f>
        <v/>
      </c>
      <c r="N64" s="163"/>
      <c r="O64" s="163"/>
      <c r="P64" s="163"/>
      <c r="Q64" s="163">
        <f t="shared" si="55"/>
        <v>0</v>
      </c>
      <c r="R64" s="52">
        <f t="shared" si="103"/>
        <v>1</v>
      </c>
      <c r="S64" s="1" t="str">
        <f>IF(ISNA(VLOOKUP(A64,Master!AR$60:BD$107,10,FALSE)),"",VLOOKUP(A64,Master!AR$60:BD$107,10,FALSE))</f>
        <v/>
      </c>
      <c r="T64" s="77"/>
      <c r="U64" s="77"/>
      <c r="V64" s="78" t="str">
        <f>IF(ISNA(VLOOKUP(A64,Master!AR$60:BD$107,11,FALSE)),"",VLOOKUP(A64,Master!AR$60:BD$107,11,FALSE))</f>
        <v/>
      </c>
      <c r="W64" s="78" t="str">
        <f>IF(ISNA(VLOOKUP(A64,Master!AR$60:BD$107,9,FALSE)),"",VLOOKUP(A64,Master!AR$60:BD$107,9,FALSE))</f>
        <v/>
      </c>
      <c r="X64" s="79">
        <f t="shared" si="56"/>
        <v>0</v>
      </c>
      <c r="Y64" s="79">
        <f t="shared" si="57"/>
        <v>0</v>
      </c>
      <c r="Z64" s="79">
        <f t="shared" si="58"/>
        <v>0</v>
      </c>
      <c r="AA64" s="79">
        <f t="shared" si="59"/>
        <v>0</v>
      </c>
      <c r="AB64" s="79">
        <f t="shared" si="60"/>
        <v>0</v>
      </c>
      <c r="AC64" s="79">
        <f t="shared" si="61"/>
        <v>0</v>
      </c>
      <c r="AD64" s="80" t="str">
        <f t="shared" si="88"/>
        <v/>
      </c>
      <c r="AE64" s="80" t="str">
        <f t="shared" si="89"/>
        <v/>
      </c>
      <c r="AF64" s="80" t="str">
        <f t="shared" si="90"/>
        <v/>
      </c>
      <c r="AG64" s="80" t="str">
        <f t="shared" si="91"/>
        <v/>
      </c>
      <c r="AH64" s="80" t="str">
        <f t="shared" si="92"/>
        <v/>
      </c>
      <c r="AI64" s="78" t="str">
        <f t="shared" si="93"/>
        <v/>
      </c>
      <c r="AJ64" s="78">
        <v>0</v>
      </c>
      <c r="AK64" s="79">
        <v>0</v>
      </c>
      <c r="AL64" s="78" t="str">
        <f t="shared" si="94"/>
        <v/>
      </c>
      <c r="AM64" s="79">
        <f t="shared" si="62"/>
        <v>0</v>
      </c>
      <c r="AN64" s="78">
        <f t="shared" si="48"/>
        <v>0</v>
      </c>
      <c r="AO64" s="78">
        <f t="shared" si="63"/>
        <v>0</v>
      </c>
      <c r="AP64" s="78">
        <f t="shared" si="64"/>
        <v>0</v>
      </c>
      <c r="AQ64" s="78">
        <f t="shared" si="65"/>
        <v>0</v>
      </c>
      <c r="AR64" s="80">
        <f t="shared" si="66"/>
        <v>0</v>
      </c>
      <c r="AS64" s="80">
        <f t="shared" si="67"/>
        <v>0</v>
      </c>
      <c r="AT64" s="78"/>
      <c r="AU64" s="78"/>
      <c r="AV64" s="80">
        <f t="shared" si="95"/>
        <v>0</v>
      </c>
      <c r="AW64" s="80">
        <f t="shared" si="68"/>
        <v>0</v>
      </c>
      <c r="AX64" s="80">
        <f t="shared" si="69"/>
        <v>0</v>
      </c>
      <c r="AY64" s="80">
        <f t="shared" si="70"/>
        <v>0</v>
      </c>
      <c r="AZ64" s="80">
        <f t="shared" si="71"/>
        <v>0</v>
      </c>
      <c r="BA64" s="78">
        <f t="shared" si="96"/>
        <v>0</v>
      </c>
      <c r="BB64" s="78">
        <f t="shared" si="72"/>
        <v>0</v>
      </c>
      <c r="BC64" s="79">
        <v>0</v>
      </c>
      <c r="BD64" s="78">
        <f t="shared" si="97"/>
        <v>0</v>
      </c>
      <c r="BE64" s="79">
        <f t="shared" si="73"/>
        <v>0</v>
      </c>
      <c r="BF64" s="78">
        <f t="shared" si="49"/>
        <v>0</v>
      </c>
      <c r="BG64" s="78">
        <f t="shared" si="74"/>
        <v>0</v>
      </c>
      <c r="BH64" s="78">
        <f t="shared" si="75"/>
        <v>0</v>
      </c>
      <c r="BI64" s="78">
        <f t="shared" si="76"/>
        <v>0</v>
      </c>
      <c r="BJ64" s="80">
        <f t="shared" si="98"/>
        <v>0</v>
      </c>
      <c r="BK64" s="80">
        <f t="shared" si="99"/>
        <v>0</v>
      </c>
      <c r="BL64" s="78"/>
      <c r="BM64" s="78"/>
      <c r="BN64" s="80">
        <f t="shared" si="100"/>
        <v>0</v>
      </c>
      <c r="BO64" s="74">
        <f t="shared" si="77"/>
        <v>0</v>
      </c>
      <c r="BP64" s="74">
        <f t="shared" si="78"/>
        <v>1</v>
      </c>
      <c r="BQ64" s="74">
        <f t="shared" si="79"/>
        <v>0</v>
      </c>
      <c r="BR64" s="74">
        <f t="shared" si="80"/>
        <v>0</v>
      </c>
      <c r="BS64" s="74">
        <f t="shared" si="50"/>
        <v>0</v>
      </c>
      <c r="BT64" s="74">
        <f t="shared" si="101"/>
        <v>1</v>
      </c>
      <c r="BU64" s="60">
        <f t="shared" si="81"/>
        <v>0</v>
      </c>
      <c r="BV64" s="81">
        <f t="shared" si="102"/>
        <v>1</v>
      </c>
      <c r="BW64" s="60">
        <f t="shared" si="52"/>
        <v>0</v>
      </c>
      <c r="BX64" s="60">
        <f t="shared" si="53"/>
        <v>0</v>
      </c>
      <c r="BY64" s="49" t="str">
        <f t="shared" si="82"/>
        <v/>
      </c>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Y64" s="49"/>
    </row>
    <row r="65" spans="1:103" s="76" customFormat="1" ht="15.75">
      <c r="A65" s="125">
        <v>38</v>
      </c>
      <c r="B65" s="414" t="str">
        <f>IF(ISNA(VLOOKUP(A65,Master!AR$60:BD$107,3,FALSE)),"",VLOOKUP(A65,Master!AR$60:BD$107,3,FALSE))</f>
        <v/>
      </c>
      <c r="C65" s="415" t="str">
        <f>IF(ISNA(VLOOKUP(A65,Master!AR$60:BD$107,7,FALSE)),"",VLOOKUP(A65,Master!AR$60:BD$107,7,FALSE))</f>
        <v/>
      </c>
      <c r="D65" s="416" t="str">
        <f>IF(ISNA(VLOOKUP(A65,Master!AR$60:BD$107,8,FALSE)),"",VLOOKUP(A65,Master!AR$60:BD$107,8,FALSE))</f>
        <v/>
      </c>
      <c r="E65" s="421" t="str">
        <f>IF(ISNA(VLOOKUP(A65,Master!AR$60:BD$107,4,FALSE)),"",VLOOKUP(A65,Master!AR$60:BD$107,4,FALSE))</f>
        <v/>
      </c>
      <c r="F65" s="124" t="str">
        <f>IF(ISNA(VLOOKUP(A65,Master!AR$60:BD$107,5,FALSE)),"",VLOOKUP(A65,Master!AR$60:BD$107,5,FALSE))</f>
        <v/>
      </c>
      <c r="G65" s="419" t="str">
        <f>IF(ISNA(VLOOKUP(A65,Master!AR$60:BD$107,6,FALSE)),"",VLOOKUP(A65,Master!AR$60:BD$107,6,FALSE))</f>
        <v/>
      </c>
      <c r="H65" s="419" t="str">
        <f t="shared" si="83"/>
        <v/>
      </c>
      <c r="I65" s="420" t="str">
        <f t="shared" ca="1" si="84"/>
        <v/>
      </c>
      <c r="J65" s="419" t="str">
        <f t="shared" si="85"/>
        <v/>
      </c>
      <c r="K65" s="419" t="str">
        <f t="shared" si="86"/>
        <v/>
      </c>
      <c r="L65" s="419" t="str">
        <f t="shared" si="87"/>
        <v/>
      </c>
      <c r="M65" s="419" t="str">
        <f>IF(ISNA(VLOOKUP(A65,Master!AR$60:BD$107,12,FALSE)),"",VLOOKUP(A65,Master!AR$60:BD$107,12,FALSE))</f>
        <v/>
      </c>
      <c r="N65" s="163"/>
      <c r="O65" s="163"/>
      <c r="P65" s="163"/>
      <c r="Q65" s="163">
        <f t="shared" si="55"/>
        <v>0</v>
      </c>
      <c r="R65" s="52">
        <f t="shared" si="103"/>
        <v>1</v>
      </c>
      <c r="S65" s="1" t="str">
        <f>IF(ISNA(VLOOKUP(A65,Master!AR$60:BD$107,10,FALSE)),"",VLOOKUP(A65,Master!AR$60:BD$107,10,FALSE))</f>
        <v/>
      </c>
      <c r="T65" s="77"/>
      <c r="U65" s="77"/>
      <c r="V65" s="78" t="str">
        <f>IF(ISNA(VLOOKUP(A65,Master!AR$60:BD$107,11,FALSE)),"",VLOOKUP(A65,Master!AR$60:BD$107,11,FALSE))</f>
        <v/>
      </c>
      <c r="W65" s="78" t="str">
        <f>IF(ISNA(VLOOKUP(A65,Master!AR$60:BD$107,9,FALSE)),"",VLOOKUP(A65,Master!AR$60:BD$107,9,FALSE))</f>
        <v/>
      </c>
      <c r="X65" s="79">
        <f t="shared" si="56"/>
        <v>0</v>
      </c>
      <c r="Y65" s="79">
        <f t="shared" si="57"/>
        <v>0</v>
      </c>
      <c r="Z65" s="79">
        <f t="shared" si="58"/>
        <v>0</v>
      </c>
      <c r="AA65" s="79">
        <f t="shared" si="59"/>
        <v>0</v>
      </c>
      <c r="AB65" s="79">
        <f t="shared" si="60"/>
        <v>0</v>
      </c>
      <c r="AC65" s="79">
        <f t="shared" si="61"/>
        <v>0</v>
      </c>
      <c r="AD65" s="80" t="str">
        <f t="shared" si="88"/>
        <v/>
      </c>
      <c r="AE65" s="80" t="str">
        <f t="shared" si="89"/>
        <v/>
      </c>
      <c r="AF65" s="80" t="str">
        <f t="shared" si="90"/>
        <v/>
      </c>
      <c r="AG65" s="80" t="str">
        <f t="shared" si="91"/>
        <v/>
      </c>
      <c r="AH65" s="80" t="str">
        <f t="shared" si="92"/>
        <v/>
      </c>
      <c r="AI65" s="78" t="str">
        <f t="shared" si="93"/>
        <v/>
      </c>
      <c r="AJ65" s="78">
        <v>0</v>
      </c>
      <c r="AK65" s="79">
        <v>0</v>
      </c>
      <c r="AL65" s="78" t="str">
        <f t="shared" si="94"/>
        <v/>
      </c>
      <c r="AM65" s="79">
        <f t="shared" si="62"/>
        <v>0</v>
      </c>
      <c r="AN65" s="78">
        <f t="shared" si="48"/>
        <v>0</v>
      </c>
      <c r="AO65" s="78">
        <f t="shared" si="63"/>
        <v>0</v>
      </c>
      <c r="AP65" s="78">
        <f t="shared" si="64"/>
        <v>0</v>
      </c>
      <c r="AQ65" s="78">
        <f t="shared" si="65"/>
        <v>0</v>
      </c>
      <c r="AR65" s="80">
        <f t="shared" si="66"/>
        <v>0</v>
      </c>
      <c r="AS65" s="80">
        <f t="shared" si="67"/>
        <v>0</v>
      </c>
      <c r="AT65" s="78"/>
      <c r="AU65" s="78"/>
      <c r="AV65" s="80">
        <f t="shared" si="95"/>
        <v>0</v>
      </c>
      <c r="AW65" s="80">
        <f t="shared" si="68"/>
        <v>0</v>
      </c>
      <c r="AX65" s="80">
        <f t="shared" si="69"/>
        <v>0</v>
      </c>
      <c r="AY65" s="80">
        <f t="shared" si="70"/>
        <v>0</v>
      </c>
      <c r="AZ65" s="80">
        <f t="shared" si="71"/>
        <v>0</v>
      </c>
      <c r="BA65" s="78">
        <f t="shared" si="96"/>
        <v>0</v>
      </c>
      <c r="BB65" s="78">
        <f t="shared" si="72"/>
        <v>0</v>
      </c>
      <c r="BC65" s="79">
        <v>0</v>
      </c>
      <c r="BD65" s="78">
        <f t="shared" si="97"/>
        <v>0</v>
      </c>
      <c r="BE65" s="79">
        <f t="shared" si="73"/>
        <v>0</v>
      </c>
      <c r="BF65" s="78">
        <f t="shared" si="49"/>
        <v>0</v>
      </c>
      <c r="BG65" s="78">
        <f t="shared" si="74"/>
        <v>0</v>
      </c>
      <c r="BH65" s="78">
        <f t="shared" si="75"/>
        <v>0</v>
      </c>
      <c r="BI65" s="78">
        <f t="shared" si="76"/>
        <v>0</v>
      </c>
      <c r="BJ65" s="80">
        <f t="shared" si="98"/>
        <v>0</v>
      </c>
      <c r="BK65" s="80">
        <f t="shared" si="99"/>
        <v>0</v>
      </c>
      <c r="BL65" s="78"/>
      <c r="BM65" s="78"/>
      <c r="BN65" s="80">
        <f t="shared" si="100"/>
        <v>0</v>
      </c>
      <c r="BO65" s="74">
        <f t="shared" si="77"/>
        <v>0</v>
      </c>
      <c r="BP65" s="74">
        <f t="shared" si="78"/>
        <v>1</v>
      </c>
      <c r="BQ65" s="74">
        <f t="shared" si="79"/>
        <v>0</v>
      </c>
      <c r="BR65" s="74">
        <f t="shared" si="80"/>
        <v>0</v>
      </c>
      <c r="BS65" s="74">
        <f t="shared" si="50"/>
        <v>0</v>
      </c>
      <c r="BT65" s="74">
        <f t="shared" si="101"/>
        <v>1</v>
      </c>
      <c r="BU65" s="60">
        <f t="shared" si="81"/>
        <v>0</v>
      </c>
      <c r="BV65" s="81">
        <f t="shared" si="102"/>
        <v>1</v>
      </c>
      <c r="BW65" s="60">
        <f t="shared" si="52"/>
        <v>0</v>
      </c>
      <c r="BX65" s="60">
        <f t="shared" si="53"/>
        <v>0</v>
      </c>
      <c r="BY65" s="49" t="str">
        <f t="shared" si="82"/>
        <v/>
      </c>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Y65" s="49"/>
    </row>
    <row r="66" spans="1:103" s="76" customFormat="1" ht="15.75">
      <c r="A66" s="125">
        <v>39</v>
      </c>
      <c r="B66" s="414" t="str">
        <f>IF(ISNA(VLOOKUP(A66,Master!AR$60:BD$107,3,FALSE)),"",VLOOKUP(A66,Master!AR$60:BD$107,3,FALSE))</f>
        <v/>
      </c>
      <c r="C66" s="415" t="str">
        <f>IF(ISNA(VLOOKUP(A66,Master!AR$60:BD$107,7,FALSE)),"",VLOOKUP(A66,Master!AR$60:BD$107,7,FALSE))</f>
        <v/>
      </c>
      <c r="D66" s="416" t="str">
        <f>IF(ISNA(VLOOKUP(A66,Master!AR$60:BD$107,8,FALSE)),"",VLOOKUP(A66,Master!AR$60:BD$107,8,FALSE))</f>
        <v/>
      </c>
      <c r="E66" s="421" t="str">
        <f>IF(ISNA(VLOOKUP(A66,Master!AR$60:BD$107,4,FALSE)),"",VLOOKUP(A66,Master!AR$60:BD$107,4,FALSE))</f>
        <v/>
      </c>
      <c r="F66" s="124" t="str">
        <f>IF(ISNA(VLOOKUP(A66,Master!AR$60:BD$107,5,FALSE)),"",VLOOKUP(A66,Master!AR$60:BD$107,5,FALSE))</f>
        <v/>
      </c>
      <c r="G66" s="419" t="str">
        <f>IF(ISNA(VLOOKUP(A66,Master!AR$60:BD$107,6,FALSE)),"",VLOOKUP(A66,Master!AR$60:BD$107,6,FALSE))</f>
        <v/>
      </c>
      <c r="H66" s="419" t="str">
        <f>IF(AND(G66=""),"",G66*12)</f>
        <v/>
      </c>
      <c r="I66" s="420" t="str">
        <f t="shared" ca="1" si="84"/>
        <v/>
      </c>
      <c r="J66" s="419" t="str">
        <f t="shared" si="85"/>
        <v/>
      </c>
      <c r="K66" s="419" t="str">
        <f t="shared" si="86"/>
        <v/>
      </c>
      <c r="L66" s="419" t="str">
        <f t="shared" si="87"/>
        <v/>
      </c>
      <c r="M66" s="419" t="str">
        <f>IF(ISNA(VLOOKUP(A66,Master!AR$60:BD$107,12,FALSE)),"",VLOOKUP(A66,Master!AR$60:BD$107,12,FALSE))</f>
        <v/>
      </c>
      <c r="N66" s="163"/>
      <c r="O66" s="163"/>
      <c r="P66" s="163"/>
      <c r="Q66" s="163">
        <f t="shared" si="55"/>
        <v>0</v>
      </c>
      <c r="R66" s="52">
        <f t="shared" si="103"/>
        <v>1</v>
      </c>
      <c r="S66" s="1" t="str">
        <f>IF(ISNA(VLOOKUP(A66,Master!AR$60:BD$107,10,FALSE)),"",VLOOKUP(A66,Master!AR$60:BD$107,10,FALSE))</f>
        <v/>
      </c>
      <c r="T66" s="77"/>
      <c r="U66" s="77"/>
      <c r="V66" s="78" t="str">
        <f>IF(ISNA(VLOOKUP(A66,Master!AR$60:BD$107,11,FALSE)),"",VLOOKUP(A66,Master!AR$60:BD$107,11,FALSE))</f>
        <v/>
      </c>
      <c r="W66" s="78" t="str">
        <f>IF(ISNA(VLOOKUP(A66,Master!AR$60:BD$107,9,FALSE)),"",VLOOKUP(A66,Master!AR$60:BD$107,9,FALSE))</f>
        <v/>
      </c>
      <c r="X66" s="79">
        <f t="shared" si="56"/>
        <v>0</v>
      </c>
      <c r="Y66" s="79">
        <f t="shared" si="57"/>
        <v>0</v>
      </c>
      <c r="Z66" s="79">
        <f t="shared" si="58"/>
        <v>0</v>
      </c>
      <c r="AA66" s="79">
        <f t="shared" si="59"/>
        <v>0</v>
      </c>
      <c r="AB66" s="79">
        <f t="shared" si="60"/>
        <v>0</v>
      </c>
      <c r="AC66" s="79">
        <f t="shared" si="61"/>
        <v>0</v>
      </c>
      <c r="AD66" s="80" t="str">
        <f t="shared" si="88"/>
        <v/>
      </c>
      <c r="AE66" s="80" t="str">
        <f t="shared" si="89"/>
        <v/>
      </c>
      <c r="AF66" s="80" t="str">
        <f t="shared" si="90"/>
        <v/>
      </c>
      <c r="AG66" s="80" t="str">
        <f t="shared" si="91"/>
        <v/>
      </c>
      <c r="AH66" s="80" t="str">
        <f t="shared" si="92"/>
        <v/>
      </c>
      <c r="AI66" s="78" t="str">
        <f t="shared" si="93"/>
        <v/>
      </c>
      <c r="AJ66" s="78">
        <v>0</v>
      </c>
      <c r="AK66" s="79">
        <v>0</v>
      </c>
      <c r="AL66" s="78" t="str">
        <f t="shared" si="94"/>
        <v/>
      </c>
      <c r="AM66" s="79">
        <f t="shared" si="62"/>
        <v>0</v>
      </c>
      <c r="AN66" s="78">
        <f t="shared" si="48"/>
        <v>0</v>
      </c>
      <c r="AO66" s="78">
        <f t="shared" si="63"/>
        <v>0</v>
      </c>
      <c r="AP66" s="78">
        <f t="shared" si="64"/>
        <v>0</v>
      </c>
      <c r="AQ66" s="78">
        <f t="shared" si="65"/>
        <v>0</v>
      </c>
      <c r="AR66" s="80">
        <f t="shared" si="66"/>
        <v>0</v>
      </c>
      <c r="AS66" s="80">
        <f t="shared" si="67"/>
        <v>0</v>
      </c>
      <c r="AT66" s="78"/>
      <c r="AU66" s="78"/>
      <c r="AV66" s="80">
        <f t="shared" si="95"/>
        <v>0</v>
      </c>
      <c r="AW66" s="80">
        <f t="shared" si="68"/>
        <v>0</v>
      </c>
      <c r="AX66" s="80">
        <f t="shared" si="69"/>
        <v>0</v>
      </c>
      <c r="AY66" s="80">
        <f t="shared" si="70"/>
        <v>0</v>
      </c>
      <c r="AZ66" s="80">
        <f t="shared" si="71"/>
        <v>0</v>
      </c>
      <c r="BA66" s="78">
        <f t="shared" si="96"/>
        <v>0</v>
      </c>
      <c r="BB66" s="78">
        <f t="shared" si="72"/>
        <v>0</v>
      </c>
      <c r="BC66" s="79">
        <v>0</v>
      </c>
      <c r="BD66" s="78">
        <f t="shared" si="97"/>
        <v>0</v>
      </c>
      <c r="BE66" s="79">
        <f t="shared" si="73"/>
        <v>0</v>
      </c>
      <c r="BF66" s="78">
        <f t="shared" si="49"/>
        <v>0</v>
      </c>
      <c r="BG66" s="78">
        <f t="shared" si="74"/>
        <v>0</v>
      </c>
      <c r="BH66" s="78">
        <f t="shared" si="75"/>
        <v>0</v>
      </c>
      <c r="BI66" s="78">
        <f t="shared" si="76"/>
        <v>0</v>
      </c>
      <c r="BJ66" s="80">
        <f t="shared" si="98"/>
        <v>0</v>
      </c>
      <c r="BK66" s="80">
        <f t="shared" si="99"/>
        <v>0</v>
      </c>
      <c r="BL66" s="78"/>
      <c r="BM66" s="78"/>
      <c r="BN66" s="80">
        <f t="shared" si="100"/>
        <v>0</v>
      </c>
      <c r="BO66" s="74">
        <f t="shared" si="77"/>
        <v>0</v>
      </c>
      <c r="BP66" s="74">
        <f t="shared" si="78"/>
        <v>1</v>
      </c>
      <c r="BQ66" s="74">
        <f t="shared" si="79"/>
        <v>0</v>
      </c>
      <c r="BR66" s="74">
        <f t="shared" si="80"/>
        <v>0</v>
      </c>
      <c r="BS66" s="74">
        <f t="shared" si="50"/>
        <v>0</v>
      </c>
      <c r="BT66" s="74">
        <f t="shared" si="101"/>
        <v>1</v>
      </c>
      <c r="BU66" s="60">
        <f t="shared" si="81"/>
        <v>0</v>
      </c>
      <c r="BV66" s="81">
        <f t="shared" si="102"/>
        <v>1</v>
      </c>
      <c r="BW66" s="60">
        <f t="shared" si="52"/>
        <v>0</v>
      </c>
      <c r="BX66" s="60">
        <f t="shared" si="53"/>
        <v>0</v>
      </c>
      <c r="BY66" s="49" t="str">
        <f t="shared" si="82"/>
        <v/>
      </c>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Y66" s="49"/>
    </row>
    <row r="67" spans="1:103" s="76" customFormat="1" ht="15.75">
      <c r="A67" s="125">
        <v>40</v>
      </c>
      <c r="B67" s="414" t="str">
        <f>IF(ISNA(VLOOKUP(A67,Master!AR$60:BD$107,3,FALSE)),"",VLOOKUP(A67,Master!AR$60:BD$107,3,FALSE))</f>
        <v/>
      </c>
      <c r="C67" s="415" t="str">
        <f>IF(ISNA(VLOOKUP(A67,Master!AR$60:BD$107,7,FALSE)),"",VLOOKUP(A67,Master!AR$60:BD$107,7,FALSE))</f>
        <v/>
      </c>
      <c r="D67" s="416" t="str">
        <f>IF(ISNA(VLOOKUP(A67,Master!AR$60:BD$107,8,FALSE)),"",VLOOKUP(A67,Master!AR$60:BD$107,8,FALSE))</f>
        <v/>
      </c>
      <c r="E67" s="421" t="str">
        <f>IF(ISNA(VLOOKUP(A67,Master!AR$60:BD$107,4,FALSE)),"",VLOOKUP(A67,Master!AR$60:BD$107,4,FALSE))</f>
        <v/>
      </c>
      <c r="F67" s="124" t="str">
        <f>IF(ISNA(VLOOKUP(A67,Master!AR$60:BD$107,5,FALSE)),"",VLOOKUP(A67,Master!AR$60:BD$107,5,FALSE))</f>
        <v/>
      </c>
      <c r="G67" s="419" t="str">
        <f>IF(ISNA(VLOOKUP(A67,Master!AR$60:BD$107,6,FALSE)),"",VLOOKUP(A67,Master!AR$60:BD$107,6,FALSE))</f>
        <v/>
      </c>
      <c r="H67" s="419" t="str">
        <f t="shared" si="83"/>
        <v/>
      </c>
      <c r="I67" s="420" t="str">
        <f t="shared" ca="1" si="84"/>
        <v/>
      </c>
      <c r="J67" s="419" t="str">
        <f t="shared" si="85"/>
        <v/>
      </c>
      <c r="K67" s="419" t="str">
        <f t="shared" si="86"/>
        <v/>
      </c>
      <c r="L67" s="419" t="str">
        <f t="shared" si="87"/>
        <v/>
      </c>
      <c r="M67" s="419" t="str">
        <f>IF(ISNA(VLOOKUP(A67,Master!AR$60:BD$107,12,FALSE)),"",VLOOKUP(A67,Master!AR$60:BD$107,12,FALSE))</f>
        <v/>
      </c>
      <c r="N67" s="163"/>
      <c r="O67" s="163"/>
      <c r="P67" s="163"/>
      <c r="Q67" s="163">
        <f t="shared" si="55"/>
        <v>0</v>
      </c>
      <c r="R67" s="52">
        <f t="shared" si="103"/>
        <v>1</v>
      </c>
      <c r="S67" s="1" t="str">
        <f>IF(ISNA(VLOOKUP(A67,Master!AR$60:BD$107,10,FALSE)),"",VLOOKUP(A67,Master!AR$60:BD$107,10,FALSE))</f>
        <v/>
      </c>
      <c r="T67" s="77"/>
      <c r="U67" s="77"/>
      <c r="V67" s="78" t="str">
        <f>IF(ISNA(VLOOKUP(A67,Master!AR$60:BD$107,11,FALSE)),"",VLOOKUP(A67,Master!AR$60:BD$107,11,FALSE))</f>
        <v/>
      </c>
      <c r="W67" s="78" t="str">
        <f>IF(ISNA(VLOOKUP(A67,Master!AR$60:BD$107,9,FALSE)),"",VLOOKUP(A67,Master!AR$60:BD$107,9,FALSE))</f>
        <v/>
      </c>
      <c r="X67" s="79">
        <f t="shared" si="56"/>
        <v>0</v>
      </c>
      <c r="Y67" s="79">
        <f t="shared" si="57"/>
        <v>0</v>
      </c>
      <c r="Z67" s="79">
        <f t="shared" si="58"/>
        <v>0</v>
      </c>
      <c r="AA67" s="79">
        <f t="shared" si="59"/>
        <v>0</v>
      </c>
      <c r="AB67" s="79">
        <f t="shared" si="60"/>
        <v>0</v>
      </c>
      <c r="AC67" s="79">
        <f t="shared" si="61"/>
        <v>0</v>
      </c>
      <c r="AD67" s="80" t="str">
        <f t="shared" si="88"/>
        <v/>
      </c>
      <c r="AE67" s="80" t="str">
        <f t="shared" si="89"/>
        <v/>
      </c>
      <c r="AF67" s="80" t="str">
        <f t="shared" si="90"/>
        <v/>
      </c>
      <c r="AG67" s="80" t="str">
        <f t="shared" si="91"/>
        <v/>
      </c>
      <c r="AH67" s="80" t="str">
        <f t="shared" si="92"/>
        <v/>
      </c>
      <c r="AI67" s="78" t="str">
        <f t="shared" si="93"/>
        <v/>
      </c>
      <c r="AJ67" s="78">
        <v>0</v>
      </c>
      <c r="AK67" s="79">
        <v>0</v>
      </c>
      <c r="AL67" s="78" t="str">
        <f t="shared" si="94"/>
        <v/>
      </c>
      <c r="AM67" s="79">
        <f t="shared" si="62"/>
        <v>0</v>
      </c>
      <c r="AN67" s="78">
        <f t="shared" si="48"/>
        <v>0</v>
      </c>
      <c r="AO67" s="78">
        <f t="shared" si="63"/>
        <v>0</v>
      </c>
      <c r="AP67" s="78">
        <f t="shared" si="64"/>
        <v>0</v>
      </c>
      <c r="AQ67" s="78">
        <f t="shared" si="65"/>
        <v>0</v>
      </c>
      <c r="AR67" s="80">
        <f t="shared" si="66"/>
        <v>0</v>
      </c>
      <c r="AS67" s="80">
        <f t="shared" si="67"/>
        <v>0</v>
      </c>
      <c r="AT67" s="78"/>
      <c r="AU67" s="78"/>
      <c r="AV67" s="80">
        <f t="shared" si="95"/>
        <v>0</v>
      </c>
      <c r="AW67" s="80">
        <f t="shared" si="68"/>
        <v>0</v>
      </c>
      <c r="AX67" s="80">
        <f t="shared" si="69"/>
        <v>0</v>
      </c>
      <c r="AY67" s="80">
        <f t="shared" si="70"/>
        <v>0</v>
      </c>
      <c r="AZ67" s="80">
        <f t="shared" si="71"/>
        <v>0</v>
      </c>
      <c r="BA67" s="78">
        <f t="shared" si="96"/>
        <v>0</v>
      </c>
      <c r="BB67" s="78">
        <f t="shared" si="72"/>
        <v>0</v>
      </c>
      <c r="BC67" s="79">
        <v>0</v>
      </c>
      <c r="BD67" s="78">
        <f t="shared" si="97"/>
        <v>0</v>
      </c>
      <c r="BE67" s="79">
        <f t="shared" si="73"/>
        <v>0</v>
      </c>
      <c r="BF67" s="78">
        <f t="shared" si="49"/>
        <v>0</v>
      </c>
      <c r="BG67" s="78">
        <f t="shared" si="74"/>
        <v>0</v>
      </c>
      <c r="BH67" s="78">
        <f t="shared" si="75"/>
        <v>0</v>
      </c>
      <c r="BI67" s="78">
        <f t="shared" si="76"/>
        <v>0</v>
      </c>
      <c r="BJ67" s="80">
        <f t="shared" si="98"/>
        <v>0</v>
      </c>
      <c r="BK67" s="80">
        <f t="shared" si="99"/>
        <v>0</v>
      </c>
      <c r="BL67" s="78"/>
      <c r="BM67" s="78"/>
      <c r="BN67" s="80">
        <f t="shared" si="100"/>
        <v>0</v>
      </c>
      <c r="BO67" s="74">
        <f t="shared" si="77"/>
        <v>0</v>
      </c>
      <c r="BP67" s="74">
        <f t="shared" si="78"/>
        <v>1</v>
      </c>
      <c r="BQ67" s="74">
        <f t="shared" si="79"/>
        <v>0</v>
      </c>
      <c r="BR67" s="74">
        <f t="shared" si="80"/>
        <v>0</v>
      </c>
      <c r="BS67" s="74">
        <f t="shared" si="50"/>
        <v>0</v>
      </c>
      <c r="BT67" s="74">
        <f t="shared" si="101"/>
        <v>1</v>
      </c>
      <c r="BU67" s="60">
        <f t="shared" si="81"/>
        <v>0</v>
      </c>
      <c r="BV67" s="81">
        <f t="shared" si="102"/>
        <v>1</v>
      </c>
      <c r="BW67" s="60">
        <f t="shared" si="52"/>
        <v>0</v>
      </c>
      <c r="BX67" s="60">
        <f t="shared" si="53"/>
        <v>0</v>
      </c>
      <c r="BY67" s="49" t="str">
        <f t="shared" si="82"/>
        <v/>
      </c>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Y67" s="49"/>
    </row>
    <row r="68" spans="1:103" s="76" customFormat="1" ht="15.75">
      <c r="A68" s="125">
        <v>41</v>
      </c>
      <c r="B68" s="414" t="str">
        <f>IF(ISNA(VLOOKUP(A68,Master!AR$60:BD$107,3,FALSE)),"",VLOOKUP(A68,Master!AR$60:BD$107,3,FALSE))</f>
        <v/>
      </c>
      <c r="C68" s="415" t="str">
        <f>IF(ISNA(VLOOKUP(A68,Master!AR$60:BD$107,7,FALSE)),"",VLOOKUP(A68,Master!AR$60:BD$107,7,FALSE))</f>
        <v/>
      </c>
      <c r="D68" s="416" t="str">
        <f>IF(ISNA(VLOOKUP(A68,Master!AR$60:BD$107,8,FALSE)),"",VLOOKUP(A68,Master!AR$60:BD$107,8,FALSE))</f>
        <v/>
      </c>
      <c r="E68" s="421" t="str">
        <f>IF(ISNA(VLOOKUP(A68,Master!AR$60:BD$107,4,FALSE)),"",VLOOKUP(A68,Master!AR$60:BD$107,4,FALSE))</f>
        <v/>
      </c>
      <c r="F68" s="124" t="str">
        <f>IF(ISNA(VLOOKUP(A68,Master!AR$60:BD$107,5,FALSE)),"",VLOOKUP(A68,Master!AR$60:BD$107,5,FALSE))</f>
        <v/>
      </c>
      <c r="G68" s="419" t="str">
        <f>IF(ISNA(VLOOKUP(A68,Master!AR$60:BD$107,6,FALSE)),"",VLOOKUP(A68,Master!AR$60:BD$107,6,FALSE))</f>
        <v/>
      </c>
      <c r="H68" s="419" t="str">
        <f t="shared" si="83"/>
        <v/>
      </c>
      <c r="I68" s="420" t="str">
        <f t="shared" ca="1" si="84"/>
        <v/>
      </c>
      <c r="J68" s="419" t="str">
        <f t="shared" si="85"/>
        <v/>
      </c>
      <c r="K68" s="419" t="str">
        <f t="shared" si="86"/>
        <v/>
      </c>
      <c r="L68" s="419" t="str">
        <f t="shared" si="87"/>
        <v/>
      </c>
      <c r="M68" s="419" t="str">
        <f>IF(ISNA(VLOOKUP(A68,Master!AR$60:BD$107,12,FALSE)),"",VLOOKUP(A68,Master!AR$60:BD$107,12,FALSE))</f>
        <v/>
      </c>
      <c r="N68" s="163"/>
      <c r="O68" s="163"/>
      <c r="P68" s="163"/>
      <c r="Q68" s="163">
        <f t="shared" si="55"/>
        <v>0</v>
      </c>
      <c r="R68" s="52">
        <f t="shared" si="103"/>
        <v>1</v>
      </c>
      <c r="S68" s="1" t="str">
        <f>IF(ISNA(VLOOKUP(A68,Master!AR$60:BD$107,10,FALSE)),"",VLOOKUP(A68,Master!AR$60:BD$107,10,FALSE))</f>
        <v/>
      </c>
      <c r="T68" s="77"/>
      <c r="U68" s="77"/>
      <c r="V68" s="78" t="str">
        <f>IF(ISNA(VLOOKUP(A68,Master!AR$60:BD$107,11,FALSE)),"",VLOOKUP(A68,Master!AR$60:BD$107,11,FALSE))</f>
        <v/>
      </c>
      <c r="W68" s="78" t="str">
        <f>IF(ISNA(VLOOKUP(A68,Master!AR$60:BD$107,9,FALSE)),"",VLOOKUP(A68,Master!AR$60:BD$107,9,FALSE))</f>
        <v/>
      </c>
      <c r="X68" s="79">
        <f t="shared" si="56"/>
        <v>0</v>
      </c>
      <c r="Y68" s="79">
        <f t="shared" si="57"/>
        <v>0</v>
      </c>
      <c r="Z68" s="79">
        <f t="shared" si="58"/>
        <v>0</v>
      </c>
      <c r="AA68" s="79">
        <f t="shared" si="59"/>
        <v>0</v>
      </c>
      <c r="AB68" s="79">
        <f t="shared" si="60"/>
        <v>0</v>
      </c>
      <c r="AC68" s="79">
        <f t="shared" si="61"/>
        <v>0</v>
      </c>
      <c r="AD68" s="80" t="str">
        <f t="shared" si="88"/>
        <v/>
      </c>
      <c r="AE68" s="80" t="str">
        <f t="shared" si="89"/>
        <v/>
      </c>
      <c r="AF68" s="80" t="str">
        <f t="shared" si="90"/>
        <v/>
      </c>
      <c r="AG68" s="80" t="str">
        <f t="shared" si="91"/>
        <v/>
      </c>
      <c r="AH68" s="80" t="str">
        <f t="shared" si="92"/>
        <v/>
      </c>
      <c r="AI68" s="78" t="str">
        <f t="shared" si="93"/>
        <v/>
      </c>
      <c r="AJ68" s="78">
        <v>0</v>
      </c>
      <c r="AK68" s="79">
        <v>0</v>
      </c>
      <c r="AL68" s="78" t="str">
        <f t="shared" si="94"/>
        <v/>
      </c>
      <c r="AM68" s="79">
        <f t="shared" si="62"/>
        <v>0</v>
      </c>
      <c r="AN68" s="78">
        <f t="shared" si="48"/>
        <v>0</v>
      </c>
      <c r="AO68" s="78">
        <f t="shared" si="63"/>
        <v>0</v>
      </c>
      <c r="AP68" s="78">
        <f t="shared" si="64"/>
        <v>0</v>
      </c>
      <c r="AQ68" s="78">
        <f t="shared" si="65"/>
        <v>0</v>
      </c>
      <c r="AR68" s="80">
        <f t="shared" si="66"/>
        <v>0</v>
      </c>
      <c r="AS68" s="80">
        <f t="shared" si="67"/>
        <v>0</v>
      </c>
      <c r="AT68" s="78"/>
      <c r="AU68" s="78"/>
      <c r="AV68" s="80">
        <f t="shared" si="95"/>
        <v>0</v>
      </c>
      <c r="AW68" s="80">
        <f t="shared" si="68"/>
        <v>0</v>
      </c>
      <c r="AX68" s="80">
        <f t="shared" si="69"/>
        <v>0</v>
      </c>
      <c r="AY68" s="80">
        <f t="shared" si="70"/>
        <v>0</v>
      </c>
      <c r="AZ68" s="80">
        <f t="shared" si="71"/>
        <v>0</v>
      </c>
      <c r="BA68" s="78">
        <f t="shared" si="96"/>
        <v>0</v>
      </c>
      <c r="BB68" s="78">
        <f t="shared" si="72"/>
        <v>0</v>
      </c>
      <c r="BC68" s="79">
        <v>0</v>
      </c>
      <c r="BD68" s="78">
        <f t="shared" si="97"/>
        <v>0</v>
      </c>
      <c r="BE68" s="79">
        <f t="shared" si="73"/>
        <v>0</v>
      </c>
      <c r="BF68" s="78">
        <f t="shared" si="49"/>
        <v>0</v>
      </c>
      <c r="BG68" s="78">
        <f t="shared" si="74"/>
        <v>0</v>
      </c>
      <c r="BH68" s="78">
        <f t="shared" si="75"/>
        <v>0</v>
      </c>
      <c r="BI68" s="78">
        <f t="shared" si="76"/>
        <v>0</v>
      </c>
      <c r="BJ68" s="80">
        <f t="shared" si="98"/>
        <v>0</v>
      </c>
      <c r="BK68" s="80">
        <f t="shared" si="99"/>
        <v>0</v>
      </c>
      <c r="BL68" s="78"/>
      <c r="BM68" s="78"/>
      <c r="BN68" s="80">
        <f t="shared" si="100"/>
        <v>0</v>
      </c>
      <c r="BO68" s="74">
        <f t="shared" si="77"/>
        <v>0</v>
      </c>
      <c r="BP68" s="74">
        <f t="shared" si="78"/>
        <v>1</v>
      </c>
      <c r="BQ68" s="74">
        <f t="shared" si="79"/>
        <v>0</v>
      </c>
      <c r="BR68" s="74">
        <f t="shared" si="80"/>
        <v>0</v>
      </c>
      <c r="BS68" s="74">
        <f t="shared" si="50"/>
        <v>0</v>
      </c>
      <c r="BT68" s="74">
        <f t="shared" si="101"/>
        <v>1</v>
      </c>
      <c r="BU68" s="60">
        <f t="shared" si="81"/>
        <v>0</v>
      </c>
      <c r="BV68" s="81">
        <f t="shared" si="102"/>
        <v>1</v>
      </c>
      <c r="BW68" s="60">
        <f t="shared" si="52"/>
        <v>0</v>
      </c>
      <c r="BX68" s="60">
        <f t="shared" si="53"/>
        <v>0</v>
      </c>
      <c r="BY68" s="49" t="str">
        <f t="shared" si="82"/>
        <v/>
      </c>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Y68" s="49"/>
    </row>
    <row r="69" spans="1:103" s="76" customFormat="1" ht="15.75">
      <c r="A69" s="125">
        <v>42</v>
      </c>
      <c r="B69" s="414" t="str">
        <f>IF(ISNA(VLOOKUP(A69,Master!AR$60:BD$107,3,FALSE)),"",VLOOKUP(A69,Master!AR$60:BD$107,3,FALSE))</f>
        <v/>
      </c>
      <c r="C69" s="415" t="str">
        <f>IF(ISNA(VLOOKUP(A69,Master!AR$60:BD$107,7,FALSE)),"",VLOOKUP(A69,Master!AR$60:BD$107,7,FALSE))</f>
        <v/>
      </c>
      <c r="D69" s="416" t="str">
        <f>IF(ISNA(VLOOKUP(A69,Master!AR$60:BD$107,8,FALSE)),"",VLOOKUP(A69,Master!AR$60:BD$107,8,FALSE))</f>
        <v/>
      </c>
      <c r="E69" s="421" t="str">
        <f>IF(ISNA(VLOOKUP(A69,Master!AR$60:BD$107,4,FALSE)),"",VLOOKUP(A69,Master!AR$60:BD$107,4,FALSE))</f>
        <v/>
      </c>
      <c r="F69" s="124" t="str">
        <f>IF(ISNA(VLOOKUP(A69,Master!AR$60:BD$107,5,FALSE)),"",VLOOKUP(A69,Master!AR$60:BD$107,5,FALSE))</f>
        <v/>
      </c>
      <c r="G69" s="419" t="str">
        <f>IF(ISNA(VLOOKUP(A69,Master!AR$60:BD$107,6,FALSE)),"",VLOOKUP(A69,Master!AR$60:BD$107,6,FALSE))</f>
        <v/>
      </c>
      <c r="H69" s="419" t="str">
        <f t="shared" si="83"/>
        <v/>
      </c>
      <c r="I69" s="420" t="str">
        <f t="shared" ca="1" si="84"/>
        <v/>
      </c>
      <c r="J69" s="419" t="str">
        <f t="shared" si="85"/>
        <v/>
      </c>
      <c r="K69" s="419" t="str">
        <f t="shared" si="86"/>
        <v/>
      </c>
      <c r="L69" s="419" t="str">
        <f t="shared" si="87"/>
        <v/>
      </c>
      <c r="M69" s="419" t="str">
        <f>IF(ISNA(VLOOKUP(A69,Master!AR$60:BD$107,12,FALSE)),"",VLOOKUP(A69,Master!AR$60:BD$107,12,FALSE))</f>
        <v/>
      </c>
      <c r="N69" s="163"/>
      <c r="O69" s="163"/>
      <c r="P69" s="163"/>
      <c r="Q69" s="163">
        <f t="shared" si="55"/>
        <v>0</v>
      </c>
      <c r="R69" s="52">
        <f t="shared" si="103"/>
        <v>1</v>
      </c>
      <c r="S69" s="1" t="str">
        <f>IF(ISNA(VLOOKUP(A69,Master!AR$60:BD$107,10,FALSE)),"",VLOOKUP(A69,Master!AR$60:BD$107,10,FALSE))</f>
        <v/>
      </c>
      <c r="T69" s="77"/>
      <c r="U69" s="77"/>
      <c r="V69" s="78" t="str">
        <f>IF(ISNA(VLOOKUP(A69,Master!AR$60:BD$107,11,FALSE)),"",VLOOKUP(A69,Master!AR$60:BD$107,11,FALSE))</f>
        <v/>
      </c>
      <c r="W69" s="78" t="str">
        <f>IF(ISNA(VLOOKUP(A69,Master!AR$60:BD$107,9,FALSE)),"",VLOOKUP(A69,Master!AR$60:BD$107,9,FALSE))</f>
        <v/>
      </c>
      <c r="X69" s="79">
        <f t="shared" si="56"/>
        <v>0</v>
      </c>
      <c r="Y69" s="79">
        <f t="shared" si="57"/>
        <v>0</v>
      </c>
      <c r="Z69" s="79">
        <f t="shared" si="58"/>
        <v>0</v>
      </c>
      <c r="AA69" s="79">
        <f t="shared" si="59"/>
        <v>0</v>
      </c>
      <c r="AB69" s="79">
        <f t="shared" si="60"/>
        <v>0</v>
      </c>
      <c r="AC69" s="79">
        <f t="shared" si="61"/>
        <v>0</v>
      </c>
      <c r="AD69" s="80" t="str">
        <f t="shared" si="88"/>
        <v/>
      </c>
      <c r="AE69" s="80" t="str">
        <f t="shared" si="89"/>
        <v/>
      </c>
      <c r="AF69" s="80" t="str">
        <f t="shared" si="90"/>
        <v/>
      </c>
      <c r="AG69" s="80" t="str">
        <f t="shared" si="91"/>
        <v/>
      </c>
      <c r="AH69" s="80" t="str">
        <f t="shared" si="92"/>
        <v/>
      </c>
      <c r="AI69" s="78" t="str">
        <f t="shared" si="93"/>
        <v/>
      </c>
      <c r="AJ69" s="78">
        <v>0</v>
      </c>
      <c r="AK69" s="79">
        <v>0</v>
      </c>
      <c r="AL69" s="78" t="str">
        <f t="shared" si="94"/>
        <v/>
      </c>
      <c r="AM69" s="79">
        <f t="shared" si="62"/>
        <v>0</v>
      </c>
      <c r="AN69" s="78">
        <f t="shared" si="48"/>
        <v>0</v>
      </c>
      <c r="AO69" s="78">
        <f t="shared" si="63"/>
        <v>0</v>
      </c>
      <c r="AP69" s="78">
        <f t="shared" si="64"/>
        <v>0</v>
      </c>
      <c r="AQ69" s="78">
        <f t="shared" si="65"/>
        <v>0</v>
      </c>
      <c r="AR69" s="80">
        <f t="shared" si="66"/>
        <v>0</v>
      </c>
      <c r="AS69" s="80">
        <f t="shared" si="67"/>
        <v>0</v>
      </c>
      <c r="AT69" s="78"/>
      <c r="AU69" s="78"/>
      <c r="AV69" s="80">
        <f t="shared" si="95"/>
        <v>0</v>
      </c>
      <c r="AW69" s="80">
        <f t="shared" si="68"/>
        <v>0</v>
      </c>
      <c r="AX69" s="80">
        <f t="shared" si="69"/>
        <v>0</v>
      </c>
      <c r="AY69" s="80">
        <f t="shared" si="70"/>
        <v>0</v>
      </c>
      <c r="AZ69" s="80">
        <f t="shared" si="71"/>
        <v>0</v>
      </c>
      <c r="BA69" s="78">
        <f t="shared" si="96"/>
        <v>0</v>
      </c>
      <c r="BB69" s="78">
        <f t="shared" si="72"/>
        <v>0</v>
      </c>
      <c r="BC69" s="79">
        <v>0</v>
      </c>
      <c r="BD69" s="78">
        <f t="shared" si="97"/>
        <v>0</v>
      </c>
      <c r="BE69" s="79">
        <f t="shared" si="73"/>
        <v>0</v>
      </c>
      <c r="BF69" s="78">
        <f t="shared" si="49"/>
        <v>0</v>
      </c>
      <c r="BG69" s="78">
        <f t="shared" si="74"/>
        <v>0</v>
      </c>
      <c r="BH69" s="78">
        <f t="shared" si="75"/>
        <v>0</v>
      </c>
      <c r="BI69" s="78">
        <f t="shared" si="76"/>
        <v>0</v>
      </c>
      <c r="BJ69" s="80">
        <f t="shared" si="98"/>
        <v>0</v>
      </c>
      <c r="BK69" s="80">
        <f t="shared" si="99"/>
        <v>0</v>
      </c>
      <c r="BL69" s="78"/>
      <c r="BM69" s="78"/>
      <c r="BN69" s="80">
        <f t="shared" si="100"/>
        <v>0</v>
      </c>
      <c r="BO69" s="74">
        <f t="shared" si="77"/>
        <v>0</v>
      </c>
      <c r="BP69" s="74">
        <f t="shared" si="78"/>
        <v>1</v>
      </c>
      <c r="BQ69" s="74">
        <f t="shared" si="79"/>
        <v>0</v>
      </c>
      <c r="BR69" s="74">
        <f t="shared" si="80"/>
        <v>0</v>
      </c>
      <c r="BS69" s="74">
        <f t="shared" si="50"/>
        <v>0</v>
      </c>
      <c r="BT69" s="74">
        <f t="shared" si="101"/>
        <v>1</v>
      </c>
      <c r="BU69" s="60">
        <f t="shared" si="81"/>
        <v>0</v>
      </c>
      <c r="BV69" s="81">
        <f t="shared" si="102"/>
        <v>1</v>
      </c>
      <c r="BW69" s="60">
        <f t="shared" si="52"/>
        <v>0</v>
      </c>
      <c r="BX69" s="60">
        <f t="shared" si="53"/>
        <v>0</v>
      </c>
      <c r="BY69" s="49" t="str">
        <f t="shared" si="82"/>
        <v/>
      </c>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Y69" s="49"/>
    </row>
    <row r="70" spans="1:103" s="76" customFormat="1" ht="15.75">
      <c r="A70" s="125">
        <v>43</v>
      </c>
      <c r="B70" s="414" t="str">
        <f>IF(ISNA(VLOOKUP(A70,Master!AR$60:BD$107,3,FALSE)),"",VLOOKUP(A70,Master!AR$60:BD$107,3,FALSE))</f>
        <v/>
      </c>
      <c r="C70" s="415" t="str">
        <f>IF(ISNA(VLOOKUP(A70,Master!AR$60:BD$107,7,FALSE)),"",VLOOKUP(A70,Master!AR$60:BD$107,7,FALSE))</f>
        <v/>
      </c>
      <c r="D70" s="416" t="str">
        <f>IF(ISNA(VLOOKUP(A70,Master!AR$60:BD$107,8,FALSE)),"",VLOOKUP(A70,Master!AR$60:BD$107,8,FALSE))</f>
        <v/>
      </c>
      <c r="E70" s="421" t="str">
        <f>IF(ISNA(VLOOKUP(A70,Master!AR$60:BD$107,4,FALSE)),"",VLOOKUP(A70,Master!AR$60:BD$107,4,FALSE))</f>
        <v/>
      </c>
      <c r="F70" s="124" t="str">
        <f>IF(ISNA(VLOOKUP(A70,Master!AR$60:BD$107,5,FALSE)),"",VLOOKUP(A70,Master!AR$60:BD$107,5,FALSE))</f>
        <v/>
      </c>
      <c r="G70" s="419" t="str">
        <f>IF(ISNA(VLOOKUP(A70,Master!AR$60:BD$107,6,FALSE)),"",VLOOKUP(A70,Master!AR$60:BD$107,6,FALSE))</f>
        <v/>
      </c>
      <c r="H70" s="419" t="str">
        <f t="shared" si="83"/>
        <v/>
      </c>
      <c r="I70" s="420" t="str">
        <f t="shared" ca="1" si="84"/>
        <v/>
      </c>
      <c r="J70" s="419" t="str">
        <f t="shared" si="85"/>
        <v/>
      </c>
      <c r="K70" s="419" t="str">
        <f t="shared" si="86"/>
        <v/>
      </c>
      <c r="L70" s="419" t="str">
        <f t="shared" si="87"/>
        <v/>
      </c>
      <c r="M70" s="419" t="str">
        <f>IF(ISNA(VLOOKUP(A70,Master!AR$60:BD$107,12,FALSE)),"",VLOOKUP(A70,Master!AR$60:BD$107,12,FALSE))</f>
        <v/>
      </c>
      <c r="N70" s="163"/>
      <c r="O70" s="163"/>
      <c r="P70" s="163"/>
      <c r="Q70" s="163">
        <f t="shared" si="55"/>
        <v>0</v>
      </c>
      <c r="R70" s="52">
        <f t="shared" si="103"/>
        <v>1</v>
      </c>
      <c r="S70" s="1" t="str">
        <f>IF(ISNA(VLOOKUP(A70,Master!AR$60:BD$107,10,FALSE)),"",VLOOKUP(A70,Master!AR$60:BD$107,10,FALSE))</f>
        <v/>
      </c>
      <c r="T70" s="77"/>
      <c r="U70" s="77"/>
      <c r="V70" s="78" t="str">
        <f>IF(ISNA(VLOOKUP(A70,Master!AR$60:BD$107,11,FALSE)),"",VLOOKUP(A70,Master!AR$60:BD$107,11,FALSE))</f>
        <v/>
      </c>
      <c r="W70" s="78" t="str">
        <f>IF(ISNA(VLOOKUP(A70,Master!AR$60:BD$107,9,FALSE)),"",VLOOKUP(A70,Master!AR$60:BD$107,9,FALSE))</f>
        <v/>
      </c>
      <c r="X70" s="79">
        <f t="shared" si="56"/>
        <v>0</v>
      </c>
      <c r="Y70" s="79">
        <f t="shared" si="57"/>
        <v>0</v>
      </c>
      <c r="Z70" s="79">
        <f t="shared" si="58"/>
        <v>0</v>
      </c>
      <c r="AA70" s="79">
        <f t="shared" si="59"/>
        <v>0</v>
      </c>
      <c r="AB70" s="79">
        <f t="shared" si="60"/>
        <v>0</v>
      </c>
      <c r="AC70" s="79">
        <f t="shared" si="61"/>
        <v>0</v>
      </c>
      <c r="AD70" s="80" t="str">
        <f t="shared" si="88"/>
        <v/>
      </c>
      <c r="AE70" s="80" t="str">
        <f t="shared" si="89"/>
        <v/>
      </c>
      <c r="AF70" s="80" t="str">
        <f t="shared" si="90"/>
        <v/>
      </c>
      <c r="AG70" s="80" t="str">
        <f t="shared" si="91"/>
        <v/>
      </c>
      <c r="AH70" s="80" t="str">
        <f t="shared" si="92"/>
        <v/>
      </c>
      <c r="AI70" s="78" t="str">
        <f t="shared" si="93"/>
        <v/>
      </c>
      <c r="AJ70" s="78">
        <v>0</v>
      </c>
      <c r="AK70" s="79">
        <v>0</v>
      </c>
      <c r="AL70" s="78" t="str">
        <f t="shared" si="94"/>
        <v/>
      </c>
      <c r="AM70" s="79">
        <f t="shared" si="62"/>
        <v>0</v>
      </c>
      <c r="AN70" s="78">
        <f t="shared" si="48"/>
        <v>0</v>
      </c>
      <c r="AO70" s="78">
        <f t="shared" si="63"/>
        <v>0</v>
      </c>
      <c r="AP70" s="78">
        <f t="shared" si="64"/>
        <v>0</v>
      </c>
      <c r="AQ70" s="78">
        <f t="shared" si="65"/>
        <v>0</v>
      </c>
      <c r="AR70" s="80">
        <f t="shared" si="66"/>
        <v>0</v>
      </c>
      <c r="AS70" s="80">
        <f t="shared" si="67"/>
        <v>0</v>
      </c>
      <c r="AT70" s="78"/>
      <c r="AU70" s="78"/>
      <c r="AV70" s="80">
        <f t="shared" si="95"/>
        <v>0</v>
      </c>
      <c r="AW70" s="80">
        <f t="shared" si="68"/>
        <v>0</v>
      </c>
      <c r="AX70" s="80">
        <f t="shared" si="69"/>
        <v>0</v>
      </c>
      <c r="AY70" s="80">
        <f t="shared" si="70"/>
        <v>0</v>
      </c>
      <c r="AZ70" s="80">
        <f t="shared" si="71"/>
        <v>0</v>
      </c>
      <c r="BA70" s="78">
        <f t="shared" si="96"/>
        <v>0</v>
      </c>
      <c r="BB70" s="78">
        <f t="shared" si="72"/>
        <v>0</v>
      </c>
      <c r="BC70" s="79">
        <v>0</v>
      </c>
      <c r="BD70" s="78">
        <f t="shared" si="97"/>
        <v>0</v>
      </c>
      <c r="BE70" s="79">
        <f t="shared" si="73"/>
        <v>0</v>
      </c>
      <c r="BF70" s="78">
        <f t="shared" si="49"/>
        <v>0</v>
      </c>
      <c r="BG70" s="78">
        <f t="shared" si="74"/>
        <v>0</v>
      </c>
      <c r="BH70" s="78">
        <f t="shared" si="75"/>
        <v>0</v>
      </c>
      <c r="BI70" s="78">
        <f t="shared" si="76"/>
        <v>0</v>
      </c>
      <c r="BJ70" s="80">
        <f t="shared" si="98"/>
        <v>0</v>
      </c>
      <c r="BK70" s="80">
        <f t="shared" si="99"/>
        <v>0</v>
      </c>
      <c r="BL70" s="78"/>
      <c r="BM70" s="78"/>
      <c r="BN70" s="80">
        <f t="shared" si="100"/>
        <v>0</v>
      </c>
      <c r="BO70" s="74">
        <f t="shared" si="77"/>
        <v>0</v>
      </c>
      <c r="BP70" s="74">
        <f t="shared" si="78"/>
        <v>1</v>
      </c>
      <c r="BQ70" s="74">
        <f t="shared" si="79"/>
        <v>0</v>
      </c>
      <c r="BR70" s="74">
        <f t="shared" si="80"/>
        <v>0</v>
      </c>
      <c r="BS70" s="74">
        <f t="shared" si="50"/>
        <v>0</v>
      </c>
      <c r="BT70" s="74">
        <f t="shared" si="101"/>
        <v>1</v>
      </c>
      <c r="BU70" s="60">
        <f t="shared" si="81"/>
        <v>0</v>
      </c>
      <c r="BV70" s="81">
        <f t="shared" si="102"/>
        <v>1</v>
      </c>
      <c r="BW70" s="60">
        <f t="shared" si="52"/>
        <v>0</v>
      </c>
      <c r="BX70" s="60">
        <f t="shared" si="53"/>
        <v>0</v>
      </c>
      <c r="BY70" s="49" t="str">
        <f t="shared" si="82"/>
        <v/>
      </c>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Y70" s="49"/>
    </row>
    <row r="71" spans="1:103" s="76" customFormat="1" ht="15.75">
      <c r="A71" s="125">
        <v>44</v>
      </c>
      <c r="B71" s="414" t="str">
        <f>IF(ISNA(VLOOKUP(A71,Master!AR$60:BD$107,3,FALSE)),"",VLOOKUP(A71,Master!AR$60:BD$107,3,FALSE))</f>
        <v/>
      </c>
      <c r="C71" s="415" t="str">
        <f>IF(ISNA(VLOOKUP(A71,Master!AR$60:BD$107,7,FALSE)),"",VLOOKUP(A71,Master!AR$60:BD$107,7,FALSE))</f>
        <v/>
      </c>
      <c r="D71" s="416" t="str">
        <f>IF(ISNA(VLOOKUP(A71,Master!AR$60:BD$107,8,FALSE)),"",VLOOKUP(A71,Master!AR$60:BD$107,8,FALSE))</f>
        <v/>
      </c>
      <c r="E71" s="421" t="str">
        <f>IF(ISNA(VLOOKUP(A71,Master!AR$60:BD$107,4,FALSE)),"",VLOOKUP(A71,Master!AR$60:BD$107,4,FALSE))</f>
        <v/>
      </c>
      <c r="F71" s="124" t="str">
        <f>IF(ISNA(VLOOKUP(A71,Master!AR$60:BD$107,5,FALSE)),"",VLOOKUP(A71,Master!AR$60:BD$107,5,FALSE))</f>
        <v/>
      </c>
      <c r="G71" s="419" t="str">
        <f>IF(ISNA(VLOOKUP(A71,Master!AR$60:BD$107,6,FALSE)),"",VLOOKUP(A71,Master!AR$60:BD$107,6,FALSE))</f>
        <v/>
      </c>
      <c r="H71" s="419" t="str">
        <f t="shared" si="83"/>
        <v/>
      </c>
      <c r="I71" s="420" t="str">
        <f t="shared" ca="1" si="84"/>
        <v/>
      </c>
      <c r="J71" s="419" t="str">
        <f t="shared" si="85"/>
        <v/>
      </c>
      <c r="K71" s="419" t="str">
        <f t="shared" si="86"/>
        <v/>
      </c>
      <c r="L71" s="419" t="str">
        <f t="shared" si="87"/>
        <v/>
      </c>
      <c r="M71" s="419" t="str">
        <f>IF(ISNA(VLOOKUP(A71,Master!AR$60:BD$107,12,FALSE)),"",VLOOKUP(A71,Master!AR$60:BD$107,12,FALSE))</f>
        <v/>
      </c>
      <c r="N71" s="163"/>
      <c r="O71" s="163"/>
      <c r="P71" s="163"/>
      <c r="Q71" s="163">
        <f t="shared" si="55"/>
        <v>0</v>
      </c>
      <c r="R71" s="52">
        <f t="shared" si="103"/>
        <v>1</v>
      </c>
      <c r="S71" s="1" t="str">
        <f>IF(ISNA(VLOOKUP(A71,Master!AR$60:BD$107,10,FALSE)),"",VLOOKUP(A71,Master!AR$60:BD$107,10,FALSE))</f>
        <v/>
      </c>
      <c r="T71" s="77"/>
      <c r="U71" s="77"/>
      <c r="V71" s="78" t="str">
        <f>IF(ISNA(VLOOKUP(A71,Master!AR$60:BD$107,11,FALSE)),"",VLOOKUP(A71,Master!AR$60:BD$107,11,FALSE))</f>
        <v/>
      </c>
      <c r="W71" s="78" t="str">
        <f>IF(ISNA(VLOOKUP(A71,Master!AR$60:BD$107,9,FALSE)),"",VLOOKUP(A71,Master!AR$60:BD$107,9,FALSE))</f>
        <v/>
      </c>
      <c r="X71" s="79">
        <f t="shared" si="56"/>
        <v>0</v>
      </c>
      <c r="Y71" s="79">
        <f t="shared" si="57"/>
        <v>0</v>
      </c>
      <c r="Z71" s="79">
        <f t="shared" si="58"/>
        <v>0</v>
      </c>
      <c r="AA71" s="79">
        <f t="shared" si="59"/>
        <v>0</v>
      </c>
      <c r="AB71" s="79">
        <f t="shared" si="60"/>
        <v>0</v>
      </c>
      <c r="AC71" s="79">
        <f t="shared" si="61"/>
        <v>0</v>
      </c>
      <c r="AD71" s="80" t="str">
        <f>IF(AND(G71=""),"",G71-ROUNDUP(ROUND((G71*3%)-(G71*3%)*2.9%,-2),0))</f>
        <v/>
      </c>
      <c r="AE71" s="80" t="str">
        <f t="shared" si="89"/>
        <v/>
      </c>
      <c r="AF71" s="80" t="str">
        <f t="shared" si="90"/>
        <v/>
      </c>
      <c r="AG71" s="80" t="str">
        <f t="shared" si="91"/>
        <v/>
      </c>
      <c r="AH71" s="80" t="str">
        <f t="shared" si="92"/>
        <v/>
      </c>
      <c r="AI71" s="78" t="str">
        <f t="shared" si="93"/>
        <v/>
      </c>
      <c r="AJ71" s="78">
        <v>0</v>
      </c>
      <c r="AK71" s="79">
        <v>0</v>
      </c>
      <c r="AL71" s="78" t="str">
        <f t="shared" si="94"/>
        <v/>
      </c>
      <c r="AM71" s="79">
        <f t="shared" si="62"/>
        <v>0</v>
      </c>
      <c r="AN71" s="78">
        <f t="shared" si="48"/>
        <v>0</v>
      </c>
      <c r="AO71" s="78">
        <f t="shared" si="63"/>
        <v>0</v>
      </c>
      <c r="AP71" s="78">
        <f t="shared" si="64"/>
        <v>0</v>
      </c>
      <c r="AQ71" s="78">
        <f t="shared" si="65"/>
        <v>0</v>
      </c>
      <c r="AR71" s="80">
        <f t="shared" si="66"/>
        <v>0</v>
      </c>
      <c r="AS71" s="80">
        <f t="shared" si="67"/>
        <v>0</v>
      </c>
      <c r="AT71" s="78"/>
      <c r="AU71" s="78"/>
      <c r="AV71" s="80">
        <f t="shared" si="95"/>
        <v>0</v>
      </c>
      <c r="AW71" s="80">
        <f t="shared" si="68"/>
        <v>0</v>
      </c>
      <c r="AX71" s="80">
        <f t="shared" si="69"/>
        <v>0</v>
      </c>
      <c r="AY71" s="80">
        <f t="shared" si="70"/>
        <v>0</v>
      </c>
      <c r="AZ71" s="80">
        <f t="shared" si="71"/>
        <v>0</v>
      </c>
      <c r="BA71" s="78">
        <f t="shared" si="96"/>
        <v>0</v>
      </c>
      <c r="BB71" s="78">
        <f t="shared" si="72"/>
        <v>0</v>
      </c>
      <c r="BC71" s="79">
        <v>0</v>
      </c>
      <c r="BD71" s="78">
        <f t="shared" si="97"/>
        <v>0</v>
      </c>
      <c r="BE71" s="79">
        <f t="shared" si="73"/>
        <v>0</v>
      </c>
      <c r="BF71" s="78">
        <f t="shared" si="49"/>
        <v>0</v>
      </c>
      <c r="BG71" s="78">
        <f t="shared" si="74"/>
        <v>0</v>
      </c>
      <c r="BH71" s="78">
        <f t="shared" si="75"/>
        <v>0</v>
      </c>
      <c r="BI71" s="78">
        <f t="shared" si="76"/>
        <v>0</v>
      </c>
      <c r="BJ71" s="80">
        <f t="shared" si="98"/>
        <v>0</v>
      </c>
      <c r="BK71" s="80">
        <f t="shared" si="99"/>
        <v>0</v>
      </c>
      <c r="BL71" s="78"/>
      <c r="BM71" s="78"/>
      <c r="BN71" s="80">
        <f t="shared" si="100"/>
        <v>0</v>
      </c>
      <c r="BO71" s="74">
        <f t="shared" si="77"/>
        <v>0</v>
      </c>
      <c r="BP71" s="74">
        <f t="shared" si="78"/>
        <v>1</v>
      </c>
      <c r="BQ71" s="74">
        <f t="shared" si="79"/>
        <v>0</v>
      </c>
      <c r="BR71" s="74">
        <f t="shared" si="80"/>
        <v>0</v>
      </c>
      <c r="BS71" s="74">
        <f t="shared" si="50"/>
        <v>0</v>
      </c>
      <c r="BT71" s="74">
        <f t="shared" si="101"/>
        <v>1</v>
      </c>
      <c r="BU71" s="60">
        <f t="shared" si="81"/>
        <v>0</v>
      </c>
      <c r="BV71" s="81">
        <f t="shared" si="102"/>
        <v>1</v>
      </c>
      <c r="BW71" s="60">
        <f t="shared" si="52"/>
        <v>0</v>
      </c>
      <c r="BX71" s="60">
        <f t="shared" si="53"/>
        <v>0</v>
      </c>
      <c r="BY71" s="49" t="str">
        <f t="shared" si="82"/>
        <v/>
      </c>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Y71" s="49"/>
    </row>
    <row r="72" spans="1:103" s="76" customFormat="1" ht="15.75">
      <c r="A72" s="675"/>
      <c r="B72" s="422"/>
      <c r="C72" s="423"/>
      <c r="D72" s="423"/>
      <c r="E72" s="424" t="s">
        <v>181</v>
      </c>
      <c r="F72" s="128"/>
      <c r="G72" s="129"/>
      <c r="H72" s="436">
        <f>SUM(H28:H71)</f>
        <v>9639600</v>
      </c>
      <c r="I72" s="436"/>
      <c r="J72" s="436">
        <f t="shared" ref="J72:L72" si="104">SUM(J28:J71)</f>
        <v>189600</v>
      </c>
      <c r="K72" s="436">
        <f t="shared" si="104"/>
        <v>9829200</v>
      </c>
      <c r="L72" s="436">
        <f t="shared" si="104"/>
        <v>9546400</v>
      </c>
      <c r="M72" s="130"/>
      <c r="N72" s="165"/>
      <c r="O72" s="165"/>
      <c r="P72" s="165"/>
      <c r="Q72" s="165"/>
      <c r="R72" s="52"/>
      <c r="S72" s="1"/>
      <c r="T72" s="75"/>
      <c r="U72" s="75"/>
      <c r="V72" s="75"/>
      <c r="W72" s="75"/>
      <c r="X72" s="75"/>
      <c r="Y72" s="75"/>
      <c r="Z72" s="75"/>
      <c r="AA72" s="75"/>
      <c r="AB72" s="75"/>
      <c r="AC72" s="75"/>
      <c r="AD72" s="80"/>
      <c r="AE72" s="75"/>
      <c r="AF72" s="75"/>
      <c r="AG72" s="75"/>
      <c r="AH72" s="75"/>
      <c r="AI72" s="75"/>
      <c r="AJ72" s="75"/>
      <c r="AK72" s="75"/>
      <c r="AL72" s="75"/>
      <c r="AM72" s="75"/>
      <c r="AN72" s="78"/>
      <c r="AO72" s="75"/>
      <c r="AP72" s="75"/>
      <c r="AQ72" s="75"/>
      <c r="AR72" s="75"/>
      <c r="AS72" s="75"/>
      <c r="AT72" s="75"/>
      <c r="AU72" s="75"/>
      <c r="AV72" s="75"/>
      <c r="AW72" s="75"/>
      <c r="AX72" s="75"/>
      <c r="AY72" s="75"/>
      <c r="AZ72" s="75"/>
      <c r="BA72" s="75"/>
      <c r="BB72" s="75"/>
      <c r="BC72" s="75"/>
      <c r="BD72" s="75"/>
      <c r="BE72" s="75"/>
      <c r="BF72" s="78"/>
      <c r="BG72" s="75"/>
      <c r="BH72" s="78"/>
      <c r="BI72" s="75"/>
      <c r="BJ72" s="75"/>
      <c r="BK72" s="75"/>
      <c r="BL72" s="75"/>
      <c r="BM72" s="75"/>
      <c r="BN72" s="75"/>
      <c r="BO72" s="74"/>
      <c r="BP72" s="74"/>
      <c r="BQ72" s="74"/>
      <c r="BR72" s="74"/>
      <c r="BS72" s="74"/>
      <c r="BT72" s="74"/>
      <c r="BU72" s="60"/>
      <c r="BV72" s="60" t="str">
        <f t="shared" ref="BV72:BV85" si="105">MID(C72,5,4)</f>
        <v/>
      </c>
      <c r="BW72" s="60"/>
      <c r="BX72" s="60"/>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row>
    <row r="73" spans="1:103" s="76" customFormat="1" ht="15.75">
      <c r="A73" s="675"/>
      <c r="B73" s="422"/>
      <c r="C73" s="423"/>
      <c r="D73" s="423"/>
      <c r="E73" s="424" t="s">
        <v>182</v>
      </c>
      <c r="F73" s="129"/>
      <c r="G73" s="129"/>
      <c r="H73" s="436">
        <f>H26+H72</f>
        <v>10495200</v>
      </c>
      <c r="I73" s="436"/>
      <c r="J73" s="436">
        <f>J26+J72</f>
        <v>206400</v>
      </c>
      <c r="K73" s="436">
        <f>K26+K72</f>
        <v>10701600</v>
      </c>
      <c r="L73" s="436">
        <f>L26+L72</f>
        <v>10393600</v>
      </c>
      <c r="M73" s="131"/>
      <c r="N73" s="166"/>
      <c r="O73" s="166"/>
      <c r="P73" s="166"/>
      <c r="Q73" s="166"/>
      <c r="R73" s="52"/>
      <c r="S73" s="1"/>
      <c r="T73" s="75"/>
      <c r="U73" s="75"/>
      <c r="V73" s="75"/>
      <c r="W73" s="75"/>
      <c r="X73" s="75"/>
      <c r="Y73" s="75"/>
      <c r="Z73" s="75"/>
      <c r="AA73" s="75"/>
      <c r="AB73" s="75"/>
      <c r="AC73" s="75"/>
      <c r="AD73" s="80"/>
      <c r="AE73" s="75"/>
      <c r="AF73" s="75"/>
      <c r="AG73" s="75"/>
      <c r="AH73" s="75"/>
      <c r="AI73" s="75"/>
      <c r="AJ73" s="75"/>
      <c r="AK73" s="75"/>
      <c r="AL73" s="75"/>
      <c r="AM73" s="75"/>
      <c r="AN73" s="78"/>
      <c r="AO73" s="75"/>
      <c r="AP73" s="75"/>
      <c r="AQ73" s="75"/>
      <c r="AR73" s="75"/>
      <c r="AS73" s="75"/>
      <c r="AT73" s="75"/>
      <c r="AU73" s="75"/>
      <c r="AV73" s="75"/>
      <c r="AW73" s="75"/>
      <c r="AX73" s="75"/>
      <c r="AY73" s="75"/>
      <c r="AZ73" s="75"/>
      <c r="BA73" s="75"/>
      <c r="BB73" s="75"/>
      <c r="BC73" s="75"/>
      <c r="BD73" s="75"/>
      <c r="BE73" s="75"/>
      <c r="BF73" s="78"/>
      <c r="BG73" s="75"/>
      <c r="BH73" s="78"/>
      <c r="BI73" s="75"/>
      <c r="BJ73" s="75"/>
      <c r="BK73" s="75"/>
      <c r="BL73" s="75"/>
      <c r="BM73" s="75"/>
      <c r="BN73" s="75"/>
      <c r="BO73" s="74"/>
      <c r="BP73" s="74"/>
      <c r="BQ73" s="74"/>
      <c r="BR73" s="74"/>
      <c r="BS73" s="74"/>
      <c r="BT73" s="74"/>
      <c r="BU73" s="60"/>
      <c r="BV73" s="60" t="str">
        <f t="shared" si="105"/>
        <v/>
      </c>
      <c r="BW73" s="60"/>
      <c r="BX73" s="60"/>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row>
    <row r="74" spans="1:103" s="76" customFormat="1" ht="15.75">
      <c r="A74" s="675"/>
      <c r="B74" s="422"/>
      <c r="C74" s="423"/>
      <c r="D74" s="423"/>
      <c r="E74" s="424" t="s">
        <v>183</v>
      </c>
      <c r="F74" s="129"/>
      <c r="G74" s="129"/>
      <c r="H74" s="435">
        <f>H73</f>
        <v>10495200</v>
      </c>
      <c r="I74" s="435"/>
      <c r="J74" s="435">
        <f>J73</f>
        <v>206400</v>
      </c>
      <c r="K74" s="435">
        <f>K73</f>
        <v>10701600</v>
      </c>
      <c r="L74" s="435">
        <f>L73</f>
        <v>10393600</v>
      </c>
      <c r="M74" s="131"/>
      <c r="N74" s="166"/>
      <c r="O74" s="166"/>
      <c r="P74" s="166"/>
      <c r="Q74" s="166"/>
      <c r="R74" s="52"/>
      <c r="S74" s="1"/>
      <c r="T74" s="75"/>
      <c r="U74" s="75"/>
      <c r="V74" s="75"/>
      <c r="W74" s="75"/>
      <c r="X74" s="75"/>
      <c r="Y74" s="75"/>
      <c r="Z74" s="75"/>
      <c r="AA74" s="75"/>
      <c r="AB74" s="75"/>
      <c r="AC74" s="75"/>
      <c r="AD74" s="80"/>
      <c r="AE74" s="75"/>
      <c r="AF74" s="75"/>
      <c r="AG74" s="75"/>
      <c r="AH74" s="75"/>
      <c r="AI74" s="75"/>
      <c r="AJ74" s="75"/>
      <c r="AK74" s="75"/>
      <c r="AL74" s="75"/>
      <c r="AM74" s="75"/>
      <c r="AN74" s="78"/>
      <c r="AO74" s="75"/>
      <c r="AP74" s="75"/>
      <c r="AQ74" s="75"/>
      <c r="AR74" s="75"/>
      <c r="AS74" s="75"/>
      <c r="AT74" s="75"/>
      <c r="AU74" s="75"/>
      <c r="AV74" s="75"/>
      <c r="AW74" s="75"/>
      <c r="AX74" s="75"/>
      <c r="AY74" s="75"/>
      <c r="AZ74" s="75"/>
      <c r="BA74" s="75"/>
      <c r="BB74" s="75"/>
      <c r="BC74" s="75"/>
      <c r="BD74" s="75"/>
      <c r="BE74" s="75"/>
      <c r="BF74" s="78"/>
      <c r="BG74" s="75"/>
      <c r="BH74" s="78"/>
      <c r="BI74" s="75"/>
      <c r="BJ74" s="75"/>
      <c r="BK74" s="75"/>
      <c r="BL74" s="75"/>
      <c r="BM74" s="75"/>
      <c r="BN74" s="75"/>
      <c r="BO74" s="74"/>
      <c r="BP74" s="74"/>
      <c r="BQ74" s="74"/>
      <c r="BR74" s="74"/>
      <c r="BS74" s="74"/>
      <c r="BT74" s="74"/>
      <c r="BU74" s="60"/>
      <c r="BV74" s="60" t="str">
        <f t="shared" si="105"/>
        <v/>
      </c>
      <c r="BW74" s="60"/>
      <c r="BX74" s="60"/>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row>
    <row r="75" spans="1:103" s="76" customFormat="1" ht="15.75">
      <c r="A75" s="676"/>
      <c r="B75" s="426"/>
      <c r="C75" s="427"/>
      <c r="D75" s="428"/>
      <c r="E75" s="429">
        <v>0.28000000000000003</v>
      </c>
      <c r="F75" s="132"/>
      <c r="G75" s="133"/>
      <c r="H75" s="437"/>
      <c r="I75" s="440"/>
      <c r="J75" s="437"/>
      <c r="K75" s="441">
        <f>ROUND(K73*E75,0)</f>
        <v>2996448</v>
      </c>
      <c r="L75" s="441">
        <f>ROUND(L73*E75,0)</f>
        <v>2910208</v>
      </c>
      <c r="M75" s="133"/>
      <c r="N75" s="167"/>
      <c r="O75" s="167"/>
      <c r="P75" s="167"/>
      <c r="Q75" s="167">
        <v>0</v>
      </c>
      <c r="R75" s="52"/>
      <c r="S75" s="1"/>
      <c r="T75" s="75"/>
      <c r="U75" s="75"/>
      <c r="V75" s="75"/>
      <c r="W75" s="75"/>
      <c r="X75" s="75"/>
      <c r="Y75" s="75"/>
      <c r="Z75" s="75"/>
      <c r="AA75" s="75"/>
      <c r="AB75" s="75"/>
      <c r="AC75" s="75"/>
      <c r="AD75" s="80"/>
      <c r="AE75" s="75"/>
      <c r="AF75" s="75"/>
      <c r="AG75" s="75"/>
      <c r="AH75" s="75"/>
      <c r="AI75" s="75"/>
      <c r="AJ75" s="75"/>
      <c r="AK75" s="75"/>
      <c r="AL75" s="75"/>
      <c r="AM75" s="75"/>
      <c r="AN75" s="78"/>
      <c r="AO75" s="75"/>
      <c r="AP75" s="75"/>
      <c r="AQ75" s="75"/>
      <c r="AR75" s="75"/>
      <c r="AS75" s="75"/>
      <c r="AT75" s="75"/>
      <c r="AU75" s="75"/>
      <c r="AV75" s="75"/>
      <c r="AW75" s="75"/>
      <c r="AX75" s="75"/>
      <c r="AY75" s="75"/>
      <c r="AZ75" s="75"/>
      <c r="BA75" s="75"/>
      <c r="BB75" s="75"/>
      <c r="BC75" s="75"/>
      <c r="BD75" s="75"/>
      <c r="BE75" s="75"/>
      <c r="BF75" s="78"/>
      <c r="BG75" s="75"/>
      <c r="BH75" s="78"/>
      <c r="BI75" s="75"/>
      <c r="BJ75" s="75"/>
      <c r="BK75" s="75"/>
      <c r="BL75" s="75"/>
      <c r="BM75" s="75"/>
      <c r="BN75" s="75"/>
      <c r="BO75" s="74"/>
      <c r="BP75" s="74"/>
      <c r="BQ75" s="74"/>
      <c r="BR75" s="74"/>
      <c r="BS75" s="74"/>
      <c r="BT75" s="74"/>
      <c r="BU75" s="60"/>
      <c r="BV75" s="60" t="str">
        <f t="shared" si="105"/>
        <v/>
      </c>
      <c r="BW75" s="60"/>
      <c r="BX75" s="60"/>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row>
    <row r="76" spans="1:103" s="76" customFormat="1" ht="15.75">
      <c r="A76" s="676"/>
      <c r="B76" s="426"/>
      <c r="C76" s="804">
        <v>0.05</v>
      </c>
      <c r="D76" s="804"/>
      <c r="E76" s="805"/>
      <c r="F76" s="132"/>
      <c r="G76" s="133"/>
      <c r="H76" s="437"/>
      <c r="I76" s="440"/>
      <c r="J76" s="437"/>
      <c r="K76" s="441">
        <f>ROUND(K73*C76,0)</f>
        <v>535080</v>
      </c>
      <c r="L76" s="441">
        <f>ROUND(L73*C76,0)</f>
        <v>519680</v>
      </c>
      <c r="M76" s="133"/>
      <c r="N76" s="167"/>
      <c r="O76" s="167"/>
      <c r="P76" s="167"/>
      <c r="Q76" s="167">
        <v>0</v>
      </c>
      <c r="R76" s="52"/>
      <c r="S76" s="1"/>
      <c r="T76" s="75"/>
      <c r="U76" s="75"/>
      <c r="V76" s="75"/>
      <c r="W76" s="75"/>
      <c r="X76" s="75"/>
      <c r="Y76" s="75"/>
      <c r="Z76" s="75"/>
      <c r="AA76" s="75"/>
      <c r="AB76" s="75"/>
      <c r="AC76" s="75"/>
      <c r="AD76" s="80"/>
      <c r="AE76" s="75"/>
      <c r="AF76" s="75"/>
      <c r="AG76" s="75"/>
      <c r="AH76" s="75"/>
      <c r="AI76" s="75"/>
      <c r="AJ76" s="75"/>
      <c r="AK76" s="75"/>
      <c r="AL76" s="75"/>
      <c r="AM76" s="75"/>
      <c r="AN76" s="78"/>
      <c r="AO76" s="75"/>
      <c r="AP76" s="75"/>
      <c r="AQ76" s="75"/>
      <c r="AR76" s="75"/>
      <c r="AS76" s="75"/>
      <c r="AT76" s="75"/>
      <c r="AU76" s="75"/>
      <c r="AV76" s="75"/>
      <c r="AW76" s="75"/>
      <c r="AX76" s="75"/>
      <c r="AY76" s="75"/>
      <c r="AZ76" s="75"/>
      <c r="BA76" s="75"/>
      <c r="BB76" s="75"/>
      <c r="BC76" s="75"/>
      <c r="BD76" s="75"/>
      <c r="BE76" s="75"/>
      <c r="BF76" s="78"/>
      <c r="BG76" s="75"/>
      <c r="BH76" s="78"/>
      <c r="BI76" s="75"/>
      <c r="BJ76" s="75"/>
      <c r="BK76" s="75"/>
      <c r="BL76" s="75"/>
      <c r="BM76" s="75"/>
      <c r="BN76" s="75"/>
      <c r="BO76" s="74"/>
      <c r="BP76" s="74"/>
      <c r="BQ76" s="74"/>
      <c r="BR76" s="74"/>
      <c r="BS76" s="74"/>
      <c r="BT76" s="74"/>
      <c r="BU76" s="60"/>
      <c r="BV76" s="60" t="str">
        <f t="shared" si="105"/>
        <v/>
      </c>
      <c r="BW76" s="60"/>
      <c r="BX76" s="60"/>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row>
    <row r="77" spans="1:103" s="76" customFormat="1" ht="15.75">
      <c r="A77" s="676"/>
      <c r="B77" s="426"/>
      <c r="C77" s="427"/>
      <c r="D77" s="425"/>
      <c r="E77" s="430" t="s">
        <v>184</v>
      </c>
      <c r="F77" s="132"/>
      <c r="G77" s="133"/>
      <c r="H77" s="437"/>
      <c r="I77" s="440"/>
      <c r="J77" s="437"/>
      <c r="K77" s="438">
        <v>0</v>
      </c>
      <c r="L77" s="438">
        <v>0</v>
      </c>
      <c r="M77" s="133"/>
      <c r="N77" s="167"/>
      <c r="O77" s="167"/>
      <c r="P77" s="167"/>
      <c r="Q77" s="167">
        <v>0</v>
      </c>
      <c r="R77" s="52"/>
      <c r="S77" s="1"/>
      <c r="T77" s="75"/>
      <c r="U77" s="75"/>
      <c r="V77" s="75"/>
      <c r="W77" s="75"/>
      <c r="X77" s="75"/>
      <c r="Y77" s="75"/>
      <c r="Z77" s="75"/>
      <c r="AA77" s="75"/>
      <c r="AB77" s="75"/>
      <c r="AC77" s="75"/>
      <c r="AD77" s="80"/>
      <c r="AE77" s="75"/>
      <c r="AF77" s="75"/>
      <c r="AG77" s="75"/>
      <c r="AH77" s="75"/>
      <c r="AI77" s="75"/>
      <c r="AJ77" s="75"/>
      <c r="AK77" s="75"/>
      <c r="AL77" s="75"/>
      <c r="AM77" s="75"/>
      <c r="AN77" s="78"/>
      <c r="AO77" s="75"/>
      <c r="AP77" s="75"/>
      <c r="AQ77" s="75"/>
      <c r="AR77" s="75"/>
      <c r="AS77" s="75"/>
      <c r="AT77" s="75"/>
      <c r="AU77" s="75"/>
      <c r="AV77" s="75"/>
      <c r="AW77" s="75"/>
      <c r="AX77" s="75"/>
      <c r="AY77" s="75"/>
      <c r="AZ77" s="75"/>
      <c r="BA77" s="75"/>
      <c r="BB77" s="75"/>
      <c r="BC77" s="75"/>
      <c r="BD77" s="75"/>
      <c r="BE77" s="75"/>
      <c r="BF77" s="78"/>
      <c r="BG77" s="75"/>
      <c r="BH77" s="78"/>
      <c r="BI77" s="75"/>
      <c r="BJ77" s="75"/>
      <c r="BK77" s="75"/>
      <c r="BL77" s="75"/>
      <c r="BM77" s="75"/>
      <c r="BN77" s="75"/>
      <c r="BO77" s="74"/>
      <c r="BP77" s="74"/>
      <c r="BQ77" s="74"/>
      <c r="BR77" s="74"/>
      <c r="BS77" s="74"/>
      <c r="BT77" s="74"/>
      <c r="BU77" s="60"/>
      <c r="BV77" s="60" t="str">
        <f t="shared" si="105"/>
        <v/>
      </c>
      <c r="BW77" s="60"/>
      <c r="BX77" s="60"/>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row>
    <row r="78" spans="1:103" s="76" customFormat="1" ht="15.75">
      <c r="A78" s="676"/>
      <c r="B78" s="426"/>
      <c r="C78" s="427"/>
      <c r="D78" s="431"/>
      <c r="E78" s="432">
        <v>0.09</v>
      </c>
      <c r="F78" s="132"/>
      <c r="G78" s="133"/>
      <c r="H78" s="437"/>
      <c r="I78" s="440"/>
      <c r="J78" s="437"/>
      <c r="K78" s="441">
        <f>ROUND(K73*E78,0)</f>
        <v>963144</v>
      </c>
      <c r="L78" s="441">
        <f>ROUND(L73*E78,0)</f>
        <v>935424</v>
      </c>
      <c r="M78" s="133"/>
      <c r="N78" s="167"/>
      <c r="O78" s="167"/>
      <c r="P78" s="167"/>
      <c r="Q78" s="167">
        <v>0</v>
      </c>
      <c r="R78" s="52"/>
      <c r="S78" s="1"/>
      <c r="T78" s="75"/>
      <c r="U78" s="75"/>
      <c r="V78" s="75"/>
      <c r="W78" s="75"/>
      <c r="X78" s="75"/>
      <c r="Y78" s="75"/>
      <c r="Z78" s="75"/>
      <c r="AA78" s="75"/>
      <c r="AB78" s="75"/>
      <c r="AC78" s="75"/>
      <c r="AD78" s="80"/>
      <c r="AE78" s="75"/>
      <c r="AF78" s="75"/>
      <c r="AG78" s="75"/>
      <c r="AH78" s="75"/>
      <c r="AI78" s="75"/>
      <c r="AJ78" s="75"/>
      <c r="AK78" s="75"/>
      <c r="AL78" s="75"/>
      <c r="AM78" s="75"/>
      <c r="AN78" s="78"/>
      <c r="AO78" s="75"/>
      <c r="AP78" s="75"/>
      <c r="AQ78" s="75"/>
      <c r="AR78" s="75"/>
      <c r="AS78" s="75"/>
      <c r="AT78" s="75"/>
      <c r="AU78" s="75"/>
      <c r="AV78" s="75"/>
      <c r="AW78" s="75"/>
      <c r="AX78" s="75"/>
      <c r="AY78" s="75"/>
      <c r="AZ78" s="75"/>
      <c r="BA78" s="75"/>
      <c r="BB78" s="75"/>
      <c r="BC78" s="75"/>
      <c r="BD78" s="75"/>
      <c r="BE78" s="75"/>
      <c r="BF78" s="78"/>
      <c r="BG78" s="75"/>
      <c r="BH78" s="78"/>
      <c r="BI78" s="75"/>
      <c r="BJ78" s="75"/>
      <c r="BK78" s="75"/>
      <c r="BL78" s="75"/>
      <c r="BM78" s="75"/>
      <c r="BN78" s="75"/>
      <c r="BO78" s="74"/>
      <c r="BP78" s="74"/>
      <c r="BQ78" s="74"/>
      <c r="BR78" s="74"/>
      <c r="BS78" s="74"/>
      <c r="BT78" s="74"/>
      <c r="BU78" s="60"/>
      <c r="BV78" s="60" t="str">
        <f t="shared" si="105"/>
        <v/>
      </c>
      <c r="BW78" s="60"/>
      <c r="BX78" s="60"/>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row>
    <row r="79" spans="1:103" s="76" customFormat="1" ht="15.75">
      <c r="A79" s="676"/>
      <c r="B79" s="426"/>
      <c r="C79" s="427"/>
      <c r="D79" s="433"/>
      <c r="E79" s="434">
        <v>6774</v>
      </c>
      <c r="F79" s="132"/>
      <c r="G79" s="133"/>
      <c r="H79" s="437"/>
      <c r="I79" s="440"/>
      <c r="J79" s="437"/>
      <c r="K79" s="441">
        <f>Q123</f>
        <v>115158</v>
      </c>
      <c r="L79" s="441">
        <f>Q123</f>
        <v>115158</v>
      </c>
      <c r="M79" s="133"/>
      <c r="N79" s="167"/>
      <c r="O79" s="167"/>
      <c r="P79" s="167"/>
      <c r="Q79" s="167">
        <v>0</v>
      </c>
      <c r="R79" s="52"/>
      <c r="S79" s="1"/>
      <c r="T79" s="75"/>
      <c r="U79" s="75"/>
      <c r="V79" s="75"/>
      <c r="W79" s="75"/>
      <c r="X79" s="75"/>
      <c r="Y79" s="75"/>
      <c r="Z79" s="75"/>
      <c r="AA79" s="75"/>
      <c r="AB79" s="75"/>
      <c r="AC79" s="75"/>
      <c r="AD79" s="80"/>
      <c r="AE79" s="75"/>
      <c r="AF79" s="75"/>
      <c r="AG79" s="75"/>
      <c r="AH79" s="75"/>
      <c r="AI79" s="75"/>
      <c r="AJ79" s="75"/>
      <c r="AK79" s="75"/>
      <c r="AL79" s="75"/>
      <c r="AM79" s="75"/>
      <c r="AN79" s="78"/>
      <c r="AO79" s="75"/>
      <c r="AP79" s="75"/>
      <c r="AQ79" s="75"/>
      <c r="AR79" s="75"/>
      <c r="AS79" s="75"/>
      <c r="AT79" s="75"/>
      <c r="AU79" s="75"/>
      <c r="AV79" s="75"/>
      <c r="AW79" s="75"/>
      <c r="AX79" s="75"/>
      <c r="AY79" s="75"/>
      <c r="AZ79" s="75"/>
      <c r="BA79" s="75"/>
      <c r="BB79" s="75"/>
      <c r="BC79" s="75"/>
      <c r="BD79" s="75"/>
      <c r="BE79" s="75"/>
      <c r="BF79" s="78"/>
      <c r="BG79" s="75"/>
      <c r="BH79" s="78"/>
      <c r="BI79" s="75"/>
      <c r="BJ79" s="75"/>
      <c r="BK79" s="75"/>
      <c r="BL79" s="75"/>
      <c r="BM79" s="75"/>
      <c r="BN79" s="75"/>
      <c r="BO79" s="74"/>
      <c r="BP79" s="74"/>
      <c r="BQ79" s="74"/>
      <c r="BR79" s="74"/>
      <c r="BS79" s="74"/>
      <c r="BT79" s="74"/>
      <c r="BU79" s="60"/>
      <c r="BV79" s="60" t="str">
        <f t="shared" si="105"/>
        <v/>
      </c>
      <c r="BW79" s="60"/>
      <c r="BX79" s="60"/>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row>
    <row r="80" spans="1:103" s="76" customFormat="1" ht="15.75">
      <c r="A80" s="676"/>
      <c r="B80" s="426"/>
      <c r="C80" s="427"/>
      <c r="D80" s="425"/>
      <c r="E80" s="430" t="s">
        <v>185</v>
      </c>
      <c r="F80" s="132"/>
      <c r="G80" s="133"/>
      <c r="H80" s="437"/>
      <c r="I80" s="441"/>
      <c r="J80" s="441"/>
      <c r="K80" s="441">
        <f>$AN$123</f>
        <v>559744</v>
      </c>
      <c r="L80" s="441">
        <f>$BF$123</f>
        <v>543488</v>
      </c>
      <c r="M80" s="133"/>
      <c r="N80" s="167"/>
      <c r="O80" s="167"/>
      <c r="P80" s="167"/>
      <c r="Q80" s="167">
        <v>0</v>
      </c>
      <c r="R80" s="52"/>
      <c r="S80" s="1"/>
      <c r="T80" s="75"/>
      <c r="U80" s="75"/>
      <c r="V80" s="75"/>
      <c r="W80" s="75"/>
      <c r="X80" s="75"/>
      <c r="Y80" s="75"/>
      <c r="Z80" s="75"/>
      <c r="AA80" s="75"/>
      <c r="AB80" s="75"/>
      <c r="AC80" s="75"/>
      <c r="AD80" s="80"/>
      <c r="AE80" s="75"/>
      <c r="AF80" s="75"/>
      <c r="AG80" s="75"/>
      <c r="AH80" s="75"/>
      <c r="AI80" s="75"/>
      <c r="AJ80" s="75"/>
      <c r="AK80" s="75"/>
      <c r="AL80" s="75"/>
      <c r="AM80" s="75"/>
      <c r="AN80" s="78"/>
      <c r="AO80" s="75"/>
      <c r="AP80" s="75"/>
      <c r="AQ80" s="75"/>
      <c r="AR80" s="75"/>
      <c r="AS80" s="75"/>
      <c r="AT80" s="75"/>
      <c r="AU80" s="75"/>
      <c r="AV80" s="75"/>
      <c r="AW80" s="75"/>
      <c r="AX80" s="75"/>
      <c r="AY80" s="75"/>
      <c r="AZ80" s="75"/>
      <c r="BA80" s="75"/>
      <c r="BB80" s="75"/>
      <c r="BC80" s="75"/>
      <c r="BD80" s="75"/>
      <c r="BE80" s="75"/>
      <c r="BF80" s="78"/>
      <c r="BG80" s="75"/>
      <c r="BH80" s="78"/>
      <c r="BI80" s="75"/>
      <c r="BJ80" s="75"/>
      <c r="BK80" s="75"/>
      <c r="BL80" s="75"/>
      <c r="BM80" s="75"/>
      <c r="BN80" s="75"/>
      <c r="BO80" s="74"/>
      <c r="BP80" s="74"/>
      <c r="BQ80" s="74"/>
      <c r="BR80" s="74"/>
      <c r="BS80" s="74"/>
      <c r="BT80" s="74"/>
      <c r="BU80" s="60"/>
      <c r="BV80" s="60" t="str">
        <f t="shared" si="105"/>
        <v/>
      </c>
      <c r="BW80" s="60"/>
      <c r="BX80" s="60"/>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row>
    <row r="81" spans="1:101" s="76" customFormat="1" ht="15.75">
      <c r="A81" s="676"/>
      <c r="B81" s="426"/>
      <c r="C81" s="427"/>
      <c r="D81" s="425"/>
      <c r="E81" s="430" t="s">
        <v>186</v>
      </c>
      <c r="F81" s="132"/>
      <c r="G81" s="133"/>
      <c r="H81" s="437"/>
      <c r="I81" s="440"/>
      <c r="J81" s="439"/>
      <c r="K81" s="441">
        <f>MINA($AO$123,900)</f>
        <v>0</v>
      </c>
      <c r="L81" s="441">
        <f>MINA($BG$123,900)</f>
        <v>0</v>
      </c>
      <c r="M81" s="133"/>
      <c r="N81" s="167"/>
      <c r="O81" s="167"/>
      <c r="P81" s="167"/>
      <c r="Q81" s="167">
        <v>0</v>
      </c>
      <c r="R81" s="52"/>
      <c r="S81" s="1"/>
      <c r="T81" s="75"/>
      <c r="U81" s="75"/>
      <c r="V81" s="75"/>
      <c r="W81" s="75"/>
      <c r="X81" s="75"/>
      <c r="Y81" s="75"/>
      <c r="Z81" s="75"/>
      <c r="AA81" s="75"/>
      <c r="AB81" s="75"/>
      <c r="AC81" s="75"/>
      <c r="AD81" s="80"/>
      <c r="AE81" s="75"/>
      <c r="AF81" s="75"/>
      <c r="AG81" s="75"/>
      <c r="AH81" s="75"/>
      <c r="AI81" s="75"/>
      <c r="AJ81" s="75"/>
      <c r="AK81" s="75"/>
      <c r="AL81" s="75"/>
      <c r="AM81" s="75"/>
      <c r="AN81" s="78"/>
      <c r="AO81" s="75"/>
      <c r="AP81" s="75"/>
      <c r="AQ81" s="75"/>
      <c r="AR81" s="75"/>
      <c r="AS81" s="75"/>
      <c r="AT81" s="75"/>
      <c r="AU81" s="75"/>
      <c r="AV81" s="75"/>
      <c r="AW81" s="75"/>
      <c r="AX81" s="75"/>
      <c r="AY81" s="75"/>
      <c r="AZ81" s="75"/>
      <c r="BA81" s="75"/>
      <c r="BB81" s="75"/>
      <c r="BC81" s="75"/>
      <c r="BD81" s="75"/>
      <c r="BE81" s="75"/>
      <c r="BF81" s="78"/>
      <c r="BG81" s="75"/>
      <c r="BH81" s="78"/>
      <c r="BI81" s="75"/>
      <c r="BJ81" s="75"/>
      <c r="BK81" s="75"/>
      <c r="BL81" s="75"/>
      <c r="BM81" s="75"/>
      <c r="BN81" s="75"/>
      <c r="BO81" s="74"/>
      <c r="BP81" s="74"/>
      <c r="BQ81" s="74"/>
      <c r="BR81" s="74"/>
      <c r="BS81" s="74"/>
      <c r="BT81" s="74"/>
      <c r="BU81" s="60"/>
      <c r="BV81" s="60" t="str">
        <f t="shared" si="105"/>
        <v/>
      </c>
      <c r="BW81" s="60"/>
      <c r="BX81" s="60"/>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row>
    <row r="82" spans="1:101" s="76" customFormat="1" ht="15.75">
      <c r="A82" s="676"/>
      <c r="B82" s="426"/>
      <c r="C82" s="427"/>
      <c r="D82" s="425"/>
      <c r="E82" s="430" t="s">
        <v>187</v>
      </c>
      <c r="F82" s="132"/>
      <c r="G82" s="133"/>
      <c r="H82" s="437"/>
      <c r="I82" s="440"/>
      <c r="J82" s="437"/>
      <c r="K82" s="441">
        <f>$AP$123</f>
        <v>0</v>
      </c>
      <c r="L82" s="441">
        <f>$BH$123</f>
        <v>0</v>
      </c>
      <c r="M82" s="133"/>
      <c r="N82" s="167"/>
      <c r="O82" s="167"/>
      <c r="P82" s="167"/>
      <c r="Q82" s="167">
        <v>0</v>
      </c>
      <c r="R82" s="52"/>
      <c r="S82" s="1"/>
      <c r="T82" s="75"/>
      <c r="U82" s="75"/>
      <c r="V82" s="75"/>
      <c r="W82" s="75"/>
      <c r="X82" s="75"/>
      <c r="Y82" s="75"/>
      <c r="Z82" s="75"/>
      <c r="AA82" s="75"/>
      <c r="AB82" s="75"/>
      <c r="AC82" s="75"/>
      <c r="AD82" s="80"/>
      <c r="AE82" s="75"/>
      <c r="AF82" s="75"/>
      <c r="AG82" s="75"/>
      <c r="AH82" s="75"/>
      <c r="AI82" s="75"/>
      <c r="AJ82" s="75"/>
      <c r="AK82" s="75"/>
      <c r="AL82" s="75"/>
      <c r="AM82" s="75"/>
      <c r="AN82" s="78"/>
      <c r="AO82" s="75"/>
      <c r="AP82" s="75"/>
      <c r="AQ82" s="75"/>
      <c r="AR82" s="75"/>
      <c r="AS82" s="75"/>
      <c r="AT82" s="75"/>
      <c r="AU82" s="75"/>
      <c r="AV82" s="75"/>
      <c r="AW82" s="75"/>
      <c r="AX82" s="75"/>
      <c r="AY82" s="75"/>
      <c r="AZ82" s="75"/>
      <c r="BA82" s="75"/>
      <c r="BB82" s="75"/>
      <c r="BC82" s="75"/>
      <c r="BD82" s="75"/>
      <c r="BE82" s="75"/>
      <c r="BF82" s="78"/>
      <c r="BG82" s="75"/>
      <c r="BH82" s="78"/>
      <c r="BI82" s="75"/>
      <c r="BJ82" s="75"/>
      <c r="BK82" s="75"/>
      <c r="BL82" s="75"/>
      <c r="BM82" s="75"/>
      <c r="BN82" s="75"/>
      <c r="BO82" s="74"/>
      <c r="BP82" s="74"/>
      <c r="BQ82" s="74"/>
      <c r="BR82" s="74"/>
      <c r="BS82" s="74"/>
      <c r="BT82" s="74"/>
      <c r="BU82" s="60"/>
      <c r="BV82" s="60" t="str">
        <f t="shared" si="105"/>
        <v/>
      </c>
      <c r="BW82" s="60"/>
      <c r="BX82" s="60"/>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row>
    <row r="83" spans="1:101" s="76" customFormat="1" ht="15.75">
      <c r="A83" s="676"/>
      <c r="B83" s="426"/>
      <c r="C83" s="427"/>
      <c r="D83" s="425"/>
      <c r="E83" s="430" t="s">
        <v>188</v>
      </c>
      <c r="F83" s="132"/>
      <c r="G83" s="133"/>
      <c r="H83" s="437"/>
      <c r="I83" s="440"/>
      <c r="J83" s="437"/>
      <c r="K83" s="441">
        <f>$AQ$123</f>
        <v>0</v>
      </c>
      <c r="L83" s="441">
        <f>$BI$123</f>
        <v>0</v>
      </c>
      <c r="M83" s="133"/>
      <c r="N83" s="167"/>
      <c r="O83" s="167"/>
      <c r="P83" s="167"/>
      <c r="Q83" s="167">
        <v>0</v>
      </c>
      <c r="R83" s="52"/>
      <c r="S83" s="1"/>
      <c r="T83" s="75"/>
      <c r="U83" s="75"/>
      <c r="V83" s="75"/>
      <c r="W83" s="75"/>
      <c r="X83" s="75"/>
      <c r="Y83" s="75"/>
      <c r="Z83" s="75"/>
      <c r="AA83" s="75"/>
      <c r="AB83" s="75"/>
      <c r="AC83" s="75"/>
      <c r="AD83" s="80"/>
      <c r="AE83" s="75"/>
      <c r="AF83" s="75"/>
      <c r="AG83" s="75"/>
      <c r="AH83" s="75"/>
      <c r="AI83" s="75"/>
      <c r="AJ83" s="75"/>
      <c r="AK83" s="75"/>
      <c r="AL83" s="75"/>
      <c r="AM83" s="75"/>
      <c r="AN83" s="78"/>
      <c r="AO83" s="75"/>
      <c r="AP83" s="75"/>
      <c r="AQ83" s="75"/>
      <c r="AR83" s="75"/>
      <c r="AS83" s="75"/>
      <c r="AT83" s="75"/>
      <c r="AU83" s="75"/>
      <c r="AV83" s="75"/>
      <c r="AW83" s="75"/>
      <c r="AX83" s="75"/>
      <c r="AY83" s="75"/>
      <c r="AZ83" s="75"/>
      <c r="BA83" s="75"/>
      <c r="BB83" s="75"/>
      <c r="BC83" s="75"/>
      <c r="BD83" s="75"/>
      <c r="BE83" s="75"/>
      <c r="BF83" s="78"/>
      <c r="BG83" s="75"/>
      <c r="BH83" s="78"/>
      <c r="BI83" s="75"/>
      <c r="BJ83" s="75"/>
      <c r="BK83" s="75"/>
      <c r="BL83" s="75"/>
      <c r="BM83" s="75"/>
      <c r="BN83" s="75"/>
      <c r="BO83" s="74"/>
      <c r="BP83" s="74"/>
      <c r="BQ83" s="74"/>
      <c r="BR83" s="74"/>
      <c r="BS83" s="74"/>
      <c r="BT83" s="74"/>
      <c r="BU83" s="60"/>
      <c r="BV83" s="60" t="str">
        <f t="shared" si="105"/>
        <v/>
      </c>
      <c r="BW83" s="60"/>
      <c r="BX83" s="60"/>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row>
    <row r="84" spans="1:101" s="76" customFormat="1" ht="15.75">
      <c r="A84" s="793"/>
      <c r="B84" s="794" t="s">
        <v>189</v>
      </c>
      <c r="C84" s="794"/>
      <c r="D84" s="647"/>
      <c r="E84" s="127" t="s">
        <v>190</v>
      </c>
      <c r="F84" s="129"/>
      <c r="G84" s="129"/>
      <c r="H84" s="435">
        <f>SUM(H74:H83)</f>
        <v>10495200</v>
      </c>
      <c r="I84" s="435"/>
      <c r="J84" s="435">
        <f t="shared" ref="J84:L84" si="106">SUM(J74:J83)</f>
        <v>206400</v>
      </c>
      <c r="K84" s="435">
        <f t="shared" si="106"/>
        <v>15871174</v>
      </c>
      <c r="L84" s="435">
        <f t="shared" si="106"/>
        <v>15417558</v>
      </c>
      <c r="M84" s="131"/>
      <c r="N84" s="166"/>
      <c r="O84" s="166"/>
      <c r="P84" s="166"/>
      <c r="Q84" s="166"/>
      <c r="R84" s="52"/>
      <c r="S84" s="1"/>
      <c r="T84" s="75"/>
      <c r="U84" s="75"/>
      <c r="V84" s="75"/>
      <c r="W84" s="75"/>
      <c r="X84" s="75"/>
      <c r="Y84" s="75"/>
      <c r="Z84" s="75"/>
      <c r="AA84" s="75"/>
      <c r="AB84" s="75"/>
      <c r="AC84" s="75"/>
      <c r="AD84" s="80"/>
      <c r="AE84" s="75"/>
      <c r="AF84" s="75"/>
      <c r="AG84" s="75"/>
      <c r="AH84" s="75"/>
      <c r="AI84" s="75"/>
      <c r="AJ84" s="75"/>
      <c r="AK84" s="75"/>
      <c r="AL84" s="75"/>
      <c r="AM84" s="75"/>
      <c r="AN84" s="78"/>
      <c r="AO84" s="75"/>
      <c r="AP84" s="75"/>
      <c r="AQ84" s="75"/>
      <c r="AR84" s="75"/>
      <c r="AS84" s="75"/>
      <c r="AT84" s="75"/>
      <c r="AU84" s="75"/>
      <c r="AV84" s="75"/>
      <c r="AW84" s="75"/>
      <c r="AX84" s="75"/>
      <c r="AY84" s="75"/>
      <c r="AZ84" s="75"/>
      <c r="BA84" s="75"/>
      <c r="BB84" s="75"/>
      <c r="BC84" s="75"/>
      <c r="BD84" s="75"/>
      <c r="BE84" s="75"/>
      <c r="BF84" s="78"/>
      <c r="BG84" s="75"/>
      <c r="BH84" s="78"/>
      <c r="BI84" s="75"/>
      <c r="BJ84" s="75"/>
      <c r="BK84" s="75"/>
      <c r="BL84" s="75"/>
      <c r="BM84" s="75"/>
      <c r="BN84" s="75"/>
      <c r="BO84" s="74"/>
      <c r="BP84" s="74"/>
      <c r="BQ84" s="74"/>
      <c r="BR84" s="74"/>
      <c r="BS84" s="74"/>
      <c r="BT84" s="74"/>
      <c r="BU84" s="60"/>
      <c r="BV84" s="60" t="str">
        <f t="shared" si="105"/>
        <v/>
      </c>
      <c r="BW84" s="60"/>
      <c r="BX84" s="60"/>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row>
    <row r="85" spans="1:101" s="76" customFormat="1" ht="25.5" customHeight="1">
      <c r="A85" s="784" t="s">
        <v>191</v>
      </c>
      <c r="B85" s="785"/>
      <c r="C85" s="785"/>
      <c r="D85" s="785"/>
      <c r="E85" s="785"/>
      <c r="F85" s="785"/>
      <c r="G85" s="785"/>
      <c r="H85" s="785"/>
      <c r="I85" s="785"/>
      <c r="J85" s="785"/>
      <c r="K85" s="785"/>
      <c r="L85" s="785"/>
      <c r="M85" s="786"/>
      <c r="N85" s="166"/>
      <c r="O85" s="166"/>
      <c r="P85" s="166"/>
      <c r="Q85" s="166"/>
      <c r="R85" s="52"/>
      <c r="S85" s="1"/>
      <c r="T85" s="75"/>
      <c r="U85" s="75"/>
      <c r="V85" s="75"/>
      <c r="W85" s="75"/>
      <c r="X85" s="75"/>
      <c r="Y85" s="75"/>
      <c r="Z85" s="75"/>
      <c r="AA85" s="75"/>
      <c r="AB85" s="75"/>
      <c r="AC85" s="75"/>
      <c r="AD85" s="80"/>
      <c r="AE85" s="75"/>
      <c r="AF85" s="75"/>
      <c r="AG85" s="75"/>
      <c r="AH85" s="75"/>
      <c r="AI85" s="75"/>
      <c r="AJ85" s="75"/>
      <c r="AK85" s="75"/>
      <c r="AL85" s="75"/>
      <c r="AM85" s="75"/>
      <c r="AN85" s="78"/>
      <c r="AO85" s="75"/>
      <c r="AP85" s="75"/>
      <c r="AQ85" s="75"/>
      <c r="AR85" s="75"/>
      <c r="AS85" s="75"/>
      <c r="AT85" s="75"/>
      <c r="AU85" s="75"/>
      <c r="AV85" s="75"/>
      <c r="AW85" s="75"/>
      <c r="AX85" s="75"/>
      <c r="AY85" s="75"/>
      <c r="AZ85" s="75"/>
      <c r="BA85" s="75"/>
      <c r="BB85" s="75"/>
      <c r="BC85" s="75"/>
      <c r="BD85" s="75"/>
      <c r="BE85" s="75"/>
      <c r="BF85" s="78"/>
      <c r="BG85" s="75"/>
      <c r="BH85" s="78"/>
      <c r="BI85" s="75"/>
      <c r="BJ85" s="75"/>
      <c r="BK85" s="75"/>
      <c r="BL85" s="75"/>
      <c r="BM85" s="75"/>
      <c r="BN85" s="75"/>
      <c r="BO85" s="74"/>
      <c r="BP85" s="74"/>
      <c r="BQ85" s="74"/>
      <c r="BR85" s="74"/>
      <c r="BS85" s="74"/>
      <c r="BT85" s="74"/>
      <c r="BU85" s="60"/>
      <c r="BV85" s="60" t="str">
        <f t="shared" si="105"/>
        <v/>
      </c>
      <c r="BW85" s="60"/>
      <c r="BX85" s="60"/>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row>
    <row r="86" spans="1:101" s="76" customFormat="1" ht="15.75">
      <c r="A86" s="125">
        <v>1</v>
      </c>
      <c r="B86" s="414" t="str">
        <f>IF(ISNA(VLOOKUP(A86,Master!BE$60:BQ$107,3,FALSE)),"",VLOOKUP(A86,Master!BE$60:BQ$107,3,FALSE))</f>
        <v/>
      </c>
      <c r="C86" s="415" t="str">
        <f>IF(ISNA(VLOOKUP(A86,Master!BE$60:BQ$107,7,FALSE)),"",VLOOKUP(A86,Master!BE$60:BQ$107,7,FALSE))</f>
        <v/>
      </c>
      <c r="D86" s="418" t="str">
        <f>IF(ISNA(VLOOKUP(A86,Master!BE$60:BQ$107,8,FALSE)),"",VLOOKUP(A86,Master!BE$60:BQ$107,8,FALSE))</f>
        <v/>
      </c>
      <c r="E86" s="421" t="str">
        <f>IF(ISNA(VLOOKUP(A86,Master!BE$60:BQ$107,4,FALSE)),"",VLOOKUP(A86,Master!BE$60:BQ$107,4,FALSE))</f>
        <v/>
      </c>
      <c r="F86" s="134" t="str">
        <f>IF(ISNA(VLOOKUP(A86,Master!BE$60:BQ$107,5,FALSE)),"",VLOOKUP(A86,Master!BE$60:BQ$107,5,FALSE))</f>
        <v/>
      </c>
      <c r="G86" s="419" t="str">
        <f>IF(F86="","",IF(F86=1,12400,IF(F86=2,12600,IF(F86=3,12800,IF(F86=4,13500,IF(F86=5,14600,IF(F86=6,15100,IF(F86=7,15700,IF(F86=8,18500,IF(F86=9,20100,IF(F86=10,23700,IF(F86=11,26500,IF(F86=12,31100,IF(F86=13,39300,IF(F86=14,42500,IF(F86=15,42500,IF(F86=16,47200,IF(F86=17,49700,IF(F86=18,52800,IF(F86=19,56000,IF(F86=20,62300,IF(F86=21,86200,IF(F86=22,90800,IF(F86=23,102100,IF(F86=24, 104200,0)))))))))))))))))))))))))</f>
        <v/>
      </c>
      <c r="H86" s="419" t="str">
        <f>IF(AND(F86=""),"",G86*12)</f>
        <v/>
      </c>
      <c r="I86" s="420" t="str">
        <f>IF(AND(F86=""),"","Not Applicable")</f>
        <v/>
      </c>
      <c r="J86" s="419" t="str">
        <f>IF(AND(F86=""),"","0")</f>
        <v/>
      </c>
      <c r="K86" s="419" t="str">
        <f>IF(AND(F86=""),"",H86+J86)</f>
        <v/>
      </c>
      <c r="L86" s="419" t="str">
        <f>IF(AND(F86=""),"",K86)</f>
        <v/>
      </c>
      <c r="M86" s="419" t="str">
        <f>IF(AND(F86=""),"","FIX PAY")</f>
        <v/>
      </c>
      <c r="N86" s="168"/>
      <c r="O86" s="168"/>
      <c r="P86" s="168"/>
      <c r="Q86" s="168">
        <v>0</v>
      </c>
      <c r="R86" s="52"/>
      <c r="S86" s="83"/>
      <c r="T86" s="75"/>
      <c r="U86" s="75"/>
      <c r="V86" s="83"/>
      <c r="W86" s="75">
        <f>'[1]Data Entry'!BJ59</f>
        <v>0</v>
      </c>
      <c r="X86" s="79"/>
      <c r="Y86" s="79"/>
      <c r="Z86" s="79"/>
      <c r="AA86" s="79"/>
      <c r="AB86" s="79"/>
      <c r="AC86" s="79"/>
      <c r="AD86" s="80" t="str">
        <f>IF(AND(G86=""),"",(IF(M86="FIX PAY",0,(G86-ROUNDUP(ROUND((G86*3%)-(G86*3%)*3%,0),-1)))))</f>
        <v/>
      </c>
      <c r="AE86" s="80" t="str">
        <f>IF(AND(G86=""),"",$K86*$BO86)</f>
        <v/>
      </c>
      <c r="AF86" s="80" t="str">
        <f>IF(AND(G86=""),"",$K86*$BP86)</f>
        <v/>
      </c>
      <c r="AG86" s="80" t="str">
        <f>IF(AND(G86=""),"",$K86*$BQ86)</f>
        <v/>
      </c>
      <c r="AH86" s="80" t="str">
        <f>IF(AND(G86=""),"",$K86*$BR86)</f>
        <v/>
      </c>
      <c r="AI86" s="78" t="str">
        <f>IF(AND(G86=""),"",ROUND((AE86+AF86)*$AI$10,0)*BS86)</f>
        <v/>
      </c>
      <c r="AJ86" s="78">
        <v>0</v>
      </c>
      <c r="AK86" s="79">
        <v>0</v>
      </c>
      <c r="AL86" s="78" t="str">
        <f>IF(AND(G86=""),"",ROUND((AE86+AF86)*$AL$10,0)*BS86)</f>
        <v/>
      </c>
      <c r="AM86" s="79" t="e">
        <f t="shared" ref="AM86:AM93" si="107">$E$79*BP86*BS86*(IF(G86&lt;=0,0,1))*(IF(F86&lt;=4800,1,0))</f>
        <v>#VALUE!</v>
      </c>
      <c r="AN86" s="78">
        <f t="shared" ref="AN86:AN104" si="108">IF(AND(G86=""),0,ROUND((G86+ROUND(G86*$AI$10,0))/2,0)*(IF(M86="FIX PAY",0,1)))</f>
        <v>0</v>
      </c>
      <c r="AO86" s="78">
        <f t="shared" ref="AO86:AO93" si="109">IF(E86="CLERK GRADE I",1,IF(E86="CLERK GRADE II",1,0))*75*12*BS86*(IF(G86&lt;=0,0,1))*BT86</f>
        <v>0</v>
      </c>
      <c r="AP86" s="78"/>
      <c r="AQ86" s="78">
        <f t="shared" ref="AQ86:AQ93" si="110">(IF(E86="LAB BOY",150,IF(E86="JAMADAR",150,IF(E86="PEON",150,0))))*12*BS86*(IF(G86&lt;=0,0,1))</f>
        <v>0</v>
      </c>
      <c r="AR86" s="80" t="str">
        <f>IF(AND(G86=""),"",SUM(AI86:AQ86)+AE86+AF86)</f>
        <v/>
      </c>
      <c r="AS86" s="80" t="str">
        <f>IF(AND(G86=""),"",AR86)</f>
        <v/>
      </c>
      <c r="AT86" s="78"/>
      <c r="AU86" s="78"/>
      <c r="AV86" s="80" t="str">
        <f>IF(AND(G86=""),"",AS86+AT86+AU86)</f>
        <v/>
      </c>
      <c r="AW86" s="80" t="str">
        <f>IF(AND(G86=""),"",L86*BO86)</f>
        <v/>
      </c>
      <c r="AX86" s="80" t="str">
        <f>IF(AND(G86=""),"",L86*BP86)</f>
        <v/>
      </c>
      <c r="AY86" s="80" t="str">
        <f>IF(AND(G86=""),"",L86*BQ86)</f>
        <v/>
      </c>
      <c r="AZ86" s="80" t="str">
        <f>IF(AND(G86=""),"",L86*BR86)</f>
        <v/>
      </c>
      <c r="BA86" s="78" t="str">
        <f>IF(AND(G86=""),"",ROUND((AW86+AX86)*$BA$10,0)*BS86)</f>
        <v/>
      </c>
      <c r="BB86" s="78"/>
      <c r="BC86" s="79">
        <v>0</v>
      </c>
      <c r="BD86" s="78" t="str">
        <f>IF(AND(G86=""),"",ROUND((AW86+AX86)*$BD$10,0)*BS86)</f>
        <v/>
      </c>
      <c r="BE86" s="79" t="e">
        <f t="shared" ref="BE86" si="111">3387*2*BP86*BS86*(IF(G86&lt;=0,0,1))*(IF(F86&lt;=4800,1,0))</f>
        <v>#VALUE!</v>
      </c>
      <c r="BF86" s="78">
        <f t="shared" ref="BF86" si="112">IF(AND(G86=""),0,ROUND((AD86+ROUND(AD86*$AI$10,0))/2,0)*(IF(M86="FIX PAY",0,1)))</f>
        <v>0</v>
      </c>
      <c r="BG86" s="78">
        <f t="shared" ref="BG86:BG93" si="113">IF(E86="CLERK GRADE I",1,IF(E86="CLERK GRADE II",1,0))*75*12*BS86*(IF(G86&lt;=0,0,1))*BT86</f>
        <v>0</v>
      </c>
      <c r="BH86" s="78">
        <f t="shared" ref="BH86:BH93" si="114">IF(AND(E86=""),0,(IF(E86="ASSISTANT",12,IF(E86="CLERK GRADE I",12,IF(E86="CLERK GRADE II",12,IF(E86="FIELDMAN &amp; FIELD REC",12,IF(E86="LAB BOY",12,IF(E86="JAMADAR",12,IF(E86="PEON",12,10))))))))*(MINA(ROUND(AD86*6%,0),600))*(IF($S86="yes",1,)))</f>
        <v>0</v>
      </c>
      <c r="BI86" s="78" t="str">
        <f t="shared" ref="BI86:BI93" si="115">IF(AND(G86=""),"",(IF(E86="LAB BOY",150,IF(E86="JAMADAR",150,IF(E86="PEON",150,0))))*12*BS86*(IF(G86&lt;=0,0,1)))</f>
        <v/>
      </c>
      <c r="BJ86" s="80" t="str">
        <f>IF(AND(G86=""),"",SUM(BA86:BI86)+AW86+AX86)</f>
        <v/>
      </c>
      <c r="BK86" s="80" t="str">
        <f>IF(AND(G86=""),"",BJ86)</f>
        <v/>
      </c>
      <c r="BL86" s="78"/>
      <c r="BM86" s="78"/>
      <c r="BN86" s="80" t="str">
        <f>IF(AND(G86=""),"",BK86+BL86+BM86)</f>
        <v/>
      </c>
      <c r="BO86" s="74">
        <f t="shared" ref="BO86:BO93" si="116">(IF(E86="PRINCIPAL",1,IF(E86="H M",1,IF(E86="AGRICULTURE INST",1,IF(E86="TEACHER-1ST",1,IF(E86="PTI  I  (13)",1,IF(E86="AGRICULTURE TEACH",1,IF(E86="INSTRUCTOR",1,0))))))))+(IF(E86="JR TEACHER",1,IF(E86="LIBRARIAN I",1,0)))*(IF(M86="FIX PAY",0,1))</f>
        <v>0</v>
      </c>
      <c r="BP86" s="74" t="str">
        <f>IF(AND(G86=""),"",IF(BO86&lt;=0,1,0)*(IF(M86="FIX PAY",0,1)))</f>
        <v/>
      </c>
      <c r="BQ86" s="74">
        <f t="shared" ref="BQ86:BQ93" si="117">(IF(E86="PRINCIPAL (16)",1,IF(E86="V P (14)",1,IF(E86="H M (14)",1,IF(E86="AGRICULTURE INST (13)",1,IF(E86="TEACHER-1ST (13)",1,IF(E86="PTI  I  (13)",1,IF(E86="AGRICULTURE TEACH (13)",1,IF(E86="INSTRUCTOR (13)",1,0))))))))+(IF(E86="JR TEACHER (13)",1,IF(E86="LIBRARIAN I (13)",1,0))))*(IF(M86="FIX PAY",1,0))</f>
        <v>0</v>
      </c>
      <c r="BR86" s="74">
        <f t="shared" ref="BR86:BR93" si="118">IF(BQ86&lt;=0,1,0)*(IF(M86="FIX PAY",1,0))</f>
        <v>0</v>
      </c>
      <c r="BS86" s="74">
        <f t="shared" ref="BS86:BS117" si="119">IF(M86="FIX PAY",1,0)</f>
        <v>0</v>
      </c>
      <c r="BT86" s="74">
        <f t="shared" ref="BT86:BT93" si="120">IF(V86="No",0,1)</f>
        <v>1</v>
      </c>
      <c r="BU86" s="60">
        <f t="shared" ref="BU86:BU93" si="121">IF((ROUND((SUMPRODUCT(MID(0&amp;C86,LARGE(INDEX(ISNUMBER(--MID(C86,ROW($1:$25),1))* ROW($1:$25),0),ROW($1:$25))+1,1)*10^ROW($1:$25)/10)),-8)/100000000)&gt;=2004,1,0)</f>
        <v>0</v>
      </c>
      <c r="BV86" s="81">
        <f t="shared" ref="BV86:BV93" si="122">IF(G86&lt;=0,0,1)</f>
        <v>1</v>
      </c>
      <c r="BW86" s="60">
        <f t="shared" ref="BW86:BW117" si="123">IF(M86="SANVIDA",1,0)</f>
        <v>0</v>
      </c>
      <c r="BX86" s="60">
        <f t="shared" ref="BX86:BX117" si="124">IF(BW86&gt;0,G86,0)</f>
        <v>0</v>
      </c>
      <c r="BY86" s="49" t="str">
        <f t="shared" ref="BY86:BY93" si="125">IF(AND(C86=""),"",IF(AND(C86&lt;=0),"",IF((ROUND((SUMPRODUCT(MID(0&amp;C86,LARGE(INDEX(ISNUMBER(--MID(C86,ROW($1:$71),1))* ROW($1:$71),0),ROW($1:$71))+1,1)*10^ROW($1:$71)/10)),-8)/100000000)&lt;2004,1,0)))</f>
        <v/>
      </c>
      <c r="BZ86" s="49"/>
      <c r="CA86" s="49">
        <f>IF(G86&gt;0,1,0)</f>
        <v>1</v>
      </c>
      <c r="CB86" s="49"/>
      <c r="CC86" s="49"/>
      <c r="CD86" s="49"/>
      <c r="CE86" s="49"/>
      <c r="CF86" s="49"/>
      <c r="CG86" s="49"/>
      <c r="CH86" s="49"/>
      <c r="CI86" s="49"/>
      <c r="CJ86" s="49"/>
      <c r="CK86" s="49"/>
      <c r="CL86" s="49"/>
      <c r="CM86" s="49"/>
      <c r="CN86" s="49"/>
      <c r="CO86" s="49"/>
      <c r="CP86" s="49"/>
      <c r="CQ86" s="49"/>
      <c r="CR86" s="49"/>
      <c r="CS86" s="49"/>
      <c r="CT86" s="49"/>
      <c r="CU86" s="49"/>
      <c r="CV86" s="49"/>
      <c r="CW86" s="49"/>
    </row>
    <row r="87" spans="1:101" s="76" customFormat="1" ht="15.75">
      <c r="A87" s="125">
        <v>2</v>
      </c>
      <c r="B87" s="414" t="str">
        <f>IF(ISNA(VLOOKUP(A87,Master!BE$60:BQ$107,3,FALSE)),"",VLOOKUP(A87,Master!BE$60:BQ$107,3,FALSE))</f>
        <v/>
      </c>
      <c r="C87" s="415" t="str">
        <f>IF(ISNA(VLOOKUP(A87,Master!BE$60:BQ$107,7,FALSE)),"",VLOOKUP(A87,Master!BE$60:BQ$107,7,FALSE))</f>
        <v/>
      </c>
      <c r="D87" s="418" t="str">
        <f>IF(ISNA(VLOOKUP(A87,Master!BE$60:BQ$107,8,FALSE)),"",VLOOKUP(A87,Master!BE$60:BQ$107,8,FALSE))</f>
        <v/>
      </c>
      <c r="E87" s="421" t="str">
        <f>IF(ISNA(VLOOKUP(A87,Master!BE$60:BQ$107,4,FALSE)),"",VLOOKUP(A87,Master!BE$60:BQ$107,4,FALSE))</f>
        <v/>
      </c>
      <c r="F87" s="134" t="str">
        <f>IF(ISNA(VLOOKUP(A87,Master!BE$60:BQ$107,5,FALSE)),"",VLOOKUP(A87,Master!BE$60:BQ$107,5,FALSE))</f>
        <v/>
      </c>
      <c r="G87" s="419" t="str">
        <f t="shared" ref="G87:G93" si="126">IF(F87="","",IF(F87=1,12400,IF(F87=2,12600,IF(F87=3,12800,IF(F87=4,13500,IF(F87=5,14600,IF(F87=6,15100,IF(F87=7,15700,IF(F87=8,18500,IF(F87=9,20100,IF(F87=10,23700,IF(F87=11,26500,IF(F87=12,31100,IF(F87=13,39300,IF(F87=14,42500,IF(F87=15,42500,IF(F87=16,47200,IF(F87=17,49700,IF(F87=18,52800,IF(F87=19,56000,IF(F87=20,62300,IF(F87=21,86200,IF(F87=22,90800,IF(F87=23,102100,IF(F87=24, 104200,0)))))))))))))))))))))))))</f>
        <v/>
      </c>
      <c r="H87" s="419" t="str">
        <f t="shared" ref="H87:H93" si="127">IF(AND(F87=""),"",G87*12)</f>
        <v/>
      </c>
      <c r="I87" s="420" t="str">
        <f t="shared" ref="I87:I93" si="128">IF(AND(F87=""),"","Not Applicable")</f>
        <v/>
      </c>
      <c r="J87" s="419" t="str">
        <f t="shared" ref="J87:J93" si="129">IF(AND(F87=""),"","0")</f>
        <v/>
      </c>
      <c r="K87" s="419" t="str">
        <f t="shared" ref="K87:K93" si="130">IF(AND(F87=""),"",H87+J87)</f>
        <v/>
      </c>
      <c r="L87" s="419" t="str">
        <f t="shared" ref="L87:L93" si="131">IF(AND(F87=""),"",K87)</f>
        <v/>
      </c>
      <c r="M87" s="419" t="str">
        <f t="shared" ref="M87:M93" si="132">IF(AND(F87=""),"","FIX PAY")</f>
        <v/>
      </c>
      <c r="N87" s="168"/>
      <c r="O87" s="168"/>
      <c r="P87" s="168"/>
      <c r="Q87" s="168">
        <v>0</v>
      </c>
      <c r="R87" s="52"/>
      <c r="S87" s="83"/>
      <c r="T87" s="75"/>
      <c r="U87" s="75"/>
      <c r="V87" s="83"/>
      <c r="W87" s="75">
        <f>'[1]Data Entry'!BJ60</f>
        <v>0</v>
      </c>
      <c r="X87" s="79"/>
      <c r="Y87" s="79"/>
      <c r="Z87" s="79"/>
      <c r="AA87" s="79"/>
      <c r="AB87" s="79"/>
      <c r="AC87" s="79"/>
      <c r="AD87" s="80" t="str">
        <f t="shared" ref="AD87:AD104" si="133">IF(AND(G87=""),"",(IF(M87="FIX PAY",0,(G87-ROUNDUP(ROUND((G87*3%)-(G87*3%)*3%,0),-1)))))</f>
        <v/>
      </c>
      <c r="AE87" s="80" t="str">
        <f t="shared" ref="AE87:AE104" si="134">IF(AND(G87=""),"",$K87*$BO87)</f>
        <v/>
      </c>
      <c r="AF87" s="80" t="str">
        <f t="shared" ref="AF87:AF104" si="135">IF(AND(G87=""),"",$K87*$BP87)</f>
        <v/>
      </c>
      <c r="AG87" s="80" t="str">
        <f t="shared" ref="AG87:AG104" si="136">IF(AND(G87=""),"",$K87*$BQ87)</f>
        <v/>
      </c>
      <c r="AH87" s="80" t="str">
        <f t="shared" ref="AH87:AH104" si="137">IF(AND(G87=""),"",$K87*$BR87)</f>
        <v/>
      </c>
      <c r="AI87" s="78" t="str">
        <f t="shared" ref="AI87:AI104" si="138">IF(AND(G87=""),"",ROUND((AE87+AF87)*$AI$10,0)*BS87)</f>
        <v/>
      </c>
      <c r="AJ87" s="78">
        <v>0</v>
      </c>
      <c r="AK87" s="79">
        <v>0</v>
      </c>
      <c r="AL87" s="78" t="str">
        <f t="shared" ref="AL87:AL104" si="139">IF(AND(G87=""),"",ROUND((AE87+AF87)*$AL$10,0)*BS87)</f>
        <v/>
      </c>
      <c r="AM87" s="79">
        <f t="shared" si="107"/>
        <v>0</v>
      </c>
      <c r="AN87" s="78">
        <f t="shared" si="108"/>
        <v>0</v>
      </c>
      <c r="AO87" s="78">
        <f t="shared" si="109"/>
        <v>0</v>
      </c>
      <c r="AP87" s="78"/>
      <c r="AQ87" s="78">
        <f t="shared" si="110"/>
        <v>0</v>
      </c>
      <c r="AR87" s="80" t="str">
        <f t="shared" ref="AR87:AR104" si="140">IF(AND(G87=""),"",SUM(AI87:AQ87)+AE87+AF87)</f>
        <v/>
      </c>
      <c r="AS87" s="80" t="str">
        <f t="shared" ref="AS87:AS104" si="141">IF(AND(G87=""),"",AR87)</f>
        <v/>
      </c>
      <c r="AT87" s="78"/>
      <c r="AU87" s="78"/>
      <c r="AV87" s="80" t="str">
        <f t="shared" ref="AV87:AV104" si="142">IF(AND(G87=""),"",AS87+AT87+AU87)</f>
        <v/>
      </c>
      <c r="AW87" s="80" t="str">
        <f t="shared" ref="AW87:AW104" si="143">IF(AND(G87=""),"",L87*BO87)</f>
        <v/>
      </c>
      <c r="AX87" s="80" t="str">
        <f t="shared" ref="AX87:AX104" si="144">IF(AND(G87=""),"",L87*BP87)</f>
        <v/>
      </c>
      <c r="AY87" s="80" t="str">
        <f t="shared" ref="AY87:AY104" si="145">IF(AND(G87=""),"",L87*BQ87)</f>
        <v/>
      </c>
      <c r="AZ87" s="80" t="str">
        <f t="shared" ref="AZ87:AZ104" si="146">IF(AND(G87=""),"",L87*BR87)</f>
        <v/>
      </c>
      <c r="BA87" s="78" t="str">
        <f t="shared" ref="BA87:BA104" si="147">IF(AND(G87=""),"",ROUND((AW87+AX87)*$BA$10,0)*BS87)</f>
        <v/>
      </c>
      <c r="BB87" s="78"/>
      <c r="BC87" s="79">
        <v>0</v>
      </c>
      <c r="BD87" s="78" t="str">
        <f t="shared" ref="BD87:BD104" si="148">IF(AND(G87=""),"",ROUND((AW87+AX87)*$BD$10,0)*BS87)</f>
        <v/>
      </c>
      <c r="BE87" s="79">
        <f t="shared" ref="BE87:BE104" si="149">3387*2*BP87*BS87*(IF(G87&lt;=0,0,1))*(IF(F87&lt;=4800,1,0))</f>
        <v>0</v>
      </c>
      <c r="BF87" s="78">
        <f t="shared" ref="BF87:BF104" si="150">IF(AND(G87=""),0,ROUND((AD87+ROUND(AD87*$AI$10,0))/2,0)*(IF(M87="FIX PAY",0,1)))</f>
        <v>0</v>
      </c>
      <c r="BG87" s="78">
        <f t="shared" si="113"/>
        <v>0</v>
      </c>
      <c r="BH87" s="78">
        <f t="shared" si="114"/>
        <v>0</v>
      </c>
      <c r="BI87" s="78" t="str">
        <f t="shared" si="115"/>
        <v/>
      </c>
      <c r="BJ87" s="80" t="str">
        <f t="shared" ref="BJ87:BJ104" si="151">IF(AND(G87=""),"",SUM(BA87:BI87)+AW87+AX87)</f>
        <v/>
      </c>
      <c r="BK87" s="80" t="str">
        <f t="shared" ref="BK87:BK104" si="152">IF(AND(G87=""),"",BJ87)</f>
        <v/>
      </c>
      <c r="BL87" s="78"/>
      <c r="BM87" s="78"/>
      <c r="BN87" s="80" t="str">
        <f t="shared" ref="BN87:BN104" si="153">IF(AND(G87=""),"",BK87+BL87+BM87)</f>
        <v/>
      </c>
      <c r="BO87" s="74">
        <f t="shared" si="116"/>
        <v>0</v>
      </c>
      <c r="BP87" s="74">
        <f t="shared" ref="BP87:BP93" si="154">IF(BO87&lt;=0,1,0)*(IF(M87="FIX PAY",0,1))</f>
        <v>1</v>
      </c>
      <c r="BQ87" s="74">
        <f t="shared" si="117"/>
        <v>0</v>
      </c>
      <c r="BR87" s="74">
        <f t="shared" si="118"/>
        <v>0</v>
      </c>
      <c r="BS87" s="74">
        <f t="shared" si="119"/>
        <v>0</v>
      </c>
      <c r="BT87" s="74">
        <f t="shared" si="120"/>
        <v>1</v>
      </c>
      <c r="BU87" s="60">
        <f t="shared" si="121"/>
        <v>0</v>
      </c>
      <c r="BV87" s="81">
        <f t="shared" si="122"/>
        <v>1</v>
      </c>
      <c r="BW87" s="60">
        <f t="shared" si="123"/>
        <v>0</v>
      </c>
      <c r="BX87" s="60">
        <f t="shared" si="124"/>
        <v>0</v>
      </c>
      <c r="BY87" s="49" t="str">
        <f t="shared" si="125"/>
        <v/>
      </c>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row>
    <row r="88" spans="1:101" s="76" customFormat="1" ht="15.75">
      <c r="A88" s="125">
        <v>3</v>
      </c>
      <c r="B88" s="414" t="str">
        <f>IF(ISNA(VLOOKUP(A88,Master!BE$60:BQ$107,3,FALSE)),"",VLOOKUP(A88,Master!BE$60:BQ$107,3,FALSE))</f>
        <v/>
      </c>
      <c r="C88" s="415" t="str">
        <f>IF(ISNA(VLOOKUP(A88,Master!BE$60:BQ$107,7,FALSE)),"",VLOOKUP(A88,Master!BE$60:BQ$107,7,FALSE))</f>
        <v/>
      </c>
      <c r="D88" s="418" t="str">
        <f>IF(ISNA(VLOOKUP(A88,Master!BE$60:BQ$107,8,FALSE)),"",VLOOKUP(A88,Master!BE$60:BQ$107,8,FALSE))</f>
        <v/>
      </c>
      <c r="E88" s="421" t="str">
        <f>IF(ISNA(VLOOKUP(A88,Master!BE$60:BQ$107,4,FALSE)),"",VLOOKUP(A88,Master!BE$60:BQ$107,4,FALSE))</f>
        <v/>
      </c>
      <c r="F88" s="134" t="str">
        <f>IF(ISNA(VLOOKUP(A88,Master!BE$60:BQ$107,5,FALSE)),"",VLOOKUP(A88,Master!BE$60:BQ$107,5,FALSE))</f>
        <v/>
      </c>
      <c r="G88" s="419" t="str">
        <f t="shared" si="126"/>
        <v/>
      </c>
      <c r="H88" s="419" t="str">
        <f t="shared" si="127"/>
        <v/>
      </c>
      <c r="I88" s="420" t="str">
        <f t="shared" si="128"/>
        <v/>
      </c>
      <c r="J88" s="419" t="str">
        <f t="shared" si="129"/>
        <v/>
      </c>
      <c r="K88" s="419" t="str">
        <f t="shared" si="130"/>
        <v/>
      </c>
      <c r="L88" s="419" t="str">
        <f t="shared" si="131"/>
        <v/>
      </c>
      <c r="M88" s="419" t="str">
        <f t="shared" si="132"/>
        <v/>
      </c>
      <c r="N88" s="168"/>
      <c r="O88" s="168"/>
      <c r="P88" s="168"/>
      <c r="Q88" s="168">
        <v>0</v>
      </c>
      <c r="R88" s="52"/>
      <c r="S88" s="83"/>
      <c r="T88" s="75"/>
      <c r="U88" s="75"/>
      <c r="V88" s="83"/>
      <c r="W88" s="75">
        <f>'[1]Data Entry'!BJ61</f>
        <v>0</v>
      </c>
      <c r="X88" s="79"/>
      <c r="Y88" s="79"/>
      <c r="Z88" s="79"/>
      <c r="AA88" s="79"/>
      <c r="AB88" s="79"/>
      <c r="AC88" s="79"/>
      <c r="AD88" s="80" t="str">
        <f t="shared" si="133"/>
        <v/>
      </c>
      <c r="AE88" s="80" t="str">
        <f t="shared" si="134"/>
        <v/>
      </c>
      <c r="AF88" s="80" t="str">
        <f t="shared" si="135"/>
        <v/>
      </c>
      <c r="AG88" s="80" t="str">
        <f t="shared" si="136"/>
        <v/>
      </c>
      <c r="AH88" s="80" t="str">
        <f t="shared" si="137"/>
        <v/>
      </c>
      <c r="AI88" s="78" t="str">
        <f t="shared" si="138"/>
        <v/>
      </c>
      <c r="AJ88" s="78">
        <v>0</v>
      </c>
      <c r="AK88" s="79">
        <v>0</v>
      </c>
      <c r="AL88" s="78" t="str">
        <f t="shared" si="139"/>
        <v/>
      </c>
      <c r="AM88" s="79">
        <f t="shared" si="107"/>
        <v>0</v>
      </c>
      <c r="AN88" s="78">
        <f t="shared" si="108"/>
        <v>0</v>
      </c>
      <c r="AO88" s="78">
        <f t="shared" si="109"/>
        <v>0</v>
      </c>
      <c r="AP88" s="78"/>
      <c r="AQ88" s="78">
        <f t="shared" si="110"/>
        <v>0</v>
      </c>
      <c r="AR88" s="80" t="str">
        <f t="shared" si="140"/>
        <v/>
      </c>
      <c r="AS88" s="80" t="str">
        <f t="shared" si="141"/>
        <v/>
      </c>
      <c r="AT88" s="78"/>
      <c r="AU88" s="78"/>
      <c r="AV88" s="80" t="str">
        <f t="shared" si="142"/>
        <v/>
      </c>
      <c r="AW88" s="80" t="str">
        <f t="shared" si="143"/>
        <v/>
      </c>
      <c r="AX88" s="80" t="str">
        <f t="shared" si="144"/>
        <v/>
      </c>
      <c r="AY88" s="80" t="str">
        <f t="shared" si="145"/>
        <v/>
      </c>
      <c r="AZ88" s="80" t="str">
        <f t="shared" si="146"/>
        <v/>
      </c>
      <c r="BA88" s="78" t="str">
        <f t="shared" si="147"/>
        <v/>
      </c>
      <c r="BB88" s="78"/>
      <c r="BC88" s="79">
        <v>0</v>
      </c>
      <c r="BD88" s="78" t="str">
        <f t="shared" si="148"/>
        <v/>
      </c>
      <c r="BE88" s="79">
        <f t="shared" si="149"/>
        <v>0</v>
      </c>
      <c r="BF88" s="78">
        <f t="shared" si="150"/>
        <v>0</v>
      </c>
      <c r="BG88" s="78">
        <f t="shared" si="113"/>
        <v>0</v>
      </c>
      <c r="BH88" s="78">
        <f t="shared" si="114"/>
        <v>0</v>
      </c>
      <c r="BI88" s="78" t="str">
        <f t="shared" si="115"/>
        <v/>
      </c>
      <c r="BJ88" s="80" t="str">
        <f t="shared" si="151"/>
        <v/>
      </c>
      <c r="BK88" s="80" t="str">
        <f t="shared" si="152"/>
        <v/>
      </c>
      <c r="BL88" s="78"/>
      <c r="BM88" s="78"/>
      <c r="BN88" s="80" t="str">
        <f t="shared" si="153"/>
        <v/>
      </c>
      <c r="BO88" s="74">
        <f t="shared" si="116"/>
        <v>0</v>
      </c>
      <c r="BP88" s="74">
        <f t="shared" si="154"/>
        <v>1</v>
      </c>
      <c r="BQ88" s="74">
        <f t="shared" si="117"/>
        <v>0</v>
      </c>
      <c r="BR88" s="74">
        <f t="shared" si="118"/>
        <v>0</v>
      </c>
      <c r="BS88" s="74">
        <f t="shared" si="119"/>
        <v>0</v>
      </c>
      <c r="BT88" s="74">
        <f t="shared" si="120"/>
        <v>1</v>
      </c>
      <c r="BU88" s="60">
        <f t="shared" si="121"/>
        <v>0</v>
      </c>
      <c r="BV88" s="81">
        <f t="shared" si="122"/>
        <v>1</v>
      </c>
      <c r="BW88" s="60">
        <f t="shared" si="123"/>
        <v>0</v>
      </c>
      <c r="BX88" s="60">
        <f t="shared" si="124"/>
        <v>0</v>
      </c>
      <c r="BY88" s="49" t="str">
        <f t="shared" si="125"/>
        <v/>
      </c>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row>
    <row r="89" spans="1:101" s="76" customFormat="1" ht="15.75">
      <c r="A89" s="125">
        <v>4</v>
      </c>
      <c r="B89" s="414" t="str">
        <f>IF(ISNA(VLOOKUP(A89,Master!BE$60:BQ$107,3,FALSE)),"",VLOOKUP(A89,Master!BE$60:BQ$107,3,FALSE))</f>
        <v/>
      </c>
      <c r="C89" s="415" t="str">
        <f>IF(ISNA(VLOOKUP(A89,Master!BE$60:BQ$107,7,FALSE)),"",VLOOKUP(A89,Master!BE$60:BQ$107,7,FALSE))</f>
        <v/>
      </c>
      <c r="D89" s="418" t="str">
        <f>IF(ISNA(VLOOKUP(A89,Master!BE$60:BQ$107,8,FALSE)),"",VLOOKUP(A89,Master!BE$60:BQ$107,8,FALSE))</f>
        <v/>
      </c>
      <c r="E89" s="421" t="str">
        <f>IF(ISNA(VLOOKUP(A89,Master!BE$60:BQ$107,4,FALSE)),"",VLOOKUP(A89,Master!BE$60:BQ$107,4,FALSE))</f>
        <v/>
      </c>
      <c r="F89" s="134" t="str">
        <f>IF(ISNA(VLOOKUP(A89,Master!BE$60:BQ$107,5,FALSE)),"",VLOOKUP(A89,Master!BE$60:BQ$107,5,FALSE))</f>
        <v/>
      </c>
      <c r="G89" s="419" t="str">
        <f t="shared" si="126"/>
        <v/>
      </c>
      <c r="H89" s="419" t="str">
        <f t="shared" si="127"/>
        <v/>
      </c>
      <c r="I89" s="420" t="str">
        <f t="shared" si="128"/>
        <v/>
      </c>
      <c r="J89" s="419" t="str">
        <f t="shared" si="129"/>
        <v/>
      </c>
      <c r="K89" s="419" t="str">
        <f t="shared" si="130"/>
        <v/>
      </c>
      <c r="L89" s="419" t="str">
        <f t="shared" si="131"/>
        <v/>
      </c>
      <c r="M89" s="419" t="str">
        <f t="shared" si="132"/>
        <v/>
      </c>
      <c r="N89" s="168"/>
      <c r="O89" s="168"/>
      <c r="P89" s="168"/>
      <c r="Q89" s="168">
        <v>0</v>
      </c>
      <c r="R89" s="52"/>
      <c r="S89" s="83"/>
      <c r="T89" s="75"/>
      <c r="U89" s="75"/>
      <c r="V89" s="83"/>
      <c r="W89" s="75">
        <f>'[1]Data Entry'!BJ62</f>
        <v>0</v>
      </c>
      <c r="X89" s="79"/>
      <c r="Y89" s="79"/>
      <c r="Z89" s="79"/>
      <c r="AA89" s="79"/>
      <c r="AB89" s="79"/>
      <c r="AC89" s="79"/>
      <c r="AD89" s="80" t="str">
        <f t="shared" si="133"/>
        <v/>
      </c>
      <c r="AE89" s="80" t="str">
        <f t="shared" si="134"/>
        <v/>
      </c>
      <c r="AF89" s="80" t="str">
        <f t="shared" si="135"/>
        <v/>
      </c>
      <c r="AG89" s="80" t="str">
        <f t="shared" si="136"/>
        <v/>
      </c>
      <c r="AH89" s="80" t="str">
        <f t="shared" si="137"/>
        <v/>
      </c>
      <c r="AI89" s="78" t="str">
        <f t="shared" si="138"/>
        <v/>
      </c>
      <c r="AJ89" s="78">
        <v>0</v>
      </c>
      <c r="AK89" s="79">
        <v>0</v>
      </c>
      <c r="AL89" s="78" t="str">
        <f t="shared" si="139"/>
        <v/>
      </c>
      <c r="AM89" s="79">
        <f t="shared" si="107"/>
        <v>0</v>
      </c>
      <c r="AN89" s="78">
        <f t="shared" si="108"/>
        <v>0</v>
      </c>
      <c r="AO89" s="78">
        <f t="shared" si="109"/>
        <v>0</v>
      </c>
      <c r="AP89" s="78"/>
      <c r="AQ89" s="78">
        <f t="shared" si="110"/>
        <v>0</v>
      </c>
      <c r="AR89" s="80" t="str">
        <f t="shared" si="140"/>
        <v/>
      </c>
      <c r="AS89" s="80" t="str">
        <f t="shared" si="141"/>
        <v/>
      </c>
      <c r="AT89" s="78"/>
      <c r="AU89" s="78"/>
      <c r="AV89" s="80" t="str">
        <f t="shared" si="142"/>
        <v/>
      </c>
      <c r="AW89" s="80" t="str">
        <f t="shared" si="143"/>
        <v/>
      </c>
      <c r="AX89" s="80" t="str">
        <f t="shared" si="144"/>
        <v/>
      </c>
      <c r="AY89" s="80" t="str">
        <f t="shared" si="145"/>
        <v/>
      </c>
      <c r="AZ89" s="80" t="str">
        <f t="shared" si="146"/>
        <v/>
      </c>
      <c r="BA89" s="78" t="str">
        <f t="shared" si="147"/>
        <v/>
      </c>
      <c r="BB89" s="78"/>
      <c r="BC89" s="79">
        <v>0</v>
      </c>
      <c r="BD89" s="78" t="str">
        <f t="shared" si="148"/>
        <v/>
      </c>
      <c r="BE89" s="79">
        <f t="shared" si="149"/>
        <v>0</v>
      </c>
      <c r="BF89" s="78">
        <f t="shared" si="150"/>
        <v>0</v>
      </c>
      <c r="BG89" s="78">
        <f t="shared" si="113"/>
        <v>0</v>
      </c>
      <c r="BH89" s="78">
        <f t="shared" si="114"/>
        <v>0</v>
      </c>
      <c r="BI89" s="78" t="str">
        <f t="shared" si="115"/>
        <v/>
      </c>
      <c r="BJ89" s="80" t="str">
        <f t="shared" si="151"/>
        <v/>
      </c>
      <c r="BK89" s="80" t="str">
        <f t="shared" si="152"/>
        <v/>
      </c>
      <c r="BL89" s="78"/>
      <c r="BM89" s="78"/>
      <c r="BN89" s="80" t="str">
        <f t="shared" si="153"/>
        <v/>
      </c>
      <c r="BO89" s="74">
        <f t="shared" si="116"/>
        <v>0</v>
      </c>
      <c r="BP89" s="74">
        <f t="shared" si="154"/>
        <v>1</v>
      </c>
      <c r="BQ89" s="74">
        <f t="shared" si="117"/>
        <v>0</v>
      </c>
      <c r="BR89" s="74">
        <f t="shared" si="118"/>
        <v>0</v>
      </c>
      <c r="BS89" s="74">
        <f t="shared" si="119"/>
        <v>0</v>
      </c>
      <c r="BT89" s="74">
        <f t="shared" si="120"/>
        <v>1</v>
      </c>
      <c r="BU89" s="60">
        <f t="shared" si="121"/>
        <v>0</v>
      </c>
      <c r="BV89" s="81">
        <f t="shared" si="122"/>
        <v>1</v>
      </c>
      <c r="BW89" s="60">
        <f t="shared" si="123"/>
        <v>0</v>
      </c>
      <c r="BX89" s="60">
        <f t="shared" si="124"/>
        <v>0</v>
      </c>
      <c r="BY89" s="49" t="str">
        <f t="shared" si="125"/>
        <v/>
      </c>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row>
    <row r="90" spans="1:101" s="76" customFormat="1" ht="15.75">
      <c r="A90" s="125">
        <v>5</v>
      </c>
      <c r="B90" s="414" t="str">
        <f>IF(ISNA(VLOOKUP(A90,Master!BE$60:BQ$107,3,FALSE)),"",VLOOKUP(A90,Master!BE$60:BQ$107,3,FALSE))</f>
        <v/>
      </c>
      <c r="C90" s="415" t="str">
        <f>IF(ISNA(VLOOKUP(A90,Master!BE$60:BQ$107,7,FALSE)),"",VLOOKUP(A90,Master!BE$60:BQ$107,7,FALSE))</f>
        <v/>
      </c>
      <c r="D90" s="418" t="str">
        <f>IF(ISNA(VLOOKUP(A90,Master!BE$60:BQ$107,8,FALSE)),"",VLOOKUP(A90,Master!BE$60:BQ$107,8,FALSE))</f>
        <v/>
      </c>
      <c r="E90" s="421" t="str">
        <f>IF(ISNA(VLOOKUP(A90,Master!BE$60:BQ$107,4,FALSE)),"",VLOOKUP(A90,Master!BE$60:BQ$107,4,FALSE))</f>
        <v/>
      </c>
      <c r="F90" s="134" t="str">
        <f>IF(ISNA(VLOOKUP(A90,Master!BE$60:BQ$107,5,FALSE)),"",VLOOKUP(A90,Master!BE$60:BQ$107,5,FALSE))</f>
        <v/>
      </c>
      <c r="G90" s="419" t="str">
        <f t="shared" si="126"/>
        <v/>
      </c>
      <c r="H90" s="419" t="str">
        <f t="shared" si="127"/>
        <v/>
      </c>
      <c r="I90" s="420" t="str">
        <f t="shared" si="128"/>
        <v/>
      </c>
      <c r="J90" s="419" t="str">
        <f t="shared" si="129"/>
        <v/>
      </c>
      <c r="K90" s="419" t="str">
        <f t="shared" si="130"/>
        <v/>
      </c>
      <c r="L90" s="419" t="str">
        <f t="shared" si="131"/>
        <v/>
      </c>
      <c r="M90" s="419" t="str">
        <f t="shared" si="132"/>
        <v/>
      </c>
      <c r="N90" s="168"/>
      <c r="O90" s="168"/>
      <c r="P90" s="168"/>
      <c r="Q90" s="168">
        <v>0</v>
      </c>
      <c r="R90" s="52"/>
      <c r="S90" s="83"/>
      <c r="T90" s="75"/>
      <c r="U90" s="75"/>
      <c r="V90" s="83"/>
      <c r="W90" s="75">
        <f>'[1]Data Entry'!BJ63</f>
        <v>0</v>
      </c>
      <c r="X90" s="79"/>
      <c r="Y90" s="79"/>
      <c r="Z90" s="79"/>
      <c r="AA90" s="79"/>
      <c r="AB90" s="79"/>
      <c r="AC90" s="79"/>
      <c r="AD90" s="80" t="str">
        <f t="shared" si="133"/>
        <v/>
      </c>
      <c r="AE90" s="80" t="str">
        <f t="shared" si="134"/>
        <v/>
      </c>
      <c r="AF90" s="80" t="str">
        <f t="shared" si="135"/>
        <v/>
      </c>
      <c r="AG90" s="80" t="str">
        <f t="shared" si="136"/>
        <v/>
      </c>
      <c r="AH90" s="80" t="str">
        <f t="shared" si="137"/>
        <v/>
      </c>
      <c r="AI90" s="78" t="str">
        <f t="shared" si="138"/>
        <v/>
      </c>
      <c r="AJ90" s="78">
        <v>0</v>
      </c>
      <c r="AK90" s="79">
        <v>0</v>
      </c>
      <c r="AL90" s="78" t="str">
        <f t="shared" si="139"/>
        <v/>
      </c>
      <c r="AM90" s="79">
        <f t="shared" si="107"/>
        <v>0</v>
      </c>
      <c r="AN90" s="78">
        <f t="shared" si="108"/>
        <v>0</v>
      </c>
      <c r="AO90" s="78">
        <f t="shared" si="109"/>
        <v>0</v>
      </c>
      <c r="AP90" s="78"/>
      <c r="AQ90" s="78">
        <f t="shared" si="110"/>
        <v>0</v>
      </c>
      <c r="AR90" s="80" t="str">
        <f t="shared" si="140"/>
        <v/>
      </c>
      <c r="AS90" s="80" t="str">
        <f t="shared" si="141"/>
        <v/>
      </c>
      <c r="AT90" s="78"/>
      <c r="AU90" s="78"/>
      <c r="AV90" s="80" t="str">
        <f t="shared" si="142"/>
        <v/>
      </c>
      <c r="AW90" s="80" t="str">
        <f t="shared" si="143"/>
        <v/>
      </c>
      <c r="AX90" s="80" t="str">
        <f t="shared" si="144"/>
        <v/>
      </c>
      <c r="AY90" s="80" t="str">
        <f t="shared" si="145"/>
        <v/>
      </c>
      <c r="AZ90" s="80" t="str">
        <f t="shared" si="146"/>
        <v/>
      </c>
      <c r="BA90" s="78" t="str">
        <f t="shared" si="147"/>
        <v/>
      </c>
      <c r="BB90" s="78"/>
      <c r="BC90" s="79">
        <v>0</v>
      </c>
      <c r="BD90" s="78" t="str">
        <f t="shared" si="148"/>
        <v/>
      </c>
      <c r="BE90" s="79">
        <f t="shared" si="149"/>
        <v>0</v>
      </c>
      <c r="BF90" s="78">
        <f t="shared" si="150"/>
        <v>0</v>
      </c>
      <c r="BG90" s="78">
        <f t="shared" si="113"/>
        <v>0</v>
      </c>
      <c r="BH90" s="78">
        <f t="shared" si="114"/>
        <v>0</v>
      </c>
      <c r="BI90" s="78" t="str">
        <f t="shared" si="115"/>
        <v/>
      </c>
      <c r="BJ90" s="80" t="str">
        <f t="shared" si="151"/>
        <v/>
      </c>
      <c r="BK90" s="80" t="str">
        <f t="shared" si="152"/>
        <v/>
      </c>
      <c r="BL90" s="78"/>
      <c r="BM90" s="78"/>
      <c r="BN90" s="80" t="str">
        <f t="shared" si="153"/>
        <v/>
      </c>
      <c r="BO90" s="74">
        <f t="shared" si="116"/>
        <v>0</v>
      </c>
      <c r="BP90" s="74">
        <f t="shared" si="154"/>
        <v>1</v>
      </c>
      <c r="BQ90" s="74">
        <f t="shared" si="117"/>
        <v>0</v>
      </c>
      <c r="BR90" s="74">
        <f t="shared" si="118"/>
        <v>0</v>
      </c>
      <c r="BS90" s="74">
        <f t="shared" si="119"/>
        <v>0</v>
      </c>
      <c r="BT90" s="74">
        <f t="shared" si="120"/>
        <v>1</v>
      </c>
      <c r="BU90" s="60">
        <f t="shared" si="121"/>
        <v>0</v>
      </c>
      <c r="BV90" s="81">
        <f t="shared" si="122"/>
        <v>1</v>
      </c>
      <c r="BW90" s="60">
        <f t="shared" si="123"/>
        <v>0</v>
      </c>
      <c r="BX90" s="60">
        <f t="shared" si="124"/>
        <v>0</v>
      </c>
      <c r="BY90" s="49" t="str">
        <f t="shared" si="125"/>
        <v/>
      </c>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row>
    <row r="91" spans="1:101" s="76" customFormat="1" ht="15.75">
      <c r="A91" s="125">
        <v>6</v>
      </c>
      <c r="B91" s="414" t="str">
        <f>IF(ISNA(VLOOKUP(A91,Master!BE$60:BQ$107,3,FALSE)),"",VLOOKUP(A91,Master!BE$60:BQ$107,3,FALSE))</f>
        <v/>
      </c>
      <c r="C91" s="415" t="str">
        <f>IF(ISNA(VLOOKUP(A91,Master!BE$60:BQ$107,7,FALSE)),"",VLOOKUP(A91,Master!BE$60:BQ$107,7,FALSE))</f>
        <v/>
      </c>
      <c r="D91" s="418" t="str">
        <f>IF(ISNA(VLOOKUP(A91,Master!BE$60:BQ$107,8,FALSE)),"",VLOOKUP(A91,Master!BE$60:BQ$107,8,FALSE))</f>
        <v/>
      </c>
      <c r="E91" s="421" t="str">
        <f>IF(ISNA(VLOOKUP(A91,Master!BE$60:BQ$107,4,FALSE)),"",VLOOKUP(A91,Master!BE$60:BQ$107,4,FALSE))</f>
        <v/>
      </c>
      <c r="F91" s="134" t="str">
        <f>IF(ISNA(VLOOKUP(A91,Master!BE$60:BQ$107,5,FALSE)),"",VLOOKUP(A91,Master!BE$60:BQ$107,5,FALSE))</f>
        <v/>
      </c>
      <c r="G91" s="419" t="str">
        <f t="shared" si="126"/>
        <v/>
      </c>
      <c r="H91" s="419" t="str">
        <f t="shared" si="127"/>
        <v/>
      </c>
      <c r="I91" s="420" t="str">
        <f t="shared" si="128"/>
        <v/>
      </c>
      <c r="J91" s="419" t="str">
        <f t="shared" si="129"/>
        <v/>
      </c>
      <c r="K91" s="419" t="str">
        <f t="shared" si="130"/>
        <v/>
      </c>
      <c r="L91" s="419" t="str">
        <f t="shared" si="131"/>
        <v/>
      </c>
      <c r="M91" s="419" t="str">
        <f t="shared" si="132"/>
        <v/>
      </c>
      <c r="N91" s="168"/>
      <c r="O91" s="168"/>
      <c r="P91" s="168"/>
      <c r="Q91" s="168">
        <v>0</v>
      </c>
      <c r="R91" s="52"/>
      <c r="S91" s="83"/>
      <c r="T91" s="75"/>
      <c r="U91" s="75"/>
      <c r="V91" s="83"/>
      <c r="W91" s="75">
        <f>'[1]Data Entry'!BJ64</f>
        <v>0</v>
      </c>
      <c r="X91" s="79"/>
      <c r="Y91" s="79"/>
      <c r="Z91" s="79"/>
      <c r="AA91" s="79"/>
      <c r="AB91" s="79"/>
      <c r="AC91" s="79"/>
      <c r="AD91" s="80" t="str">
        <f t="shared" si="133"/>
        <v/>
      </c>
      <c r="AE91" s="80" t="str">
        <f t="shared" si="134"/>
        <v/>
      </c>
      <c r="AF91" s="80" t="str">
        <f t="shared" si="135"/>
        <v/>
      </c>
      <c r="AG91" s="80" t="str">
        <f t="shared" si="136"/>
        <v/>
      </c>
      <c r="AH91" s="80" t="str">
        <f t="shared" si="137"/>
        <v/>
      </c>
      <c r="AI91" s="78" t="str">
        <f t="shared" si="138"/>
        <v/>
      </c>
      <c r="AJ91" s="78">
        <v>0</v>
      </c>
      <c r="AK91" s="79">
        <v>0</v>
      </c>
      <c r="AL91" s="78" t="str">
        <f t="shared" si="139"/>
        <v/>
      </c>
      <c r="AM91" s="79">
        <f t="shared" si="107"/>
        <v>0</v>
      </c>
      <c r="AN91" s="78">
        <f t="shared" si="108"/>
        <v>0</v>
      </c>
      <c r="AO91" s="78">
        <f t="shared" si="109"/>
        <v>0</v>
      </c>
      <c r="AP91" s="78"/>
      <c r="AQ91" s="78">
        <f t="shared" si="110"/>
        <v>0</v>
      </c>
      <c r="AR91" s="80" t="str">
        <f t="shared" si="140"/>
        <v/>
      </c>
      <c r="AS91" s="80" t="str">
        <f t="shared" si="141"/>
        <v/>
      </c>
      <c r="AT91" s="78"/>
      <c r="AU91" s="78"/>
      <c r="AV91" s="80" t="str">
        <f t="shared" si="142"/>
        <v/>
      </c>
      <c r="AW91" s="80" t="str">
        <f t="shared" si="143"/>
        <v/>
      </c>
      <c r="AX91" s="80" t="str">
        <f t="shared" si="144"/>
        <v/>
      </c>
      <c r="AY91" s="80" t="str">
        <f t="shared" si="145"/>
        <v/>
      </c>
      <c r="AZ91" s="80" t="str">
        <f t="shared" si="146"/>
        <v/>
      </c>
      <c r="BA91" s="78" t="str">
        <f t="shared" si="147"/>
        <v/>
      </c>
      <c r="BB91" s="78"/>
      <c r="BC91" s="79">
        <v>0</v>
      </c>
      <c r="BD91" s="78" t="str">
        <f t="shared" si="148"/>
        <v/>
      </c>
      <c r="BE91" s="79">
        <f t="shared" si="149"/>
        <v>0</v>
      </c>
      <c r="BF91" s="78">
        <f t="shared" si="150"/>
        <v>0</v>
      </c>
      <c r="BG91" s="78">
        <f t="shared" si="113"/>
        <v>0</v>
      </c>
      <c r="BH91" s="78">
        <f t="shared" si="114"/>
        <v>0</v>
      </c>
      <c r="BI91" s="78" t="str">
        <f t="shared" si="115"/>
        <v/>
      </c>
      <c r="BJ91" s="80" t="str">
        <f t="shared" si="151"/>
        <v/>
      </c>
      <c r="BK91" s="80" t="str">
        <f t="shared" si="152"/>
        <v/>
      </c>
      <c r="BL91" s="78"/>
      <c r="BM91" s="78"/>
      <c r="BN91" s="80" t="str">
        <f t="shared" si="153"/>
        <v/>
      </c>
      <c r="BO91" s="74">
        <f t="shared" si="116"/>
        <v>0</v>
      </c>
      <c r="BP91" s="74">
        <f t="shared" si="154"/>
        <v>1</v>
      </c>
      <c r="BQ91" s="74">
        <f t="shared" si="117"/>
        <v>0</v>
      </c>
      <c r="BR91" s="74">
        <f t="shared" si="118"/>
        <v>0</v>
      </c>
      <c r="BS91" s="74">
        <f t="shared" si="119"/>
        <v>0</v>
      </c>
      <c r="BT91" s="74">
        <f t="shared" si="120"/>
        <v>1</v>
      </c>
      <c r="BU91" s="60">
        <f t="shared" si="121"/>
        <v>0</v>
      </c>
      <c r="BV91" s="81">
        <f t="shared" si="122"/>
        <v>1</v>
      </c>
      <c r="BW91" s="60">
        <f t="shared" si="123"/>
        <v>0</v>
      </c>
      <c r="BX91" s="60">
        <f t="shared" si="124"/>
        <v>0</v>
      </c>
      <c r="BY91" s="49" t="str">
        <f t="shared" si="125"/>
        <v/>
      </c>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row>
    <row r="92" spans="1:101" s="76" customFormat="1" ht="15.75">
      <c r="A92" s="125">
        <v>7</v>
      </c>
      <c r="B92" s="414" t="str">
        <f>IF(ISNA(VLOOKUP(A92,Master!BE$60:BQ$107,3,FALSE)),"",VLOOKUP(A92,Master!BE$60:BQ$107,3,FALSE))</f>
        <v/>
      </c>
      <c r="C92" s="415" t="str">
        <f>IF(ISNA(VLOOKUP(A92,Master!BE$60:BQ$107,7,FALSE)),"",VLOOKUP(A92,Master!BE$60:BQ$107,7,FALSE))</f>
        <v/>
      </c>
      <c r="D92" s="418" t="str">
        <f>IF(ISNA(VLOOKUP(A92,Master!BE$60:BQ$107,8,FALSE)),"",VLOOKUP(A92,Master!BE$60:BQ$107,8,FALSE))</f>
        <v/>
      </c>
      <c r="E92" s="421" t="str">
        <f>IF(ISNA(VLOOKUP(A92,Master!BE$60:BQ$107,4,FALSE)),"",VLOOKUP(A92,Master!BE$60:BQ$107,4,FALSE))</f>
        <v/>
      </c>
      <c r="F92" s="134" t="str">
        <f>IF(ISNA(VLOOKUP(A92,Master!BE$60:BQ$107,5,FALSE)),"",VLOOKUP(A92,Master!BE$60:BQ$107,5,FALSE))</f>
        <v/>
      </c>
      <c r="G92" s="419" t="str">
        <f t="shared" si="126"/>
        <v/>
      </c>
      <c r="H92" s="419" t="str">
        <f t="shared" si="127"/>
        <v/>
      </c>
      <c r="I92" s="420" t="str">
        <f t="shared" si="128"/>
        <v/>
      </c>
      <c r="J92" s="419" t="str">
        <f t="shared" si="129"/>
        <v/>
      </c>
      <c r="K92" s="419" t="str">
        <f t="shared" si="130"/>
        <v/>
      </c>
      <c r="L92" s="419" t="str">
        <f t="shared" si="131"/>
        <v/>
      </c>
      <c r="M92" s="419" t="str">
        <f t="shared" si="132"/>
        <v/>
      </c>
      <c r="N92" s="168"/>
      <c r="O92" s="168"/>
      <c r="P92" s="168"/>
      <c r="Q92" s="168">
        <v>0</v>
      </c>
      <c r="R92" s="52"/>
      <c r="S92" s="83"/>
      <c r="T92" s="75"/>
      <c r="U92" s="75"/>
      <c r="V92" s="83"/>
      <c r="W92" s="75">
        <f>'[1]Data Entry'!BJ65</f>
        <v>0</v>
      </c>
      <c r="X92" s="79"/>
      <c r="Y92" s="79"/>
      <c r="Z92" s="79"/>
      <c r="AA92" s="79"/>
      <c r="AB92" s="79"/>
      <c r="AC92" s="79"/>
      <c r="AD92" s="80" t="str">
        <f t="shared" si="133"/>
        <v/>
      </c>
      <c r="AE92" s="80" t="str">
        <f t="shared" si="134"/>
        <v/>
      </c>
      <c r="AF92" s="80" t="str">
        <f t="shared" si="135"/>
        <v/>
      </c>
      <c r="AG92" s="80" t="str">
        <f t="shared" si="136"/>
        <v/>
      </c>
      <c r="AH92" s="80" t="str">
        <f t="shared" si="137"/>
        <v/>
      </c>
      <c r="AI92" s="78" t="str">
        <f t="shared" si="138"/>
        <v/>
      </c>
      <c r="AJ92" s="78">
        <v>0</v>
      </c>
      <c r="AK92" s="79">
        <v>0</v>
      </c>
      <c r="AL92" s="78" t="str">
        <f t="shared" si="139"/>
        <v/>
      </c>
      <c r="AM92" s="79">
        <f t="shared" si="107"/>
        <v>0</v>
      </c>
      <c r="AN92" s="78">
        <f t="shared" si="108"/>
        <v>0</v>
      </c>
      <c r="AO92" s="78">
        <f t="shared" si="109"/>
        <v>0</v>
      </c>
      <c r="AP92" s="78"/>
      <c r="AQ92" s="78">
        <f t="shared" si="110"/>
        <v>0</v>
      </c>
      <c r="AR92" s="80" t="str">
        <f t="shared" si="140"/>
        <v/>
      </c>
      <c r="AS92" s="80" t="str">
        <f t="shared" si="141"/>
        <v/>
      </c>
      <c r="AT92" s="78"/>
      <c r="AU92" s="78"/>
      <c r="AV92" s="80" t="str">
        <f t="shared" si="142"/>
        <v/>
      </c>
      <c r="AW92" s="80" t="str">
        <f t="shared" si="143"/>
        <v/>
      </c>
      <c r="AX92" s="80" t="str">
        <f t="shared" si="144"/>
        <v/>
      </c>
      <c r="AY92" s="80" t="str">
        <f t="shared" si="145"/>
        <v/>
      </c>
      <c r="AZ92" s="80" t="str">
        <f t="shared" si="146"/>
        <v/>
      </c>
      <c r="BA92" s="78" t="str">
        <f t="shared" si="147"/>
        <v/>
      </c>
      <c r="BB92" s="78"/>
      <c r="BC92" s="79">
        <v>0</v>
      </c>
      <c r="BD92" s="78" t="str">
        <f t="shared" si="148"/>
        <v/>
      </c>
      <c r="BE92" s="79">
        <f t="shared" si="149"/>
        <v>0</v>
      </c>
      <c r="BF92" s="78">
        <f t="shared" si="150"/>
        <v>0</v>
      </c>
      <c r="BG92" s="78">
        <f t="shared" si="113"/>
        <v>0</v>
      </c>
      <c r="BH92" s="78">
        <f t="shared" si="114"/>
        <v>0</v>
      </c>
      <c r="BI92" s="78" t="str">
        <f t="shared" si="115"/>
        <v/>
      </c>
      <c r="BJ92" s="80" t="str">
        <f t="shared" si="151"/>
        <v/>
      </c>
      <c r="BK92" s="80" t="str">
        <f t="shared" si="152"/>
        <v/>
      </c>
      <c r="BL92" s="78"/>
      <c r="BM92" s="78"/>
      <c r="BN92" s="80" t="str">
        <f t="shared" si="153"/>
        <v/>
      </c>
      <c r="BO92" s="74">
        <f t="shared" si="116"/>
        <v>0</v>
      </c>
      <c r="BP92" s="74">
        <f t="shared" si="154"/>
        <v>1</v>
      </c>
      <c r="BQ92" s="74">
        <f t="shared" si="117"/>
        <v>0</v>
      </c>
      <c r="BR92" s="74">
        <f t="shared" si="118"/>
        <v>0</v>
      </c>
      <c r="BS92" s="74">
        <f t="shared" si="119"/>
        <v>0</v>
      </c>
      <c r="BT92" s="74">
        <f t="shared" si="120"/>
        <v>1</v>
      </c>
      <c r="BU92" s="60">
        <f t="shared" si="121"/>
        <v>0</v>
      </c>
      <c r="BV92" s="81">
        <f t="shared" si="122"/>
        <v>1</v>
      </c>
      <c r="BW92" s="60">
        <f t="shared" si="123"/>
        <v>0</v>
      </c>
      <c r="BX92" s="60">
        <f t="shared" si="124"/>
        <v>0</v>
      </c>
      <c r="BY92" s="49" t="str">
        <f t="shared" si="125"/>
        <v/>
      </c>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row>
    <row r="93" spans="1:101" s="76" customFormat="1" ht="15.75">
      <c r="A93" s="125">
        <v>8</v>
      </c>
      <c r="B93" s="414" t="str">
        <f>IF(ISNA(VLOOKUP(A93,Master!BE$60:BQ$107,3,FALSE)),"",VLOOKUP(A93,Master!BE$60:BQ$107,3,FALSE))</f>
        <v/>
      </c>
      <c r="C93" s="415" t="str">
        <f>IF(ISNA(VLOOKUP(A93,Master!BE$60:BQ$107,7,FALSE)),"",VLOOKUP(A93,Master!BE$60:BQ$107,7,FALSE))</f>
        <v/>
      </c>
      <c r="D93" s="418" t="str">
        <f>IF(ISNA(VLOOKUP(A93,Master!BE$60:BQ$107,8,FALSE)),"",VLOOKUP(A93,Master!BE$60:BQ$107,8,FALSE))</f>
        <v/>
      </c>
      <c r="E93" s="421" t="str">
        <f>IF(ISNA(VLOOKUP(A93,Master!BE$60:BQ$107,4,FALSE)),"",VLOOKUP(A93,Master!BE$60:BQ$107,4,FALSE))</f>
        <v/>
      </c>
      <c r="F93" s="134" t="str">
        <f>IF(ISNA(VLOOKUP(A93,Master!BE$60:BQ$107,5,FALSE)),"",VLOOKUP(A93,Master!BE$60:BQ$107,5,FALSE))</f>
        <v/>
      </c>
      <c r="G93" s="419" t="str">
        <f t="shared" si="126"/>
        <v/>
      </c>
      <c r="H93" s="419" t="str">
        <f t="shared" si="127"/>
        <v/>
      </c>
      <c r="I93" s="420" t="str">
        <f t="shared" si="128"/>
        <v/>
      </c>
      <c r="J93" s="419" t="str">
        <f t="shared" si="129"/>
        <v/>
      </c>
      <c r="K93" s="419" t="str">
        <f t="shared" si="130"/>
        <v/>
      </c>
      <c r="L93" s="419" t="str">
        <f t="shared" si="131"/>
        <v/>
      </c>
      <c r="M93" s="419" t="str">
        <f t="shared" si="132"/>
        <v/>
      </c>
      <c r="N93" s="168"/>
      <c r="O93" s="168"/>
      <c r="P93" s="168"/>
      <c r="Q93" s="168">
        <v>0</v>
      </c>
      <c r="R93" s="52"/>
      <c r="S93" s="83"/>
      <c r="T93" s="75"/>
      <c r="U93" s="75"/>
      <c r="V93" s="83"/>
      <c r="W93" s="75">
        <f>'[1]Data Entry'!BJ66</f>
        <v>0</v>
      </c>
      <c r="X93" s="79"/>
      <c r="Y93" s="79"/>
      <c r="Z93" s="79"/>
      <c r="AA93" s="79"/>
      <c r="AB93" s="79"/>
      <c r="AC93" s="79"/>
      <c r="AD93" s="80" t="str">
        <f t="shared" si="133"/>
        <v/>
      </c>
      <c r="AE93" s="80" t="str">
        <f t="shared" si="134"/>
        <v/>
      </c>
      <c r="AF93" s="80" t="str">
        <f t="shared" si="135"/>
        <v/>
      </c>
      <c r="AG93" s="80" t="str">
        <f t="shared" si="136"/>
        <v/>
      </c>
      <c r="AH93" s="80" t="str">
        <f t="shared" si="137"/>
        <v/>
      </c>
      <c r="AI93" s="78" t="str">
        <f t="shared" si="138"/>
        <v/>
      </c>
      <c r="AJ93" s="78">
        <v>0</v>
      </c>
      <c r="AK93" s="79">
        <v>0</v>
      </c>
      <c r="AL93" s="78" t="str">
        <f t="shared" si="139"/>
        <v/>
      </c>
      <c r="AM93" s="79">
        <f t="shared" si="107"/>
        <v>0</v>
      </c>
      <c r="AN93" s="78">
        <f t="shared" si="108"/>
        <v>0</v>
      </c>
      <c r="AO93" s="78">
        <f t="shared" si="109"/>
        <v>0</v>
      </c>
      <c r="AP93" s="78"/>
      <c r="AQ93" s="78">
        <f t="shared" si="110"/>
        <v>0</v>
      </c>
      <c r="AR93" s="80" t="str">
        <f t="shared" si="140"/>
        <v/>
      </c>
      <c r="AS93" s="80" t="str">
        <f t="shared" si="141"/>
        <v/>
      </c>
      <c r="AT93" s="78"/>
      <c r="AU93" s="78"/>
      <c r="AV93" s="80" t="str">
        <f t="shared" si="142"/>
        <v/>
      </c>
      <c r="AW93" s="80" t="str">
        <f t="shared" si="143"/>
        <v/>
      </c>
      <c r="AX93" s="80" t="str">
        <f t="shared" si="144"/>
        <v/>
      </c>
      <c r="AY93" s="80" t="str">
        <f t="shared" si="145"/>
        <v/>
      </c>
      <c r="AZ93" s="80" t="str">
        <f t="shared" si="146"/>
        <v/>
      </c>
      <c r="BA93" s="78" t="str">
        <f t="shared" si="147"/>
        <v/>
      </c>
      <c r="BB93" s="78"/>
      <c r="BC93" s="79">
        <v>0</v>
      </c>
      <c r="BD93" s="78" t="str">
        <f t="shared" si="148"/>
        <v/>
      </c>
      <c r="BE93" s="79">
        <f t="shared" si="149"/>
        <v>0</v>
      </c>
      <c r="BF93" s="78">
        <f t="shared" si="150"/>
        <v>0</v>
      </c>
      <c r="BG93" s="78">
        <f t="shared" si="113"/>
        <v>0</v>
      </c>
      <c r="BH93" s="78">
        <f t="shared" si="114"/>
        <v>0</v>
      </c>
      <c r="BI93" s="78" t="str">
        <f t="shared" si="115"/>
        <v/>
      </c>
      <c r="BJ93" s="80" t="str">
        <f t="shared" si="151"/>
        <v/>
      </c>
      <c r="BK93" s="80" t="str">
        <f t="shared" si="152"/>
        <v/>
      </c>
      <c r="BL93" s="78"/>
      <c r="BM93" s="78"/>
      <c r="BN93" s="80" t="str">
        <f t="shared" si="153"/>
        <v/>
      </c>
      <c r="BO93" s="74">
        <f t="shared" si="116"/>
        <v>0</v>
      </c>
      <c r="BP93" s="74">
        <f t="shared" si="154"/>
        <v>1</v>
      </c>
      <c r="BQ93" s="74">
        <f t="shared" si="117"/>
        <v>0</v>
      </c>
      <c r="BR93" s="74">
        <f t="shared" si="118"/>
        <v>0</v>
      </c>
      <c r="BS93" s="74">
        <f t="shared" si="119"/>
        <v>0</v>
      </c>
      <c r="BT93" s="74">
        <f t="shared" si="120"/>
        <v>1</v>
      </c>
      <c r="BU93" s="60">
        <f t="shared" si="121"/>
        <v>0</v>
      </c>
      <c r="BV93" s="81">
        <f t="shared" si="122"/>
        <v>1</v>
      </c>
      <c r="BW93" s="60">
        <f t="shared" si="123"/>
        <v>0</v>
      </c>
      <c r="BX93" s="60">
        <f t="shared" si="124"/>
        <v>0</v>
      </c>
      <c r="BY93" s="49" t="str">
        <f t="shared" si="125"/>
        <v/>
      </c>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row>
    <row r="94" spans="1:101" s="76" customFormat="1" ht="23.25" customHeight="1">
      <c r="A94" s="672"/>
      <c r="B94" s="647"/>
      <c r="C94" s="647"/>
      <c r="D94" s="422"/>
      <c r="E94" s="127" t="s">
        <v>192</v>
      </c>
      <c r="F94" s="129"/>
      <c r="G94" s="129"/>
      <c r="H94" s="170">
        <f>SUM(H86:H93)</f>
        <v>0</v>
      </c>
      <c r="I94" s="170"/>
      <c r="J94" s="170">
        <f t="shared" ref="J94:L94" si="155">SUM(J86:J93)</f>
        <v>0</v>
      </c>
      <c r="K94" s="170">
        <f t="shared" si="155"/>
        <v>0</v>
      </c>
      <c r="L94" s="170">
        <f t="shared" si="155"/>
        <v>0</v>
      </c>
      <c r="M94" s="131"/>
      <c r="N94" s="166"/>
      <c r="O94" s="166"/>
      <c r="P94" s="166"/>
      <c r="Q94" s="166"/>
      <c r="R94" s="52"/>
      <c r="S94" s="83"/>
      <c r="T94" s="78"/>
      <c r="U94" s="78"/>
      <c r="V94" s="83"/>
      <c r="W94" s="78"/>
      <c r="X94" s="78"/>
      <c r="Y94" s="78"/>
      <c r="Z94" s="78"/>
      <c r="AA94" s="78"/>
      <c r="AB94" s="78"/>
      <c r="AC94" s="78"/>
      <c r="AD94" s="80"/>
      <c r="AE94" s="80"/>
      <c r="AF94" s="80"/>
      <c r="AG94" s="80"/>
      <c r="AH94" s="80"/>
      <c r="AI94" s="78"/>
      <c r="AJ94" s="78"/>
      <c r="AK94" s="78"/>
      <c r="AL94" s="78"/>
      <c r="AM94" s="78"/>
      <c r="AN94" s="78"/>
      <c r="AO94" s="78"/>
      <c r="AP94" s="78"/>
      <c r="AQ94" s="78"/>
      <c r="AR94" s="80"/>
      <c r="AS94" s="80"/>
      <c r="AT94" s="78"/>
      <c r="AU94" s="78"/>
      <c r="AV94" s="80"/>
      <c r="AW94" s="80"/>
      <c r="AX94" s="80"/>
      <c r="AY94" s="80"/>
      <c r="AZ94" s="80"/>
      <c r="BA94" s="78"/>
      <c r="BB94" s="78"/>
      <c r="BC94" s="78"/>
      <c r="BD94" s="78"/>
      <c r="BE94" s="79"/>
      <c r="BF94" s="78"/>
      <c r="BG94" s="78"/>
      <c r="BH94" s="78"/>
      <c r="BI94" s="78"/>
      <c r="BJ94" s="80"/>
      <c r="BK94" s="80"/>
      <c r="BL94" s="78"/>
      <c r="BM94" s="78"/>
      <c r="BN94" s="80"/>
      <c r="BO94" s="74"/>
      <c r="BP94" s="74"/>
      <c r="BQ94" s="74"/>
      <c r="BR94" s="74"/>
      <c r="BS94" s="74"/>
      <c r="BT94" s="74"/>
      <c r="BU94" s="60"/>
      <c r="BV94" s="60"/>
      <c r="BW94" s="60"/>
      <c r="BX94" s="60"/>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row>
    <row r="95" spans="1:101" s="76" customFormat="1" ht="21" customHeight="1">
      <c r="A95" s="784" t="s">
        <v>193</v>
      </c>
      <c r="B95" s="785"/>
      <c r="C95" s="785"/>
      <c r="D95" s="785"/>
      <c r="E95" s="785"/>
      <c r="F95" s="785"/>
      <c r="G95" s="785"/>
      <c r="H95" s="785"/>
      <c r="I95" s="785"/>
      <c r="J95" s="785"/>
      <c r="K95" s="785"/>
      <c r="L95" s="785"/>
      <c r="M95" s="786"/>
      <c r="N95" s="166"/>
      <c r="O95" s="166"/>
      <c r="P95" s="166"/>
      <c r="Q95" s="166"/>
      <c r="R95" s="52"/>
      <c r="S95" s="83"/>
      <c r="T95" s="78"/>
      <c r="U95" s="78"/>
      <c r="V95" s="83"/>
      <c r="W95" s="78"/>
      <c r="X95" s="78"/>
      <c r="Y95" s="78"/>
      <c r="Z95" s="78"/>
      <c r="AA95" s="78"/>
      <c r="AB95" s="78"/>
      <c r="AC95" s="78"/>
      <c r="AD95" s="80"/>
      <c r="AE95" s="80"/>
      <c r="AF95" s="80"/>
      <c r="AG95" s="80"/>
      <c r="AH95" s="80"/>
      <c r="AI95" s="78"/>
      <c r="AJ95" s="78"/>
      <c r="AK95" s="78"/>
      <c r="AL95" s="78"/>
      <c r="AM95" s="78"/>
      <c r="AN95" s="78"/>
      <c r="AO95" s="78"/>
      <c r="AP95" s="78"/>
      <c r="AQ95" s="78"/>
      <c r="AR95" s="80"/>
      <c r="AS95" s="80"/>
      <c r="AT95" s="78"/>
      <c r="AU95" s="78"/>
      <c r="AV95" s="80"/>
      <c r="AW95" s="80"/>
      <c r="AX95" s="80"/>
      <c r="AY95" s="80"/>
      <c r="AZ95" s="80"/>
      <c r="BA95" s="78"/>
      <c r="BB95" s="78"/>
      <c r="BC95" s="78"/>
      <c r="BD95" s="78"/>
      <c r="BE95" s="79"/>
      <c r="BF95" s="78"/>
      <c r="BG95" s="78"/>
      <c r="BH95" s="78"/>
      <c r="BI95" s="78"/>
      <c r="BJ95" s="80"/>
      <c r="BK95" s="80"/>
      <c r="BL95" s="78"/>
      <c r="BM95" s="78"/>
      <c r="BN95" s="80"/>
      <c r="BO95" s="74"/>
      <c r="BP95" s="74"/>
      <c r="BQ95" s="74"/>
      <c r="BR95" s="74"/>
      <c r="BS95" s="74"/>
      <c r="BT95" s="74"/>
      <c r="BU95" s="60"/>
      <c r="BV95" s="60"/>
      <c r="BW95" s="60"/>
      <c r="BX95" s="60"/>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row>
    <row r="96" spans="1:101" s="76" customFormat="1" ht="15.75">
      <c r="A96" s="125">
        <v>1</v>
      </c>
      <c r="B96" s="414" t="str">
        <f>IF(ISNA(VLOOKUP(A96,Master!BR$60:CD$107,3,FALSE)),"",VLOOKUP(A96,Master!BR$60:CD$107,3,FALSE))</f>
        <v/>
      </c>
      <c r="C96" s="415" t="str">
        <f>IF(ISNA(VLOOKUP(A96,Master!BR$60:CD$107,7,FALSE)),"",VLOOKUP(A96,Master!BR$60:CD$107,7,FALSE))</f>
        <v/>
      </c>
      <c r="D96" s="418" t="str">
        <f>IF(ISNA(VLOOKUP(A96,Master!BR$60:CD$107,8,FALSE)),"",VLOOKUP(A96,Master!BR$60:CD$107,8,FALSE))</f>
        <v/>
      </c>
      <c r="E96" s="417" t="str">
        <f>IF(ISNA(VLOOKUP(A96,Master!BR$60:CD$107,4,FALSE)),"",VLOOKUP(A96,Master!BR$60:CD$107,4,FALSE))</f>
        <v/>
      </c>
      <c r="F96" s="134" t="str">
        <f>IF(ISNA(VLOOKUP(A96,Master!BR$60:CD$107,5,FALSE)),"",VLOOKUP(A96,Master!BR$60:CD$107,5,FALSE))</f>
        <v/>
      </c>
      <c r="G96" s="419" t="str">
        <f>IF(ISNA(VLOOKUP(A96,Master!BR$60:CD$107,6,FALSE)),"",VLOOKUP(A96,Master!BR$60:CD$107,6,FALSE))</f>
        <v/>
      </c>
      <c r="H96" s="419" t="str">
        <f>IF(AND(F96=""),"",G96*12)</f>
        <v/>
      </c>
      <c r="I96" s="418" t="str">
        <f>IF(AND(F96=""),"","Not Applicable")</f>
        <v/>
      </c>
      <c r="J96" s="419" t="str">
        <f>IF(AND(F96=""),"","0")</f>
        <v/>
      </c>
      <c r="K96" s="419" t="str">
        <f>IF(AND(F96=""),"",H96+J96)</f>
        <v/>
      </c>
      <c r="L96" s="419" t="str">
        <f>IF(AND(F96=""),"",K96)</f>
        <v/>
      </c>
      <c r="M96" s="413" t="str">
        <f>IF(AND(F96=""),"","FIX PAY")</f>
        <v/>
      </c>
      <c r="N96" s="168"/>
      <c r="O96" s="168"/>
      <c r="P96" s="168"/>
      <c r="Q96" s="168">
        <v>0</v>
      </c>
      <c r="R96" s="52"/>
      <c r="S96" s="83"/>
      <c r="T96" s="75"/>
      <c r="U96" s="75"/>
      <c r="V96" s="83"/>
      <c r="W96" s="75">
        <f>'[1]Data Entry'!CP100</f>
        <v>0</v>
      </c>
      <c r="X96" s="79"/>
      <c r="Y96" s="79"/>
      <c r="Z96" s="79"/>
      <c r="AA96" s="79"/>
      <c r="AB96" s="79"/>
      <c r="AC96" s="79"/>
      <c r="AD96" s="80" t="str">
        <f t="shared" si="133"/>
        <v/>
      </c>
      <c r="AE96" s="80" t="str">
        <f t="shared" si="134"/>
        <v/>
      </c>
      <c r="AF96" s="80" t="str">
        <f t="shared" si="135"/>
        <v/>
      </c>
      <c r="AG96" s="80" t="str">
        <f t="shared" si="136"/>
        <v/>
      </c>
      <c r="AH96" s="80" t="str">
        <f t="shared" si="137"/>
        <v/>
      </c>
      <c r="AI96" s="78" t="str">
        <f t="shared" si="138"/>
        <v/>
      </c>
      <c r="AJ96" s="78">
        <v>0</v>
      </c>
      <c r="AK96" s="79">
        <v>0</v>
      </c>
      <c r="AL96" s="78" t="str">
        <f t="shared" si="139"/>
        <v/>
      </c>
      <c r="AM96" s="79">
        <f t="shared" ref="AM96:AM104" si="156">$E$79*BP96*BS96*(IF(G96&lt;=0,0,1))*(IF(F96&lt;=4800,1,0))</f>
        <v>0</v>
      </c>
      <c r="AN96" s="78">
        <f t="shared" si="108"/>
        <v>0</v>
      </c>
      <c r="AO96" s="78">
        <f t="shared" ref="AO96:AO104" si="157">IF(E96="CLERK GRADE I",1,IF(E96="CLERK GRADE II",1,0))*75*12*BS96*(IF(G96&lt;=0,0,1))*BT96</f>
        <v>0</v>
      </c>
      <c r="AP96" s="78"/>
      <c r="AQ96" s="78">
        <f t="shared" ref="AQ96:AQ104" si="158">(IF(E96="LAB BOY",150,IF(E96="JAMADAR",150,IF(E96="PEON",150,0))))*12*BS96*(IF(G96&lt;=0,0,1))</f>
        <v>0</v>
      </c>
      <c r="AR96" s="80" t="str">
        <f t="shared" si="140"/>
        <v/>
      </c>
      <c r="AS96" s="80" t="str">
        <f t="shared" si="141"/>
        <v/>
      </c>
      <c r="AT96" s="78"/>
      <c r="AU96" s="78"/>
      <c r="AV96" s="80" t="str">
        <f t="shared" si="142"/>
        <v/>
      </c>
      <c r="AW96" s="80" t="str">
        <f t="shared" si="143"/>
        <v/>
      </c>
      <c r="AX96" s="80" t="str">
        <f t="shared" si="144"/>
        <v/>
      </c>
      <c r="AY96" s="80" t="str">
        <f t="shared" si="145"/>
        <v/>
      </c>
      <c r="AZ96" s="80" t="str">
        <f t="shared" si="146"/>
        <v/>
      </c>
      <c r="BA96" s="78" t="str">
        <f t="shared" si="147"/>
        <v/>
      </c>
      <c r="BB96" s="78"/>
      <c r="BC96" s="79">
        <v>0</v>
      </c>
      <c r="BD96" s="78" t="str">
        <f t="shared" si="148"/>
        <v/>
      </c>
      <c r="BE96" s="79">
        <f t="shared" si="149"/>
        <v>0</v>
      </c>
      <c r="BF96" s="78">
        <f t="shared" si="150"/>
        <v>0</v>
      </c>
      <c r="BG96" s="78">
        <f t="shared" ref="BG96:BG104" si="159">IF(E96="CLERK GRADE I",1,IF(E96="CLERK GRADE II",1,0))*75*12*BS96*(IF(G96&lt;=0,0,1))*BT96</f>
        <v>0</v>
      </c>
      <c r="BH96" s="78">
        <f t="shared" ref="BH96:BH104" si="160">IF(AND(E96=""),0,(IF(E96="ASSISTANT",12,IF(E96="CLERK GRADE I",12,IF(E96="CLERK GRADE II",12,IF(E96="FIELDMAN &amp; FIELD REC",12,IF(E96="LAB BOY",12,IF(E96="JAMADAR",12,IF(E96="PEON",12,10))))))))*(MINA(ROUND(AD96*6%,0),600))*(IF($S96="yes",1,)))</f>
        <v>0</v>
      </c>
      <c r="BI96" s="78" t="str">
        <f t="shared" ref="BI96:BI104" si="161">IF(AND(G96=""),"",(IF(E96="LAB BOY",150,IF(E96="JAMADAR",150,IF(E96="PEON",150,0))))*12*BS96*(IF(G96&lt;=0,0,1)))</f>
        <v/>
      </c>
      <c r="BJ96" s="80" t="str">
        <f t="shared" si="151"/>
        <v/>
      </c>
      <c r="BK96" s="80" t="str">
        <f t="shared" si="152"/>
        <v/>
      </c>
      <c r="BL96" s="78"/>
      <c r="BM96" s="78"/>
      <c r="BN96" s="80" t="str">
        <f t="shared" si="153"/>
        <v/>
      </c>
      <c r="BO96" s="74">
        <f t="shared" ref="BO96:BO104" si="162">(IF(E96="PRINCIPAL",1,IF(E96="H M",1,IF(E96="AGRICULTURE INST",1,IF(E96="TEACHER-1ST",1,IF(E96="PTI  I  (13)",1,IF(E96="AGRICULTURE TEACH",1,IF(E96="INSTRUCTOR",1,0))))))))+(IF(E96="JR TEACHER",1,IF(E96="LIBRARIAN I",1,0)))*(IF(M96="FIX PAY",0,1))</f>
        <v>0</v>
      </c>
      <c r="BP96" s="74">
        <f t="shared" ref="BP96:BP104" si="163">IF(BO96&lt;=0,1,0)*(IF(M96="FIX PAY",0,1))</f>
        <v>1</v>
      </c>
      <c r="BQ96" s="74">
        <f t="shared" ref="BQ96:BQ104" si="164">(IF(E96="PRINCIPAL (16)",1,IF(E96="V P (14)",1,IF(E96="H M (14)",1,IF(E96="AGRICULTURE INST (13)",1,IF(E96="TEACHER-1ST (13)",1,IF(E96="PTI  I  (13)",1,IF(E96="AGRICULTURE TEACH (13)",1,IF(E96="INSTRUCTOR (13)",1,0))))))))+(IF(E96="JR TEACHER (13)",1,IF(E96="LIBRARIAN I (13)",1,0))))*(IF(M96="FIX PAY",1,0))</f>
        <v>0</v>
      </c>
      <c r="BR96" s="74">
        <f t="shared" ref="BR96:BR104" si="165">IF(BQ96&lt;=0,1,0)*(IF(M96="FIX PAY",1,0))</f>
        <v>0</v>
      </c>
      <c r="BS96" s="74">
        <f t="shared" si="119"/>
        <v>0</v>
      </c>
      <c r="BT96" s="74">
        <f t="shared" ref="BT96:BT104" si="166">IF(V96="No",0,1)</f>
        <v>1</v>
      </c>
      <c r="BU96" s="60">
        <f t="shared" ref="BU96:BU104" si="167">IF((ROUND((SUMPRODUCT(MID(0&amp;C96,LARGE(INDEX(ISNUMBER(--MID(C96,ROW($1:$25),1))* ROW($1:$25),0),ROW($1:$25))+1,1)*10^ROW($1:$25)/10)),-8)/100000000)&gt;=2004,1,0)</f>
        <v>0</v>
      </c>
      <c r="BV96" s="81">
        <f t="shared" ref="BV96:BV104" si="168">IF(G96&lt;=0,0,1)</f>
        <v>1</v>
      </c>
      <c r="BW96" s="60">
        <f t="shared" si="123"/>
        <v>0</v>
      </c>
      <c r="BX96" s="60">
        <f t="shared" si="124"/>
        <v>0</v>
      </c>
      <c r="BY96" s="49" t="str">
        <f t="shared" ref="BY96:BY104" si="169">IF(AND(C96=""),"",IF(AND(C96&lt;=0),"",IF((ROUND((SUMPRODUCT(MID(0&amp;C96,LARGE(INDEX(ISNUMBER(--MID(C96,ROW($1:$71),1))* ROW($1:$71),0),ROW($1:$71))+1,1)*10^ROW($1:$71)/10)),-8)/100000000)&lt;2004,1,0)))</f>
        <v/>
      </c>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row>
    <row r="97" spans="1:101" s="76" customFormat="1" ht="15.75">
      <c r="A97" s="125">
        <v>2</v>
      </c>
      <c r="B97" s="414" t="str">
        <f>IF(ISNA(VLOOKUP(A97,Master!BR$60:CD$107,3,FALSE)),"",VLOOKUP(A97,Master!BR$60:CD$107,3,FALSE))</f>
        <v/>
      </c>
      <c r="C97" s="415" t="str">
        <f>IF(ISNA(VLOOKUP(A97,Master!BR$60:CD$107,7,FALSE)),"",VLOOKUP(A97,Master!BR$60:CD$107,7,FALSE))</f>
        <v/>
      </c>
      <c r="D97" s="418" t="str">
        <f>IF(ISNA(VLOOKUP(A97,Master!BR$60:CD$107,8,FALSE)),"",VLOOKUP(A97,Master!BR$60:CD$107,8,FALSE))</f>
        <v/>
      </c>
      <c r="E97" s="417" t="str">
        <f>IF(ISNA(VLOOKUP(A97,Master!BR$60:CD$107,4,FALSE)),"",VLOOKUP(A97,Master!BR$60:CD$107,4,FALSE))</f>
        <v/>
      </c>
      <c r="F97" s="134" t="str">
        <f>IF(ISNA(VLOOKUP(A97,Master!BR$60:CD$107,5,FALSE)),"",VLOOKUP(A97,Master!BR$60:CD$107,5,FALSE))</f>
        <v/>
      </c>
      <c r="G97" s="419" t="str">
        <f>IF(ISNA(VLOOKUP(A97,Master!BR$60:CD$107,6,FALSE)),"",VLOOKUP(A97,Master!BR$60:CD$107,6,FALSE))</f>
        <v/>
      </c>
      <c r="H97" s="419" t="str">
        <f t="shared" ref="H97:H104" si="170">IF(AND(F97=""),"",G97*12)</f>
        <v/>
      </c>
      <c r="I97" s="418" t="str">
        <f t="shared" ref="I97:I104" si="171">IF(AND(F97=""),"","Not Applicable")</f>
        <v/>
      </c>
      <c r="J97" s="419" t="str">
        <f t="shared" ref="J97:J104" si="172">IF(AND(F97=""),"","0")</f>
        <v/>
      </c>
      <c r="K97" s="419" t="str">
        <f t="shared" ref="K97:K104" si="173">IF(AND(F97=""),"",H97+J97)</f>
        <v/>
      </c>
      <c r="L97" s="419" t="str">
        <f t="shared" ref="L97:L104" si="174">IF(AND(F97=""),"",K97)</f>
        <v/>
      </c>
      <c r="M97" s="413" t="str">
        <f t="shared" ref="M97:M104" si="175">IF(AND(F97=""),"","FIX PAY")</f>
        <v/>
      </c>
      <c r="N97" s="168"/>
      <c r="O97" s="168"/>
      <c r="P97" s="168"/>
      <c r="Q97" s="168">
        <v>0</v>
      </c>
      <c r="R97" s="52"/>
      <c r="S97" s="83"/>
      <c r="T97" s="75"/>
      <c r="U97" s="75"/>
      <c r="V97" s="83"/>
      <c r="W97" s="75">
        <f>'[1]Data Entry'!CP101</f>
        <v>0</v>
      </c>
      <c r="X97" s="79"/>
      <c r="Y97" s="79"/>
      <c r="Z97" s="79"/>
      <c r="AA97" s="79"/>
      <c r="AB97" s="79"/>
      <c r="AC97" s="79"/>
      <c r="AD97" s="80" t="str">
        <f t="shared" si="133"/>
        <v/>
      </c>
      <c r="AE97" s="80" t="str">
        <f t="shared" si="134"/>
        <v/>
      </c>
      <c r="AF97" s="80" t="str">
        <f t="shared" si="135"/>
        <v/>
      </c>
      <c r="AG97" s="80" t="str">
        <f t="shared" si="136"/>
        <v/>
      </c>
      <c r="AH97" s="80" t="str">
        <f t="shared" si="137"/>
        <v/>
      </c>
      <c r="AI97" s="78" t="str">
        <f t="shared" si="138"/>
        <v/>
      </c>
      <c r="AJ97" s="78">
        <v>0</v>
      </c>
      <c r="AK97" s="79">
        <v>0</v>
      </c>
      <c r="AL97" s="78" t="str">
        <f t="shared" si="139"/>
        <v/>
      </c>
      <c r="AM97" s="79">
        <f t="shared" si="156"/>
        <v>0</v>
      </c>
      <c r="AN97" s="78">
        <f t="shared" si="108"/>
        <v>0</v>
      </c>
      <c r="AO97" s="78">
        <f t="shared" si="157"/>
        <v>0</v>
      </c>
      <c r="AP97" s="78"/>
      <c r="AQ97" s="78">
        <f t="shared" si="158"/>
        <v>0</v>
      </c>
      <c r="AR97" s="80" t="str">
        <f t="shared" si="140"/>
        <v/>
      </c>
      <c r="AS97" s="80" t="str">
        <f t="shared" si="141"/>
        <v/>
      </c>
      <c r="AT97" s="78"/>
      <c r="AU97" s="78"/>
      <c r="AV97" s="80" t="str">
        <f t="shared" si="142"/>
        <v/>
      </c>
      <c r="AW97" s="80" t="str">
        <f t="shared" si="143"/>
        <v/>
      </c>
      <c r="AX97" s="80" t="str">
        <f t="shared" si="144"/>
        <v/>
      </c>
      <c r="AY97" s="80" t="str">
        <f t="shared" si="145"/>
        <v/>
      </c>
      <c r="AZ97" s="80" t="str">
        <f t="shared" si="146"/>
        <v/>
      </c>
      <c r="BA97" s="78" t="str">
        <f t="shared" si="147"/>
        <v/>
      </c>
      <c r="BB97" s="78"/>
      <c r="BC97" s="79">
        <v>0</v>
      </c>
      <c r="BD97" s="78" t="str">
        <f t="shared" si="148"/>
        <v/>
      </c>
      <c r="BE97" s="79">
        <f t="shared" si="149"/>
        <v>0</v>
      </c>
      <c r="BF97" s="78">
        <f t="shared" si="150"/>
        <v>0</v>
      </c>
      <c r="BG97" s="78">
        <f t="shared" si="159"/>
        <v>0</v>
      </c>
      <c r="BH97" s="78">
        <f t="shared" si="160"/>
        <v>0</v>
      </c>
      <c r="BI97" s="78" t="str">
        <f t="shared" si="161"/>
        <v/>
      </c>
      <c r="BJ97" s="80" t="str">
        <f t="shared" si="151"/>
        <v/>
      </c>
      <c r="BK97" s="80" t="str">
        <f t="shared" si="152"/>
        <v/>
      </c>
      <c r="BL97" s="78"/>
      <c r="BM97" s="78"/>
      <c r="BN97" s="80" t="str">
        <f t="shared" si="153"/>
        <v/>
      </c>
      <c r="BO97" s="74">
        <f t="shared" si="162"/>
        <v>0</v>
      </c>
      <c r="BP97" s="74">
        <f t="shared" si="163"/>
        <v>1</v>
      </c>
      <c r="BQ97" s="74">
        <f t="shared" si="164"/>
        <v>0</v>
      </c>
      <c r="BR97" s="74">
        <f t="shared" si="165"/>
        <v>0</v>
      </c>
      <c r="BS97" s="74">
        <f t="shared" si="119"/>
        <v>0</v>
      </c>
      <c r="BT97" s="74">
        <f t="shared" si="166"/>
        <v>1</v>
      </c>
      <c r="BU97" s="60">
        <f t="shared" si="167"/>
        <v>0</v>
      </c>
      <c r="BV97" s="81">
        <f t="shared" si="168"/>
        <v>1</v>
      </c>
      <c r="BW97" s="60">
        <f t="shared" si="123"/>
        <v>0</v>
      </c>
      <c r="BX97" s="60">
        <f t="shared" si="124"/>
        <v>0</v>
      </c>
      <c r="BY97" s="49" t="str">
        <f t="shared" si="169"/>
        <v/>
      </c>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row>
    <row r="98" spans="1:101" s="76" customFormat="1" ht="15.75">
      <c r="A98" s="125">
        <v>3</v>
      </c>
      <c r="B98" s="414" t="str">
        <f>IF(ISNA(VLOOKUP(A98,Master!BR$60:CD$107,3,FALSE)),"",VLOOKUP(A98,Master!BR$60:CD$107,3,FALSE))</f>
        <v/>
      </c>
      <c r="C98" s="415" t="str">
        <f>IF(ISNA(VLOOKUP(A98,Master!BR$60:CD$107,7,FALSE)),"",VLOOKUP(A98,Master!BR$60:CD$107,7,FALSE))</f>
        <v/>
      </c>
      <c r="D98" s="418" t="str">
        <f>IF(ISNA(VLOOKUP(A98,Master!BR$60:CD$107,8,FALSE)),"",VLOOKUP(A98,Master!BR$60:CD$107,8,FALSE))</f>
        <v/>
      </c>
      <c r="E98" s="417" t="str">
        <f>IF(ISNA(VLOOKUP(A98,Master!BR$60:CD$107,4,FALSE)),"",VLOOKUP(A98,Master!BR$60:CD$107,4,FALSE))</f>
        <v/>
      </c>
      <c r="F98" s="134" t="str">
        <f>IF(ISNA(VLOOKUP(A98,Master!BR$60:CD$107,5,FALSE)),"",VLOOKUP(A98,Master!BR$60:CD$107,5,FALSE))</f>
        <v/>
      </c>
      <c r="G98" s="419" t="str">
        <f>IF(ISNA(VLOOKUP(A98,Master!BR$60:CD$107,6,FALSE)),"",VLOOKUP(A98,Master!BR$60:CD$107,6,FALSE))</f>
        <v/>
      </c>
      <c r="H98" s="419" t="str">
        <f t="shared" si="170"/>
        <v/>
      </c>
      <c r="I98" s="418" t="str">
        <f t="shared" si="171"/>
        <v/>
      </c>
      <c r="J98" s="419" t="str">
        <f t="shared" si="172"/>
        <v/>
      </c>
      <c r="K98" s="419" t="str">
        <f t="shared" si="173"/>
        <v/>
      </c>
      <c r="L98" s="419" t="str">
        <f t="shared" si="174"/>
        <v/>
      </c>
      <c r="M98" s="413" t="str">
        <f t="shared" si="175"/>
        <v/>
      </c>
      <c r="N98" s="168"/>
      <c r="O98" s="168"/>
      <c r="P98" s="168"/>
      <c r="Q98" s="168">
        <v>0</v>
      </c>
      <c r="R98" s="52"/>
      <c r="S98" s="83"/>
      <c r="T98" s="75"/>
      <c r="U98" s="75"/>
      <c r="V98" s="83"/>
      <c r="W98" s="75">
        <f>'[1]Data Entry'!CP102</f>
        <v>0</v>
      </c>
      <c r="X98" s="79"/>
      <c r="Y98" s="79"/>
      <c r="Z98" s="79"/>
      <c r="AA98" s="79"/>
      <c r="AB98" s="79"/>
      <c r="AC98" s="79"/>
      <c r="AD98" s="80" t="str">
        <f t="shared" si="133"/>
        <v/>
      </c>
      <c r="AE98" s="80" t="str">
        <f t="shared" si="134"/>
        <v/>
      </c>
      <c r="AF98" s="80" t="str">
        <f t="shared" si="135"/>
        <v/>
      </c>
      <c r="AG98" s="80" t="str">
        <f t="shared" si="136"/>
        <v/>
      </c>
      <c r="AH98" s="80" t="str">
        <f t="shared" si="137"/>
        <v/>
      </c>
      <c r="AI98" s="78" t="str">
        <f t="shared" si="138"/>
        <v/>
      </c>
      <c r="AJ98" s="78">
        <v>0</v>
      </c>
      <c r="AK98" s="79">
        <v>0</v>
      </c>
      <c r="AL98" s="78" t="str">
        <f t="shared" si="139"/>
        <v/>
      </c>
      <c r="AM98" s="79">
        <f t="shared" si="156"/>
        <v>0</v>
      </c>
      <c r="AN98" s="78">
        <f t="shared" si="108"/>
        <v>0</v>
      </c>
      <c r="AO98" s="78">
        <f t="shared" si="157"/>
        <v>0</v>
      </c>
      <c r="AP98" s="78"/>
      <c r="AQ98" s="78">
        <f t="shared" si="158"/>
        <v>0</v>
      </c>
      <c r="AR98" s="80" t="str">
        <f t="shared" si="140"/>
        <v/>
      </c>
      <c r="AS98" s="80" t="str">
        <f t="shared" si="141"/>
        <v/>
      </c>
      <c r="AT98" s="78"/>
      <c r="AU98" s="78"/>
      <c r="AV98" s="80" t="str">
        <f t="shared" si="142"/>
        <v/>
      </c>
      <c r="AW98" s="80" t="str">
        <f t="shared" si="143"/>
        <v/>
      </c>
      <c r="AX98" s="80" t="str">
        <f t="shared" si="144"/>
        <v/>
      </c>
      <c r="AY98" s="80" t="str">
        <f t="shared" si="145"/>
        <v/>
      </c>
      <c r="AZ98" s="80" t="str">
        <f t="shared" si="146"/>
        <v/>
      </c>
      <c r="BA98" s="78" t="str">
        <f t="shared" si="147"/>
        <v/>
      </c>
      <c r="BB98" s="78"/>
      <c r="BC98" s="79">
        <v>0</v>
      </c>
      <c r="BD98" s="78" t="str">
        <f t="shared" si="148"/>
        <v/>
      </c>
      <c r="BE98" s="79">
        <f t="shared" si="149"/>
        <v>0</v>
      </c>
      <c r="BF98" s="78">
        <f t="shared" si="150"/>
        <v>0</v>
      </c>
      <c r="BG98" s="78">
        <f t="shared" si="159"/>
        <v>0</v>
      </c>
      <c r="BH98" s="78">
        <f t="shared" si="160"/>
        <v>0</v>
      </c>
      <c r="BI98" s="78" t="str">
        <f t="shared" si="161"/>
        <v/>
      </c>
      <c r="BJ98" s="80" t="str">
        <f t="shared" si="151"/>
        <v/>
      </c>
      <c r="BK98" s="80" t="str">
        <f t="shared" si="152"/>
        <v/>
      </c>
      <c r="BL98" s="78"/>
      <c r="BM98" s="78"/>
      <c r="BN98" s="80" t="str">
        <f t="shared" si="153"/>
        <v/>
      </c>
      <c r="BO98" s="74">
        <f t="shared" si="162"/>
        <v>0</v>
      </c>
      <c r="BP98" s="74">
        <f t="shared" si="163"/>
        <v>1</v>
      </c>
      <c r="BQ98" s="74">
        <f t="shared" si="164"/>
        <v>0</v>
      </c>
      <c r="BR98" s="74">
        <f t="shared" si="165"/>
        <v>0</v>
      </c>
      <c r="BS98" s="74">
        <f t="shared" si="119"/>
        <v>0</v>
      </c>
      <c r="BT98" s="74">
        <f t="shared" si="166"/>
        <v>1</v>
      </c>
      <c r="BU98" s="60">
        <f t="shared" si="167"/>
        <v>0</v>
      </c>
      <c r="BV98" s="81">
        <f t="shared" si="168"/>
        <v>1</v>
      </c>
      <c r="BW98" s="60">
        <f t="shared" si="123"/>
        <v>0</v>
      </c>
      <c r="BX98" s="60">
        <f t="shared" si="124"/>
        <v>0</v>
      </c>
      <c r="BY98" s="49" t="str">
        <f t="shared" si="169"/>
        <v/>
      </c>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row>
    <row r="99" spans="1:101" s="76" customFormat="1" ht="15.75">
      <c r="A99" s="125">
        <v>4</v>
      </c>
      <c r="B99" s="414" t="str">
        <f>IF(ISNA(VLOOKUP(A99,Master!BR$60:CD$107,3,FALSE)),"",VLOOKUP(A99,Master!BR$60:CD$107,3,FALSE))</f>
        <v/>
      </c>
      <c r="C99" s="415" t="str">
        <f>IF(ISNA(VLOOKUP(A99,Master!BR$60:CD$107,7,FALSE)),"",VLOOKUP(A99,Master!BR$60:CD$107,7,FALSE))</f>
        <v/>
      </c>
      <c r="D99" s="418" t="str">
        <f>IF(ISNA(VLOOKUP(A99,Master!BR$60:CD$107,8,FALSE)),"",VLOOKUP(A99,Master!BR$60:CD$107,8,FALSE))</f>
        <v/>
      </c>
      <c r="E99" s="417" t="str">
        <f>IF(ISNA(VLOOKUP(A99,Master!BR$60:CD$107,4,FALSE)),"",VLOOKUP(A99,Master!BR$60:CD$107,4,FALSE))</f>
        <v/>
      </c>
      <c r="F99" s="134" t="str">
        <f>IF(ISNA(VLOOKUP(A99,Master!BR$60:CD$107,5,FALSE)),"",VLOOKUP(A99,Master!BR$60:CD$107,5,FALSE))</f>
        <v/>
      </c>
      <c r="G99" s="419" t="str">
        <f>IF(ISNA(VLOOKUP(A99,Master!BR$60:CD$107,6,FALSE)),"",VLOOKUP(A99,Master!BR$60:CD$107,6,FALSE))</f>
        <v/>
      </c>
      <c r="H99" s="419" t="str">
        <f t="shared" si="170"/>
        <v/>
      </c>
      <c r="I99" s="418" t="str">
        <f t="shared" si="171"/>
        <v/>
      </c>
      <c r="J99" s="419" t="str">
        <f t="shared" si="172"/>
        <v/>
      </c>
      <c r="K99" s="419" t="str">
        <f t="shared" si="173"/>
        <v/>
      </c>
      <c r="L99" s="419" t="str">
        <f t="shared" si="174"/>
        <v/>
      </c>
      <c r="M99" s="413" t="str">
        <f t="shared" si="175"/>
        <v/>
      </c>
      <c r="N99" s="168"/>
      <c r="O99" s="168"/>
      <c r="P99" s="168"/>
      <c r="Q99" s="168">
        <v>0</v>
      </c>
      <c r="R99" s="52"/>
      <c r="S99" s="83"/>
      <c r="T99" s="75"/>
      <c r="U99" s="75"/>
      <c r="V99" s="83"/>
      <c r="W99" s="75">
        <f>'[1]Data Entry'!CP103</f>
        <v>0</v>
      </c>
      <c r="X99" s="79"/>
      <c r="Y99" s="79"/>
      <c r="Z99" s="79"/>
      <c r="AA99" s="79"/>
      <c r="AB99" s="79"/>
      <c r="AC99" s="79"/>
      <c r="AD99" s="80" t="str">
        <f t="shared" si="133"/>
        <v/>
      </c>
      <c r="AE99" s="80" t="str">
        <f t="shared" si="134"/>
        <v/>
      </c>
      <c r="AF99" s="80" t="str">
        <f t="shared" si="135"/>
        <v/>
      </c>
      <c r="AG99" s="80" t="str">
        <f t="shared" si="136"/>
        <v/>
      </c>
      <c r="AH99" s="80" t="str">
        <f t="shared" si="137"/>
        <v/>
      </c>
      <c r="AI99" s="78" t="str">
        <f t="shared" si="138"/>
        <v/>
      </c>
      <c r="AJ99" s="78">
        <v>0</v>
      </c>
      <c r="AK99" s="79">
        <v>0</v>
      </c>
      <c r="AL99" s="78" t="str">
        <f t="shared" si="139"/>
        <v/>
      </c>
      <c r="AM99" s="79">
        <f t="shared" si="156"/>
        <v>0</v>
      </c>
      <c r="AN99" s="78">
        <f t="shared" si="108"/>
        <v>0</v>
      </c>
      <c r="AO99" s="78">
        <f t="shared" si="157"/>
        <v>0</v>
      </c>
      <c r="AP99" s="78"/>
      <c r="AQ99" s="78">
        <f t="shared" si="158"/>
        <v>0</v>
      </c>
      <c r="AR99" s="80" t="str">
        <f t="shared" si="140"/>
        <v/>
      </c>
      <c r="AS99" s="80" t="str">
        <f t="shared" si="141"/>
        <v/>
      </c>
      <c r="AT99" s="78"/>
      <c r="AU99" s="78"/>
      <c r="AV99" s="80" t="str">
        <f t="shared" si="142"/>
        <v/>
      </c>
      <c r="AW99" s="80" t="str">
        <f t="shared" si="143"/>
        <v/>
      </c>
      <c r="AX99" s="80" t="str">
        <f t="shared" si="144"/>
        <v/>
      </c>
      <c r="AY99" s="80" t="str">
        <f t="shared" si="145"/>
        <v/>
      </c>
      <c r="AZ99" s="80" t="str">
        <f t="shared" si="146"/>
        <v/>
      </c>
      <c r="BA99" s="78" t="str">
        <f t="shared" si="147"/>
        <v/>
      </c>
      <c r="BB99" s="78"/>
      <c r="BC99" s="79">
        <v>0</v>
      </c>
      <c r="BD99" s="78" t="str">
        <f t="shared" si="148"/>
        <v/>
      </c>
      <c r="BE99" s="79">
        <f t="shared" si="149"/>
        <v>0</v>
      </c>
      <c r="BF99" s="78">
        <f t="shared" si="150"/>
        <v>0</v>
      </c>
      <c r="BG99" s="78">
        <f t="shared" si="159"/>
        <v>0</v>
      </c>
      <c r="BH99" s="78">
        <f t="shared" si="160"/>
        <v>0</v>
      </c>
      <c r="BI99" s="78" t="str">
        <f t="shared" si="161"/>
        <v/>
      </c>
      <c r="BJ99" s="80" t="str">
        <f t="shared" si="151"/>
        <v/>
      </c>
      <c r="BK99" s="80" t="str">
        <f t="shared" si="152"/>
        <v/>
      </c>
      <c r="BL99" s="78"/>
      <c r="BM99" s="78"/>
      <c r="BN99" s="80" t="str">
        <f t="shared" si="153"/>
        <v/>
      </c>
      <c r="BO99" s="74">
        <f t="shared" si="162"/>
        <v>0</v>
      </c>
      <c r="BP99" s="74">
        <f t="shared" si="163"/>
        <v>1</v>
      </c>
      <c r="BQ99" s="74">
        <f t="shared" si="164"/>
        <v>0</v>
      </c>
      <c r="BR99" s="74">
        <f t="shared" si="165"/>
        <v>0</v>
      </c>
      <c r="BS99" s="74">
        <f t="shared" si="119"/>
        <v>0</v>
      </c>
      <c r="BT99" s="74">
        <f t="shared" si="166"/>
        <v>1</v>
      </c>
      <c r="BU99" s="60">
        <f t="shared" si="167"/>
        <v>0</v>
      </c>
      <c r="BV99" s="81">
        <f t="shared" si="168"/>
        <v>1</v>
      </c>
      <c r="BW99" s="60">
        <f t="shared" si="123"/>
        <v>0</v>
      </c>
      <c r="BX99" s="60">
        <f t="shared" si="124"/>
        <v>0</v>
      </c>
      <c r="BY99" s="49" t="str">
        <f t="shared" si="169"/>
        <v/>
      </c>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row>
    <row r="100" spans="1:101" s="76" customFormat="1" ht="15.75">
      <c r="A100" s="125">
        <v>5</v>
      </c>
      <c r="B100" s="414" t="str">
        <f>IF(ISNA(VLOOKUP(A100,Master!BR$60:CD$107,3,FALSE)),"",VLOOKUP(A100,Master!BR$60:CD$107,3,FALSE))</f>
        <v/>
      </c>
      <c r="C100" s="415" t="str">
        <f>IF(ISNA(VLOOKUP(A100,Master!BR$60:CD$107,7,FALSE)),"",VLOOKUP(A100,Master!BR$60:CD$107,7,FALSE))</f>
        <v/>
      </c>
      <c r="D100" s="418" t="str">
        <f>IF(ISNA(VLOOKUP(A100,Master!BR$60:CD$107,8,FALSE)),"",VLOOKUP(A100,Master!BR$60:CD$107,8,FALSE))</f>
        <v/>
      </c>
      <c r="E100" s="417" t="str">
        <f>IF(ISNA(VLOOKUP(A100,Master!BR$60:CD$107,4,FALSE)),"",VLOOKUP(A100,Master!BR$60:CD$107,4,FALSE))</f>
        <v/>
      </c>
      <c r="F100" s="134" t="str">
        <f>IF(ISNA(VLOOKUP(A100,Master!BR$60:CD$107,5,FALSE)),"",VLOOKUP(A100,Master!BR$60:CD$107,5,FALSE))</f>
        <v/>
      </c>
      <c r="G100" s="419" t="str">
        <f>IF(ISNA(VLOOKUP(A100,Master!BR$60:CD$107,6,FALSE)),"",VLOOKUP(A100,Master!BR$60:CD$107,6,FALSE))</f>
        <v/>
      </c>
      <c r="H100" s="419" t="str">
        <f t="shared" si="170"/>
        <v/>
      </c>
      <c r="I100" s="418" t="str">
        <f t="shared" si="171"/>
        <v/>
      </c>
      <c r="J100" s="419" t="str">
        <f t="shared" si="172"/>
        <v/>
      </c>
      <c r="K100" s="419" t="str">
        <f t="shared" si="173"/>
        <v/>
      </c>
      <c r="L100" s="419" t="str">
        <f t="shared" si="174"/>
        <v/>
      </c>
      <c r="M100" s="413" t="str">
        <f t="shared" si="175"/>
        <v/>
      </c>
      <c r="N100" s="168"/>
      <c r="O100" s="168"/>
      <c r="P100" s="168"/>
      <c r="Q100" s="168">
        <v>0</v>
      </c>
      <c r="R100" s="52"/>
      <c r="S100" s="83"/>
      <c r="T100" s="75"/>
      <c r="U100" s="75"/>
      <c r="V100" s="83"/>
      <c r="W100" s="75">
        <f>'[1]Data Entry'!CP104</f>
        <v>0</v>
      </c>
      <c r="X100" s="79"/>
      <c r="Y100" s="79"/>
      <c r="Z100" s="79"/>
      <c r="AA100" s="79"/>
      <c r="AB100" s="79"/>
      <c r="AC100" s="79"/>
      <c r="AD100" s="80" t="str">
        <f t="shared" si="133"/>
        <v/>
      </c>
      <c r="AE100" s="80" t="str">
        <f t="shared" si="134"/>
        <v/>
      </c>
      <c r="AF100" s="80" t="str">
        <f t="shared" si="135"/>
        <v/>
      </c>
      <c r="AG100" s="80" t="str">
        <f t="shared" si="136"/>
        <v/>
      </c>
      <c r="AH100" s="80" t="str">
        <f t="shared" si="137"/>
        <v/>
      </c>
      <c r="AI100" s="78" t="str">
        <f t="shared" si="138"/>
        <v/>
      </c>
      <c r="AJ100" s="78">
        <v>0</v>
      </c>
      <c r="AK100" s="79">
        <v>0</v>
      </c>
      <c r="AL100" s="78" t="str">
        <f t="shared" si="139"/>
        <v/>
      </c>
      <c r="AM100" s="79">
        <f t="shared" si="156"/>
        <v>0</v>
      </c>
      <c r="AN100" s="78">
        <f t="shared" si="108"/>
        <v>0</v>
      </c>
      <c r="AO100" s="78">
        <f t="shared" si="157"/>
        <v>0</v>
      </c>
      <c r="AP100" s="78"/>
      <c r="AQ100" s="78">
        <f t="shared" si="158"/>
        <v>0</v>
      </c>
      <c r="AR100" s="80" t="str">
        <f t="shared" si="140"/>
        <v/>
      </c>
      <c r="AS100" s="80" t="str">
        <f t="shared" si="141"/>
        <v/>
      </c>
      <c r="AT100" s="78"/>
      <c r="AU100" s="78"/>
      <c r="AV100" s="80" t="str">
        <f t="shared" si="142"/>
        <v/>
      </c>
      <c r="AW100" s="80" t="str">
        <f t="shared" si="143"/>
        <v/>
      </c>
      <c r="AX100" s="80" t="str">
        <f t="shared" si="144"/>
        <v/>
      </c>
      <c r="AY100" s="80" t="str">
        <f t="shared" si="145"/>
        <v/>
      </c>
      <c r="AZ100" s="80" t="str">
        <f t="shared" si="146"/>
        <v/>
      </c>
      <c r="BA100" s="78" t="str">
        <f t="shared" si="147"/>
        <v/>
      </c>
      <c r="BB100" s="78"/>
      <c r="BC100" s="79">
        <v>0</v>
      </c>
      <c r="BD100" s="78" t="str">
        <f t="shared" si="148"/>
        <v/>
      </c>
      <c r="BE100" s="79">
        <f t="shared" si="149"/>
        <v>0</v>
      </c>
      <c r="BF100" s="78">
        <f t="shared" si="150"/>
        <v>0</v>
      </c>
      <c r="BG100" s="78">
        <f t="shared" si="159"/>
        <v>0</v>
      </c>
      <c r="BH100" s="78">
        <f t="shared" si="160"/>
        <v>0</v>
      </c>
      <c r="BI100" s="78" t="str">
        <f t="shared" si="161"/>
        <v/>
      </c>
      <c r="BJ100" s="80" t="str">
        <f t="shared" si="151"/>
        <v/>
      </c>
      <c r="BK100" s="80" t="str">
        <f t="shared" si="152"/>
        <v/>
      </c>
      <c r="BL100" s="78"/>
      <c r="BM100" s="78"/>
      <c r="BN100" s="80" t="str">
        <f t="shared" si="153"/>
        <v/>
      </c>
      <c r="BO100" s="74">
        <f t="shared" si="162"/>
        <v>0</v>
      </c>
      <c r="BP100" s="74">
        <f t="shared" si="163"/>
        <v>1</v>
      </c>
      <c r="BQ100" s="74">
        <f t="shared" si="164"/>
        <v>0</v>
      </c>
      <c r="BR100" s="74">
        <f t="shared" si="165"/>
        <v>0</v>
      </c>
      <c r="BS100" s="74">
        <f t="shared" si="119"/>
        <v>0</v>
      </c>
      <c r="BT100" s="74">
        <f t="shared" si="166"/>
        <v>1</v>
      </c>
      <c r="BU100" s="60">
        <f t="shared" si="167"/>
        <v>0</v>
      </c>
      <c r="BV100" s="81">
        <f t="shared" si="168"/>
        <v>1</v>
      </c>
      <c r="BW100" s="60">
        <f t="shared" si="123"/>
        <v>0</v>
      </c>
      <c r="BX100" s="60">
        <f t="shared" si="124"/>
        <v>0</v>
      </c>
      <c r="BY100" s="49" t="str">
        <f t="shared" si="169"/>
        <v/>
      </c>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row>
    <row r="101" spans="1:101" s="76" customFormat="1" ht="15.75">
      <c r="A101" s="125">
        <v>6</v>
      </c>
      <c r="B101" s="414" t="str">
        <f>IF(ISNA(VLOOKUP(A101,Master!BR$60:CD$107,3,FALSE)),"",VLOOKUP(A101,Master!BR$60:CD$107,3,FALSE))</f>
        <v/>
      </c>
      <c r="C101" s="415" t="str">
        <f>IF(ISNA(VLOOKUP(A101,Master!BR$60:CD$107,7,FALSE)),"",VLOOKUP(A101,Master!BR$60:CD$107,7,FALSE))</f>
        <v/>
      </c>
      <c r="D101" s="418" t="str">
        <f>IF(ISNA(VLOOKUP(A101,Master!BR$60:CD$107,8,FALSE)),"",VLOOKUP(A101,Master!BR$60:CD$107,8,FALSE))</f>
        <v/>
      </c>
      <c r="E101" s="417" t="str">
        <f>IF(ISNA(VLOOKUP(A101,Master!BR$60:CD$107,4,FALSE)),"",VLOOKUP(A101,Master!BR$60:CD$107,4,FALSE))</f>
        <v/>
      </c>
      <c r="F101" s="134" t="str">
        <f>IF(ISNA(VLOOKUP(A101,Master!BR$60:CD$107,5,FALSE)),"",VLOOKUP(A101,Master!BR$60:CD$107,5,FALSE))</f>
        <v/>
      </c>
      <c r="G101" s="419" t="str">
        <f>IF(ISNA(VLOOKUP(A101,Master!BR$60:CD$107,6,FALSE)),"",VLOOKUP(A101,Master!BR$60:CD$107,6,FALSE))</f>
        <v/>
      </c>
      <c r="H101" s="419" t="str">
        <f t="shared" si="170"/>
        <v/>
      </c>
      <c r="I101" s="418" t="str">
        <f t="shared" si="171"/>
        <v/>
      </c>
      <c r="J101" s="419" t="str">
        <f t="shared" si="172"/>
        <v/>
      </c>
      <c r="K101" s="419" t="str">
        <f t="shared" si="173"/>
        <v/>
      </c>
      <c r="L101" s="419" t="str">
        <f t="shared" si="174"/>
        <v/>
      </c>
      <c r="M101" s="413" t="str">
        <f t="shared" si="175"/>
        <v/>
      </c>
      <c r="N101" s="168"/>
      <c r="O101" s="168"/>
      <c r="P101" s="168"/>
      <c r="Q101" s="168">
        <v>0</v>
      </c>
      <c r="R101" s="52"/>
      <c r="S101" s="83"/>
      <c r="T101" s="75"/>
      <c r="U101" s="75"/>
      <c r="V101" s="83"/>
      <c r="W101" s="75">
        <f>'[1]Data Entry'!CP105</f>
        <v>0</v>
      </c>
      <c r="X101" s="79"/>
      <c r="Y101" s="79"/>
      <c r="Z101" s="79"/>
      <c r="AA101" s="79"/>
      <c r="AB101" s="79"/>
      <c r="AC101" s="79"/>
      <c r="AD101" s="80" t="str">
        <f t="shared" si="133"/>
        <v/>
      </c>
      <c r="AE101" s="80" t="str">
        <f t="shared" si="134"/>
        <v/>
      </c>
      <c r="AF101" s="80" t="str">
        <f t="shared" si="135"/>
        <v/>
      </c>
      <c r="AG101" s="80" t="str">
        <f t="shared" si="136"/>
        <v/>
      </c>
      <c r="AH101" s="80" t="str">
        <f t="shared" si="137"/>
        <v/>
      </c>
      <c r="AI101" s="78" t="str">
        <f t="shared" si="138"/>
        <v/>
      </c>
      <c r="AJ101" s="78">
        <v>0</v>
      </c>
      <c r="AK101" s="79">
        <v>0</v>
      </c>
      <c r="AL101" s="78" t="str">
        <f t="shared" si="139"/>
        <v/>
      </c>
      <c r="AM101" s="79">
        <f t="shared" si="156"/>
        <v>0</v>
      </c>
      <c r="AN101" s="78">
        <f t="shared" si="108"/>
        <v>0</v>
      </c>
      <c r="AO101" s="78">
        <f t="shared" si="157"/>
        <v>0</v>
      </c>
      <c r="AP101" s="78"/>
      <c r="AQ101" s="78">
        <f t="shared" si="158"/>
        <v>0</v>
      </c>
      <c r="AR101" s="80" t="str">
        <f t="shared" si="140"/>
        <v/>
      </c>
      <c r="AS101" s="80" t="str">
        <f t="shared" si="141"/>
        <v/>
      </c>
      <c r="AT101" s="78"/>
      <c r="AU101" s="78"/>
      <c r="AV101" s="80" t="str">
        <f t="shared" si="142"/>
        <v/>
      </c>
      <c r="AW101" s="80" t="str">
        <f t="shared" si="143"/>
        <v/>
      </c>
      <c r="AX101" s="80" t="str">
        <f t="shared" si="144"/>
        <v/>
      </c>
      <c r="AY101" s="80" t="str">
        <f t="shared" si="145"/>
        <v/>
      </c>
      <c r="AZ101" s="80" t="str">
        <f t="shared" si="146"/>
        <v/>
      </c>
      <c r="BA101" s="78" t="str">
        <f t="shared" si="147"/>
        <v/>
      </c>
      <c r="BB101" s="78"/>
      <c r="BC101" s="79">
        <v>0</v>
      </c>
      <c r="BD101" s="78" t="str">
        <f t="shared" si="148"/>
        <v/>
      </c>
      <c r="BE101" s="79">
        <f t="shared" si="149"/>
        <v>0</v>
      </c>
      <c r="BF101" s="78">
        <f t="shared" si="150"/>
        <v>0</v>
      </c>
      <c r="BG101" s="78">
        <f t="shared" si="159"/>
        <v>0</v>
      </c>
      <c r="BH101" s="78">
        <f t="shared" si="160"/>
        <v>0</v>
      </c>
      <c r="BI101" s="78" t="str">
        <f t="shared" si="161"/>
        <v/>
      </c>
      <c r="BJ101" s="80" t="str">
        <f t="shared" si="151"/>
        <v/>
      </c>
      <c r="BK101" s="80" t="str">
        <f t="shared" si="152"/>
        <v/>
      </c>
      <c r="BL101" s="78"/>
      <c r="BM101" s="78"/>
      <c r="BN101" s="80" t="str">
        <f t="shared" si="153"/>
        <v/>
      </c>
      <c r="BO101" s="74">
        <f t="shared" si="162"/>
        <v>0</v>
      </c>
      <c r="BP101" s="74">
        <f t="shared" si="163"/>
        <v>1</v>
      </c>
      <c r="BQ101" s="74">
        <f t="shared" si="164"/>
        <v>0</v>
      </c>
      <c r="BR101" s="74">
        <f t="shared" si="165"/>
        <v>0</v>
      </c>
      <c r="BS101" s="74">
        <f t="shared" si="119"/>
        <v>0</v>
      </c>
      <c r="BT101" s="74">
        <f t="shared" si="166"/>
        <v>1</v>
      </c>
      <c r="BU101" s="60">
        <f t="shared" si="167"/>
        <v>0</v>
      </c>
      <c r="BV101" s="81">
        <f t="shared" si="168"/>
        <v>1</v>
      </c>
      <c r="BW101" s="60">
        <f t="shared" si="123"/>
        <v>0</v>
      </c>
      <c r="BX101" s="60">
        <f t="shared" si="124"/>
        <v>0</v>
      </c>
      <c r="BY101" s="49" t="str">
        <f t="shared" si="169"/>
        <v/>
      </c>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row>
    <row r="102" spans="1:101" s="76" customFormat="1" ht="15.75">
      <c r="A102" s="125">
        <v>7</v>
      </c>
      <c r="B102" s="414" t="str">
        <f>IF(ISNA(VLOOKUP(A102,Master!BR$60:CD$107,3,FALSE)),"",VLOOKUP(A102,Master!BR$60:CD$107,3,FALSE))</f>
        <v/>
      </c>
      <c r="C102" s="415" t="str">
        <f>IF(ISNA(VLOOKUP(A102,Master!BR$60:CD$107,7,FALSE)),"",VLOOKUP(A102,Master!BR$60:CD$107,7,FALSE))</f>
        <v/>
      </c>
      <c r="D102" s="418" t="str">
        <f>IF(ISNA(VLOOKUP(A102,Master!BR$60:CD$107,8,FALSE)),"",VLOOKUP(A102,Master!BR$60:CD$107,8,FALSE))</f>
        <v/>
      </c>
      <c r="E102" s="417" t="str">
        <f>IF(ISNA(VLOOKUP(A102,Master!BR$60:CD$107,4,FALSE)),"",VLOOKUP(A102,Master!BR$60:CD$107,4,FALSE))</f>
        <v/>
      </c>
      <c r="F102" s="134" t="str">
        <f>IF(ISNA(VLOOKUP(A102,Master!BR$60:CD$107,5,FALSE)),"",VLOOKUP(A102,Master!BR$60:CD$107,5,FALSE))</f>
        <v/>
      </c>
      <c r="G102" s="419" t="str">
        <f>IF(ISNA(VLOOKUP(A102,Master!BR$60:CD$107,6,FALSE)),"",VLOOKUP(A102,Master!BR$60:CD$107,6,FALSE))</f>
        <v/>
      </c>
      <c r="H102" s="419" t="str">
        <f t="shared" si="170"/>
        <v/>
      </c>
      <c r="I102" s="418" t="str">
        <f t="shared" si="171"/>
        <v/>
      </c>
      <c r="J102" s="419" t="str">
        <f t="shared" si="172"/>
        <v/>
      </c>
      <c r="K102" s="419" t="str">
        <f t="shared" si="173"/>
        <v/>
      </c>
      <c r="L102" s="419" t="str">
        <f t="shared" si="174"/>
        <v/>
      </c>
      <c r="M102" s="413" t="str">
        <f t="shared" si="175"/>
        <v/>
      </c>
      <c r="N102" s="168"/>
      <c r="O102" s="168"/>
      <c r="P102" s="168"/>
      <c r="Q102" s="168">
        <v>0</v>
      </c>
      <c r="R102" s="52"/>
      <c r="S102" s="83"/>
      <c r="T102" s="75"/>
      <c r="U102" s="75"/>
      <c r="V102" s="83"/>
      <c r="W102" s="75">
        <f>'[1]Data Entry'!CP106</f>
        <v>0</v>
      </c>
      <c r="X102" s="79"/>
      <c r="Y102" s="79"/>
      <c r="Z102" s="79"/>
      <c r="AA102" s="79"/>
      <c r="AB102" s="79"/>
      <c r="AC102" s="79"/>
      <c r="AD102" s="80" t="str">
        <f t="shared" si="133"/>
        <v/>
      </c>
      <c r="AE102" s="80" t="str">
        <f t="shared" si="134"/>
        <v/>
      </c>
      <c r="AF102" s="80" t="str">
        <f t="shared" si="135"/>
        <v/>
      </c>
      <c r="AG102" s="80" t="str">
        <f t="shared" si="136"/>
        <v/>
      </c>
      <c r="AH102" s="80" t="str">
        <f t="shared" si="137"/>
        <v/>
      </c>
      <c r="AI102" s="78" t="str">
        <f t="shared" si="138"/>
        <v/>
      </c>
      <c r="AJ102" s="78">
        <v>0</v>
      </c>
      <c r="AK102" s="79">
        <v>0</v>
      </c>
      <c r="AL102" s="78" t="str">
        <f t="shared" si="139"/>
        <v/>
      </c>
      <c r="AM102" s="79">
        <f t="shared" si="156"/>
        <v>0</v>
      </c>
      <c r="AN102" s="78">
        <f t="shared" si="108"/>
        <v>0</v>
      </c>
      <c r="AO102" s="78">
        <f t="shared" si="157"/>
        <v>0</v>
      </c>
      <c r="AP102" s="78"/>
      <c r="AQ102" s="78">
        <f t="shared" si="158"/>
        <v>0</v>
      </c>
      <c r="AR102" s="80" t="str">
        <f t="shared" si="140"/>
        <v/>
      </c>
      <c r="AS102" s="80" t="str">
        <f t="shared" si="141"/>
        <v/>
      </c>
      <c r="AT102" s="78"/>
      <c r="AU102" s="78"/>
      <c r="AV102" s="80" t="str">
        <f t="shared" si="142"/>
        <v/>
      </c>
      <c r="AW102" s="80" t="str">
        <f t="shared" si="143"/>
        <v/>
      </c>
      <c r="AX102" s="80" t="str">
        <f t="shared" si="144"/>
        <v/>
      </c>
      <c r="AY102" s="80" t="str">
        <f t="shared" si="145"/>
        <v/>
      </c>
      <c r="AZ102" s="80" t="str">
        <f t="shared" si="146"/>
        <v/>
      </c>
      <c r="BA102" s="78" t="str">
        <f t="shared" si="147"/>
        <v/>
      </c>
      <c r="BB102" s="78"/>
      <c r="BC102" s="79">
        <v>0</v>
      </c>
      <c r="BD102" s="78" t="str">
        <f t="shared" si="148"/>
        <v/>
      </c>
      <c r="BE102" s="79">
        <f t="shared" si="149"/>
        <v>0</v>
      </c>
      <c r="BF102" s="78">
        <f t="shared" si="150"/>
        <v>0</v>
      </c>
      <c r="BG102" s="78">
        <f t="shared" si="159"/>
        <v>0</v>
      </c>
      <c r="BH102" s="78">
        <f t="shared" si="160"/>
        <v>0</v>
      </c>
      <c r="BI102" s="78" t="str">
        <f t="shared" si="161"/>
        <v/>
      </c>
      <c r="BJ102" s="80" t="str">
        <f t="shared" si="151"/>
        <v/>
      </c>
      <c r="BK102" s="80" t="str">
        <f t="shared" si="152"/>
        <v/>
      </c>
      <c r="BL102" s="78"/>
      <c r="BM102" s="78"/>
      <c r="BN102" s="80" t="str">
        <f t="shared" si="153"/>
        <v/>
      </c>
      <c r="BO102" s="74">
        <f t="shared" si="162"/>
        <v>0</v>
      </c>
      <c r="BP102" s="74">
        <f t="shared" si="163"/>
        <v>1</v>
      </c>
      <c r="BQ102" s="74">
        <f t="shared" si="164"/>
        <v>0</v>
      </c>
      <c r="BR102" s="74">
        <f t="shared" si="165"/>
        <v>0</v>
      </c>
      <c r="BS102" s="74">
        <f t="shared" si="119"/>
        <v>0</v>
      </c>
      <c r="BT102" s="74">
        <f t="shared" si="166"/>
        <v>1</v>
      </c>
      <c r="BU102" s="60">
        <f t="shared" si="167"/>
        <v>0</v>
      </c>
      <c r="BV102" s="81">
        <f t="shared" si="168"/>
        <v>1</v>
      </c>
      <c r="BW102" s="60">
        <f t="shared" si="123"/>
        <v>0</v>
      </c>
      <c r="BX102" s="60">
        <f t="shared" si="124"/>
        <v>0</v>
      </c>
      <c r="BY102" s="49" t="str">
        <f t="shared" si="169"/>
        <v/>
      </c>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row>
    <row r="103" spans="1:101" s="76" customFormat="1" ht="15.75">
      <c r="A103" s="125">
        <v>8</v>
      </c>
      <c r="B103" s="414" t="str">
        <f>IF(ISNA(VLOOKUP(A103,Master!BR$60:CD$107,3,FALSE)),"",VLOOKUP(A103,Master!BR$60:CD$107,3,FALSE))</f>
        <v/>
      </c>
      <c r="C103" s="415" t="str">
        <f>IF(ISNA(VLOOKUP(A103,Master!BR$60:CD$107,7,FALSE)),"",VLOOKUP(A103,Master!BR$60:CD$107,7,FALSE))</f>
        <v/>
      </c>
      <c r="D103" s="418" t="str">
        <f>IF(ISNA(VLOOKUP(A103,Master!BR$60:CD$107,8,FALSE)),"",VLOOKUP(A103,Master!BR$60:CD$107,8,FALSE))</f>
        <v/>
      </c>
      <c r="E103" s="417" t="str">
        <f>IF(ISNA(VLOOKUP(A103,Master!BR$60:CD$107,4,FALSE)),"",VLOOKUP(A103,Master!BR$60:CD$107,4,FALSE))</f>
        <v/>
      </c>
      <c r="F103" s="134" t="str">
        <f>IF(ISNA(VLOOKUP(A103,Master!BR$60:CD$107,5,FALSE)),"",VLOOKUP(A103,Master!BR$60:CD$107,5,FALSE))</f>
        <v/>
      </c>
      <c r="G103" s="419" t="str">
        <f>IF(ISNA(VLOOKUP(A103,Master!BR$60:CD$107,6,FALSE)),"",VLOOKUP(A103,Master!BR$60:CD$107,6,FALSE))</f>
        <v/>
      </c>
      <c r="H103" s="419" t="str">
        <f t="shared" si="170"/>
        <v/>
      </c>
      <c r="I103" s="418" t="str">
        <f t="shared" si="171"/>
        <v/>
      </c>
      <c r="J103" s="419" t="str">
        <f t="shared" si="172"/>
        <v/>
      </c>
      <c r="K103" s="419" t="str">
        <f t="shared" si="173"/>
        <v/>
      </c>
      <c r="L103" s="419" t="str">
        <f t="shared" si="174"/>
        <v/>
      </c>
      <c r="M103" s="413" t="str">
        <f t="shared" si="175"/>
        <v/>
      </c>
      <c r="N103" s="168"/>
      <c r="O103" s="168"/>
      <c r="P103" s="168"/>
      <c r="Q103" s="168">
        <v>0</v>
      </c>
      <c r="R103" s="52"/>
      <c r="S103" s="83"/>
      <c r="T103" s="75"/>
      <c r="U103" s="75"/>
      <c r="V103" s="83"/>
      <c r="W103" s="75">
        <f>'[1]Data Entry'!CP107</f>
        <v>0</v>
      </c>
      <c r="X103" s="79"/>
      <c r="Y103" s="79"/>
      <c r="Z103" s="79"/>
      <c r="AA103" s="79"/>
      <c r="AB103" s="79"/>
      <c r="AC103" s="79"/>
      <c r="AD103" s="80" t="str">
        <f t="shared" si="133"/>
        <v/>
      </c>
      <c r="AE103" s="80" t="str">
        <f t="shared" si="134"/>
        <v/>
      </c>
      <c r="AF103" s="80" t="str">
        <f t="shared" si="135"/>
        <v/>
      </c>
      <c r="AG103" s="80" t="str">
        <f t="shared" si="136"/>
        <v/>
      </c>
      <c r="AH103" s="80" t="str">
        <f t="shared" si="137"/>
        <v/>
      </c>
      <c r="AI103" s="78" t="str">
        <f t="shared" si="138"/>
        <v/>
      </c>
      <c r="AJ103" s="78">
        <v>0</v>
      </c>
      <c r="AK103" s="79">
        <v>0</v>
      </c>
      <c r="AL103" s="78" t="str">
        <f t="shared" si="139"/>
        <v/>
      </c>
      <c r="AM103" s="79">
        <f t="shared" si="156"/>
        <v>0</v>
      </c>
      <c r="AN103" s="78">
        <f t="shared" si="108"/>
        <v>0</v>
      </c>
      <c r="AO103" s="78">
        <f t="shared" si="157"/>
        <v>0</v>
      </c>
      <c r="AP103" s="78"/>
      <c r="AQ103" s="78">
        <f t="shared" si="158"/>
        <v>0</v>
      </c>
      <c r="AR103" s="80" t="str">
        <f t="shared" si="140"/>
        <v/>
      </c>
      <c r="AS103" s="80" t="str">
        <f t="shared" si="141"/>
        <v/>
      </c>
      <c r="AT103" s="78"/>
      <c r="AU103" s="78"/>
      <c r="AV103" s="80" t="str">
        <f t="shared" si="142"/>
        <v/>
      </c>
      <c r="AW103" s="80" t="str">
        <f t="shared" si="143"/>
        <v/>
      </c>
      <c r="AX103" s="80" t="str">
        <f t="shared" si="144"/>
        <v/>
      </c>
      <c r="AY103" s="80" t="str">
        <f t="shared" si="145"/>
        <v/>
      </c>
      <c r="AZ103" s="80" t="str">
        <f t="shared" si="146"/>
        <v/>
      </c>
      <c r="BA103" s="78" t="str">
        <f t="shared" si="147"/>
        <v/>
      </c>
      <c r="BB103" s="78"/>
      <c r="BC103" s="79">
        <v>0</v>
      </c>
      <c r="BD103" s="78" t="str">
        <f t="shared" si="148"/>
        <v/>
      </c>
      <c r="BE103" s="79">
        <f t="shared" si="149"/>
        <v>0</v>
      </c>
      <c r="BF103" s="78">
        <f t="shared" si="150"/>
        <v>0</v>
      </c>
      <c r="BG103" s="78">
        <f t="shared" si="159"/>
        <v>0</v>
      </c>
      <c r="BH103" s="78">
        <f t="shared" si="160"/>
        <v>0</v>
      </c>
      <c r="BI103" s="78" t="str">
        <f t="shared" si="161"/>
        <v/>
      </c>
      <c r="BJ103" s="80" t="str">
        <f t="shared" si="151"/>
        <v/>
      </c>
      <c r="BK103" s="80" t="str">
        <f t="shared" si="152"/>
        <v/>
      </c>
      <c r="BL103" s="78"/>
      <c r="BM103" s="78"/>
      <c r="BN103" s="80" t="str">
        <f t="shared" si="153"/>
        <v/>
      </c>
      <c r="BO103" s="74">
        <f t="shared" si="162"/>
        <v>0</v>
      </c>
      <c r="BP103" s="74">
        <f t="shared" si="163"/>
        <v>1</v>
      </c>
      <c r="BQ103" s="74">
        <f t="shared" si="164"/>
        <v>0</v>
      </c>
      <c r="BR103" s="74">
        <f t="shared" si="165"/>
        <v>0</v>
      </c>
      <c r="BS103" s="74">
        <f t="shared" si="119"/>
        <v>0</v>
      </c>
      <c r="BT103" s="74">
        <f t="shared" si="166"/>
        <v>1</v>
      </c>
      <c r="BU103" s="60">
        <f t="shared" si="167"/>
        <v>0</v>
      </c>
      <c r="BV103" s="81">
        <f t="shared" si="168"/>
        <v>1</v>
      </c>
      <c r="BW103" s="60">
        <f t="shared" si="123"/>
        <v>0</v>
      </c>
      <c r="BX103" s="60">
        <f t="shared" si="124"/>
        <v>0</v>
      </c>
      <c r="BY103" s="49" t="str">
        <f t="shared" si="169"/>
        <v/>
      </c>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row>
    <row r="104" spans="1:101" s="76" customFormat="1" ht="15.75">
      <c r="A104" s="125">
        <v>9</v>
      </c>
      <c r="B104" s="414" t="str">
        <f>IF(ISNA(VLOOKUP(A104,Master!BR$60:CD$107,3,FALSE)),"",VLOOKUP(A104,Master!BR$60:CD$107,3,FALSE))</f>
        <v/>
      </c>
      <c r="C104" s="415" t="str">
        <f>IF(ISNA(VLOOKUP(A104,Master!BR$60:CD$107,7,FALSE)),"",VLOOKUP(A104,Master!BR$60:CD$107,7,FALSE))</f>
        <v/>
      </c>
      <c r="D104" s="418" t="str">
        <f>IF(ISNA(VLOOKUP(A104,Master!BR$60:CD$107,8,FALSE)),"",VLOOKUP(A104,Master!BR$60:CD$107,8,FALSE))</f>
        <v/>
      </c>
      <c r="E104" s="417" t="str">
        <f>IF(ISNA(VLOOKUP(A104,Master!BR$60:CD$107,4,FALSE)),"",VLOOKUP(A104,Master!BR$60:CD$107,4,FALSE))</f>
        <v/>
      </c>
      <c r="F104" s="134" t="str">
        <f>IF(ISNA(VLOOKUP(A104,Master!BR$60:CD$107,5,FALSE)),"",VLOOKUP(A104,Master!BR$60:CD$107,5,FALSE))</f>
        <v/>
      </c>
      <c r="G104" s="419" t="str">
        <f>IF(ISNA(VLOOKUP(A104,Master!BR$60:CD$107,6,FALSE)),"",VLOOKUP(A104,Master!BR$60:CD$107,6,FALSE))</f>
        <v/>
      </c>
      <c r="H104" s="419" t="str">
        <f t="shared" si="170"/>
        <v/>
      </c>
      <c r="I104" s="418" t="str">
        <f t="shared" si="171"/>
        <v/>
      </c>
      <c r="J104" s="419" t="str">
        <f t="shared" si="172"/>
        <v/>
      </c>
      <c r="K104" s="419" t="str">
        <f t="shared" si="173"/>
        <v/>
      </c>
      <c r="L104" s="419" t="str">
        <f t="shared" si="174"/>
        <v/>
      </c>
      <c r="M104" s="413" t="str">
        <f t="shared" si="175"/>
        <v/>
      </c>
      <c r="N104" s="168"/>
      <c r="O104" s="168"/>
      <c r="P104" s="168"/>
      <c r="Q104" s="168">
        <v>0</v>
      </c>
      <c r="R104" s="52"/>
      <c r="S104" s="83"/>
      <c r="T104" s="75"/>
      <c r="U104" s="75"/>
      <c r="V104" s="83"/>
      <c r="W104" s="75">
        <f>'[1]Data Entry'!CP108</f>
        <v>0</v>
      </c>
      <c r="X104" s="79"/>
      <c r="Y104" s="79"/>
      <c r="Z104" s="79"/>
      <c r="AA104" s="79"/>
      <c r="AB104" s="79"/>
      <c r="AC104" s="79"/>
      <c r="AD104" s="80" t="str">
        <f t="shared" si="133"/>
        <v/>
      </c>
      <c r="AE104" s="80" t="str">
        <f t="shared" si="134"/>
        <v/>
      </c>
      <c r="AF104" s="80" t="str">
        <f t="shared" si="135"/>
        <v/>
      </c>
      <c r="AG104" s="80" t="str">
        <f t="shared" si="136"/>
        <v/>
      </c>
      <c r="AH104" s="80" t="str">
        <f t="shared" si="137"/>
        <v/>
      </c>
      <c r="AI104" s="78" t="str">
        <f t="shared" si="138"/>
        <v/>
      </c>
      <c r="AJ104" s="78">
        <v>0</v>
      </c>
      <c r="AK104" s="79">
        <v>0</v>
      </c>
      <c r="AL104" s="78" t="str">
        <f t="shared" si="139"/>
        <v/>
      </c>
      <c r="AM104" s="79">
        <f t="shared" si="156"/>
        <v>0</v>
      </c>
      <c r="AN104" s="78">
        <f t="shared" si="108"/>
        <v>0</v>
      </c>
      <c r="AO104" s="78">
        <f t="shared" si="157"/>
        <v>0</v>
      </c>
      <c r="AP104" s="78"/>
      <c r="AQ104" s="78">
        <f t="shared" si="158"/>
        <v>0</v>
      </c>
      <c r="AR104" s="80" t="str">
        <f t="shared" si="140"/>
        <v/>
      </c>
      <c r="AS104" s="80" t="str">
        <f t="shared" si="141"/>
        <v/>
      </c>
      <c r="AT104" s="78"/>
      <c r="AU104" s="78"/>
      <c r="AV104" s="80" t="str">
        <f t="shared" si="142"/>
        <v/>
      </c>
      <c r="AW104" s="80" t="str">
        <f t="shared" si="143"/>
        <v/>
      </c>
      <c r="AX104" s="80" t="str">
        <f t="shared" si="144"/>
        <v/>
      </c>
      <c r="AY104" s="80" t="str">
        <f t="shared" si="145"/>
        <v/>
      </c>
      <c r="AZ104" s="80" t="str">
        <f t="shared" si="146"/>
        <v/>
      </c>
      <c r="BA104" s="78" t="str">
        <f t="shared" si="147"/>
        <v/>
      </c>
      <c r="BB104" s="78"/>
      <c r="BC104" s="79">
        <v>0</v>
      </c>
      <c r="BD104" s="78" t="str">
        <f t="shared" si="148"/>
        <v/>
      </c>
      <c r="BE104" s="79">
        <f t="shared" si="149"/>
        <v>0</v>
      </c>
      <c r="BF104" s="78">
        <f t="shared" si="150"/>
        <v>0</v>
      </c>
      <c r="BG104" s="78">
        <f t="shared" si="159"/>
        <v>0</v>
      </c>
      <c r="BH104" s="78">
        <f t="shared" si="160"/>
        <v>0</v>
      </c>
      <c r="BI104" s="78" t="str">
        <f t="shared" si="161"/>
        <v/>
      </c>
      <c r="BJ104" s="80" t="str">
        <f t="shared" si="151"/>
        <v/>
      </c>
      <c r="BK104" s="80" t="str">
        <f t="shared" si="152"/>
        <v/>
      </c>
      <c r="BL104" s="78"/>
      <c r="BM104" s="78"/>
      <c r="BN104" s="80" t="str">
        <f t="shared" si="153"/>
        <v/>
      </c>
      <c r="BO104" s="74">
        <f t="shared" si="162"/>
        <v>0</v>
      </c>
      <c r="BP104" s="74">
        <f t="shared" si="163"/>
        <v>1</v>
      </c>
      <c r="BQ104" s="74">
        <f t="shared" si="164"/>
        <v>0</v>
      </c>
      <c r="BR104" s="74">
        <f t="shared" si="165"/>
        <v>0</v>
      </c>
      <c r="BS104" s="74">
        <f t="shared" si="119"/>
        <v>0</v>
      </c>
      <c r="BT104" s="74">
        <f t="shared" si="166"/>
        <v>1</v>
      </c>
      <c r="BU104" s="60">
        <f t="shared" si="167"/>
        <v>0</v>
      </c>
      <c r="BV104" s="81">
        <f t="shared" si="168"/>
        <v>1</v>
      </c>
      <c r="BW104" s="60">
        <f t="shared" si="123"/>
        <v>0</v>
      </c>
      <c r="BX104" s="60">
        <f t="shared" si="124"/>
        <v>0</v>
      </c>
      <c r="BY104" s="49" t="str">
        <f t="shared" si="169"/>
        <v/>
      </c>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row>
    <row r="105" spans="1:101" s="76" customFormat="1">
      <c r="A105" s="672"/>
      <c r="B105" s="647"/>
      <c r="C105" s="422"/>
      <c r="D105" s="422"/>
      <c r="E105" s="442" t="s">
        <v>194</v>
      </c>
      <c r="F105" s="128"/>
      <c r="G105" s="129"/>
      <c r="H105" s="129">
        <f>SUM(H96:H104)</f>
        <v>0</v>
      </c>
      <c r="I105" s="129"/>
      <c r="J105" s="129">
        <f t="shared" ref="J105:L105" si="176">SUM(J96:J104)</f>
        <v>0</v>
      </c>
      <c r="K105" s="129">
        <f t="shared" si="176"/>
        <v>0</v>
      </c>
      <c r="L105" s="129">
        <f t="shared" si="176"/>
        <v>0</v>
      </c>
      <c r="M105" s="130"/>
      <c r="N105" s="165"/>
      <c r="O105" s="165"/>
      <c r="P105" s="165"/>
      <c r="Q105" s="165"/>
      <c r="R105" s="52"/>
      <c r="S105" s="1"/>
      <c r="T105" s="75"/>
      <c r="U105" s="75"/>
      <c r="V105" s="75"/>
      <c r="W105" s="75"/>
      <c r="X105" s="75"/>
      <c r="Y105" s="75"/>
      <c r="Z105" s="75"/>
      <c r="AA105" s="75"/>
      <c r="AB105" s="75"/>
      <c r="AC105" s="75"/>
      <c r="AD105" s="80"/>
      <c r="AE105" s="80"/>
      <c r="AF105" s="80"/>
      <c r="AG105" s="80"/>
      <c r="AH105" s="80"/>
      <c r="AI105" s="78"/>
      <c r="AJ105" s="78"/>
      <c r="AK105" s="79"/>
      <c r="AL105" s="78"/>
      <c r="AM105" s="79"/>
      <c r="AN105" s="78"/>
      <c r="AO105" s="78"/>
      <c r="AP105" s="78"/>
      <c r="AQ105" s="78"/>
      <c r="AR105" s="80"/>
      <c r="AS105" s="80"/>
      <c r="AT105" s="78"/>
      <c r="AU105" s="78"/>
      <c r="AV105" s="80"/>
      <c r="AW105" s="80"/>
      <c r="AX105" s="80"/>
      <c r="AY105" s="80"/>
      <c r="AZ105" s="80"/>
      <c r="BA105" s="78"/>
      <c r="BB105" s="78"/>
      <c r="BC105" s="79"/>
      <c r="BD105" s="78"/>
      <c r="BE105" s="79"/>
      <c r="BF105" s="78"/>
      <c r="BG105" s="78"/>
      <c r="BH105" s="78"/>
      <c r="BI105" s="78"/>
      <c r="BJ105" s="80"/>
      <c r="BK105" s="80"/>
      <c r="BL105" s="78"/>
      <c r="BM105" s="78"/>
      <c r="BN105" s="80"/>
      <c r="BO105" s="74"/>
      <c r="BP105" s="74"/>
      <c r="BQ105" s="74"/>
      <c r="BR105" s="74"/>
      <c r="BS105" s="74"/>
      <c r="BT105" s="74"/>
      <c r="BU105" s="60"/>
      <c r="BV105" s="81"/>
      <c r="BW105" s="60"/>
      <c r="BX105" s="60"/>
      <c r="BY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row>
    <row r="106" spans="1:101" s="76" customFormat="1">
      <c r="A106" s="672"/>
      <c r="B106" s="647"/>
      <c r="C106" s="422"/>
      <c r="D106" s="422"/>
      <c r="E106" s="442" t="s">
        <v>195</v>
      </c>
      <c r="F106" s="128"/>
      <c r="G106" s="129"/>
      <c r="H106" s="170">
        <f>H94+H105</f>
        <v>0</v>
      </c>
      <c r="I106" s="170"/>
      <c r="J106" s="170">
        <f t="shared" ref="J106:L106" si="177">J94+J105</f>
        <v>0</v>
      </c>
      <c r="K106" s="170">
        <f t="shared" si="177"/>
        <v>0</v>
      </c>
      <c r="L106" s="170">
        <f t="shared" si="177"/>
        <v>0</v>
      </c>
      <c r="M106" s="130"/>
      <c r="N106" s="165"/>
      <c r="O106" s="165"/>
      <c r="P106" s="165"/>
      <c r="Q106" s="165"/>
      <c r="R106" s="52"/>
      <c r="S106" s="1"/>
      <c r="T106" s="75"/>
      <c r="U106" s="75"/>
      <c r="V106" s="75"/>
      <c r="W106" s="75"/>
      <c r="X106" s="75"/>
      <c r="Y106" s="75"/>
      <c r="Z106" s="75"/>
      <c r="AA106" s="75"/>
      <c r="AB106" s="75"/>
      <c r="AC106" s="75"/>
      <c r="AD106" s="80"/>
      <c r="AE106" s="80"/>
      <c r="AF106" s="80"/>
      <c r="AG106" s="80"/>
      <c r="AH106" s="80"/>
      <c r="AI106" s="78"/>
      <c r="AJ106" s="78"/>
      <c r="AK106" s="79"/>
      <c r="AL106" s="78"/>
      <c r="AM106" s="79"/>
      <c r="AN106" s="78"/>
      <c r="AO106" s="78"/>
      <c r="AP106" s="78"/>
      <c r="AQ106" s="78"/>
      <c r="AR106" s="80"/>
      <c r="AS106" s="80"/>
      <c r="AT106" s="78"/>
      <c r="AU106" s="78"/>
      <c r="AV106" s="80"/>
      <c r="AW106" s="80"/>
      <c r="AX106" s="80"/>
      <c r="AY106" s="80"/>
      <c r="AZ106" s="80"/>
      <c r="BA106" s="78"/>
      <c r="BB106" s="78"/>
      <c r="BC106" s="79"/>
      <c r="BD106" s="78"/>
      <c r="BE106" s="79"/>
      <c r="BF106" s="78"/>
      <c r="BG106" s="78"/>
      <c r="BH106" s="78"/>
      <c r="BI106" s="78"/>
      <c r="BJ106" s="80"/>
      <c r="BK106" s="80"/>
      <c r="BL106" s="78"/>
      <c r="BM106" s="78"/>
      <c r="BN106" s="80"/>
      <c r="BO106" s="74"/>
      <c r="BP106" s="74"/>
      <c r="BQ106" s="74"/>
      <c r="BR106" s="74"/>
      <c r="BS106" s="74"/>
      <c r="BT106" s="74"/>
      <c r="BU106" s="60"/>
      <c r="BV106" s="81"/>
      <c r="BW106" s="60"/>
      <c r="BX106" s="60"/>
      <c r="BY106" s="49"/>
      <c r="CA106" s="49"/>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row>
    <row r="107" spans="1:101" s="76" customFormat="1">
      <c r="A107" s="784" t="s">
        <v>557</v>
      </c>
      <c r="B107" s="785"/>
      <c r="C107" s="785"/>
      <c r="D107" s="785"/>
      <c r="E107" s="785"/>
      <c r="F107" s="785"/>
      <c r="G107" s="785"/>
      <c r="H107" s="785"/>
      <c r="I107" s="785"/>
      <c r="J107" s="785"/>
      <c r="K107" s="785"/>
      <c r="L107" s="785"/>
      <c r="M107" s="786"/>
      <c r="N107" s="165"/>
      <c r="O107" s="165"/>
      <c r="P107" s="165"/>
      <c r="Q107" s="165"/>
      <c r="R107" s="52"/>
      <c r="S107" s="1"/>
      <c r="T107" s="75"/>
      <c r="U107" s="75"/>
      <c r="V107" s="75"/>
      <c r="W107" s="75"/>
      <c r="X107" s="75"/>
      <c r="Y107" s="75"/>
      <c r="Z107" s="75"/>
      <c r="AA107" s="75"/>
      <c r="AB107" s="75"/>
      <c r="AC107" s="75"/>
      <c r="AD107" s="80"/>
      <c r="AE107" s="80"/>
      <c r="AF107" s="80"/>
      <c r="AG107" s="80"/>
      <c r="AH107" s="80"/>
      <c r="AI107" s="78"/>
      <c r="AJ107" s="78"/>
      <c r="AK107" s="79"/>
      <c r="AL107" s="78"/>
      <c r="AM107" s="79"/>
      <c r="AN107" s="78"/>
      <c r="AO107" s="78"/>
      <c r="AP107" s="78"/>
      <c r="AQ107" s="78"/>
      <c r="AR107" s="80"/>
      <c r="AS107" s="80"/>
      <c r="AT107" s="78"/>
      <c r="AU107" s="78"/>
      <c r="AV107" s="80"/>
      <c r="AW107" s="80"/>
      <c r="AX107" s="80"/>
      <c r="AY107" s="80"/>
      <c r="AZ107" s="80"/>
      <c r="BA107" s="78"/>
      <c r="BB107" s="78"/>
      <c r="BC107" s="79"/>
      <c r="BD107" s="78"/>
      <c r="BE107" s="79"/>
      <c r="BF107" s="78"/>
      <c r="BG107" s="78"/>
      <c r="BH107" s="78"/>
      <c r="BI107" s="78"/>
      <c r="BJ107" s="80"/>
      <c r="BK107" s="80"/>
      <c r="BL107" s="78"/>
      <c r="BM107" s="78"/>
      <c r="BN107" s="80"/>
      <c r="BO107" s="74"/>
      <c r="BP107" s="74"/>
      <c r="BQ107" s="74"/>
      <c r="BR107" s="74"/>
      <c r="BS107" s="74"/>
      <c r="BT107" s="74"/>
      <c r="BU107" s="60"/>
      <c r="BV107" s="81"/>
      <c r="BW107" s="60"/>
      <c r="BX107" s="60"/>
      <c r="BY107" s="49"/>
      <c r="CA107" s="49"/>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row>
    <row r="108" spans="1:101" s="76" customFormat="1" ht="16.5" customHeight="1">
      <c r="A108" s="443">
        <v>1</v>
      </c>
      <c r="B108" s="414" t="str">
        <f>IF(ISNA(VLOOKUP(A108,Master!CE$60:CQ$107,3,FALSE)),"",VLOOKUP(A108,Master!CE$60:CQ$107,3,FALSE))</f>
        <v/>
      </c>
      <c r="C108" s="444" t="str">
        <f>IF(ISNA(VLOOKUP(A108,Master!CE$60:CQ$107,7,FALSE)),"",VLOOKUP(A108,Master!CE$60:CQ$107,7,FALSE))</f>
        <v/>
      </c>
      <c r="D108" s="445" t="str">
        <f>IF(ISNA(VLOOKUP(A108,Master!CE$60:CQ$107,8,FALSE)),"",VLOOKUP(A108,Master!CE$60:CQ$107,8,FALSE))</f>
        <v/>
      </c>
      <c r="E108" s="446" t="str">
        <f>IF(ISNA(VLOOKUP(A108,Master!CE$60:CQ$107,4,FALSE)),"",VLOOKUP(A108,Master!CE$60:CQ$107,4,FALSE))</f>
        <v/>
      </c>
      <c r="F108" s="134" t="str">
        <f>IF(ISNA(VLOOKUP(A108,Master!CE$60:CQ$107,5,FALSE)),"",VLOOKUP(A108,Master!CE$60:CQ$107,5,FALSE))</f>
        <v/>
      </c>
      <c r="G108" s="447" t="str">
        <f>IF(ISNA(VLOOKUP(A108,Master!CE$60:CQ$107,6,FALSE)),"",VLOOKUP(A108,Master!CE$60:CQ$107,6,FALSE))</f>
        <v/>
      </c>
      <c r="H108" s="413" t="str">
        <f>IF(AND(F108=""),"",G108*12)</f>
        <v/>
      </c>
      <c r="I108" s="418" t="str">
        <f>IF(AND(F108=""),"","Not Applicable")</f>
        <v/>
      </c>
      <c r="J108" s="413" t="str">
        <f>IF(AND(F108=""),"","0")</f>
        <v/>
      </c>
      <c r="K108" s="413" t="str">
        <f>IF(AND(F108=""),"",H108+J108)</f>
        <v/>
      </c>
      <c r="L108" s="413" t="str">
        <f>IF(AND(F108=""),"",K108)</f>
        <v/>
      </c>
      <c r="M108" s="413" t="str">
        <f>IF(AND(F108=""),"","SANVIDA")</f>
        <v/>
      </c>
      <c r="N108" s="184"/>
      <c r="O108" s="184"/>
      <c r="P108" s="184"/>
      <c r="Q108" s="184"/>
      <c r="R108" s="185"/>
      <c r="S108" s="67"/>
      <c r="T108" s="75"/>
      <c r="U108" s="75"/>
      <c r="V108" s="75"/>
      <c r="W108" s="75"/>
      <c r="X108" s="75"/>
      <c r="Y108" s="75"/>
      <c r="Z108" s="75"/>
      <c r="AA108" s="75"/>
      <c r="AB108" s="75"/>
      <c r="AC108" s="75"/>
      <c r="AD108" s="80" t="str">
        <f t="shared" ref="AD108:AD117" si="178">IF(AND(G108=""),"",(IF(M108="FIX PAY",0,(G108-ROUNDUP(ROUND((G108*3%)-(G108*3%)*3%,0),-1)))))</f>
        <v/>
      </c>
      <c r="AE108" s="80" t="str">
        <f t="shared" ref="AE108:AE117" si="179">IF(AND(G108=""),"",$K108*$BO108)</f>
        <v/>
      </c>
      <c r="AF108" s="80" t="str">
        <f t="shared" ref="AF108:AF117" si="180">IF(AND(G108=""),"",$K108*$BP108)</f>
        <v/>
      </c>
      <c r="AG108" s="80" t="str">
        <f t="shared" ref="AG108:AG117" si="181">IF(AND(G108=""),"",$K108*$BQ108)</f>
        <v/>
      </c>
      <c r="AH108" s="80" t="str">
        <f t="shared" ref="AH108:AH117" si="182">IF(AND(G108=""),"",$K108*$BR108)</f>
        <v/>
      </c>
      <c r="AI108" s="78" t="str">
        <f t="shared" ref="AI108:AI117" si="183">IF(AND(G108=""),"",ROUND((AE108+AF108)*$AI$10,0)*BS108)</f>
        <v/>
      </c>
      <c r="AJ108" s="78">
        <v>0</v>
      </c>
      <c r="AK108" s="79">
        <v>0</v>
      </c>
      <c r="AL108" s="78" t="str">
        <f t="shared" ref="AL108:AL117" si="184">IF(AND(G108=""),"",ROUND((AE108+AF108)*$AL$10,0)*BS108)</f>
        <v/>
      </c>
      <c r="AM108" s="79">
        <f t="shared" ref="AM108:AM117" si="185">$E$79*BP108*BS108*(IF(G108&lt;=0,0,1))*(IF(F108&lt;=4800,1,0))</f>
        <v>0</v>
      </c>
      <c r="AN108" s="78">
        <f t="shared" ref="AN108:AN117" si="186">IF(AND(G108=""),0,ROUND((G108+ROUND(G108*$AI$10,0))/2,0)*(IF(M108="FIX PAY",0,1)))</f>
        <v>0</v>
      </c>
      <c r="AO108" s="78">
        <f>IF(E108="CLERK GRADE I",1,IF(E108="CLERK GRADE II",1,0))*75*12*BS108*(IF(G108&lt;=0,0,1))*BT108</f>
        <v>0</v>
      </c>
      <c r="AP108" s="78"/>
      <c r="AQ108" s="78">
        <f>(IF(E108="LAB BOY",150,IF(E108="JAMADAR",150,IF(E108="PEON",150,0))))*12*BS108*(IF(G108&lt;=0,0,1))</f>
        <v>0</v>
      </c>
      <c r="AR108" s="80" t="str">
        <f t="shared" ref="AR108:AR117" si="187">IF(AND(G108=""),"",SUM(AI108:AQ108)+AE108+AF108)</f>
        <v/>
      </c>
      <c r="AS108" s="80" t="str">
        <f t="shared" ref="AS108:AS117" si="188">IF(AND(G108=""),"",AR108)</f>
        <v/>
      </c>
      <c r="AT108" s="78"/>
      <c r="AU108" s="78"/>
      <c r="AV108" s="80" t="str">
        <f t="shared" ref="AV108:AV117" si="189">IF(AND(G108=""),"",AS108+AT108+AU108)</f>
        <v/>
      </c>
      <c r="AW108" s="80" t="str">
        <f t="shared" ref="AW108:AW117" si="190">IF(AND(G108=""),"",L108*BO108)</f>
        <v/>
      </c>
      <c r="AX108" s="80" t="str">
        <f t="shared" ref="AX108:AX117" si="191">IF(AND(G108=""),"",L108*BP108)</f>
        <v/>
      </c>
      <c r="AY108" s="80" t="str">
        <f t="shared" ref="AY108:AY117" si="192">IF(AND(G108=""),"",L108*BQ108)</f>
        <v/>
      </c>
      <c r="AZ108" s="80" t="str">
        <f t="shared" ref="AZ108:AZ117" si="193">IF(AND(G108=""),"",L108*BR108)</f>
        <v/>
      </c>
      <c r="BA108" s="78" t="str">
        <f t="shared" ref="BA108:BA117" si="194">IF(AND(G108=""),"",ROUND((AW108+AX108)*$BA$10,0)*BS108)</f>
        <v/>
      </c>
      <c r="BB108" s="78"/>
      <c r="BC108" s="79">
        <v>4</v>
      </c>
      <c r="BD108" s="78" t="str">
        <f t="shared" ref="BD108:BD117" si="195">IF(AND(G108=""),"",ROUND((AW108+AX108)*$BD$10,0)*BS108)</f>
        <v/>
      </c>
      <c r="BE108" s="79">
        <f t="shared" ref="BE108:BE117" si="196">3387*2*BP108*BS108*(IF(G108&lt;=0,0,1))*(IF(F108&lt;=4800,1,0))</f>
        <v>0</v>
      </c>
      <c r="BF108" s="78">
        <f t="shared" ref="BF108:BF117" si="197">IF(AND(G108=""),0,ROUND((AD108+ROUND(AD108*$AI$10,0))/2,0)*(IF(M108="FIX PAY",0,1)))</f>
        <v>0</v>
      </c>
      <c r="BG108" s="78">
        <f>IF(E108="CLERK GRADE I",1,IF(E108="CLERK GRADE II",1,0))*75*12*BS108*(IF(G108&lt;=0,0,1))*BT108</f>
        <v>0</v>
      </c>
      <c r="BH108" s="78">
        <f>IF(AND(E108=""),0,(IF(E108="ASSISTANT",12,IF(E108="CLERK GRADE I",12,IF(E108="CLERK GRADE II",12,IF(E108="FIELDMAN &amp; FIELD REC",12,IF(E108="LAB BOY",12,IF(E108="JAMADAR",12,IF(E108="PEON",12,10))))))))*(MINA(ROUND(AD108*6%,0),600))*(IF($S108="yes",1,)))</f>
        <v>0</v>
      </c>
      <c r="BI108" s="78" t="str">
        <f>IF(AND(G108=""),"",(IF(E108="LAB BOY",150,IF(E108="JAMADAR",150,IF(E108="PEON",150,0))))*12*BS108*(IF(G108&lt;=0,0,1)))</f>
        <v/>
      </c>
      <c r="BJ108" s="80" t="str">
        <f t="shared" ref="BJ108:BJ117" si="198">IF(AND(G108=""),"",SUM(BA108:BI108)+AW108+AX108)</f>
        <v/>
      </c>
      <c r="BK108" s="80" t="str">
        <f t="shared" ref="BK108:BK117" si="199">IF(AND(G108=""),"",BJ108)</f>
        <v/>
      </c>
      <c r="BL108" s="78"/>
      <c r="BM108" s="78"/>
      <c r="BN108" s="80" t="str">
        <f t="shared" ref="BN108:BN117" si="200">IF(AND(G108=""),"",BK108+BL108+BM108)</f>
        <v/>
      </c>
      <c r="BO108" s="74">
        <f>(IF(E108="PRINCIPAL",1,IF(E108="H M",1,IF(E108="AGRICULTURE INST",1,IF(E108="TEACHER-1ST",1,IF(E108="PTI  I  (13)",1,IF(E108="AGRICULTURE TEACH",1,IF(E108="INSTRUCTOR",1,0))))))))+(IF(E108="JR TEACHER",1,IF(E108="LIBRARIAN I",1,0)))*(IF(M108="FIX PAY",0,1))</f>
        <v>0</v>
      </c>
      <c r="BP108" s="74">
        <f t="shared" ref="BP108:BP117" si="201">IF(BO108&lt;=0,1,0)*(IF(M108="FIX PAY",0,1))</f>
        <v>1</v>
      </c>
      <c r="BQ108" s="74">
        <f>(IF(E108="PRINCIPAL (16)",1,IF(E108="V P (14)",1,IF(E108="H M (14)",1,IF(E108="AGRICULTURE INST (13)",1,IF(E108="TEACHER-1ST (13)",1,IF(E108="PTI  I  (13)",1,IF(E108="AGRICULTURE TEACH (13)",1,IF(E108="INSTRUCTOR (13)",1,0))))))))+(IF(E108="JR TEACHER (13)",1,IF(E108="LIBRARIAN I (13)",1,0))))*(IF(M108="FIX PAY",1,0))</f>
        <v>0</v>
      </c>
      <c r="BR108" s="74">
        <f t="shared" ref="BR108:BR117" si="202">IF(BQ108&lt;=0,1,0)*(IF(M108="FIX PAY",1,0))</f>
        <v>0</v>
      </c>
      <c r="BS108" s="74">
        <f t="shared" si="119"/>
        <v>0</v>
      </c>
      <c r="BT108" s="74">
        <f t="shared" ref="BT108:BT117" si="203">IF(V108="No",0,1)</f>
        <v>1</v>
      </c>
      <c r="BU108" s="60">
        <f>IF((ROUND((SUMPRODUCT(MID(0&amp;C108,LARGE(INDEX(ISNUMBER(--MID(C108,ROW($1:$25),1))* ROW($1:$25),0),ROW($1:$25))+1,1)*10^ROW($1:$25)/10)),-8)/100000000)&gt;=2004,1,0)</f>
        <v>0</v>
      </c>
      <c r="BV108" s="81">
        <f t="shared" ref="BV108:BV117" si="204">IF(G108&lt;=0,0,1)</f>
        <v>1</v>
      </c>
      <c r="BW108" s="60">
        <f t="shared" si="123"/>
        <v>0</v>
      </c>
      <c r="BX108" s="60">
        <f t="shared" si="124"/>
        <v>0</v>
      </c>
      <c r="BY108" s="49" t="str">
        <f>IF(AND(C108=""),"",IF(AND(C108&lt;=0),"",IF((ROUND((SUMPRODUCT(MID(0&amp;C108,LARGE(INDEX(ISNUMBER(--MID(C108,ROW($1:$71),1))* ROW($1:$71),0),ROW($1:$71))+1,1)*10^ROW($1:$71)/10)),-8)/100000000)&lt;2004,1,0)))</f>
        <v/>
      </c>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row>
    <row r="109" spans="1:101" s="76" customFormat="1" ht="16.5" customHeight="1">
      <c r="A109" s="443">
        <v>2</v>
      </c>
      <c r="B109" s="414" t="str">
        <f>IF(ISNA(VLOOKUP(A109,Master!CE$60:CQ$107,3,FALSE)),"",VLOOKUP(A109,Master!CE$60:CQ$107,3,FALSE))</f>
        <v/>
      </c>
      <c r="C109" s="444" t="str">
        <f>IF(ISNA(VLOOKUP(A109,Master!CE$60:CQ$107,7,FALSE)),"",VLOOKUP(A109,Master!CE$60:CQ$107,7,FALSE))</f>
        <v/>
      </c>
      <c r="D109" s="445" t="str">
        <f>IF(ISNA(VLOOKUP(A109,Master!CE$60:CQ$107,8,FALSE)),"",VLOOKUP(A109,Master!CE$60:CQ$107,8,FALSE))</f>
        <v/>
      </c>
      <c r="E109" s="446" t="str">
        <f>IF(ISNA(VLOOKUP(A109,Master!CE$60:CQ$107,4,FALSE)),"",VLOOKUP(A109,Master!CE$60:CQ$107,4,FALSE))</f>
        <v/>
      </c>
      <c r="F109" s="134" t="str">
        <f>IF(ISNA(VLOOKUP(A109,Master!CE$60:CQ$107,5,FALSE)),"",VLOOKUP(A109,Master!CE$60:CQ$107,5,FALSE))</f>
        <v/>
      </c>
      <c r="G109" s="447" t="str">
        <f>IF(ISNA(VLOOKUP(A109,Master!CE$60:CQ$107,6,FALSE)),"",VLOOKUP(A109,Master!CE$60:CQ$107,6,FALSE))</f>
        <v/>
      </c>
      <c r="H109" s="413" t="str">
        <f t="shared" ref="H109:H111" si="205">IF(AND(F109=""),"",G109*12)</f>
        <v/>
      </c>
      <c r="I109" s="418" t="str">
        <f t="shared" ref="I109:I111" si="206">IF(AND(F109=""),"","Not Applicable")</f>
        <v/>
      </c>
      <c r="J109" s="413" t="str">
        <f t="shared" ref="J109:J111" si="207">IF(AND(F109=""),"","0")</f>
        <v/>
      </c>
      <c r="K109" s="413" t="str">
        <f t="shared" ref="K109:K111" si="208">IF(AND(F109=""),"",H109+J109)</f>
        <v/>
      </c>
      <c r="L109" s="413" t="str">
        <f t="shared" ref="L109:L111" si="209">IF(AND(F109=""),"",K109)</f>
        <v/>
      </c>
      <c r="M109" s="413" t="str">
        <f t="shared" ref="M109:M111" si="210">IF(AND(F109=""),"","SANVIDA")</f>
        <v/>
      </c>
      <c r="N109" s="184"/>
      <c r="O109" s="184"/>
      <c r="P109" s="184"/>
      <c r="Q109" s="184"/>
      <c r="R109" s="185"/>
      <c r="S109" s="67"/>
      <c r="T109" s="75"/>
      <c r="U109" s="75"/>
      <c r="V109" s="75"/>
      <c r="W109" s="75"/>
      <c r="X109" s="75"/>
      <c r="Y109" s="75"/>
      <c r="Z109" s="75"/>
      <c r="AA109" s="75"/>
      <c r="AB109" s="75"/>
      <c r="AC109" s="75"/>
      <c r="AD109" s="80" t="str">
        <f t="shared" si="178"/>
        <v/>
      </c>
      <c r="AE109" s="80" t="str">
        <f t="shared" si="179"/>
        <v/>
      </c>
      <c r="AF109" s="80" t="str">
        <f t="shared" si="180"/>
        <v/>
      </c>
      <c r="AG109" s="80" t="str">
        <f t="shared" si="181"/>
        <v/>
      </c>
      <c r="AH109" s="80" t="str">
        <f t="shared" si="182"/>
        <v/>
      </c>
      <c r="AI109" s="78" t="str">
        <f t="shared" si="183"/>
        <v/>
      </c>
      <c r="AJ109" s="78">
        <v>0</v>
      </c>
      <c r="AK109" s="79">
        <v>0</v>
      </c>
      <c r="AL109" s="78" t="str">
        <f t="shared" si="184"/>
        <v/>
      </c>
      <c r="AM109" s="79">
        <f t="shared" si="185"/>
        <v>0</v>
      </c>
      <c r="AN109" s="78">
        <f t="shared" si="186"/>
        <v>0</v>
      </c>
      <c r="AO109" s="78">
        <f>IF(E109="CLERK GRADE I",1,IF(E109="CLERK GRADE II",1,0))*75*12*BS109*(IF(G109&lt;=0,0,1))*BT109</f>
        <v>0</v>
      </c>
      <c r="AP109" s="78"/>
      <c r="AQ109" s="78">
        <f>(IF(E109="LAB BOY",150,IF(E109="JAMADAR",150,IF(E109="PEON",150,0))))*12*BS109*(IF(G109&lt;=0,0,1))</f>
        <v>0</v>
      </c>
      <c r="AR109" s="80" t="str">
        <f t="shared" si="187"/>
        <v/>
      </c>
      <c r="AS109" s="80" t="str">
        <f t="shared" si="188"/>
        <v/>
      </c>
      <c r="AT109" s="78"/>
      <c r="AU109" s="78"/>
      <c r="AV109" s="80" t="str">
        <f t="shared" si="189"/>
        <v/>
      </c>
      <c r="AW109" s="80" t="str">
        <f t="shared" si="190"/>
        <v/>
      </c>
      <c r="AX109" s="80" t="str">
        <f t="shared" si="191"/>
        <v/>
      </c>
      <c r="AY109" s="80" t="str">
        <f t="shared" si="192"/>
        <v/>
      </c>
      <c r="AZ109" s="80" t="str">
        <f t="shared" si="193"/>
        <v/>
      </c>
      <c r="BA109" s="78" t="str">
        <f t="shared" si="194"/>
        <v/>
      </c>
      <c r="BB109" s="78"/>
      <c r="BC109" s="79">
        <v>5</v>
      </c>
      <c r="BD109" s="78" t="str">
        <f t="shared" si="195"/>
        <v/>
      </c>
      <c r="BE109" s="79">
        <f t="shared" si="196"/>
        <v>0</v>
      </c>
      <c r="BF109" s="78">
        <f t="shared" si="197"/>
        <v>0</v>
      </c>
      <c r="BG109" s="78">
        <f>IF(E109="CLERK GRADE I",1,IF(E109="CLERK GRADE II",1,0))*75*12*BS109*(IF(G109&lt;=0,0,1))*BT109</f>
        <v>0</v>
      </c>
      <c r="BH109" s="78">
        <f>IF(AND(E109=""),0,(IF(E109="ASSISTANT",12,IF(E109="CLERK GRADE I",12,IF(E109="CLERK GRADE II",12,IF(E109="FIELDMAN &amp; FIELD REC",12,IF(E109="LAB BOY",12,IF(E109="JAMADAR",12,IF(E109="PEON",12,10))))))))*(MINA(ROUND(AD109*6%,0),600))*(IF($S109="yes",1,)))</f>
        <v>0</v>
      </c>
      <c r="BI109" s="78" t="str">
        <f>IF(AND(G109=""),"",(IF(E109="LAB BOY",150,IF(E109="JAMADAR",150,IF(E109="PEON",150,0))))*12*BS109*(IF(G109&lt;=0,0,1)))</f>
        <v/>
      </c>
      <c r="BJ109" s="80" t="str">
        <f t="shared" si="198"/>
        <v/>
      </c>
      <c r="BK109" s="80" t="str">
        <f t="shared" si="199"/>
        <v/>
      </c>
      <c r="BL109" s="78"/>
      <c r="BM109" s="78"/>
      <c r="BN109" s="80" t="str">
        <f t="shared" si="200"/>
        <v/>
      </c>
      <c r="BO109" s="74">
        <f>(IF(E109="PRINCIPAL",1,IF(E109="H M",1,IF(E109="AGRICULTURE INST",1,IF(E109="TEACHER-1ST",1,IF(E109="PTI  I  (13)",1,IF(E109="AGRICULTURE TEACH",1,IF(E109="INSTRUCTOR",1,0))))))))+(IF(E109="JR TEACHER",1,IF(E109="LIBRARIAN I",1,0)))*(IF(M109="FIX PAY",0,1))</f>
        <v>0</v>
      </c>
      <c r="BP109" s="74">
        <f t="shared" si="201"/>
        <v>1</v>
      </c>
      <c r="BQ109" s="74">
        <f>(IF(E109="PRINCIPAL (16)",1,IF(E109="V P (14)",1,IF(E109="H M (14)",1,IF(E109="AGRICULTURE INST (13)",1,IF(E109="TEACHER-1ST (13)",1,IF(E109="PTI  I  (13)",1,IF(E109="AGRICULTURE TEACH (13)",1,IF(E109="INSTRUCTOR (13)",1,0))))))))+(IF(E109="JR TEACHER (13)",1,IF(E109="LIBRARIAN I (13)",1,0))))*(IF(M109="FIX PAY",1,0))</f>
        <v>0</v>
      </c>
      <c r="BR109" s="74">
        <f t="shared" si="202"/>
        <v>0</v>
      </c>
      <c r="BS109" s="74">
        <f t="shared" si="119"/>
        <v>0</v>
      </c>
      <c r="BT109" s="74">
        <f t="shared" si="203"/>
        <v>1</v>
      </c>
      <c r="BU109" s="60">
        <f>IF((ROUND((SUMPRODUCT(MID(0&amp;C109,LARGE(INDEX(ISNUMBER(--MID(C109,ROW($1:$25),1))* ROW($1:$25),0),ROW($1:$25))+1,1)*10^ROW($1:$25)/10)),-8)/100000000)&gt;=2004,1,0)</f>
        <v>0</v>
      </c>
      <c r="BV109" s="81">
        <f t="shared" si="204"/>
        <v>1</v>
      </c>
      <c r="BW109" s="60">
        <f t="shared" si="123"/>
        <v>0</v>
      </c>
      <c r="BX109" s="60">
        <f t="shared" si="124"/>
        <v>0</v>
      </c>
      <c r="BY109" s="49" t="str">
        <f>IF(AND(C109=""),"",IF(AND(C109&lt;=0),"",IF((ROUND((SUMPRODUCT(MID(0&amp;C109,LARGE(INDEX(ISNUMBER(--MID(C109,ROW($1:$71),1))* ROW($1:$71),0),ROW($1:$71))+1,1)*10^ROW($1:$71)/10)),-8)/100000000)&lt;2004,1,0)))</f>
        <v/>
      </c>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row>
    <row r="110" spans="1:101" s="76" customFormat="1" ht="16.5" customHeight="1">
      <c r="A110" s="443">
        <v>3</v>
      </c>
      <c r="B110" s="414" t="str">
        <f>IF(ISNA(VLOOKUP(A110,Master!CE$60:CQ$107,3,FALSE)),"",VLOOKUP(A110,Master!CE$60:CQ$107,3,FALSE))</f>
        <v/>
      </c>
      <c r="C110" s="444" t="str">
        <f>IF(ISNA(VLOOKUP(A110,Master!CE$60:CQ$107,7,FALSE)),"",VLOOKUP(A110,Master!CE$60:CQ$107,7,FALSE))</f>
        <v/>
      </c>
      <c r="D110" s="445" t="str">
        <f>IF(ISNA(VLOOKUP(A110,Master!CE$60:CQ$107,8,FALSE)),"",VLOOKUP(A110,Master!CE$60:CQ$107,8,FALSE))</f>
        <v/>
      </c>
      <c r="E110" s="446" t="str">
        <f>IF(ISNA(VLOOKUP(A110,Master!CE$60:CQ$107,4,FALSE)),"",VLOOKUP(A110,Master!CE$60:CQ$107,4,FALSE))</f>
        <v/>
      </c>
      <c r="F110" s="134" t="str">
        <f>IF(ISNA(VLOOKUP(A110,Master!CE$60:CQ$107,5,FALSE)),"",VLOOKUP(A110,Master!CE$60:CQ$107,5,FALSE))</f>
        <v/>
      </c>
      <c r="G110" s="447" t="str">
        <f>IF(ISNA(VLOOKUP(A110,Master!CE$60:CQ$107,6,FALSE)),"",VLOOKUP(A110,Master!CE$60:CQ$107,6,FALSE))</f>
        <v/>
      </c>
      <c r="H110" s="413" t="str">
        <f t="shared" si="205"/>
        <v/>
      </c>
      <c r="I110" s="418" t="str">
        <f t="shared" si="206"/>
        <v/>
      </c>
      <c r="J110" s="413" t="str">
        <f t="shared" si="207"/>
        <v/>
      </c>
      <c r="K110" s="413" t="str">
        <f t="shared" si="208"/>
        <v/>
      </c>
      <c r="L110" s="413" t="str">
        <f t="shared" si="209"/>
        <v/>
      </c>
      <c r="M110" s="413" t="str">
        <f t="shared" si="210"/>
        <v/>
      </c>
      <c r="N110" s="184"/>
      <c r="O110" s="184"/>
      <c r="P110" s="184"/>
      <c r="Q110" s="184"/>
      <c r="R110" s="185"/>
      <c r="S110" s="67"/>
      <c r="T110" s="75"/>
      <c r="U110" s="75"/>
      <c r="V110" s="75"/>
      <c r="W110" s="75"/>
      <c r="X110" s="75"/>
      <c r="Y110" s="75"/>
      <c r="Z110" s="75"/>
      <c r="AA110" s="75"/>
      <c r="AB110" s="75"/>
      <c r="AC110" s="75"/>
      <c r="AD110" s="80" t="str">
        <f t="shared" si="178"/>
        <v/>
      </c>
      <c r="AE110" s="80" t="str">
        <f t="shared" si="179"/>
        <v/>
      </c>
      <c r="AF110" s="80" t="str">
        <f t="shared" si="180"/>
        <v/>
      </c>
      <c r="AG110" s="80" t="str">
        <f t="shared" si="181"/>
        <v/>
      </c>
      <c r="AH110" s="80" t="str">
        <f t="shared" si="182"/>
        <v/>
      </c>
      <c r="AI110" s="78" t="str">
        <f t="shared" si="183"/>
        <v/>
      </c>
      <c r="AJ110" s="78">
        <v>0</v>
      </c>
      <c r="AK110" s="79">
        <v>0</v>
      </c>
      <c r="AL110" s="78" t="str">
        <f t="shared" si="184"/>
        <v/>
      </c>
      <c r="AM110" s="79">
        <f t="shared" si="185"/>
        <v>0</v>
      </c>
      <c r="AN110" s="78">
        <f t="shared" si="186"/>
        <v>0</v>
      </c>
      <c r="AO110" s="78">
        <f>IF(E110="CLERK GRADE I",1,IF(E110="CLERK GRADE II",1,0))*75*12*BS110*(IF(G110&lt;=0,0,1))*BT110</f>
        <v>0</v>
      </c>
      <c r="AP110" s="78"/>
      <c r="AQ110" s="78">
        <f>(IF(E110="LAB BOY",150,IF(E110="JAMADAR",150,IF(E110="PEON",150,0))))*12*BS110*(IF(G110&lt;=0,0,1))</f>
        <v>0</v>
      </c>
      <c r="AR110" s="80" t="str">
        <f t="shared" si="187"/>
        <v/>
      </c>
      <c r="AS110" s="80" t="str">
        <f t="shared" si="188"/>
        <v/>
      </c>
      <c r="AT110" s="78"/>
      <c r="AU110" s="78"/>
      <c r="AV110" s="80" t="str">
        <f t="shared" si="189"/>
        <v/>
      </c>
      <c r="AW110" s="80" t="str">
        <f t="shared" si="190"/>
        <v/>
      </c>
      <c r="AX110" s="80" t="str">
        <f t="shared" si="191"/>
        <v/>
      </c>
      <c r="AY110" s="80" t="str">
        <f t="shared" si="192"/>
        <v/>
      </c>
      <c r="AZ110" s="80" t="str">
        <f t="shared" si="193"/>
        <v/>
      </c>
      <c r="BA110" s="78" t="str">
        <f t="shared" si="194"/>
        <v/>
      </c>
      <c r="BB110" s="78"/>
      <c r="BC110" s="79">
        <v>6</v>
      </c>
      <c r="BD110" s="78" t="str">
        <f t="shared" si="195"/>
        <v/>
      </c>
      <c r="BE110" s="79">
        <f t="shared" si="196"/>
        <v>0</v>
      </c>
      <c r="BF110" s="78">
        <f t="shared" si="197"/>
        <v>0</v>
      </c>
      <c r="BG110" s="78">
        <f>IF(E110="CLERK GRADE I",1,IF(E110="CLERK GRADE II",1,0))*75*12*BS110*(IF(G110&lt;=0,0,1))*BT110</f>
        <v>0</v>
      </c>
      <c r="BH110" s="78">
        <f>IF(AND(E110=""),0,(IF(E110="ASSISTANT",12,IF(E110="CLERK GRADE I",12,IF(E110="CLERK GRADE II",12,IF(E110="FIELDMAN &amp; FIELD REC",12,IF(E110="LAB BOY",12,IF(E110="JAMADAR",12,IF(E110="PEON",12,10))))))))*(MINA(ROUND(AD110*6%,0),600))*(IF($S110="yes",1,)))</f>
        <v>0</v>
      </c>
      <c r="BI110" s="78" t="str">
        <f>IF(AND(G110=""),"",(IF(E110="LAB BOY",150,IF(E110="JAMADAR",150,IF(E110="PEON",150,0))))*12*BS110*(IF(G110&lt;=0,0,1)))</f>
        <v/>
      </c>
      <c r="BJ110" s="80" t="str">
        <f t="shared" si="198"/>
        <v/>
      </c>
      <c r="BK110" s="80" t="str">
        <f t="shared" si="199"/>
        <v/>
      </c>
      <c r="BL110" s="78"/>
      <c r="BM110" s="78"/>
      <c r="BN110" s="80" t="str">
        <f t="shared" si="200"/>
        <v/>
      </c>
      <c r="BO110" s="74">
        <f>(IF(E110="PRINCIPAL",1,IF(E110="H M",1,IF(E110="AGRICULTURE INST",1,IF(E110="TEACHER-1ST",1,IF(E110="PTI  I  (13)",1,IF(E110="AGRICULTURE TEACH",1,IF(E110="INSTRUCTOR",1,0))))))))+(IF(E110="JR TEACHER",1,IF(E110="LIBRARIAN I",1,0)))*(IF(M110="FIX PAY",0,1))</f>
        <v>0</v>
      </c>
      <c r="BP110" s="74">
        <f t="shared" si="201"/>
        <v>1</v>
      </c>
      <c r="BQ110" s="74">
        <f>(IF(E110="PRINCIPAL (16)",1,IF(E110="V P (14)",1,IF(E110="H M (14)",1,IF(E110="AGRICULTURE INST (13)",1,IF(E110="TEACHER-1ST (13)",1,IF(E110="PTI  I  (13)",1,IF(E110="AGRICULTURE TEACH (13)",1,IF(E110="INSTRUCTOR (13)",1,0))))))))+(IF(E110="JR TEACHER (13)",1,IF(E110="LIBRARIAN I (13)",1,0))))*(IF(M110="FIX PAY",1,0))</f>
        <v>0</v>
      </c>
      <c r="BR110" s="74">
        <f t="shared" si="202"/>
        <v>0</v>
      </c>
      <c r="BS110" s="74">
        <f t="shared" si="119"/>
        <v>0</v>
      </c>
      <c r="BT110" s="74">
        <f t="shared" si="203"/>
        <v>1</v>
      </c>
      <c r="BU110" s="60">
        <f>IF((ROUND((SUMPRODUCT(MID(0&amp;C110,LARGE(INDEX(ISNUMBER(--MID(C110,ROW($1:$25),1))* ROW($1:$25),0),ROW($1:$25))+1,1)*10^ROW($1:$25)/10)),-8)/100000000)&gt;=2004,1,0)</f>
        <v>0</v>
      </c>
      <c r="BV110" s="81">
        <f t="shared" si="204"/>
        <v>1</v>
      </c>
      <c r="BW110" s="60">
        <f t="shared" si="123"/>
        <v>0</v>
      </c>
      <c r="BX110" s="60">
        <f t="shared" si="124"/>
        <v>0</v>
      </c>
      <c r="BY110" s="49" t="str">
        <f>IF(AND(C110=""),"",IF(AND(C110&lt;=0),"",IF((ROUND((SUMPRODUCT(MID(0&amp;C110,LARGE(INDEX(ISNUMBER(--MID(C110,ROW($1:$71),1))* ROW($1:$71),0),ROW($1:$71))+1,1)*10^ROW($1:$71)/10)),-8)/100000000)&lt;2004,1,0)))</f>
        <v/>
      </c>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row>
    <row r="111" spans="1:101" s="76" customFormat="1" ht="16.5" customHeight="1">
      <c r="A111" s="443">
        <v>4</v>
      </c>
      <c r="B111" s="414" t="str">
        <f>IF(ISNA(VLOOKUP(A111,Master!CE$60:CQ$107,3,FALSE)),"",VLOOKUP(A111,Master!CE$60:CQ$107,3,FALSE))</f>
        <v/>
      </c>
      <c r="C111" s="444" t="str">
        <f>IF(ISNA(VLOOKUP(A111,Master!CE$60:CQ$107,7,FALSE)),"",VLOOKUP(A111,Master!CE$60:CQ$107,7,FALSE))</f>
        <v/>
      </c>
      <c r="D111" s="445" t="str">
        <f>IF(ISNA(VLOOKUP(A111,Master!CE$60:CQ$107,8,FALSE)),"",VLOOKUP(A111,Master!CE$60:CQ$107,8,FALSE))</f>
        <v/>
      </c>
      <c r="E111" s="446" t="str">
        <f>IF(ISNA(VLOOKUP(A111,Master!CE$60:CQ$107,4,FALSE)),"",VLOOKUP(A111,Master!CE$60:CQ$107,4,FALSE))</f>
        <v/>
      </c>
      <c r="F111" s="134" t="str">
        <f>IF(ISNA(VLOOKUP(A111,Master!CE$60:CQ$107,5,FALSE)),"",VLOOKUP(A111,Master!CE$60:CQ$107,5,FALSE))</f>
        <v/>
      </c>
      <c r="G111" s="447" t="str">
        <f>IF(ISNA(VLOOKUP(A111,Master!CE$60:CQ$107,6,FALSE)),"",VLOOKUP(A111,Master!CE$60:CQ$107,6,FALSE))</f>
        <v/>
      </c>
      <c r="H111" s="413" t="str">
        <f t="shared" si="205"/>
        <v/>
      </c>
      <c r="I111" s="418" t="str">
        <f t="shared" si="206"/>
        <v/>
      </c>
      <c r="J111" s="413" t="str">
        <f t="shared" si="207"/>
        <v/>
      </c>
      <c r="K111" s="413" t="str">
        <f t="shared" si="208"/>
        <v/>
      </c>
      <c r="L111" s="413" t="str">
        <f t="shared" si="209"/>
        <v/>
      </c>
      <c r="M111" s="413" t="str">
        <f t="shared" si="210"/>
        <v/>
      </c>
      <c r="N111" s="184"/>
      <c r="O111" s="184"/>
      <c r="P111" s="184"/>
      <c r="Q111" s="184"/>
      <c r="R111" s="185"/>
      <c r="S111" s="67"/>
      <c r="T111" s="75"/>
      <c r="U111" s="75"/>
      <c r="V111" s="75"/>
      <c r="W111" s="75"/>
      <c r="X111" s="75"/>
      <c r="Y111" s="75"/>
      <c r="Z111" s="75"/>
      <c r="AA111" s="75"/>
      <c r="AB111" s="75"/>
      <c r="AC111" s="75"/>
      <c r="AD111" s="80" t="str">
        <f t="shared" si="178"/>
        <v/>
      </c>
      <c r="AE111" s="80" t="str">
        <f t="shared" si="179"/>
        <v/>
      </c>
      <c r="AF111" s="80" t="str">
        <f t="shared" si="180"/>
        <v/>
      </c>
      <c r="AG111" s="80" t="str">
        <f t="shared" si="181"/>
        <v/>
      </c>
      <c r="AH111" s="80" t="str">
        <f t="shared" si="182"/>
        <v/>
      </c>
      <c r="AI111" s="78" t="str">
        <f t="shared" si="183"/>
        <v/>
      </c>
      <c r="AJ111" s="78">
        <v>0</v>
      </c>
      <c r="AK111" s="79">
        <v>0</v>
      </c>
      <c r="AL111" s="78" t="str">
        <f t="shared" si="184"/>
        <v/>
      </c>
      <c r="AM111" s="79">
        <f t="shared" si="185"/>
        <v>0</v>
      </c>
      <c r="AN111" s="78">
        <f t="shared" si="186"/>
        <v>0</v>
      </c>
      <c r="AO111" s="78">
        <f>IF(E111="CLERK GRADE I",1,IF(E111="CLERK GRADE II",1,0))*75*12*BS111*(IF(G111&lt;=0,0,1))*BT111</f>
        <v>0</v>
      </c>
      <c r="AP111" s="78"/>
      <c r="AQ111" s="78">
        <f>(IF(E111="LAB BOY",150,IF(E111="JAMADAR",150,IF(E111="PEON",150,0))))*12*BS111*(IF(G111&lt;=0,0,1))</f>
        <v>0</v>
      </c>
      <c r="AR111" s="80" t="str">
        <f t="shared" si="187"/>
        <v/>
      </c>
      <c r="AS111" s="80" t="str">
        <f t="shared" si="188"/>
        <v/>
      </c>
      <c r="AT111" s="78"/>
      <c r="AU111" s="78"/>
      <c r="AV111" s="80" t="str">
        <f t="shared" si="189"/>
        <v/>
      </c>
      <c r="AW111" s="80" t="str">
        <f t="shared" si="190"/>
        <v/>
      </c>
      <c r="AX111" s="80" t="str">
        <f t="shared" si="191"/>
        <v/>
      </c>
      <c r="AY111" s="80" t="str">
        <f t="shared" si="192"/>
        <v/>
      </c>
      <c r="AZ111" s="80" t="str">
        <f t="shared" si="193"/>
        <v/>
      </c>
      <c r="BA111" s="78" t="str">
        <f t="shared" si="194"/>
        <v/>
      </c>
      <c r="BB111" s="78"/>
      <c r="BC111" s="79">
        <v>7</v>
      </c>
      <c r="BD111" s="78" t="str">
        <f t="shared" si="195"/>
        <v/>
      </c>
      <c r="BE111" s="79">
        <f t="shared" si="196"/>
        <v>0</v>
      </c>
      <c r="BF111" s="78">
        <f t="shared" si="197"/>
        <v>0</v>
      </c>
      <c r="BG111" s="78">
        <f>IF(E111="CLERK GRADE I",1,IF(E111="CLERK GRADE II",1,0))*75*12*BS111*(IF(G111&lt;=0,0,1))*BT111</f>
        <v>0</v>
      </c>
      <c r="BH111" s="78">
        <f>IF(AND(E111=""),0,(IF(E111="ASSISTANT",12,IF(E111="CLERK GRADE I",12,IF(E111="CLERK GRADE II",12,IF(E111="FIELDMAN &amp; FIELD REC",12,IF(E111="LAB BOY",12,IF(E111="JAMADAR",12,IF(E111="PEON",12,10))))))))*(MINA(ROUND(AD111*6%,0),600))*(IF($S111="yes",1,)))</f>
        <v>0</v>
      </c>
      <c r="BI111" s="78" t="str">
        <f>IF(AND(G111=""),"",(IF(E111="LAB BOY",150,IF(E111="JAMADAR",150,IF(E111="PEON",150,0))))*12*BS111*(IF(G111&lt;=0,0,1)))</f>
        <v/>
      </c>
      <c r="BJ111" s="80" t="str">
        <f t="shared" si="198"/>
        <v/>
      </c>
      <c r="BK111" s="80" t="str">
        <f t="shared" si="199"/>
        <v/>
      </c>
      <c r="BL111" s="78"/>
      <c r="BM111" s="78"/>
      <c r="BN111" s="80" t="str">
        <f t="shared" si="200"/>
        <v/>
      </c>
      <c r="BO111" s="74">
        <f>(IF(E111="PRINCIPAL",1,IF(E111="H M",1,IF(E111="AGRICULTURE INST",1,IF(E111="TEACHER-1ST",1,IF(E111="PTI  I  (13)",1,IF(E111="AGRICULTURE TEACH",1,IF(E111="INSTRUCTOR",1,0))))))))+(IF(E111="JR TEACHER",1,IF(E111="LIBRARIAN I",1,0)))*(IF(M111="FIX PAY",0,1))</f>
        <v>0</v>
      </c>
      <c r="BP111" s="74">
        <f t="shared" si="201"/>
        <v>1</v>
      </c>
      <c r="BQ111" s="74">
        <f>(IF(E111="PRINCIPAL (16)",1,IF(E111="V P (14)",1,IF(E111="H M (14)",1,IF(E111="AGRICULTURE INST (13)",1,IF(E111="TEACHER-1ST (13)",1,IF(E111="PTI  I  (13)",1,IF(E111="AGRICULTURE TEACH (13)",1,IF(E111="INSTRUCTOR (13)",1,0))))))))+(IF(E111="JR TEACHER (13)",1,IF(E111="LIBRARIAN I (13)",1,0))))*(IF(M111="FIX PAY",1,0))</f>
        <v>0</v>
      </c>
      <c r="BR111" s="74">
        <f t="shared" si="202"/>
        <v>0</v>
      </c>
      <c r="BS111" s="74">
        <f t="shared" si="119"/>
        <v>0</v>
      </c>
      <c r="BT111" s="74">
        <f t="shared" si="203"/>
        <v>1</v>
      </c>
      <c r="BU111" s="60">
        <f>IF((ROUND((SUMPRODUCT(MID(0&amp;C111,LARGE(INDEX(ISNUMBER(--MID(C111,ROW($1:$25),1))* ROW($1:$25),0),ROW($1:$25))+1,1)*10^ROW($1:$25)/10)),-8)/100000000)&gt;=2004,1,0)</f>
        <v>0</v>
      </c>
      <c r="BV111" s="81">
        <f t="shared" si="204"/>
        <v>1</v>
      </c>
      <c r="BW111" s="60">
        <f t="shared" si="123"/>
        <v>0</v>
      </c>
      <c r="BX111" s="60">
        <f t="shared" si="124"/>
        <v>0</v>
      </c>
      <c r="BY111" s="49" t="str">
        <f>IF(AND(C111=""),"",IF(AND(C111&lt;=0),"",IF((ROUND((SUMPRODUCT(MID(0&amp;C111,LARGE(INDEX(ISNUMBER(--MID(C111,ROW($1:$71),1))* ROW($1:$71),0),ROW($1:$71))+1,1)*10^ROW($1:$71)/10)),-8)/100000000)&lt;2004,1,0)))</f>
        <v/>
      </c>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row>
    <row r="112" spans="1:101" s="76" customFormat="1">
      <c r="A112" s="672"/>
      <c r="B112" s="647"/>
      <c r="C112" s="647"/>
      <c r="D112" s="647"/>
      <c r="E112" s="127" t="s">
        <v>353</v>
      </c>
      <c r="F112" s="129"/>
      <c r="G112" s="129"/>
      <c r="H112" s="170">
        <f>SUM(H108:H111)</f>
        <v>0</v>
      </c>
      <c r="I112" s="170"/>
      <c r="J112" s="170">
        <f t="shared" ref="J112:L112" si="211">SUM(J108:J111)</f>
        <v>0</v>
      </c>
      <c r="K112" s="170">
        <f t="shared" si="211"/>
        <v>0</v>
      </c>
      <c r="L112" s="170">
        <f t="shared" si="211"/>
        <v>0</v>
      </c>
      <c r="M112" s="131"/>
      <c r="N112" s="165"/>
      <c r="O112" s="165"/>
      <c r="P112" s="165"/>
      <c r="Q112" s="165"/>
      <c r="R112" s="52"/>
      <c r="S112" s="1"/>
      <c r="T112" s="75"/>
      <c r="U112" s="75"/>
      <c r="V112" s="75"/>
      <c r="W112" s="75"/>
      <c r="X112" s="75"/>
      <c r="Y112" s="75"/>
      <c r="Z112" s="75"/>
      <c r="AA112" s="75"/>
      <c r="AB112" s="75"/>
      <c r="AC112" s="75"/>
      <c r="AD112" s="80"/>
      <c r="AE112" s="80"/>
      <c r="AF112" s="80"/>
      <c r="AG112" s="80"/>
      <c r="AH112" s="80"/>
      <c r="AI112" s="78"/>
      <c r="AJ112" s="78"/>
      <c r="AK112" s="79"/>
      <c r="AL112" s="78"/>
      <c r="AM112" s="79"/>
      <c r="AN112" s="78"/>
      <c r="AO112" s="78"/>
      <c r="AP112" s="78"/>
      <c r="AQ112" s="78"/>
      <c r="AR112" s="80"/>
      <c r="AS112" s="80"/>
      <c r="AT112" s="78"/>
      <c r="AU112" s="78"/>
      <c r="AV112" s="80"/>
      <c r="AW112" s="80"/>
      <c r="AX112" s="80"/>
      <c r="AY112" s="80"/>
      <c r="AZ112" s="80"/>
      <c r="BA112" s="78"/>
      <c r="BB112" s="78"/>
      <c r="BC112" s="79"/>
      <c r="BD112" s="78"/>
      <c r="BE112" s="79"/>
      <c r="BF112" s="78"/>
      <c r="BG112" s="78"/>
      <c r="BH112" s="78"/>
      <c r="BI112" s="78"/>
      <c r="BJ112" s="80"/>
      <c r="BK112" s="80"/>
      <c r="BL112" s="78"/>
      <c r="BM112" s="78"/>
      <c r="BN112" s="80"/>
      <c r="BO112" s="74"/>
      <c r="BP112" s="74"/>
      <c r="BQ112" s="74"/>
      <c r="BR112" s="74"/>
      <c r="BS112" s="74"/>
      <c r="BT112" s="74"/>
      <c r="BU112" s="60"/>
      <c r="BV112" s="81"/>
      <c r="BW112" s="60"/>
      <c r="BX112" s="60"/>
      <c r="BY112" s="49"/>
      <c r="CA112" s="49"/>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row>
    <row r="113" spans="1:101" s="76" customFormat="1">
      <c r="A113" s="784" t="s">
        <v>354</v>
      </c>
      <c r="B113" s="785"/>
      <c r="C113" s="785"/>
      <c r="D113" s="785"/>
      <c r="E113" s="785"/>
      <c r="F113" s="785"/>
      <c r="G113" s="785"/>
      <c r="H113" s="785"/>
      <c r="I113" s="785"/>
      <c r="J113" s="785"/>
      <c r="K113" s="785"/>
      <c r="L113" s="785"/>
      <c r="M113" s="786"/>
      <c r="N113" s="165"/>
      <c r="O113" s="165"/>
      <c r="P113" s="165"/>
      <c r="Q113" s="165"/>
      <c r="R113" s="52"/>
      <c r="S113" s="1"/>
      <c r="T113" s="75"/>
      <c r="U113" s="75"/>
      <c r="V113" s="75"/>
      <c r="W113" s="75"/>
      <c r="X113" s="75"/>
      <c r="Y113" s="75"/>
      <c r="Z113" s="75"/>
      <c r="AA113" s="75"/>
      <c r="AB113" s="75"/>
      <c r="AC113" s="75"/>
      <c r="AD113" s="80"/>
      <c r="AE113" s="80"/>
      <c r="AF113" s="80"/>
      <c r="AG113" s="80"/>
      <c r="AH113" s="80"/>
      <c r="AI113" s="78"/>
      <c r="AJ113" s="78"/>
      <c r="AK113" s="79"/>
      <c r="AL113" s="78"/>
      <c r="AM113" s="79"/>
      <c r="AN113" s="78"/>
      <c r="AO113" s="78"/>
      <c r="AP113" s="78"/>
      <c r="AQ113" s="78"/>
      <c r="AR113" s="80"/>
      <c r="AS113" s="80"/>
      <c r="AT113" s="78"/>
      <c r="AU113" s="78"/>
      <c r="AV113" s="80"/>
      <c r="AW113" s="80"/>
      <c r="AX113" s="80"/>
      <c r="AY113" s="80"/>
      <c r="AZ113" s="80"/>
      <c r="BA113" s="78"/>
      <c r="BB113" s="78"/>
      <c r="BC113" s="79"/>
      <c r="BD113" s="78"/>
      <c r="BE113" s="79"/>
      <c r="BF113" s="78"/>
      <c r="BG113" s="78"/>
      <c r="BH113" s="78"/>
      <c r="BI113" s="78"/>
      <c r="BJ113" s="80"/>
      <c r="BK113" s="80"/>
      <c r="BL113" s="78"/>
      <c r="BM113" s="78"/>
      <c r="BN113" s="80"/>
      <c r="BO113" s="74"/>
      <c r="BP113" s="74"/>
      <c r="BQ113" s="74"/>
      <c r="BR113" s="74"/>
      <c r="BS113" s="74"/>
      <c r="BT113" s="74"/>
      <c r="BU113" s="60"/>
      <c r="BV113" s="81"/>
      <c r="BW113" s="60"/>
      <c r="BX113" s="60"/>
      <c r="BY113" s="49"/>
      <c r="CA113" s="49"/>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row>
    <row r="114" spans="1:101" s="76" customFormat="1" ht="16.5" customHeight="1">
      <c r="A114" s="443">
        <v>1</v>
      </c>
      <c r="B114" s="414" t="str">
        <f>IF(ISNA(VLOOKUP(A114,Master!CR$60:CR$107,3,FALSE)),"",VLOOKUP(A114,Master!BR$60:DD$107,3,FALSE))</f>
        <v/>
      </c>
      <c r="C114" s="444" t="str">
        <f>IF(ISNA(VLOOKUP(A114,Master!CR$60:CR$107,7,FALSE)),"",VLOOKUP(A114,Master!BR$60:DD$107,7,FALSE))</f>
        <v/>
      </c>
      <c r="D114" s="445" t="str">
        <f>IF(ISNA(VLOOKUP(A114,Master!CR$60:CR$107,8,FALSE)),"",VLOOKUP(A114,Master!BR$60:DD$107,8,FALSE))</f>
        <v/>
      </c>
      <c r="E114" s="448" t="str">
        <f>IF(ISNA(VLOOKUP(A114,Master!CR$60:CR$107,4,FALSE)),"",VLOOKUP(A114,Master!BR$60:DD$107,4,FALSE))</f>
        <v/>
      </c>
      <c r="F114" s="134" t="str">
        <f>IF(ISNA(VLOOKUP(A114,Master!CR$60:CR$107,5,FALSE)),"",VLOOKUP(A114,Master!BR$60:DD$107,5,FALSE))</f>
        <v/>
      </c>
      <c r="G114" s="447" t="str">
        <f>IF(ISNA(VLOOKUP(A114,Master!CR$60:CR$107,6,FALSE)),"",VLOOKUP(A114,Master!BR$60:DD$107,6,FALSE))</f>
        <v/>
      </c>
      <c r="H114" s="413" t="str">
        <f>IF(AND(F114=""),"",G114*12)</f>
        <v/>
      </c>
      <c r="I114" s="418" t="str">
        <f>IF(AND(F114=""),"","Not Applicable")</f>
        <v/>
      </c>
      <c r="J114" s="413" t="str">
        <f>IF(AND(F114=""),"","0")</f>
        <v/>
      </c>
      <c r="K114" s="413" t="str">
        <f>IF(AND(F114=""),"",H114+J114)</f>
        <v/>
      </c>
      <c r="L114" s="413" t="str">
        <f>IF(AND(F114=""),"",K114)</f>
        <v/>
      </c>
      <c r="M114" s="413" t="str">
        <f>IF(AND(F114=""),"","SANVIDA")</f>
        <v/>
      </c>
      <c r="N114" s="165"/>
      <c r="O114" s="165"/>
      <c r="P114" s="165"/>
      <c r="Q114" s="165"/>
      <c r="R114" s="52"/>
      <c r="S114" s="1"/>
      <c r="T114" s="75"/>
      <c r="U114" s="75"/>
      <c r="V114" s="75"/>
      <c r="W114" s="75"/>
      <c r="X114" s="75"/>
      <c r="Y114" s="75"/>
      <c r="Z114" s="75"/>
      <c r="AA114" s="75"/>
      <c r="AB114" s="75"/>
      <c r="AC114" s="75"/>
      <c r="AD114" s="80" t="str">
        <f t="shared" si="178"/>
        <v/>
      </c>
      <c r="AE114" s="80" t="str">
        <f t="shared" si="179"/>
        <v/>
      </c>
      <c r="AF114" s="80" t="str">
        <f t="shared" si="180"/>
        <v/>
      </c>
      <c r="AG114" s="80" t="str">
        <f t="shared" si="181"/>
        <v/>
      </c>
      <c r="AH114" s="80" t="str">
        <f t="shared" si="182"/>
        <v/>
      </c>
      <c r="AI114" s="78" t="str">
        <f t="shared" si="183"/>
        <v/>
      </c>
      <c r="AJ114" s="78">
        <v>0</v>
      </c>
      <c r="AK114" s="79">
        <v>0</v>
      </c>
      <c r="AL114" s="78" t="str">
        <f t="shared" si="184"/>
        <v/>
      </c>
      <c r="AM114" s="79">
        <f t="shared" si="185"/>
        <v>0</v>
      </c>
      <c r="AN114" s="78">
        <f t="shared" si="186"/>
        <v>0</v>
      </c>
      <c r="AO114" s="78">
        <f>IF(E114="CLERK GRADE I",1,IF(E114="CLERK GRADE II",1,0))*75*12*BS114*(IF(G114&lt;=0,0,1))*BT114</f>
        <v>0</v>
      </c>
      <c r="AP114" s="78"/>
      <c r="AQ114" s="78">
        <f>(IF(E114="LAB BOY",150,IF(E114="JAMADAR",150,IF(E114="PEON",150,0))))*12*BS114*(IF(G114&lt;=0,0,1))</f>
        <v>0</v>
      </c>
      <c r="AR114" s="80" t="str">
        <f t="shared" si="187"/>
        <v/>
      </c>
      <c r="AS114" s="80" t="str">
        <f t="shared" si="188"/>
        <v/>
      </c>
      <c r="AT114" s="78"/>
      <c r="AU114" s="78"/>
      <c r="AV114" s="80" t="str">
        <f t="shared" si="189"/>
        <v/>
      </c>
      <c r="AW114" s="80" t="str">
        <f t="shared" si="190"/>
        <v/>
      </c>
      <c r="AX114" s="80" t="str">
        <f t="shared" si="191"/>
        <v/>
      </c>
      <c r="AY114" s="80" t="str">
        <f t="shared" si="192"/>
        <v/>
      </c>
      <c r="AZ114" s="80" t="str">
        <f t="shared" si="193"/>
        <v/>
      </c>
      <c r="BA114" s="78" t="str">
        <f t="shared" si="194"/>
        <v/>
      </c>
      <c r="BB114" s="78"/>
      <c r="BC114" s="79">
        <v>10</v>
      </c>
      <c r="BD114" s="78" t="str">
        <f t="shared" si="195"/>
        <v/>
      </c>
      <c r="BE114" s="79">
        <f t="shared" si="196"/>
        <v>0</v>
      </c>
      <c r="BF114" s="78">
        <f t="shared" si="197"/>
        <v>0</v>
      </c>
      <c r="BG114" s="78">
        <f>IF(E114="CLERK GRADE I",1,IF(E114="CLERK GRADE II",1,0))*75*12*BS114*(IF(G114&lt;=0,0,1))*BT114</f>
        <v>0</v>
      </c>
      <c r="BH114" s="78">
        <f>IF(AND(E114=""),0,(IF(E114="ASSISTANT",12,IF(E114="CLERK GRADE I",12,IF(E114="CLERK GRADE II",12,IF(E114="FIELDMAN &amp; FIELD REC",12,IF(E114="LAB BOY",12,IF(E114="JAMADAR",12,IF(E114="PEON",12,10))))))))*(MINA(ROUND(AD114*6%,0),600))*(IF($S114="yes",1,)))</f>
        <v>0</v>
      </c>
      <c r="BI114" s="78" t="str">
        <f>IF(AND(G114=""),"",(IF(E114="LAB BOY",150,IF(E114="JAMADAR",150,IF(E114="PEON",150,0))))*12*BS114*(IF(G114&lt;=0,0,1)))</f>
        <v/>
      </c>
      <c r="BJ114" s="80" t="str">
        <f t="shared" si="198"/>
        <v/>
      </c>
      <c r="BK114" s="80" t="str">
        <f t="shared" si="199"/>
        <v/>
      </c>
      <c r="BL114" s="78"/>
      <c r="BM114" s="78"/>
      <c r="BN114" s="80" t="str">
        <f t="shared" si="200"/>
        <v/>
      </c>
      <c r="BO114" s="74">
        <f>(IF(E114="PRINCIPAL",1,IF(E114="H M",1,IF(E114="AGRICULTURE INST",1,IF(E114="TEACHER-1ST",1,IF(E114="PTI  I  (13)",1,IF(E114="AGRICULTURE TEACH",1,IF(E114="INSTRUCTOR",1,0))))))))+(IF(E114="JR TEACHER",1,IF(E114="LIBRARIAN I",1,0)))*(IF(M114="FIX PAY",0,1))</f>
        <v>0</v>
      </c>
      <c r="BP114" s="74">
        <f t="shared" si="201"/>
        <v>1</v>
      </c>
      <c r="BQ114" s="74">
        <f>(IF(E114="PRINCIPAL (16)",1,IF(E114="V P (14)",1,IF(E114="H M (14)",1,IF(E114="AGRICULTURE INST (13)",1,IF(E114="TEACHER-1ST (13)",1,IF(E114="PTI  I  (13)",1,IF(E114="AGRICULTURE TEACH (13)",1,IF(E114="INSTRUCTOR (13)",1,0))))))))+(IF(E114="JR TEACHER (13)",1,IF(E114="LIBRARIAN I (13)",1,0))))*(IF(M114="FIX PAY",1,0))</f>
        <v>0</v>
      </c>
      <c r="BR114" s="74">
        <f t="shared" si="202"/>
        <v>0</v>
      </c>
      <c r="BS114" s="74">
        <f t="shared" si="119"/>
        <v>0</v>
      </c>
      <c r="BT114" s="74">
        <f t="shared" si="203"/>
        <v>1</v>
      </c>
      <c r="BU114" s="60">
        <f>IF((ROUND((SUMPRODUCT(MID(0&amp;C114,LARGE(INDEX(ISNUMBER(--MID(C114,ROW($1:$25),1))* ROW($1:$25),0),ROW($1:$25))+1,1)*10^ROW($1:$25)/10)),-8)/100000000)&gt;=2004,1,0)</f>
        <v>0</v>
      </c>
      <c r="BV114" s="81">
        <f t="shared" si="204"/>
        <v>1</v>
      </c>
      <c r="BW114" s="60">
        <f t="shared" si="123"/>
        <v>0</v>
      </c>
      <c r="BX114" s="60">
        <f t="shared" si="124"/>
        <v>0</v>
      </c>
      <c r="BY114" s="49" t="str">
        <f>IF(AND(C114=""),"",IF(AND(C114&lt;=0),"",IF((ROUND((SUMPRODUCT(MID(0&amp;C114,LARGE(INDEX(ISNUMBER(--MID(C114,ROW($1:$71),1))* ROW($1:$71),0),ROW($1:$71))+1,1)*10^ROW($1:$71)/10)),-8)/100000000)&lt;2004,1,0)))</f>
        <v/>
      </c>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row>
    <row r="115" spans="1:101" s="76" customFormat="1" ht="16.5" customHeight="1">
      <c r="A115" s="443">
        <v>2</v>
      </c>
      <c r="B115" s="414" t="str">
        <f>IF(ISNA(VLOOKUP(A115,Master!CR$60:CR$107,3,FALSE)),"",VLOOKUP(A115,Master!BR$60:DD$107,3,FALSE))</f>
        <v/>
      </c>
      <c r="C115" s="444" t="str">
        <f>IF(ISNA(VLOOKUP(A115,Master!CR$60:CR$107,7,FALSE)),"",VLOOKUP(A115,Master!BR$60:DD$107,7,FALSE))</f>
        <v/>
      </c>
      <c r="D115" s="445" t="str">
        <f>IF(ISNA(VLOOKUP(A115,Master!CR$60:CR$107,8,FALSE)),"",VLOOKUP(A115,Master!BR$60:DD$107,8,FALSE))</f>
        <v/>
      </c>
      <c r="E115" s="448" t="str">
        <f>IF(ISNA(VLOOKUP(A115,Master!CR$60:CR$107,4,FALSE)),"",VLOOKUP(A115,Master!BR$60:DD$107,4,FALSE))</f>
        <v/>
      </c>
      <c r="F115" s="134" t="str">
        <f>IF(ISNA(VLOOKUP(A115,Master!CR$60:CR$107,5,FALSE)),"",VLOOKUP(A115,Master!BR$60:DD$107,5,FALSE))</f>
        <v/>
      </c>
      <c r="G115" s="447" t="str">
        <f>IF(ISNA(VLOOKUP(A115,Master!CR$60:CR$107,6,FALSE)),"",VLOOKUP(A115,Master!BR$60:DD$107,6,FALSE))</f>
        <v/>
      </c>
      <c r="H115" s="413" t="str">
        <f t="shared" ref="H115:H117" si="212">IF(AND(F115=""),"",G115*12)</f>
        <v/>
      </c>
      <c r="I115" s="418" t="str">
        <f t="shared" ref="I115:I117" si="213">IF(AND(F115=""),"","Not Applicable")</f>
        <v/>
      </c>
      <c r="J115" s="413" t="str">
        <f t="shared" ref="J115:J117" si="214">IF(AND(F115=""),"","0")</f>
        <v/>
      </c>
      <c r="K115" s="413" t="str">
        <f t="shared" ref="K115:K117" si="215">IF(AND(F115=""),"",H115+J115)</f>
        <v/>
      </c>
      <c r="L115" s="413" t="str">
        <f t="shared" ref="L115:L117" si="216">IF(AND(F115=""),"",K115)</f>
        <v/>
      </c>
      <c r="M115" s="413" t="str">
        <f t="shared" ref="M115:M117" si="217">IF(AND(F115=""),"","SANVIDA")</f>
        <v/>
      </c>
      <c r="N115" s="165"/>
      <c r="O115" s="165"/>
      <c r="P115" s="165"/>
      <c r="Q115" s="165"/>
      <c r="R115" s="52"/>
      <c r="S115" s="1"/>
      <c r="T115" s="75"/>
      <c r="U115" s="75"/>
      <c r="V115" s="75"/>
      <c r="W115" s="75"/>
      <c r="X115" s="75"/>
      <c r="Y115" s="75"/>
      <c r="Z115" s="75"/>
      <c r="AA115" s="75"/>
      <c r="AB115" s="75"/>
      <c r="AC115" s="75"/>
      <c r="AD115" s="80" t="str">
        <f t="shared" si="178"/>
        <v/>
      </c>
      <c r="AE115" s="80" t="str">
        <f t="shared" si="179"/>
        <v/>
      </c>
      <c r="AF115" s="80" t="str">
        <f t="shared" si="180"/>
        <v/>
      </c>
      <c r="AG115" s="80" t="str">
        <f t="shared" si="181"/>
        <v/>
      </c>
      <c r="AH115" s="80" t="str">
        <f t="shared" si="182"/>
        <v/>
      </c>
      <c r="AI115" s="78" t="str">
        <f t="shared" si="183"/>
        <v/>
      </c>
      <c r="AJ115" s="78">
        <v>0</v>
      </c>
      <c r="AK115" s="79">
        <v>0</v>
      </c>
      <c r="AL115" s="78" t="str">
        <f t="shared" si="184"/>
        <v/>
      </c>
      <c r="AM115" s="79">
        <f t="shared" si="185"/>
        <v>0</v>
      </c>
      <c r="AN115" s="78">
        <f t="shared" si="186"/>
        <v>0</v>
      </c>
      <c r="AO115" s="78">
        <f>IF(E115="CLERK GRADE I",1,IF(E115="CLERK GRADE II",1,0))*75*12*BS115*(IF(G115&lt;=0,0,1))*BT115</f>
        <v>0</v>
      </c>
      <c r="AP115" s="78"/>
      <c r="AQ115" s="78">
        <f>(IF(E115="LAB BOY",150,IF(E115="JAMADAR",150,IF(E115="PEON",150,0))))*12*BS115*(IF(G115&lt;=0,0,1))</f>
        <v>0</v>
      </c>
      <c r="AR115" s="80" t="str">
        <f t="shared" si="187"/>
        <v/>
      </c>
      <c r="AS115" s="80" t="str">
        <f t="shared" si="188"/>
        <v/>
      </c>
      <c r="AT115" s="78"/>
      <c r="AU115" s="78"/>
      <c r="AV115" s="80" t="str">
        <f t="shared" si="189"/>
        <v/>
      </c>
      <c r="AW115" s="80" t="str">
        <f t="shared" si="190"/>
        <v/>
      </c>
      <c r="AX115" s="80" t="str">
        <f t="shared" si="191"/>
        <v/>
      </c>
      <c r="AY115" s="80" t="str">
        <f t="shared" si="192"/>
        <v/>
      </c>
      <c r="AZ115" s="80" t="str">
        <f t="shared" si="193"/>
        <v/>
      </c>
      <c r="BA115" s="78" t="str">
        <f t="shared" si="194"/>
        <v/>
      </c>
      <c r="BB115" s="78"/>
      <c r="BC115" s="79">
        <v>11</v>
      </c>
      <c r="BD115" s="78" t="str">
        <f t="shared" si="195"/>
        <v/>
      </c>
      <c r="BE115" s="79">
        <f t="shared" si="196"/>
        <v>0</v>
      </c>
      <c r="BF115" s="78">
        <f t="shared" si="197"/>
        <v>0</v>
      </c>
      <c r="BG115" s="78">
        <f>IF(E115="CLERK GRADE I",1,IF(E115="CLERK GRADE II",1,0))*75*12*BS115*(IF(G115&lt;=0,0,1))*BT115</f>
        <v>0</v>
      </c>
      <c r="BH115" s="78">
        <f>IF(AND(E115=""),0,(IF(E115="ASSISTANT",12,IF(E115="CLERK GRADE I",12,IF(E115="CLERK GRADE II",12,IF(E115="FIELDMAN &amp; FIELD REC",12,IF(E115="LAB BOY",12,IF(E115="JAMADAR",12,IF(E115="PEON",12,10))))))))*(MINA(ROUND(AD115*6%,0),600))*(IF($S115="yes",1,)))</f>
        <v>0</v>
      </c>
      <c r="BI115" s="78" t="str">
        <f>IF(AND(G115=""),"",(IF(E115="LAB BOY",150,IF(E115="JAMADAR",150,IF(E115="PEON",150,0))))*12*BS115*(IF(G115&lt;=0,0,1)))</f>
        <v/>
      </c>
      <c r="BJ115" s="80" t="str">
        <f t="shared" si="198"/>
        <v/>
      </c>
      <c r="BK115" s="80" t="str">
        <f t="shared" si="199"/>
        <v/>
      </c>
      <c r="BL115" s="78"/>
      <c r="BM115" s="78"/>
      <c r="BN115" s="80" t="str">
        <f t="shared" si="200"/>
        <v/>
      </c>
      <c r="BO115" s="74">
        <f>(IF(E115="PRINCIPAL",1,IF(E115="H M",1,IF(E115="AGRICULTURE INST",1,IF(E115="TEACHER-1ST",1,IF(E115="PTI  I  (13)",1,IF(E115="AGRICULTURE TEACH",1,IF(E115="INSTRUCTOR",1,0))))))))+(IF(E115="JR TEACHER",1,IF(E115="LIBRARIAN I",1,0)))*(IF(M115="FIX PAY",0,1))</f>
        <v>0</v>
      </c>
      <c r="BP115" s="74">
        <f t="shared" si="201"/>
        <v>1</v>
      </c>
      <c r="BQ115" s="74">
        <f>(IF(E115="PRINCIPAL (16)",1,IF(E115="V P (14)",1,IF(E115="H M (14)",1,IF(E115="AGRICULTURE INST (13)",1,IF(E115="TEACHER-1ST (13)",1,IF(E115="PTI  I  (13)",1,IF(E115="AGRICULTURE TEACH (13)",1,IF(E115="INSTRUCTOR (13)",1,0))))))))+(IF(E115="JR TEACHER (13)",1,IF(E115="LIBRARIAN I (13)",1,0))))*(IF(M115="FIX PAY",1,0))</f>
        <v>0</v>
      </c>
      <c r="BR115" s="74">
        <f t="shared" si="202"/>
        <v>0</v>
      </c>
      <c r="BS115" s="74">
        <f t="shared" si="119"/>
        <v>0</v>
      </c>
      <c r="BT115" s="74">
        <f t="shared" si="203"/>
        <v>1</v>
      </c>
      <c r="BU115" s="60">
        <f>IF((ROUND((SUMPRODUCT(MID(0&amp;C115,LARGE(INDEX(ISNUMBER(--MID(C115,ROW($1:$25),1))* ROW($1:$25),0),ROW($1:$25))+1,1)*10^ROW($1:$25)/10)),-8)/100000000)&gt;=2004,1,0)</f>
        <v>0</v>
      </c>
      <c r="BV115" s="81">
        <f t="shared" si="204"/>
        <v>1</v>
      </c>
      <c r="BW115" s="60">
        <f t="shared" si="123"/>
        <v>0</v>
      </c>
      <c r="BX115" s="60">
        <f t="shared" si="124"/>
        <v>0</v>
      </c>
      <c r="BY115" s="49" t="str">
        <f>IF(AND(C115=""),"",IF(AND(C115&lt;=0),"",IF((ROUND((SUMPRODUCT(MID(0&amp;C115,LARGE(INDEX(ISNUMBER(--MID(C115,ROW($1:$71),1))* ROW($1:$71),0),ROW($1:$71))+1,1)*10^ROW($1:$71)/10)),-8)/100000000)&lt;2004,1,0)))</f>
        <v/>
      </c>
      <c r="CA115" s="49"/>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row>
    <row r="116" spans="1:101" s="76" customFormat="1" ht="16.5" customHeight="1">
      <c r="A116" s="443">
        <v>3</v>
      </c>
      <c r="B116" s="414" t="str">
        <f>IF(ISNA(VLOOKUP(A116,Master!CR$60:CR$107,3,FALSE)),"",VLOOKUP(A116,Master!BR$60:DD$107,3,FALSE))</f>
        <v/>
      </c>
      <c r="C116" s="444" t="str">
        <f>IF(ISNA(VLOOKUP(A116,Master!CR$60:CR$107,7,FALSE)),"",VLOOKUP(A116,Master!BR$60:DD$107,7,FALSE))</f>
        <v/>
      </c>
      <c r="D116" s="445" t="str">
        <f>IF(ISNA(VLOOKUP(A116,Master!CR$60:CR$107,8,FALSE)),"",VLOOKUP(A116,Master!BR$60:DD$107,8,FALSE))</f>
        <v/>
      </c>
      <c r="E116" s="448" t="str">
        <f>IF(ISNA(VLOOKUP(A116,Master!CR$60:CR$107,4,FALSE)),"",VLOOKUP(A116,Master!BR$60:DD$107,4,FALSE))</f>
        <v/>
      </c>
      <c r="F116" s="134" t="str">
        <f>IF(ISNA(VLOOKUP(A116,Master!CR$60:CR$107,5,FALSE)),"",VLOOKUP(A116,Master!BR$60:DD$107,5,FALSE))</f>
        <v/>
      </c>
      <c r="G116" s="447" t="str">
        <f>IF(ISNA(VLOOKUP(A116,Master!CR$60:CR$107,6,FALSE)),"",VLOOKUP(A116,Master!BR$60:DD$107,6,FALSE))</f>
        <v/>
      </c>
      <c r="H116" s="413" t="str">
        <f t="shared" si="212"/>
        <v/>
      </c>
      <c r="I116" s="418" t="str">
        <f t="shared" si="213"/>
        <v/>
      </c>
      <c r="J116" s="413" t="str">
        <f t="shared" si="214"/>
        <v/>
      </c>
      <c r="K116" s="413" t="str">
        <f t="shared" si="215"/>
        <v/>
      </c>
      <c r="L116" s="413" t="str">
        <f t="shared" si="216"/>
        <v/>
      </c>
      <c r="M116" s="413" t="str">
        <f t="shared" si="217"/>
        <v/>
      </c>
      <c r="N116" s="165"/>
      <c r="O116" s="165"/>
      <c r="P116" s="165"/>
      <c r="Q116" s="165"/>
      <c r="R116" s="52"/>
      <c r="S116" s="1"/>
      <c r="T116" s="75"/>
      <c r="U116" s="75"/>
      <c r="V116" s="75"/>
      <c r="W116" s="75"/>
      <c r="X116" s="75"/>
      <c r="Y116" s="75"/>
      <c r="Z116" s="75"/>
      <c r="AA116" s="75"/>
      <c r="AB116" s="75"/>
      <c r="AC116" s="75"/>
      <c r="AD116" s="80" t="str">
        <f t="shared" si="178"/>
        <v/>
      </c>
      <c r="AE116" s="80" t="str">
        <f t="shared" si="179"/>
        <v/>
      </c>
      <c r="AF116" s="80" t="str">
        <f t="shared" si="180"/>
        <v/>
      </c>
      <c r="AG116" s="80" t="str">
        <f t="shared" si="181"/>
        <v/>
      </c>
      <c r="AH116" s="80" t="str">
        <f t="shared" si="182"/>
        <v/>
      </c>
      <c r="AI116" s="78" t="str">
        <f t="shared" si="183"/>
        <v/>
      </c>
      <c r="AJ116" s="78">
        <v>0</v>
      </c>
      <c r="AK116" s="79">
        <v>0</v>
      </c>
      <c r="AL116" s="78" t="str">
        <f t="shared" si="184"/>
        <v/>
      </c>
      <c r="AM116" s="79">
        <f t="shared" si="185"/>
        <v>0</v>
      </c>
      <c r="AN116" s="78">
        <f t="shared" si="186"/>
        <v>0</v>
      </c>
      <c r="AO116" s="78">
        <f>IF(E116="CLERK GRADE I",1,IF(E116="CLERK GRADE II",1,0))*75*12*BS116*(IF(G116&lt;=0,0,1))*BT116</f>
        <v>0</v>
      </c>
      <c r="AP116" s="78"/>
      <c r="AQ116" s="78">
        <f>(IF(E116="LAB BOY",150,IF(E116="JAMADAR",150,IF(E116="PEON",150,0))))*12*BS116*(IF(G116&lt;=0,0,1))</f>
        <v>0</v>
      </c>
      <c r="AR116" s="80" t="str">
        <f t="shared" si="187"/>
        <v/>
      </c>
      <c r="AS116" s="80" t="str">
        <f t="shared" si="188"/>
        <v/>
      </c>
      <c r="AT116" s="78"/>
      <c r="AU116" s="78"/>
      <c r="AV116" s="80" t="str">
        <f t="shared" si="189"/>
        <v/>
      </c>
      <c r="AW116" s="80" t="str">
        <f t="shared" si="190"/>
        <v/>
      </c>
      <c r="AX116" s="80" t="str">
        <f t="shared" si="191"/>
        <v/>
      </c>
      <c r="AY116" s="80" t="str">
        <f t="shared" si="192"/>
        <v/>
      </c>
      <c r="AZ116" s="80" t="str">
        <f t="shared" si="193"/>
        <v/>
      </c>
      <c r="BA116" s="78" t="str">
        <f t="shared" si="194"/>
        <v/>
      </c>
      <c r="BB116" s="78"/>
      <c r="BC116" s="79">
        <v>12</v>
      </c>
      <c r="BD116" s="78" t="str">
        <f t="shared" si="195"/>
        <v/>
      </c>
      <c r="BE116" s="79">
        <f t="shared" si="196"/>
        <v>0</v>
      </c>
      <c r="BF116" s="78">
        <f t="shared" si="197"/>
        <v>0</v>
      </c>
      <c r="BG116" s="78">
        <f>IF(E116="CLERK GRADE I",1,IF(E116="CLERK GRADE II",1,0))*75*12*BS116*(IF(G116&lt;=0,0,1))*BT116</f>
        <v>0</v>
      </c>
      <c r="BH116" s="78">
        <f>IF(AND(E116=""),0,(IF(E116="ASSISTANT",12,IF(E116="CLERK GRADE I",12,IF(E116="CLERK GRADE II",12,IF(E116="FIELDMAN &amp; FIELD REC",12,IF(E116="LAB BOY",12,IF(E116="JAMADAR",12,IF(E116="PEON",12,10))))))))*(MINA(ROUND(AD116*6%,0),600))*(IF($S116="yes",1,)))</f>
        <v>0</v>
      </c>
      <c r="BI116" s="78" t="str">
        <f>IF(AND(G116=""),"",(IF(E116="LAB BOY",150,IF(E116="JAMADAR",150,IF(E116="PEON",150,0))))*12*BS116*(IF(G116&lt;=0,0,1)))</f>
        <v/>
      </c>
      <c r="BJ116" s="80" t="str">
        <f t="shared" si="198"/>
        <v/>
      </c>
      <c r="BK116" s="80" t="str">
        <f t="shared" si="199"/>
        <v/>
      </c>
      <c r="BL116" s="78"/>
      <c r="BM116" s="78"/>
      <c r="BN116" s="80" t="str">
        <f t="shared" si="200"/>
        <v/>
      </c>
      <c r="BO116" s="74">
        <f>(IF(E116="PRINCIPAL",1,IF(E116="H M",1,IF(E116="AGRICULTURE INST",1,IF(E116="TEACHER-1ST",1,IF(E116="PTI  I  (13)",1,IF(E116="AGRICULTURE TEACH",1,IF(E116="INSTRUCTOR",1,0))))))))+(IF(E116="JR TEACHER",1,IF(E116="LIBRARIAN I",1,0)))*(IF(M116="FIX PAY",0,1))</f>
        <v>0</v>
      </c>
      <c r="BP116" s="74">
        <f t="shared" si="201"/>
        <v>1</v>
      </c>
      <c r="BQ116" s="74">
        <f>(IF(E116="PRINCIPAL (16)",1,IF(E116="V P (14)",1,IF(E116="H M (14)",1,IF(E116="AGRICULTURE INST (13)",1,IF(E116="TEACHER-1ST (13)",1,IF(E116="PTI  I  (13)",1,IF(E116="AGRICULTURE TEACH (13)",1,IF(E116="INSTRUCTOR (13)",1,0))))))))+(IF(E116="JR TEACHER (13)",1,IF(E116="LIBRARIAN I (13)",1,0))))*(IF(M116="FIX PAY",1,0))</f>
        <v>0</v>
      </c>
      <c r="BR116" s="74">
        <f t="shared" si="202"/>
        <v>0</v>
      </c>
      <c r="BS116" s="74">
        <f t="shared" si="119"/>
        <v>0</v>
      </c>
      <c r="BT116" s="74">
        <f t="shared" si="203"/>
        <v>1</v>
      </c>
      <c r="BU116" s="60">
        <f>IF((ROUND((SUMPRODUCT(MID(0&amp;C116,LARGE(INDEX(ISNUMBER(--MID(C116,ROW($1:$25),1))* ROW($1:$25),0),ROW($1:$25))+1,1)*10^ROW($1:$25)/10)),-8)/100000000)&gt;=2004,1,0)</f>
        <v>0</v>
      </c>
      <c r="BV116" s="81">
        <f t="shared" si="204"/>
        <v>1</v>
      </c>
      <c r="BW116" s="60">
        <f t="shared" si="123"/>
        <v>0</v>
      </c>
      <c r="BX116" s="60">
        <f t="shared" si="124"/>
        <v>0</v>
      </c>
      <c r="BY116" s="49" t="str">
        <f>IF(AND(C116=""),"",IF(AND(C116&lt;=0),"",IF((ROUND((SUMPRODUCT(MID(0&amp;C116,LARGE(INDEX(ISNUMBER(--MID(C116,ROW($1:$71),1))* ROW($1:$71),0),ROW($1:$71))+1,1)*10^ROW($1:$71)/10)),-8)/100000000)&lt;2004,1,0)))</f>
        <v/>
      </c>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row>
    <row r="117" spans="1:101" s="76" customFormat="1" ht="16.5" customHeight="1">
      <c r="A117" s="443">
        <v>4</v>
      </c>
      <c r="B117" s="414" t="str">
        <f>IF(ISNA(VLOOKUP(A117,Master!CR$60:CR$107,3,FALSE)),"",VLOOKUP(A117,Master!BR$60:DD$107,3,FALSE))</f>
        <v/>
      </c>
      <c r="C117" s="444" t="str">
        <f>IF(ISNA(VLOOKUP(A117,Master!CR$60:CR$107,7,FALSE)),"",VLOOKUP(A117,Master!BR$60:DD$107,7,FALSE))</f>
        <v/>
      </c>
      <c r="D117" s="445" t="str">
        <f>IF(ISNA(VLOOKUP(A117,Master!CR$60:CR$107,8,FALSE)),"",VLOOKUP(A117,Master!BR$60:DD$107,8,FALSE))</f>
        <v/>
      </c>
      <c r="E117" s="448" t="str">
        <f>IF(ISNA(VLOOKUP(A117,Master!CR$60:CR$107,4,FALSE)),"",VLOOKUP(A117,Master!BR$60:DD$107,4,FALSE))</f>
        <v/>
      </c>
      <c r="F117" s="134" t="str">
        <f>IF(ISNA(VLOOKUP(A117,Master!CR$60:CR$107,5,FALSE)),"",VLOOKUP(A117,Master!BR$60:DD$107,5,FALSE))</f>
        <v/>
      </c>
      <c r="G117" s="447" t="str">
        <f>IF(ISNA(VLOOKUP(A117,Master!CR$60:CR$107,6,FALSE)),"",VLOOKUP(A117,Master!BR$60:DD$107,6,FALSE))</f>
        <v/>
      </c>
      <c r="H117" s="413" t="str">
        <f t="shared" si="212"/>
        <v/>
      </c>
      <c r="I117" s="418" t="str">
        <f t="shared" si="213"/>
        <v/>
      </c>
      <c r="J117" s="413" t="str">
        <f t="shared" si="214"/>
        <v/>
      </c>
      <c r="K117" s="413" t="str">
        <f t="shared" si="215"/>
        <v/>
      </c>
      <c r="L117" s="413" t="str">
        <f t="shared" si="216"/>
        <v/>
      </c>
      <c r="M117" s="413" t="str">
        <f t="shared" si="217"/>
        <v/>
      </c>
      <c r="N117" s="165"/>
      <c r="O117" s="165"/>
      <c r="P117" s="165"/>
      <c r="Q117" s="165"/>
      <c r="R117" s="52"/>
      <c r="S117" s="1"/>
      <c r="T117" s="75"/>
      <c r="U117" s="75"/>
      <c r="V117" s="75"/>
      <c r="W117" s="75"/>
      <c r="X117" s="75"/>
      <c r="Y117" s="75"/>
      <c r="Z117" s="75"/>
      <c r="AA117" s="75"/>
      <c r="AB117" s="75"/>
      <c r="AC117" s="75"/>
      <c r="AD117" s="80" t="str">
        <f t="shared" si="178"/>
        <v/>
      </c>
      <c r="AE117" s="80" t="str">
        <f t="shared" si="179"/>
        <v/>
      </c>
      <c r="AF117" s="80" t="str">
        <f t="shared" si="180"/>
        <v/>
      </c>
      <c r="AG117" s="80" t="str">
        <f t="shared" si="181"/>
        <v/>
      </c>
      <c r="AH117" s="80" t="str">
        <f t="shared" si="182"/>
        <v/>
      </c>
      <c r="AI117" s="78" t="str">
        <f t="shared" si="183"/>
        <v/>
      </c>
      <c r="AJ117" s="78">
        <v>0</v>
      </c>
      <c r="AK117" s="79">
        <v>0</v>
      </c>
      <c r="AL117" s="78" t="str">
        <f t="shared" si="184"/>
        <v/>
      </c>
      <c r="AM117" s="79">
        <f t="shared" si="185"/>
        <v>0</v>
      </c>
      <c r="AN117" s="78">
        <f t="shared" si="186"/>
        <v>0</v>
      </c>
      <c r="AO117" s="78">
        <f>IF(E117="CLERK GRADE I",1,IF(E117="CLERK GRADE II",1,0))*75*12*BS117*(IF(G117&lt;=0,0,1))*BT117</f>
        <v>0</v>
      </c>
      <c r="AP117" s="78"/>
      <c r="AQ117" s="78">
        <f>(IF(E117="LAB BOY",150,IF(E117="JAMADAR",150,IF(E117="PEON",150,0))))*12*BS117*(IF(G117&lt;=0,0,1))</f>
        <v>0</v>
      </c>
      <c r="AR117" s="80" t="str">
        <f t="shared" si="187"/>
        <v/>
      </c>
      <c r="AS117" s="80" t="str">
        <f t="shared" si="188"/>
        <v/>
      </c>
      <c r="AT117" s="78"/>
      <c r="AU117" s="78"/>
      <c r="AV117" s="80" t="str">
        <f t="shared" si="189"/>
        <v/>
      </c>
      <c r="AW117" s="80" t="str">
        <f t="shared" si="190"/>
        <v/>
      </c>
      <c r="AX117" s="80" t="str">
        <f t="shared" si="191"/>
        <v/>
      </c>
      <c r="AY117" s="80" t="str">
        <f t="shared" si="192"/>
        <v/>
      </c>
      <c r="AZ117" s="80" t="str">
        <f t="shared" si="193"/>
        <v/>
      </c>
      <c r="BA117" s="78" t="str">
        <f t="shared" si="194"/>
        <v/>
      </c>
      <c r="BB117" s="78"/>
      <c r="BC117" s="79">
        <v>13</v>
      </c>
      <c r="BD117" s="78" t="str">
        <f t="shared" si="195"/>
        <v/>
      </c>
      <c r="BE117" s="79">
        <f t="shared" si="196"/>
        <v>0</v>
      </c>
      <c r="BF117" s="78">
        <f t="shared" si="197"/>
        <v>0</v>
      </c>
      <c r="BG117" s="78">
        <f>IF(E117="CLERK GRADE I",1,IF(E117="CLERK GRADE II",1,0))*75*12*BS117*(IF(G117&lt;=0,0,1))*BT117</f>
        <v>0</v>
      </c>
      <c r="BH117" s="78">
        <f>IF(AND(E117=""),0,(IF(E117="ASSISTANT",12,IF(E117="CLERK GRADE I",12,IF(E117="CLERK GRADE II",12,IF(E117="FIELDMAN &amp; FIELD REC",12,IF(E117="LAB BOY",12,IF(E117="JAMADAR",12,IF(E117="PEON",12,10))))))))*(MINA(ROUND(AD117*6%,0),600))*(IF($S117="yes",1,)))</f>
        <v>0</v>
      </c>
      <c r="BI117" s="78" t="str">
        <f>IF(AND(G117=""),"",(IF(E117="LAB BOY",150,IF(E117="JAMADAR",150,IF(E117="PEON",150,0))))*12*BS117*(IF(G117&lt;=0,0,1)))</f>
        <v/>
      </c>
      <c r="BJ117" s="80" t="str">
        <f t="shared" si="198"/>
        <v/>
      </c>
      <c r="BK117" s="80" t="str">
        <f t="shared" si="199"/>
        <v/>
      </c>
      <c r="BL117" s="78"/>
      <c r="BM117" s="78"/>
      <c r="BN117" s="80" t="str">
        <f t="shared" si="200"/>
        <v/>
      </c>
      <c r="BO117" s="74">
        <f>(IF(E117="PRINCIPAL",1,IF(E117="H M",1,IF(E117="AGRICULTURE INST",1,IF(E117="TEACHER-1ST",1,IF(E117="PTI  I  (13)",1,IF(E117="AGRICULTURE TEACH",1,IF(E117="INSTRUCTOR",1,0))))))))+(IF(E117="JR TEACHER",1,IF(E117="LIBRARIAN I",1,0)))*(IF(M117="FIX PAY",0,1))</f>
        <v>0</v>
      </c>
      <c r="BP117" s="74">
        <f t="shared" si="201"/>
        <v>1</v>
      </c>
      <c r="BQ117" s="74">
        <f>(IF(E117="PRINCIPAL (16)",1,IF(E117="V P (14)",1,IF(E117="H M (14)",1,IF(E117="AGRICULTURE INST (13)",1,IF(E117="TEACHER-1ST (13)",1,IF(E117="PTI  I  (13)",1,IF(E117="AGRICULTURE TEACH (13)",1,IF(E117="INSTRUCTOR (13)",1,0))))))))+(IF(E117="JR TEACHER (13)",1,IF(E117="LIBRARIAN I (13)",1,0))))*(IF(M117="FIX PAY",1,0))</f>
        <v>0</v>
      </c>
      <c r="BR117" s="74">
        <f t="shared" si="202"/>
        <v>0</v>
      </c>
      <c r="BS117" s="74">
        <f t="shared" si="119"/>
        <v>0</v>
      </c>
      <c r="BT117" s="74">
        <f t="shared" si="203"/>
        <v>1</v>
      </c>
      <c r="BU117" s="60">
        <f>IF((ROUND((SUMPRODUCT(MID(0&amp;C117,LARGE(INDEX(ISNUMBER(--MID(C117,ROW($1:$25),1))* ROW($1:$25),0),ROW($1:$25))+1,1)*10^ROW($1:$25)/10)),-8)/100000000)&gt;=2004,1,0)</f>
        <v>0</v>
      </c>
      <c r="BV117" s="81">
        <f t="shared" si="204"/>
        <v>1</v>
      </c>
      <c r="BW117" s="60">
        <f t="shared" si="123"/>
        <v>0</v>
      </c>
      <c r="BX117" s="60">
        <f t="shared" si="124"/>
        <v>0</v>
      </c>
      <c r="BY117" s="49" t="str">
        <f>IF(AND(C117=""),"",IF(AND(C117&lt;=0),"",IF((ROUND((SUMPRODUCT(MID(0&amp;C117,LARGE(INDEX(ISNUMBER(--MID(C117,ROW($1:$71),1))* ROW($1:$71),0),ROW($1:$71))+1,1)*10^ROW($1:$71)/10)),-8)/100000000)&lt;2004,1,0)))</f>
        <v/>
      </c>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row>
    <row r="118" spans="1:101" s="76" customFormat="1">
      <c r="A118" s="672"/>
      <c r="B118" s="647"/>
      <c r="C118" s="422"/>
      <c r="D118" s="422"/>
      <c r="E118" s="442" t="s">
        <v>355</v>
      </c>
      <c r="F118" s="128"/>
      <c r="G118" s="129"/>
      <c r="H118" s="129">
        <f>SUM(H114:H117)</f>
        <v>0</v>
      </c>
      <c r="I118" s="129"/>
      <c r="J118" s="129">
        <f t="shared" ref="J118:L118" si="218">SUM(J114:J117)</f>
        <v>0</v>
      </c>
      <c r="K118" s="129">
        <f t="shared" si="218"/>
        <v>0</v>
      </c>
      <c r="L118" s="129">
        <f t="shared" si="218"/>
        <v>0</v>
      </c>
      <c r="M118" s="130"/>
      <c r="N118" s="165"/>
      <c r="O118" s="165"/>
      <c r="P118" s="165"/>
      <c r="Q118" s="165"/>
      <c r="R118" s="52"/>
      <c r="S118" s="1"/>
      <c r="T118" s="75"/>
      <c r="U118" s="75"/>
      <c r="V118" s="75"/>
      <c r="W118" s="75"/>
      <c r="X118" s="75"/>
      <c r="Y118" s="75"/>
      <c r="Z118" s="75"/>
      <c r="AA118" s="75"/>
      <c r="AB118" s="75"/>
      <c r="AC118" s="75"/>
      <c r="AD118" s="75"/>
      <c r="AE118" s="75"/>
      <c r="AF118" s="75"/>
      <c r="AG118" s="75"/>
      <c r="AH118" s="75"/>
      <c r="AI118" s="75"/>
      <c r="AJ118" s="75"/>
      <c r="AK118" s="75"/>
      <c r="AL118" s="75"/>
      <c r="AM118" s="75"/>
      <c r="AN118" s="78"/>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c r="BP118" s="75"/>
      <c r="BQ118" s="75"/>
      <c r="BR118" s="75"/>
      <c r="BS118" s="75"/>
      <c r="BT118" s="75"/>
      <c r="BU118" s="75"/>
      <c r="BV118" s="75"/>
      <c r="BW118" s="60"/>
      <c r="BX118" s="60"/>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row>
    <row r="119" spans="1:101" s="76" customFormat="1">
      <c r="A119" s="672"/>
      <c r="B119" s="647"/>
      <c r="C119" s="422"/>
      <c r="D119" s="422"/>
      <c r="E119" s="442" t="s">
        <v>356</v>
      </c>
      <c r="F119" s="128"/>
      <c r="G119" s="129"/>
      <c r="H119" s="170">
        <f>H112+H118</f>
        <v>0</v>
      </c>
      <c r="I119" s="170"/>
      <c r="J119" s="170">
        <f t="shared" ref="J119:L119" si="219">J112+J118</f>
        <v>0</v>
      </c>
      <c r="K119" s="170">
        <f t="shared" si="219"/>
        <v>0</v>
      </c>
      <c r="L119" s="170">
        <f t="shared" si="219"/>
        <v>0</v>
      </c>
      <c r="M119" s="130"/>
      <c r="N119" s="165"/>
      <c r="O119" s="165"/>
      <c r="P119" s="165"/>
      <c r="Q119" s="165"/>
      <c r="R119" s="52"/>
      <c r="S119" s="1"/>
      <c r="T119" s="75"/>
      <c r="U119" s="75"/>
      <c r="V119" s="75"/>
      <c r="W119" s="75"/>
      <c r="X119" s="75"/>
      <c r="Y119" s="75"/>
      <c r="Z119" s="75"/>
      <c r="AA119" s="75"/>
      <c r="AB119" s="75"/>
      <c r="AC119" s="75"/>
      <c r="AD119" s="75"/>
      <c r="AE119" s="75"/>
      <c r="AF119" s="75"/>
      <c r="AG119" s="75"/>
      <c r="AH119" s="75"/>
      <c r="AI119" s="75"/>
      <c r="AJ119" s="75"/>
      <c r="AK119" s="75"/>
      <c r="AL119" s="75"/>
      <c r="AM119" s="75"/>
      <c r="AN119" s="78"/>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60"/>
      <c r="BX119" s="60"/>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row>
    <row r="120" spans="1:101" s="76" customFormat="1" ht="15.75">
      <c r="A120" s="673"/>
      <c r="B120" s="449"/>
      <c r="C120" s="450"/>
      <c r="D120" s="451"/>
      <c r="E120" s="452" t="s">
        <v>357</v>
      </c>
      <c r="F120" s="453"/>
      <c r="G120" s="455"/>
      <c r="H120" s="456">
        <f>H84+H106+H119</f>
        <v>10495200</v>
      </c>
      <c r="I120" s="456"/>
      <c r="J120" s="456">
        <f t="shared" ref="J120:L120" si="220">J84+J106+J119</f>
        <v>206400</v>
      </c>
      <c r="K120" s="456">
        <f t="shared" si="220"/>
        <v>15871174</v>
      </c>
      <c r="L120" s="456">
        <f t="shared" si="220"/>
        <v>15417558</v>
      </c>
      <c r="M120" s="457"/>
      <c r="N120" s="167"/>
      <c r="O120" s="167"/>
      <c r="P120" s="167"/>
      <c r="Q120" s="167">
        <v>0</v>
      </c>
      <c r="R120" s="52"/>
      <c r="S120" s="1"/>
      <c r="T120" s="75"/>
      <c r="U120" s="75"/>
      <c r="V120" s="75"/>
      <c r="W120" s="75"/>
      <c r="X120" s="75"/>
      <c r="Y120" s="75"/>
      <c r="Z120" s="75"/>
      <c r="AA120" s="75"/>
      <c r="AB120" s="75"/>
      <c r="AC120" s="75"/>
      <c r="AD120" s="60"/>
      <c r="AE120" s="75"/>
      <c r="AF120" s="75"/>
      <c r="AG120" s="75"/>
      <c r="AH120" s="75"/>
      <c r="AI120" s="75"/>
      <c r="AJ120" s="75"/>
      <c r="AK120" s="75"/>
      <c r="AL120" s="75"/>
      <c r="AM120" s="75"/>
      <c r="AN120" s="78"/>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60"/>
      <c r="BV120" s="60"/>
      <c r="BW120" s="60"/>
      <c r="BX120" s="60"/>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row>
    <row r="121" spans="1:101" s="76" customFormat="1" ht="15.75">
      <c r="A121" s="673"/>
      <c r="B121" s="449"/>
      <c r="C121" s="450"/>
      <c r="D121" s="451"/>
      <c r="E121" s="452" t="s">
        <v>196</v>
      </c>
      <c r="F121" s="453"/>
      <c r="G121" s="455"/>
      <c r="H121" s="459"/>
      <c r="I121" s="460"/>
      <c r="J121" s="459"/>
      <c r="K121" s="459">
        <f>Master!K12</f>
        <v>0</v>
      </c>
      <c r="L121" s="459">
        <f>'Pending TA-Med List'!I30+Master!I12+Master!J12</f>
        <v>4500</v>
      </c>
      <c r="M121" s="457"/>
      <c r="N121" s="167"/>
      <c r="O121" s="167"/>
      <c r="P121" s="167"/>
      <c r="Q121" s="167">
        <v>0</v>
      </c>
      <c r="R121" s="52"/>
      <c r="S121" s="1"/>
      <c r="T121" s="75"/>
      <c r="U121" s="75"/>
      <c r="V121" s="75"/>
      <c r="W121" s="75"/>
      <c r="X121" s="75"/>
      <c r="Y121" s="75"/>
      <c r="Z121" s="75"/>
      <c r="AA121" s="75"/>
      <c r="AB121" s="75"/>
      <c r="AC121" s="75"/>
      <c r="AD121" s="60"/>
      <c r="AE121" s="75"/>
      <c r="AF121" s="75"/>
      <c r="AG121" s="75"/>
      <c r="AH121" s="75"/>
      <c r="AI121" s="75"/>
      <c r="AJ121" s="75"/>
      <c r="AK121" s="75"/>
      <c r="AL121" s="75"/>
      <c r="AM121" s="75"/>
      <c r="AN121" s="78"/>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60"/>
      <c r="BV121" s="60"/>
      <c r="BW121" s="60"/>
      <c r="BX121" s="60"/>
      <c r="BY121" s="49"/>
      <c r="BZ121" s="49"/>
      <c r="CA121" s="49"/>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row>
    <row r="122" spans="1:101" s="76" customFormat="1" ht="15.75">
      <c r="A122" s="673"/>
      <c r="B122" s="449"/>
      <c r="C122" s="450"/>
      <c r="D122" s="451"/>
      <c r="E122" s="452" t="s">
        <v>197</v>
      </c>
      <c r="F122" s="453"/>
      <c r="G122" s="455"/>
      <c r="H122" s="459"/>
      <c r="I122" s="460"/>
      <c r="J122" s="459"/>
      <c r="K122" s="459">
        <f>Master!K13</f>
        <v>0</v>
      </c>
      <c r="L122" s="459">
        <f>'Pending TA-Med List'!R30+Master!I13+Master!J13</f>
        <v>1000</v>
      </c>
      <c r="M122" s="457"/>
      <c r="N122" s="167"/>
      <c r="O122" s="167"/>
      <c r="P122" s="167"/>
      <c r="Q122" s="167">
        <v>0</v>
      </c>
      <c r="R122" s="52"/>
      <c r="S122" s="1"/>
      <c r="T122" s="75"/>
      <c r="U122" s="75"/>
      <c r="V122" s="75"/>
      <c r="W122" s="75"/>
      <c r="X122" s="75"/>
      <c r="Y122" s="75"/>
      <c r="Z122" s="75"/>
      <c r="AA122" s="75"/>
      <c r="AB122" s="75"/>
      <c r="AC122" s="75"/>
      <c r="AD122" s="60"/>
      <c r="AE122" s="75"/>
      <c r="AF122" s="75"/>
      <c r="AG122" s="75"/>
      <c r="AH122" s="75"/>
      <c r="AI122" s="75"/>
      <c r="AJ122" s="75"/>
      <c r="AK122" s="75"/>
      <c r="AL122" s="75"/>
      <c r="AM122" s="75"/>
      <c r="AN122" s="78"/>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60"/>
      <c r="BV122" s="60"/>
      <c r="BW122" s="60"/>
      <c r="BX122" s="60"/>
      <c r="BY122" s="49"/>
      <c r="BZ122" s="49"/>
      <c r="CA122" s="49"/>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row>
    <row r="123" spans="1:101" s="76" customFormat="1" ht="15.75">
      <c r="A123" s="674"/>
      <c r="B123" s="454"/>
      <c r="C123" s="461"/>
      <c r="D123" s="461"/>
      <c r="E123" s="462" t="s">
        <v>198</v>
      </c>
      <c r="F123" s="453"/>
      <c r="G123" s="455"/>
      <c r="H123" s="456">
        <f>SUM(H120:H122)</f>
        <v>10495200</v>
      </c>
      <c r="I123" s="456"/>
      <c r="J123" s="456">
        <f>SUM(J120:J122)</f>
        <v>206400</v>
      </c>
      <c r="K123" s="456">
        <f>SUM(K120:K122)</f>
        <v>15871174</v>
      </c>
      <c r="L123" s="456">
        <f>SUM(L120:L122)</f>
        <v>15423058</v>
      </c>
      <c r="M123" s="458"/>
      <c r="N123" s="165"/>
      <c r="O123" s="165"/>
      <c r="P123" s="165"/>
      <c r="Q123" s="165">
        <f>SUM(Q12:Q122)</f>
        <v>115158</v>
      </c>
      <c r="R123" s="84"/>
      <c r="S123" s="85"/>
      <c r="T123" s="86"/>
      <c r="U123" s="86"/>
      <c r="V123" s="86"/>
      <c r="W123" s="86"/>
      <c r="X123" s="86">
        <f t="shared" ref="X123:AC123" si="221">SUM(X12:X122)</f>
        <v>0</v>
      </c>
      <c r="Y123" s="86">
        <f t="shared" si="221"/>
        <v>0</v>
      </c>
      <c r="Z123" s="86">
        <f t="shared" si="221"/>
        <v>0</v>
      </c>
      <c r="AA123" s="86">
        <f t="shared" si="221"/>
        <v>0</v>
      </c>
      <c r="AB123" s="86">
        <f t="shared" si="221"/>
        <v>0</v>
      </c>
      <c r="AC123" s="86">
        <f t="shared" si="221"/>
        <v>0</v>
      </c>
      <c r="AD123" s="78">
        <f t="shared" ref="AD123:AL123" si="222">SUM(AD12:AD104)</f>
        <v>849200</v>
      </c>
      <c r="AE123" s="78">
        <f t="shared" si="222"/>
        <v>872400</v>
      </c>
      <c r="AF123" s="78">
        <f t="shared" si="222"/>
        <v>9829200</v>
      </c>
      <c r="AG123" s="78">
        <f t="shared" si="222"/>
        <v>0</v>
      </c>
      <c r="AH123" s="78">
        <f t="shared" si="222"/>
        <v>0</v>
      </c>
      <c r="AI123" s="78">
        <f t="shared" si="222"/>
        <v>0</v>
      </c>
      <c r="AJ123" s="78">
        <f t="shared" si="222"/>
        <v>0</v>
      </c>
      <c r="AK123" s="78">
        <f t="shared" si="222"/>
        <v>0</v>
      </c>
      <c r="AL123" s="78">
        <f t="shared" si="222"/>
        <v>0</v>
      </c>
      <c r="AM123" s="78" t="e">
        <f>SUM(AM28:AM104)</f>
        <v>#VALUE!</v>
      </c>
      <c r="AN123" s="78">
        <f t="shared" ref="AN123:BD123" si="223">SUM(AN12:AN104)</f>
        <v>559744</v>
      </c>
      <c r="AO123" s="78">
        <f t="shared" si="223"/>
        <v>0</v>
      </c>
      <c r="AP123" s="78">
        <f t="shared" si="223"/>
        <v>0</v>
      </c>
      <c r="AQ123" s="78">
        <f t="shared" si="223"/>
        <v>0</v>
      </c>
      <c r="AR123" s="78">
        <f t="shared" si="223"/>
        <v>11261344</v>
      </c>
      <c r="AS123" s="78">
        <f t="shared" si="223"/>
        <v>11261344</v>
      </c>
      <c r="AT123" s="78">
        <f t="shared" si="223"/>
        <v>0</v>
      </c>
      <c r="AU123" s="78">
        <f t="shared" si="223"/>
        <v>0</v>
      </c>
      <c r="AV123" s="78">
        <f t="shared" si="223"/>
        <v>11261344</v>
      </c>
      <c r="AW123" s="78">
        <f t="shared" si="223"/>
        <v>847200</v>
      </c>
      <c r="AX123" s="78">
        <f t="shared" si="223"/>
        <v>9546400</v>
      </c>
      <c r="AY123" s="78">
        <f t="shared" si="223"/>
        <v>0</v>
      </c>
      <c r="AZ123" s="78">
        <f t="shared" si="223"/>
        <v>0</v>
      </c>
      <c r="BA123" s="78">
        <f t="shared" si="223"/>
        <v>0</v>
      </c>
      <c r="BB123" s="78">
        <f t="shared" si="223"/>
        <v>0</v>
      </c>
      <c r="BC123" s="78">
        <f t="shared" si="223"/>
        <v>0</v>
      </c>
      <c r="BD123" s="78">
        <f t="shared" si="223"/>
        <v>0</v>
      </c>
      <c r="BE123" s="78" t="e">
        <f>SUM(BE28:BE104)</f>
        <v>#VALUE!</v>
      </c>
      <c r="BF123" s="78">
        <f t="shared" ref="BF123:BW123" si="224">SUM(BF12:BF104)</f>
        <v>543488</v>
      </c>
      <c r="BG123" s="78">
        <f t="shared" si="224"/>
        <v>0</v>
      </c>
      <c r="BH123" s="78">
        <f t="shared" si="224"/>
        <v>0</v>
      </c>
      <c r="BI123" s="78">
        <f t="shared" si="224"/>
        <v>0</v>
      </c>
      <c r="BJ123" s="78">
        <f t="shared" si="224"/>
        <v>10937088</v>
      </c>
      <c r="BK123" s="78">
        <f t="shared" si="224"/>
        <v>10937088</v>
      </c>
      <c r="BL123" s="78">
        <f t="shared" si="224"/>
        <v>0</v>
      </c>
      <c r="BM123" s="78">
        <f t="shared" si="224"/>
        <v>0</v>
      </c>
      <c r="BN123" s="78">
        <f t="shared" si="224"/>
        <v>10937088</v>
      </c>
      <c r="BO123" s="78">
        <f t="shared" si="224"/>
        <v>1</v>
      </c>
      <c r="BP123" s="78">
        <f t="shared" si="224"/>
        <v>73</v>
      </c>
      <c r="BQ123" s="78">
        <f t="shared" si="224"/>
        <v>0</v>
      </c>
      <c r="BR123" s="78">
        <f t="shared" si="224"/>
        <v>0</v>
      </c>
      <c r="BS123" s="78">
        <f t="shared" si="224"/>
        <v>0</v>
      </c>
      <c r="BT123" s="78">
        <f t="shared" si="224"/>
        <v>60</v>
      </c>
      <c r="BU123" s="78">
        <f t="shared" si="224"/>
        <v>0</v>
      </c>
      <c r="BV123" s="78">
        <f t="shared" si="224"/>
        <v>75</v>
      </c>
      <c r="BW123" s="78">
        <f t="shared" si="224"/>
        <v>0</v>
      </c>
      <c r="BX123" s="78"/>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row>
    <row r="124" spans="1:101" ht="18.75">
      <c r="A124" s="47"/>
      <c r="B124" s="798" t="s">
        <v>558</v>
      </c>
      <c r="C124" s="798"/>
      <c r="D124" s="798"/>
      <c r="E124" s="798"/>
      <c r="F124" s="798"/>
      <c r="G124" s="798"/>
      <c r="H124" s="798"/>
      <c r="I124" s="798"/>
      <c r="J124" s="798"/>
      <c r="K124" s="47"/>
      <c r="L124" s="47"/>
      <c r="M124" s="47"/>
      <c r="N124" s="47"/>
      <c r="O124" s="47"/>
      <c r="P124" s="47"/>
      <c r="Q124" s="47"/>
      <c r="S124" s="2"/>
    </row>
    <row r="125" spans="1:101">
      <c r="A125" s="47"/>
      <c r="B125" s="47"/>
      <c r="C125" s="47"/>
      <c r="D125" s="47"/>
      <c r="E125" s="47"/>
      <c r="F125" s="47"/>
      <c r="G125" s="47"/>
      <c r="H125" s="47"/>
      <c r="I125" s="48"/>
      <c r="J125" s="47"/>
      <c r="K125" s="47"/>
      <c r="L125" s="799"/>
      <c r="M125" s="799"/>
      <c r="N125" s="47"/>
      <c r="O125" s="47"/>
      <c r="P125" s="47"/>
      <c r="Q125" s="47"/>
      <c r="S125" s="2"/>
    </row>
    <row r="126" spans="1:101" ht="18.75">
      <c r="A126" s="47"/>
      <c r="B126" s="87"/>
      <c r="C126" s="87"/>
      <c r="D126" s="87"/>
      <c r="E126" s="87"/>
      <c r="F126" s="47"/>
      <c r="G126" s="47"/>
      <c r="H126" s="47"/>
      <c r="I126" s="48"/>
      <c r="J126" s="47"/>
      <c r="K126" s="791" t="str">
        <f>Master!C2</f>
        <v>iz/kkukpk;Z</v>
      </c>
      <c r="L126" s="791"/>
      <c r="M126" s="791"/>
      <c r="N126" s="135"/>
      <c r="O126" s="135"/>
      <c r="P126" s="135"/>
      <c r="Q126" s="135"/>
      <c r="S126" s="88"/>
    </row>
    <row r="127" spans="1:101" ht="18.75">
      <c r="A127" s="47"/>
      <c r="B127" s="87"/>
      <c r="C127" s="87"/>
      <c r="D127" s="87"/>
      <c r="E127" s="87"/>
      <c r="F127" s="47"/>
      <c r="G127" s="47"/>
      <c r="H127" s="47"/>
      <c r="I127" s="48"/>
      <c r="J127" s="47"/>
      <c r="K127" s="792" t="str">
        <f>Master!D2</f>
        <v>egkRek xka/kh jktdh; fo|ky; ¼vaxzsth ek/;e½ cj ] ikyh</v>
      </c>
      <c r="L127" s="792"/>
      <c r="M127" s="792"/>
      <c r="N127" s="136"/>
      <c r="O127" s="136"/>
      <c r="P127" s="136"/>
      <c r="Q127" s="136"/>
      <c r="S127" s="89"/>
    </row>
    <row r="128" spans="1:101" ht="18.75">
      <c r="A128" s="47"/>
      <c r="B128" s="87"/>
      <c r="C128" s="87"/>
      <c r="D128" s="87"/>
      <c r="E128" s="87"/>
      <c r="F128" s="47"/>
      <c r="G128" s="47"/>
      <c r="H128" s="47"/>
      <c r="I128" s="48"/>
      <c r="J128" s="47"/>
      <c r="K128" s="792"/>
      <c r="L128" s="792"/>
      <c r="M128" s="792"/>
      <c r="N128" s="136"/>
      <c r="O128" s="136"/>
      <c r="P128" s="136"/>
      <c r="Q128" s="136"/>
      <c r="S128" s="89"/>
    </row>
    <row r="129" spans="1:19" ht="18.75">
      <c r="A129" s="47"/>
      <c r="B129" s="87"/>
      <c r="C129" s="87"/>
      <c r="D129" s="87"/>
      <c r="E129" s="87"/>
      <c r="F129" s="47"/>
      <c r="G129" s="47"/>
      <c r="H129" s="47"/>
      <c r="I129" s="48"/>
      <c r="J129" s="47"/>
      <c r="K129" s="792"/>
      <c r="L129" s="792"/>
      <c r="M129" s="792"/>
      <c r="N129" s="136"/>
      <c r="O129" s="136"/>
      <c r="P129" s="136"/>
      <c r="Q129" s="136"/>
      <c r="S129" s="89"/>
    </row>
    <row r="130" spans="1:19">
      <c r="B130" s="51"/>
      <c r="C130" s="51"/>
      <c r="D130" s="51"/>
      <c r="E130" s="51"/>
    </row>
    <row r="131" spans="1:19">
      <c r="B131" s="51"/>
      <c r="C131" s="51"/>
      <c r="D131" s="51"/>
      <c r="E131" s="51"/>
    </row>
    <row r="132" spans="1:19">
      <c r="B132" s="51"/>
      <c r="C132" s="51"/>
      <c r="D132" s="51"/>
      <c r="E132" s="51"/>
    </row>
    <row r="133" spans="1:19">
      <c r="B133" s="51"/>
      <c r="C133" s="51"/>
      <c r="D133" s="51"/>
      <c r="E133" s="51"/>
    </row>
    <row r="134" spans="1:19">
      <c r="B134" s="51"/>
      <c r="C134" s="51"/>
      <c r="D134" s="51"/>
      <c r="E134" s="51"/>
    </row>
    <row r="135" spans="1:19">
      <c r="B135" s="51"/>
      <c r="C135" s="51"/>
      <c r="D135" s="51"/>
      <c r="E135" s="51"/>
    </row>
    <row r="136" spans="1:19">
      <c r="B136" s="51"/>
      <c r="C136" s="51"/>
      <c r="D136" s="51"/>
      <c r="E136" s="51"/>
    </row>
    <row r="137" spans="1:19">
      <c r="B137" s="51"/>
      <c r="C137" s="51"/>
      <c r="D137" s="51"/>
      <c r="E137" s="51"/>
    </row>
    <row r="138" spans="1:19">
      <c r="B138" s="51"/>
      <c r="C138" s="51"/>
      <c r="D138" s="51"/>
      <c r="E138" s="51"/>
    </row>
    <row r="139" spans="1:19">
      <c r="B139" s="51"/>
      <c r="C139" s="51"/>
      <c r="D139" s="51"/>
      <c r="E139" s="51"/>
    </row>
    <row r="140" spans="1:19">
      <c r="B140" s="51"/>
      <c r="C140" s="51"/>
      <c r="D140" s="51"/>
      <c r="E140" s="51"/>
    </row>
    <row r="141" spans="1:19">
      <c r="B141" s="51"/>
      <c r="C141" s="51"/>
      <c r="D141" s="51"/>
      <c r="E141" s="51"/>
    </row>
    <row r="142" spans="1:19">
      <c r="B142" s="51"/>
      <c r="C142" s="51"/>
      <c r="D142" s="51"/>
      <c r="E142" s="51"/>
    </row>
    <row r="143" spans="1:19">
      <c r="B143" s="51"/>
      <c r="C143" s="51"/>
      <c r="D143" s="51"/>
      <c r="E143" s="51"/>
    </row>
    <row r="469" spans="3:5" ht="15.75">
      <c r="D469" s="90"/>
    </row>
    <row r="479" spans="3:5" ht="15.75">
      <c r="C479" s="90" t="s">
        <v>199</v>
      </c>
      <c r="D479" s="91" t="s">
        <v>54</v>
      </c>
      <c r="E479" s="92">
        <v>6600</v>
      </c>
    </row>
    <row r="480" spans="3:5" ht="15.75">
      <c r="C480" s="90" t="s">
        <v>200</v>
      </c>
      <c r="D480" s="91" t="s">
        <v>201</v>
      </c>
      <c r="E480" s="92">
        <v>5400</v>
      </c>
    </row>
    <row r="481" spans="3:5" ht="15.75">
      <c r="C481" s="90" t="s">
        <v>202</v>
      </c>
      <c r="D481" s="91" t="s">
        <v>203</v>
      </c>
      <c r="E481" s="92">
        <v>4800</v>
      </c>
    </row>
    <row r="482" spans="3:5" ht="15.75">
      <c r="C482" s="90" t="s">
        <v>204</v>
      </c>
      <c r="D482" s="91" t="s">
        <v>205</v>
      </c>
      <c r="E482" s="92">
        <v>4800</v>
      </c>
    </row>
    <row r="483" spans="3:5" ht="15.75">
      <c r="C483" s="90" t="s">
        <v>206</v>
      </c>
      <c r="D483" s="91" t="s">
        <v>207</v>
      </c>
      <c r="E483" s="92">
        <v>4800</v>
      </c>
    </row>
    <row r="484" spans="3:5" ht="15.75">
      <c r="C484" s="90" t="s">
        <v>208</v>
      </c>
      <c r="D484" s="91" t="s">
        <v>59</v>
      </c>
      <c r="E484" s="92">
        <v>4800</v>
      </c>
    </row>
    <row r="485" spans="3:5" ht="15.75">
      <c r="C485" s="90" t="s">
        <v>209</v>
      </c>
      <c r="D485" s="91" t="s">
        <v>210</v>
      </c>
      <c r="E485" s="92">
        <v>4800</v>
      </c>
    </row>
    <row r="486" spans="3:5" ht="15.75">
      <c r="C486" s="90" t="s">
        <v>211</v>
      </c>
      <c r="D486" s="91" t="s">
        <v>212</v>
      </c>
      <c r="E486" s="92">
        <v>4800</v>
      </c>
    </row>
    <row r="487" spans="3:5" ht="15.75">
      <c r="C487" s="90" t="s">
        <v>213</v>
      </c>
      <c r="D487" s="91" t="s">
        <v>61</v>
      </c>
      <c r="E487" s="92">
        <v>4200</v>
      </c>
    </row>
    <row r="488" spans="3:5" ht="15.75">
      <c r="C488" s="90" t="s">
        <v>214</v>
      </c>
      <c r="D488" s="93" t="s">
        <v>215</v>
      </c>
      <c r="E488" s="92">
        <v>4200</v>
      </c>
    </row>
    <row r="489" spans="3:5" ht="15.75">
      <c r="C489" s="90" t="s">
        <v>216</v>
      </c>
      <c r="D489" s="91" t="s">
        <v>64</v>
      </c>
      <c r="E489" s="92">
        <v>4200</v>
      </c>
    </row>
    <row r="490" spans="3:5" ht="15.75">
      <c r="C490" s="90" t="s">
        <v>217</v>
      </c>
      <c r="D490" s="91" t="s">
        <v>218</v>
      </c>
      <c r="E490" s="92">
        <v>3600</v>
      </c>
    </row>
    <row r="491" spans="3:5" ht="15.75">
      <c r="C491" s="90" t="s">
        <v>219</v>
      </c>
      <c r="D491" s="91" t="s">
        <v>63</v>
      </c>
      <c r="E491" s="92">
        <v>3600</v>
      </c>
    </row>
    <row r="492" spans="3:5" ht="15.75">
      <c r="C492" s="90" t="s">
        <v>220</v>
      </c>
      <c r="D492" s="91" t="s">
        <v>221</v>
      </c>
      <c r="E492" s="92">
        <v>3600</v>
      </c>
    </row>
    <row r="493" spans="3:5" ht="15.75">
      <c r="C493" s="90" t="s">
        <v>222</v>
      </c>
      <c r="D493" s="91" t="s">
        <v>223</v>
      </c>
      <c r="E493" s="92">
        <v>3600</v>
      </c>
    </row>
    <row r="494" spans="3:5" ht="15.75">
      <c r="C494" s="90" t="s">
        <v>224</v>
      </c>
      <c r="D494" s="91" t="s">
        <v>225</v>
      </c>
      <c r="E494" s="92">
        <v>2800</v>
      </c>
    </row>
    <row r="495" spans="3:5" ht="15.75">
      <c r="C495" s="90" t="s">
        <v>226</v>
      </c>
      <c r="D495" s="91" t="s">
        <v>227</v>
      </c>
      <c r="E495" s="92">
        <v>2800</v>
      </c>
    </row>
    <row r="496" spans="3:5" ht="15.75">
      <c r="C496" s="90" t="s">
        <v>228</v>
      </c>
      <c r="D496" s="91" t="s">
        <v>229</v>
      </c>
      <c r="E496" s="92">
        <v>2400</v>
      </c>
    </row>
    <row r="497" spans="3:5" ht="15.75">
      <c r="C497" s="90" t="s">
        <v>230</v>
      </c>
      <c r="D497" s="91" t="s">
        <v>65</v>
      </c>
      <c r="E497" s="92">
        <v>2400</v>
      </c>
    </row>
    <row r="498" spans="3:5" ht="15.75">
      <c r="C498" s="90" t="s">
        <v>231</v>
      </c>
      <c r="D498" s="91" t="s">
        <v>66</v>
      </c>
      <c r="E498" s="92">
        <v>1700</v>
      </c>
    </row>
    <row r="499" spans="3:5" ht="15.75">
      <c r="C499" s="90" t="s">
        <v>232</v>
      </c>
      <c r="D499" s="91" t="s">
        <v>233</v>
      </c>
      <c r="E499" s="92">
        <v>1700</v>
      </c>
    </row>
    <row r="500" spans="3:5" ht="15.75">
      <c r="C500" s="90" t="s">
        <v>234</v>
      </c>
      <c r="D500" s="91" t="s">
        <v>235</v>
      </c>
      <c r="E500" s="92">
        <v>1700</v>
      </c>
    </row>
  </sheetData>
  <protectedRanges>
    <protectedRange sqref="E12:E25 E28:E71 T12:W25 V28:W71 E86:E93 E96:E104" name="Range1_3"/>
    <protectedRange sqref="F86:F93 F96:F104" name="Range1"/>
    <protectedRange sqref="F12:G25 F28:G71" name="Range1_3_1"/>
    <protectedRange sqref="F108:F111" name="Range1_1"/>
    <protectedRange sqref="F114:F117" name="Range1_2"/>
  </protectedRanges>
  <mergeCells count="40">
    <mergeCell ref="X9:Y9"/>
    <mergeCell ref="Z9:AA9"/>
    <mergeCell ref="AB9:AC9"/>
    <mergeCell ref="A26:C26"/>
    <mergeCell ref="C76:E76"/>
    <mergeCell ref="M9:M10"/>
    <mergeCell ref="S9:S10"/>
    <mergeCell ref="T9:T10"/>
    <mergeCell ref="U9:U10"/>
    <mergeCell ref="V9:V10"/>
    <mergeCell ref="W9:W10"/>
    <mergeCell ref="G9:G10"/>
    <mergeCell ref="H9:H10"/>
    <mergeCell ref="I9:J9"/>
    <mergeCell ref="K9:K10"/>
    <mergeCell ref="K126:M126"/>
    <mergeCell ref="K127:M129"/>
    <mergeCell ref="A84:C84"/>
    <mergeCell ref="L9:L10"/>
    <mergeCell ref="A9:A10"/>
    <mergeCell ref="B9:B10"/>
    <mergeCell ref="C9:C10"/>
    <mergeCell ref="D9:D10"/>
    <mergeCell ref="E9:E10"/>
    <mergeCell ref="A95:M95"/>
    <mergeCell ref="A85:M85"/>
    <mergeCell ref="A107:M107"/>
    <mergeCell ref="A113:M113"/>
    <mergeCell ref="B124:J124"/>
    <mergeCell ref="L125:M125"/>
    <mergeCell ref="A7:L7"/>
    <mergeCell ref="M7:M8"/>
    <mergeCell ref="K1:M1"/>
    <mergeCell ref="A27:M27"/>
    <mergeCell ref="F9:F10"/>
    <mergeCell ref="A2:M2"/>
    <mergeCell ref="A3:M3"/>
    <mergeCell ref="A4:M4"/>
    <mergeCell ref="A5:M5"/>
    <mergeCell ref="A6:M6"/>
  </mergeCells>
  <conditionalFormatting sqref="B1:B6 B114:B1048576 B86:B94 B96:B106 B108:B112 B9:B26 B28:B84">
    <cfRule type="containsText" dxfId="38" priority="3" operator="containsText" text="in fjDr">
      <formula>NOT(ISERROR(SEARCH("in fjDr",B1)))</formula>
    </cfRule>
  </conditionalFormatting>
  <pageMargins left="0.7" right="0.32" top="0.25" bottom="0.25" header="0.3" footer="0.3"/>
  <pageSetup paperSize="9" scale="78" fitToHeight="3" orientation="landscape" blackAndWhite="1" horizontalDpi="300" verticalDpi="300" r:id="rId1"/>
</worksheet>
</file>

<file path=xl/worksheets/sheet4.xml><?xml version="1.0" encoding="utf-8"?>
<worksheet xmlns="http://schemas.openxmlformats.org/spreadsheetml/2006/main" xmlns:r="http://schemas.openxmlformats.org/officeDocument/2006/relationships">
  <sheetPr codeName="Sheet4">
    <tabColor rgb="FF00B050"/>
    <pageSetUpPr fitToPage="1"/>
  </sheetPr>
  <dimension ref="A1:P40"/>
  <sheetViews>
    <sheetView showGridLines="0" view="pageBreakPreview" topLeftCell="A4" zoomScale="110" zoomScaleSheetLayoutView="110" workbookViewId="0">
      <selection activeCell="K24" sqref="K24"/>
    </sheetView>
  </sheetViews>
  <sheetFormatPr defaultRowHeight="15"/>
  <cols>
    <col min="1" max="1" width="5.625" customWidth="1"/>
    <col min="2" max="2" width="34" customWidth="1"/>
    <col min="3" max="15" width="10.125" customWidth="1"/>
  </cols>
  <sheetData>
    <row r="1" spans="1:16" ht="18.75">
      <c r="A1" s="137"/>
      <c r="B1" s="137"/>
      <c r="C1" s="137"/>
      <c r="D1" s="137"/>
      <c r="E1" s="137"/>
      <c r="F1" s="137"/>
      <c r="G1" s="137"/>
      <c r="H1" s="137"/>
      <c r="I1" s="137"/>
      <c r="J1" s="137"/>
      <c r="K1" s="137"/>
      <c r="L1" s="137"/>
      <c r="M1" s="814">
        <f>Summary!$C$1</f>
        <v>30695</v>
      </c>
      <c r="N1" s="814"/>
      <c r="O1" s="814"/>
    </row>
    <row r="2" spans="1:16" ht="23.25">
      <c r="A2" s="815" t="str">
        <f>Summary!$A$2</f>
        <v>iz/kkukpk;Z egkRek xka/kh jktdh; fo|ky; ¼vaxzsth ek/;e½ cj ] ikyh</v>
      </c>
      <c r="B2" s="815"/>
      <c r="C2" s="815"/>
      <c r="D2" s="815"/>
      <c r="E2" s="815"/>
      <c r="F2" s="815"/>
      <c r="G2" s="815"/>
      <c r="H2" s="815"/>
      <c r="I2" s="815"/>
      <c r="J2" s="815"/>
      <c r="K2" s="815"/>
      <c r="L2" s="815"/>
      <c r="M2" s="815"/>
      <c r="N2" s="815"/>
      <c r="O2" s="815"/>
    </row>
    <row r="3" spans="1:16" ht="20.25">
      <c r="A3" s="816" t="s">
        <v>272</v>
      </c>
      <c r="B3" s="816"/>
      <c r="C3" s="816"/>
      <c r="D3" s="816"/>
      <c r="E3" s="816"/>
      <c r="F3" s="816"/>
      <c r="G3" s="816"/>
      <c r="H3" s="816"/>
      <c r="I3" s="816"/>
      <c r="J3" s="816"/>
      <c r="K3" s="816"/>
      <c r="L3" s="816"/>
      <c r="M3" s="816"/>
      <c r="N3" s="816"/>
      <c r="O3" s="816"/>
    </row>
    <row r="4" spans="1:16" ht="20.25">
      <c r="A4" s="816" t="s">
        <v>273</v>
      </c>
      <c r="B4" s="816"/>
      <c r="C4" s="816"/>
      <c r="D4" s="816"/>
      <c r="E4" s="816"/>
      <c r="F4" s="816"/>
      <c r="G4" s="816"/>
      <c r="H4" s="816"/>
      <c r="I4" s="816"/>
      <c r="J4" s="816"/>
      <c r="K4" s="816"/>
      <c r="L4" s="816"/>
      <c r="M4" s="816"/>
      <c r="N4" s="816"/>
      <c r="O4" s="816"/>
    </row>
    <row r="5" spans="1:16" ht="20.25">
      <c r="A5" s="138"/>
      <c r="B5" s="669"/>
      <c r="C5" s="669"/>
      <c r="D5" s="669"/>
      <c r="E5" s="669"/>
      <c r="F5" s="669"/>
      <c r="G5" s="821" t="s">
        <v>274</v>
      </c>
      <c r="H5" s="821"/>
      <c r="I5" s="140" t="str">
        <f>F9</f>
        <v>2021-22</v>
      </c>
      <c r="J5" s="681" t="s">
        <v>78</v>
      </c>
      <c r="K5" s="681"/>
      <c r="L5" s="681"/>
      <c r="M5" s="669"/>
      <c r="N5" s="139"/>
      <c r="O5" s="139"/>
    </row>
    <row r="6" spans="1:16" ht="20.25">
      <c r="A6" s="138"/>
      <c r="B6" s="138"/>
      <c r="C6" s="681"/>
      <c r="D6" s="681"/>
      <c r="E6" s="681"/>
      <c r="F6" s="681"/>
      <c r="G6" s="681"/>
      <c r="H6" s="681"/>
      <c r="I6" s="681"/>
      <c r="J6" s="681"/>
      <c r="K6" s="816" t="s">
        <v>275</v>
      </c>
      <c r="L6" s="816"/>
      <c r="M6" s="816"/>
      <c r="N6" s="816"/>
      <c r="O6" s="816"/>
    </row>
    <row r="7" spans="1:16" ht="15.75">
      <c r="A7" s="819" t="str">
        <f>Summary!A5</f>
        <v>BUDGET HEAD : 2202-GENERAL EDUCATION, 02-SECONDARY EDUCATION, 109-GOVT. SEC. SCHOOL, (02)-GIRLS SCHOOL (STATE FUND)</v>
      </c>
      <c r="B7" s="819"/>
      <c r="C7" s="819"/>
      <c r="D7" s="819"/>
      <c r="E7" s="819"/>
      <c r="F7" s="819"/>
      <c r="G7" s="819"/>
      <c r="H7" s="819"/>
      <c r="I7" s="819"/>
      <c r="J7" s="819"/>
      <c r="K7" s="819"/>
      <c r="L7" s="819"/>
      <c r="M7" s="819"/>
      <c r="N7" s="819"/>
      <c r="O7" s="819"/>
      <c r="P7" s="98"/>
    </row>
    <row r="8" spans="1:16" ht="47.25">
      <c r="A8" s="817" t="s">
        <v>7</v>
      </c>
      <c r="B8" s="817" t="s">
        <v>8</v>
      </c>
      <c r="C8" s="817" t="s">
        <v>276</v>
      </c>
      <c r="D8" s="817"/>
      <c r="E8" s="817"/>
      <c r="F8" s="465" t="s">
        <v>82</v>
      </c>
      <c r="G8" s="817" t="s">
        <v>277</v>
      </c>
      <c r="H8" s="817"/>
      <c r="I8" s="817"/>
      <c r="J8" s="818" t="s">
        <v>733</v>
      </c>
      <c r="K8" s="818" t="s">
        <v>734</v>
      </c>
      <c r="L8" s="826" t="s">
        <v>735</v>
      </c>
      <c r="M8" s="817" t="s">
        <v>84</v>
      </c>
      <c r="N8" s="817"/>
      <c r="O8" s="817"/>
    </row>
    <row r="9" spans="1:16" ht="57.75" customHeight="1">
      <c r="A9" s="817"/>
      <c r="B9" s="817"/>
      <c r="C9" s="178" t="str">
        <f>CONCATENATE((MID(Master!C4,1,4)-4),"-",(MID(Master!C4,6,2)-4))</f>
        <v>2018-19</v>
      </c>
      <c r="D9" s="178" t="str">
        <f>CONCATENATE((MID(Master!C4,1,4)-3),"-",(MID(Master!C4,6,2)-3))</f>
        <v>2019-20</v>
      </c>
      <c r="E9" s="178" t="str">
        <f>CONCATENATE((MID(Master!C4,1,4)-2),"-",(MID(Master!C4,6,2)-2))</f>
        <v>2020-21</v>
      </c>
      <c r="F9" s="178" t="str">
        <f>CONCATENATE((MID(Master!C4,1,4)-1),"-",(MID(Master!C4,6,2)-1))</f>
        <v>2021-22</v>
      </c>
      <c r="G9" s="692" t="s">
        <v>737</v>
      </c>
      <c r="H9" s="692" t="s">
        <v>736</v>
      </c>
      <c r="I9" s="670" t="s">
        <v>278</v>
      </c>
      <c r="J9" s="818"/>
      <c r="K9" s="818"/>
      <c r="L9" s="827"/>
      <c r="M9" s="670" t="s">
        <v>86</v>
      </c>
      <c r="N9" s="670" t="s">
        <v>87</v>
      </c>
      <c r="O9" s="670" t="s">
        <v>88</v>
      </c>
    </row>
    <row r="10" spans="1:16">
      <c r="A10" s="141">
        <v>1</v>
      </c>
      <c r="B10" s="141">
        <v>2</v>
      </c>
      <c r="C10" s="141">
        <v>3</v>
      </c>
      <c r="D10" s="141">
        <v>4</v>
      </c>
      <c r="E10" s="141">
        <v>5</v>
      </c>
      <c r="F10" s="141">
        <v>6</v>
      </c>
      <c r="G10" s="141">
        <v>7</v>
      </c>
      <c r="H10" s="141">
        <v>8</v>
      </c>
      <c r="I10" s="141">
        <v>9</v>
      </c>
      <c r="J10" s="141">
        <v>10</v>
      </c>
      <c r="K10" s="141">
        <v>11</v>
      </c>
      <c r="L10" s="141">
        <v>12</v>
      </c>
      <c r="M10" s="141">
        <v>13</v>
      </c>
      <c r="N10" s="141">
        <v>14</v>
      </c>
      <c r="O10" s="141">
        <v>15</v>
      </c>
    </row>
    <row r="11" spans="1:16" ht="16.5">
      <c r="A11" s="144">
        <v>1</v>
      </c>
      <c r="B11" s="469" t="s">
        <v>279</v>
      </c>
      <c r="C11" s="467">
        <f>Master!D11</f>
        <v>8513603</v>
      </c>
      <c r="D11" s="467">
        <f>Master!E11</f>
        <v>7033738</v>
      </c>
      <c r="E11" s="467">
        <f>Master!H11</f>
        <v>9348604</v>
      </c>
      <c r="F11" s="467">
        <f>Master!C11</f>
        <v>9820000</v>
      </c>
      <c r="G11" s="467">
        <f>Master!G11</f>
        <v>6705337</v>
      </c>
      <c r="H11" s="467">
        <f>Master!I11</f>
        <v>3407270</v>
      </c>
      <c r="I11" s="467">
        <f>G11+H11</f>
        <v>10112607</v>
      </c>
      <c r="J11" s="468">
        <f>Master!J11</f>
        <v>6407270</v>
      </c>
      <c r="K11" s="467">
        <f>'Formet 8'!L120</f>
        <v>15417558</v>
      </c>
      <c r="L11" s="467">
        <f>'Formet 8'!K120</f>
        <v>15871174</v>
      </c>
      <c r="M11" s="467">
        <f>K11-F11</f>
        <v>5597558</v>
      </c>
      <c r="N11" s="467">
        <f>K11-I11</f>
        <v>5304951</v>
      </c>
      <c r="O11" s="467">
        <f>L11-K11</f>
        <v>453616</v>
      </c>
    </row>
    <row r="12" spans="1:16" ht="16.5">
      <c r="A12" s="178">
        <v>2</v>
      </c>
      <c r="B12" s="470" t="s">
        <v>280</v>
      </c>
      <c r="C12" s="467">
        <f>Master!D12</f>
        <v>0</v>
      </c>
      <c r="D12" s="467">
        <f>Master!E12</f>
        <v>0</v>
      </c>
      <c r="E12" s="467">
        <f>Master!H12</f>
        <v>0</v>
      </c>
      <c r="F12" s="467">
        <f>Master!C12</f>
        <v>0</v>
      </c>
      <c r="G12" s="467">
        <f>Master!G12</f>
        <v>0</v>
      </c>
      <c r="H12" s="467">
        <f>Master!I12</f>
        <v>0</v>
      </c>
      <c r="I12" s="467">
        <f t="shared" ref="I12:I13" si="0">G12+H12</f>
        <v>0</v>
      </c>
      <c r="J12" s="468">
        <f>Master!J12</f>
        <v>0</v>
      </c>
      <c r="K12" s="467">
        <f>'Formet 8'!L121</f>
        <v>4500</v>
      </c>
      <c r="L12" s="467">
        <f>'Formet 8'!K121</f>
        <v>0</v>
      </c>
      <c r="M12" s="467">
        <f t="shared" ref="M12:M13" si="1">K12-F12</f>
        <v>4500</v>
      </c>
      <c r="N12" s="467">
        <f t="shared" ref="N12:N13" si="2">K12-I12</f>
        <v>4500</v>
      </c>
      <c r="O12" s="467">
        <f t="shared" ref="O12:O13" si="3">L12-K12</f>
        <v>-4500</v>
      </c>
    </row>
    <row r="13" spans="1:16" ht="16.5">
      <c r="A13" s="178">
        <v>3</v>
      </c>
      <c r="B13" s="470" t="s">
        <v>281</v>
      </c>
      <c r="C13" s="467">
        <f>Master!D13</f>
        <v>0</v>
      </c>
      <c r="D13" s="467">
        <f>Master!E13</f>
        <v>201175</v>
      </c>
      <c r="E13" s="467">
        <f>Master!H13</f>
        <v>0</v>
      </c>
      <c r="F13" s="467">
        <f>Master!C13</f>
        <v>0</v>
      </c>
      <c r="G13" s="467">
        <f>Master!G13</f>
        <v>0</v>
      </c>
      <c r="H13" s="467">
        <f>Master!I13</f>
        <v>0</v>
      </c>
      <c r="I13" s="467">
        <f t="shared" si="0"/>
        <v>0</v>
      </c>
      <c r="J13" s="468">
        <f>Master!J13</f>
        <v>0</v>
      </c>
      <c r="K13" s="467">
        <f>'Formet 8'!L122</f>
        <v>1000</v>
      </c>
      <c r="L13" s="467">
        <f>'Formet 8'!K122</f>
        <v>0</v>
      </c>
      <c r="M13" s="467">
        <f t="shared" si="1"/>
        <v>1000</v>
      </c>
      <c r="N13" s="467">
        <f t="shared" si="2"/>
        <v>1000</v>
      </c>
      <c r="O13" s="467">
        <f t="shared" si="3"/>
        <v>-1000</v>
      </c>
    </row>
    <row r="14" spans="1:16" ht="16.5">
      <c r="A14" s="144"/>
      <c r="B14" s="469" t="s">
        <v>14</v>
      </c>
      <c r="C14" s="472">
        <f>Master!D14</f>
        <v>8513603</v>
      </c>
      <c r="D14" s="472">
        <f>Master!E14</f>
        <v>7234913</v>
      </c>
      <c r="E14" s="472">
        <f>Master!H14</f>
        <v>9348604</v>
      </c>
      <c r="F14" s="472">
        <f>Master!C14</f>
        <v>9820000</v>
      </c>
      <c r="G14" s="472">
        <f>Master!G14</f>
        <v>6705337</v>
      </c>
      <c r="H14" s="472">
        <f>Master!I14</f>
        <v>3407270</v>
      </c>
      <c r="I14" s="472">
        <f t="shared" ref="I14:O14" si="4">SUM(I11:I13)</f>
        <v>10112607</v>
      </c>
      <c r="J14" s="472">
        <f t="shared" si="4"/>
        <v>6407270</v>
      </c>
      <c r="K14" s="472">
        <f t="shared" si="4"/>
        <v>15423058</v>
      </c>
      <c r="L14" s="472">
        <f t="shared" si="4"/>
        <v>15871174</v>
      </c>
      <c r="M14" s="472">
        <f t="shared" si="4"/>
        <v>5603058</v>
      </c>
      <c r="N14" s="472">
        <f t="shared" si="4"/>
        <v>5310451</v>
      </c>
      <c r="O14" s="472">
        <f t="shared" si="4"/>
        <v>448116</v>
      </c>
    </row>
    <row r="15" spans="1:16" ht="16.5">
      <c r="A15" s="144"/>
      <c r="B15" s="469" t="s">
        <v>282</v>
      </c>
      <c r="C15" s="824"/>
      <c r="D15" s="825"/>
      <c r="E15" s="825"/>
      <c r="F15" s="825"/>
      <c r="G15" s="825"/>
      <c r="H15" s="825"/>
      <c r="I15" s="825"/>
      <c r="J15" s="825"/>
      <c r="K15" s="825"/>
      <c r="L15" s="825"/>
      <c r="M15" s="825"/>
      <c r="N15" s="825"/>
      <c r="O15" s="825"/>
    </row>
    <row r="16" spans="1:16" ht="16.5">
      <c r="A16" s="144">
        <v>1</v>
      </c>
      <c r="B16" s="471" t="s">
        <v>16</v>
      </c>
      <c r="C16" s="476">
        <f>Master!D16</f>
        <v>0</v>
      </c>
      <c r="D16" s="467">
        <f>Master!E16</f>
        <v>0</v>
      </c>
      <c r="E16" s="467">
        <f>Master!H16</f>
        <v>0</v>
      </c>
      <c r="F16" s="467">
        <f>Master!C16</f>
        <v>0</v>
      </c>
      <c r="G16" s="467">
        <f>Master!G16</f>
        <v>0</v>
      </c>
      <c r="H16" s="467">
        <f>Master!I16</f>
        <v>0</v>
      </c>
      <c r="I16" s="468">
        <f>SUM(G16:H16)</f>
        <v>0</v>
      </c>
      <c r="J16" s="468">
        <f>Master!J16</f>
        <v>0</v>
      </c>
      <c r="K16" s="467">
        <f>H16+J16</f>
        <v>0</v>
      </c>
      <c r="L16" s="476">
        <f>Master!K16</f>
        <v>0</v>
      </c>
      <c r="M16" s="467">
        <f t="shared" ref="M16" si="5">K16-F16</f>
        <v>0</v>
      </c>
      <c r="N16" s="467">
        <f t="shared" ref="N16" si="6">K16-I16</f>
        <v>0</v>
      </c>
      <c r="O16" s="467">
        <f t="shared" ref="O16" si="7">L16-K16</f>
        <v>0</v>
      </c>
    </row>
    <row r="17" spans="1:15" ht="16.5">
      <c r="A17" s="144">
        <v>2</v>
      </c>
      <c r="B17" s="471" t="s">
        <v>17</v>
      </c>
      <c r="C17" s="476">
        <f>Master!D17</f>
        <v>0</v>
      </c>
      <c r="D17" s="467">
        <f>Master!E17</f>
        <v>0</v>
      </c>
      <c r="E17" s="467">
        <f>Master!H17</f>
        <v>0</v>
      </c>
      <c r="F17" s="467">
        <f>Master!C17</f>
        <v>0</v>
      </c>
      <c r="G17" s="467">
        <f>Master!G17</f>
        <v>0</v>
      </c>
      <c r="H17" s="467">
        <f>Master!I17</f>
        <v>0</v>
      </c>
      <c r="I17" s="468">
        <f t="shared" ref="I17:I23" si="8">SUM(G17:H17)</f>
        <v>0</v>
      </c>
      <c r="J17" s="468">
        <f>Master!J17</f>
        <v>0</v>
      </c>
      <c r="K17" s="467">
        <f t="shared" ref="K17:K25" si="9">H17+J17</f>
        <v>0</v>
      </c>
      <c r="L17" s="476">
        <f>Master!K17</f>
        <v>0</v>
      </c>
      <c r="M17" s="467">
        <f t="shared" ref="M17:M25" si="10">K17-F17</f>
        <v>0</v>
      </c>
      <c r="N17" s="467">
        <f t="shared" ref="N17:N25" si="11">K17-I17</f>
        <v>0</v>
      </c>
      <c r="O17" s="467">
        <f t="shared" ref="O17:O25" si="12">L17-K17</f>
        <v>0</v>
      </c>
    </row>
    <row r="18" spans="1:15" ht="16.5">
      <c r="A18" s="144">
        <v>3</v>
      </c>
      <c r="B18" s="471" t="s">
        <v>18</v>
      </c>
      <c r="C18" s="476">
        <f>Master!D18</f>
        <v>0</v>
      </c>
      <c r="D18" s="467">
        <f>Master!E18</f>
        <v>0</v>
      </c>
      <c r="E18" s="467">
        <f>Master!H18</f>
        <v>0</v>
      </c>
      <c r="F18" s="467">
        <f>Master!C18</f>
        <v>0</v>
      </c>
      <c r="G18" s="467">
        <f>Master!G18</f>
        <v>0</v>
      </c>
      <c r="H18" s="467">
        <f>Master!I18</f>
        <v>0</v>
      </c>
      <c r="I18" s="468">
        <f t="shared" si="8"/>
        <v>0</v>
      </c>
      <c r="J18" s="468">
        <f>Master!J18</f>
        <v>0</v>
      </c>
      <c r="K18" s="467">
        <f t="shared" si="9"/>
        <v>0</v>
      </c>
      <c r="L18" s="476">
        <f>Master!K18</f>
        <v>0</v>
      </c>
      <c r="M18" s="467">
        <f t="shared" si="10"/>
        <v>0</v>
      </c>
      <c r="N18" s="467">
        <f t="shared" si="11"/>
        <v>0</v>
      </c>
      <c r="O18" s="467">
        <f t="shared" si="12"/>
        <v>0</v>
      </c>
    </row>
    <row r="19" spans="1:15" ht="16.5">
      <c r="A19" s="144">
        <v>4</v>
      </c>
      <c r="B19" s="471" t="s">
        <v>19</v>
      </c>
      <c r="C19" s="476">
        <f>Master!D19</f>
        <v>0</v>
      </c>
      <c r="D19" s="467">
        <f>Master!E19</f>
        <v>0</v>
      </c>
      <c r="E19" s="467">
        <f>Master!H19</f>
        <v>0</v>
      </c>
      <c r="F19" s="467">
        <f>Master!C19</f>
        <v>0</v>
      </c>
      <c r="G19" s="467">
        <f>Master!G19</f>
        <v>0</v>
      </c>
      <c r="H19" s="467">
        <f>Master!I19</f>
        <v>0</v>
      </c>
      <c r="I19" s="468">
        <f t="shared" si="8"/>
        <v>0</v>
      </c>
      <c r="J19" s="468">
        <f>Master!J19</f>
        <v>0</v>
      </c>
      <c r="K19" s="467">
        <f t="shared" si="9"/>
        <v>0</v>
      </c>
      <c r="L19" s="476">
        <f>Master!K19</f>
        <v>0</v>
      </c>
      <c r="M19" s="467">
        <f t="shared" si="10"/>
        <v>0</v>
      </c>
      <c r="N19" s="467">
        <f t="shared" si="11"/>
        <v>0</v>
      </c>
      <c r="O19" s="467">
        <f t="shared" si="12"/>
        <v>0</v>
      </c>
    </row>
    <row r="20" spans="1:15" ht="16.5">
      <c r="A20" s="144">
        <v>5</v>
      </c>
      <c r="B20" s="471" t="s">
        <v>20</v>
      </c>
      <c r="C20" s="476">
        <f>Master!D20</f>
        <v>0</v>
      </c>
      <c r="D20" s="467">
        <f>Master!E20</f>
        <v>0</v>
      </c>
      <c r="E20" s="467">
        <f>Master!H20</f>
        <v>0</v>
      </c>
      <c r="F20" s="467">
        <f>Master!C20</f>
        <v>0</v>
      </c>
      <c r="G20" s="467">
        <f>Master!G20</f>
        <v>0</v>
      </c>
      <c r="H20" s="467">
        <f>Master!I20</f>
        <v>0</v>
      </c>
      <c r="I20" s="468">
        <f t="shared" si="8"/>
        <v>0</v>
      </c>
      <c r="J20" s="468">
        <f>Master!J20</f>
        <v>0</v>
      </c>
      <c r="K20" s="467">
        <f t="shared" si="9"/>
        <v>0</v>
      </c>
      <c r="L20" s="476">
        <f>Master!K20</f>
        <v>0</v>
      </c>
      <c r="M20" s="467">
        <f t="shared" si="10"/>
        <v>0</v>
      </c>
      <c r="N20" s="467">
        <f t="shared" si="11"/>
        <v>0</v>
      </c>
      <c r="O20" s="467">
        <f t="shared" si="12"/>
        <v>0</v>
      </c>
    </row>
    <row r="21" spans="1:15" ht="16.5">
      <c r="A21" s="144">
        <v>6</v>
      </c>
      <c r="B21" s="471" t="s">
        <v>21</v>
      </c>
      <c r="C21" s="476">
        <f>Master!D21</f>
        <v>2485</v>
      </c>
      <c r="D21" s="467">
        <f>Master!E21</f>
        <v>2500</v>
      </c>
      <c r="E21" s="467">
        <f>Master!H21</f>
        <v>2500</v>
      </c>
      <c r="F21" s="467">
        <f>Master!C21</f>
        <v>2500</v>
      </c>
      <c r="G21" s="467">
        <f>Master!G21</f>
        <v>2500</v>
      </c>
      <c r="H21" s="467">
        <f>Master!I21</f>
        <v>0</v>
      </c>
      <c r="I21" s="468">
        <f t="shared" si="8"/>
        <v>2500</v>
      </c>
      <c r="J21" s="468">
        <f>Master!J21</f>
        <v>0</v>
      </c>
      <c r="K21" s="467">
        <f t="shared" si="9"/>
        <v>0</v>
      </c>
      <c r="L21" s="476">
        <f>Master!K21</f>
        <v>0</v>
      </c>
      <c r="M21" s="467">
        <f t="shared" si="10"/>
        <v>-2500</v>
      </c>
      <c r="N21" s="467">
        <f t="shared" si="11"/>
        <v>-2500</v>
      </c>
      <c r="O21" s="467">
        <f t="shared" si="12"/>
        <v>0</v>
      </c>
    </row>
    <row r="22" spans="1:15" ht="16.5">
      <c r="A22" s="144">
        <v>7</v>
      </c>
      <c r="B22" s="471" t="s">
        <v>22</v>
      </c>
      <c r="C22" s="476">
        <f>Master!D22</f>
        <v>0</v>
      </c>
      <c r="D22" s="467">
        <f>Master!E22</f>
        <v>0</v>
      </c>
      <c r="E22" s="467">
        <f>Master!H22</f>
        <v>0</v>
      </c>
      <c r="F22" s="467">
        <f>Master!C22</f>
        <v>0</v>
      </c>
      <c r="G22" s="467">
        <f>Master!G22</f>
        <v>0</v>
      </c>
      <c r="H22" s="467">
        <f>Master!I22</f>
        <v>0</v>
      </c>
      <c r="I22" s="468">
        <f t="shared" si="8"/>
        <v>0</v>
      </c>
      <c r="J22" s="468">
        <f>Master!J22</f>
        <v>0</v>
      </c>
      <c r="K22" s="467">
        <f t="shared" si="9"/>
        <v>0</v>
      </c>
      <c r="L22" s="476">
        <f>Master!K22</f>
        <v>0</v>
      </c>
      <c r="M22" s="467">
        <f t="shared" si="10"/>
        <v>0</v>
      </c>
      <c r="N22" s="467">
        <f t="shared" si="11"/>
        <v>0</v>
      </c>
      <c r="O22" s="467">
        <f t="shared" si="12"/>
        <v>0</v>
      </c>
    </row>
    <row r="23" spans="1:15" ht="16.5">
      <c r="A23" s="144">
        <v>8</v>
      </c>
      <c r="B23" s="471" t="s">
        <v>23</v>
      </c>
      <c r="C23" s="476">
        <f>Master!D23</f>
        <v>0</v>
      </c>
      <c r="D23" s="467">
        <f>Master!E23</f>
        <v>0</v>
      </c>
      <c r="E23" s="467">
        <f>Master!H23</f>
        <v>0</v>
      </c>
      <c r="F23" s="467">
        <f>Master!C23</f>
        <v>0</v>
      </c>
      <c r="G23" s="467">
        <f>Master!G23</f>
        <v>0</v>
      </c>
      <c r="H23" s="467">
        <f>Master!I23</f>
        <v>0</v>
      </c>
      <c r="I23" s="468">
        <f t="shared" si="8"/>
        <v>0</v>
      </c>
      <c r="J23" s="468">
        <f>Master!J23</f>
        <v>0</v>
      </c>
      <c r="K23" s="467">
        <f t="shared" si="9"/>
        <v>0</v>
      </c>
      <c r="L23" s="476">
        <f>Master!K23</f>
        <v>0</v>
      </c>
      <c r="M23" s="467">
        <f t="shared" si="10"/>
        <v>0</v>
      </c>
      <c r="N23" s="467">
        <f t="shared" si="11"/>
        <v>0</v>
      </c>
      <c r="O23" s="467">
        <f t="shared" si="12"/>
        <v>0</v>
      </c>
    </row>
    <row r="24" spans="1:15">
      <c r="A24" s="144"/>
      <c r="B24" s="466" t="s">
        <v>24</v>
      </c>
      <c r="C24" s="473">
        <f>SUM(C16:C23)</f>
        <v>2485</v>
      </c>
      <c r="D24" s="473">
        <f t="shared" ref="D24:O24" si="13">SUM(D16:D23)</f>
        <v>2500</v>
      </c>
      <c r="E24" s="473">
        <f t="shared" si="13"/>
        <v>2500</v>
      </c>
      <c r="F24" s="473">
        <f t="shared" si="13"/>
        <v>2500</v>
      </c>
      <c r="G24" s="473">
        <f t="shared" si="13"/>
        <v>2500</v>
      </c>
      <c r="H24" s="473">
        <f t="shared" si="13"/>
        <v>0</v>
      </c>
      <c r="I24" s="473">
        <f t="shared" si="13"/>
        <v>2500</v>
      </c>
      <c r="J24" s="473">
        <f t="shared" si="13"/>
        <v>0</v>
      </c>
      <c r="K24" s="473">
        <f t="shared" si="13"/>
        <v>0</v>
      </c>
      <c r="L24" s="473">
        <f t="shared" si="13"/>
        <v>0</v>
      </c>
      <c r="M24" s="473">
        <f t="shared" si="13"/>
        <v>-2500</v>
      </c>
      <c r="N24" s="473">
        <f t="shared" si="13"/>
        <v>-2500</v>
      </c>
      <c r="O24" s="473">
        <f t="shared" si="13"/>
        <v>0</v>
      </c>
    </row>
    <row r="25" spans="1:15" ht="16.5">
      <c r="A25" s="144">
        <v>1</v>
      </c>
      <c r="B25" s="471" t="s">
        <v>283</v>
      </c>
      <c r="C25" s="476">
        <f>Master!D25</f>
        <v>0</v>
      </c>
      <c r="D25" s="467">
        <f>Master!E25</f>
        <v>0</v>
      </c>
      <c r="E25" s="467">
        <f>Master!H25</f>
        <v>0</v>
      </c>
      <c r="F25" s="467">
        <f>Master!C25</f>
        <v>0</v>
      </c>
      <c r="G25" s="467">
        <f>Master!G25</f>
        <v>0</v>
      </c>
      <c r="H25" s="467">
        <f>Master!I25</f>
        <v>0</v>
      </c>
      <c r="I25" s="468">
        <f t="shared" ref="I25" si="14">SUM(G25:H25)</f>
        <v>0</v>
      </c>
      <c r="J25" s="468">
        <f>Master!J25</f>
        <v>0</v>
      </c>
      <c r="K25" s="467">
        <f t="shared" si="9"/>
        <v>0</v>
      </c>
      <c r="L25" s="476">
        <f>Master!K25</f>
        <v>0</v>
      </c>
      <c r="M25" s="467">
        <f t="shared" si="10"/>
        <v>0</v>
      </c>
      <c r="N25" s="467">
        <f t="shared" si="11"/>
        <v>0</v>
      </c>
      <c r="O25" s="467">
        <f t="shared" si="12"/>
        <v>0</v>
      </c>
    </row>
    <row r="26" spans="1:15" ht="16.5">
      <c r="A26" s="144">
        <v>2</v>
      </c>
      <c r="B26" s="471" t="s">
        <v>284</v>
      </c>
      <c r="C26" s="476">
        <f>Master!D26</f>
        <v>1200</v>
      </c>
      <c r="D26" s="467">
        <f>Master!E26</f>
        <v>1198</v>
      </c>
      <c r="E26" s="467">
        <f>Master!H26</f>
        <v>2500</v>
      </c>
      <c r="F26" s="467">
        <f>Master!C26</f>
        <v>2000</v>
      </c>
      <c r="G26" s="467">
        <f>Master!G26</f>
        <v>2500</v>
      </c>
      <c r="H26" s="467">
        <f>Master!I26</f>
        <v>0</v>
      </c>
      <c r="I26" s="468">
        <f t="shared" ref="I26:I30" si="15">SUM(G26:H26)</f>
        <v>2500</v>
      </c>
      <c r="J26" s="468">
        <f>Master!J26</f>
        <v>0</v>
      </c>
      <c r="K26" s="467">
        <f t="shared" ref="K26:K30" si="16">H26+J26</f>
        <v>0</v>
      </c>
      <c r="L26" s="476">
        <f>Master!K26</f>
        <v>0</v>
      </c>
      <c r="M26" s="467">
        <f t="shared" ref="M26:M30" si="17">K26-F26</f>
        <v>-2000</v>
      </c>
      <c r="N26" s="467">
        <f t="shared" ref="N26:N30" si="18">K26-I26</f>
        <v>-2500</v>
      </c>
      <c r="O26" s="467">
        <f t="shared" ref="O26:O30" si="19">L26-K26</f>
        <v>0</v>
      </c>
    </row>
    <row r="27" spans="1:15" ht="16.5">
      <c r="A27" s="144">
        <v>3</v>
      </c>
      <c r="B27" s="471" t="s">
        <v>285</v>
      </c>
      <c r="C27" s="476">
        <f>Master!D27</f>
        <v>0</v>
      </c>
      <c r="D27" s="467">
        <f>Master!E27</f>
        <v>0</v>
      </c>
      <c r="E27" s="467">
        <f>Master!H27</f>
        <v>0</v>
      </c>
      <c r="F27" s="467">
        <f>Master!C27</f>
        <v>0</v>
      </c>
      <c r="G27" s="467">
        <f>Master!G27</f>
        <v>0</v>
      </c>
      <c r="H27" s="467">
        <f>Master!I27</f>
        <v>0</v>
      </c>
      <c r="I27" s="468">
        <f t="shared" si="15"/>
        <v>0</v>
      </c>
      <c r="J27" s="468">
        <f>Master!J27</f>
        <v>0</v>
      </c>
      <c r="K27" s="467">
        <f t="shared" si="16"/>
        <v>0</v>
      </c>
      <c r="L27" s="476">
        <f>Master!K27</f>
        <v>0</v>
      </c>
      <c r="M27" s="467">
        <f t="shared" si="17"/>
        <v>0</v>
      </c>
      <c r="N27" s="467">
        <f t="shared" si="18"/>
        <v>0</v>
      </c>
      <c r="O27" s="467">
        <f t="shared" si="19"/>
        <v>0</v>
      </c>
    </row>
    <row r="28" spans="1:15" ht="16.5">
      <c r="A28" s="144">
        <v>4</v>
      </c>
      <c r="B28" s="471" t="s">
        <v>286</v>
      </c>
      <c r="C28" s="476">
        <f>Master!D28</f>
        <v>1100</v>
      </c>
      <c r="D28" s="467">
        <f>Master!E28</f>
        <v>0</v>
      </c>
      <c r="E28" s="467">
        <f>Master!H28</f>
        <v>0</v>
      </c>
      <c r="F28" s="467">
        <f>Master!C28</f>
        <v>0</v>
      </c>
      <c r="G28" s="467">
        <f>Master!G28</f>
        <v>0</v>
      </c>
      <c r="H28" s="467">
        <f>Master!I28</f>
        <v>0</v>
      </c>
      <c r="I28" s="468">
        <f t="shared" si="15"/>
        <v>0</v>
      </c>
      <c r="J28" s="468">
        <f>Master!J28</f>
        <v>0</v>
      </c>
      <c r="K28" s="467">
        <f t="shared" si="16"/>
        <v>0</v>
      </c>
      <c r="L28" s="476">
        <f>Master!K28</f>
        <v>0</v>
      </c>
      <c r="M28" s="467">
        <f t="shared" si="17"/>
        <v>0</v>
      </c>
      <c r="N28" s="467">
        <f t="shared" si="18"/>
        <v>0</v>
      </c>
      <c r="O28" s="467">
        <f t="shared" si="19"/>
        <v>0</v>
      </c>
    </row>
    <row r="29" spans="1:15" ht="16.5">
      <c r="A29" s="144">
        <v>5</v>
      </c>
      <c r="B29" s="471" t="s">
        <v>287</v>
      </c>
      <c r="C29" s="476">
        <f>Master!D29</f>
        <v>3300</v>
      </c>
      <c r="D29" s="467">
        <f>Master!E29</f>
        <v>3300</v>
      </c>
      <c r="E29" s="467">
        <f>Master!H29</f>
        <v>3300</v>
      </c>
      <c r="F29" s="467">
        <f>Master!C29</f>
        <v>3300</v>
      </c>
      <c r="G29" s="467">
        <f>Master!G29</f>
        <v>3300</v>
      </c>
      <c r="H29" s="467">
        <f>Master!I29</f>
        <v>0</v>
      </c>
      <c r="I29" s="468">
        <f t="shared" si="15"/>
        <v>3300</v>
      </c>
      <c r="J29" s="468">
        <f>Master!J29</f>
        <v>0</v>
      </c>
      <c r="K29" s="467">
        <f t="shared" si="16"/>
        <v>0</v>
      </c>
      <c r="L29" s="476">
        <f>Master!K29</f>
        <v>0</v>
      </c>
      <c r="M29" s="467">
        <f t="shared" si="17"/>
        <v>-3300</v>
      </c>
      <c r="N29" s="467">
        <f t="shared" si="18"/>
        <v>-3300</v>
      </c>
      <c r="O29" s="467">
        <f t="shared" si="19"/>
        <v>0</v>
      </c>
    </row>
    <row r="30" spans="1:15" s="330" customFormat="1" ht="16.5">
      <c r="A30" s="144">
        <v>6</v>
      </c>
      <c r="B30" s="471" t="s">
        <v>566</v>
      </c>
      <c r="C30" s="476">
        <f>Master!D30</f>
        <v>0</v>
      </c>
      <c r="D30" s="467">
        <f>Master!E30</f>
        <v>0</v>
      </c>
      <c r="E30" s="467">
        <f>Master!H30</f>
        <v>0</v>
      </c>
      <c r="F30" s="467">
        <f>Master!C30</f>
        <v>0</v>
      </c>
      <c r="G30" s="467">
        <f>Master!G30</f>
        <v>0</v>
      </c>
      <c r="H30" s="467">
        <f>Master!I30</f>
        <v>0</v>
      </c>
      <c r="I30" s="468">
        <f t="shared" si="15"/>
        <v>0</v>
      </c>
      <c r="J30" s="468">
        <f>Master!J30</f>
        <v>0</v>
      </c>
      <c r="K30" s="467">
        <f t="shared" si="16"/>
        <v>0</v>
      </c>
      <c r="L30" s="476">
        <f>Master!K30</f>
        <v>0</v>
      </c>
      <c r="M30" s="467">
        <f t="shared" si="17"/>
        <v>0</v>
      </c>
      <c r="N30" s="467">
        <f t="shared" si="18"/>
        <v>0</v>
      </c>
      <c r="O30" s="467">
        <f t="shared" si="19"/>
        <v>0</v>
      </c>
    </row>
    <row r="31" spans="1:15" ht="16.5">
      <c r="A31" s="144"/>
      <c r="B31" s="469" t="s">
        <v>695</v>
      </c>
      <c r="C31" s="472">
        <f>SUM(C25:C30)</f>
        <v>5600</v>
      </c>
      <c r="D31" s="472">
        <f t="shared" ref="D31:O31" si="20">SUM(D25:D30)</f>
        <v>4498</v>
      </c>
      <c r="E31" s="472">
        <f t="shared" si="20"/>
        <v>5800</v>
      </c>
      <c r="F31" s="472">
        <f t="shared" si="20"/>
        <v>5300</v>
      </c>
      <c r="G31" s="472">
        <f t="shared" si="20"/>
        <v>5800</v>
      </c>
      <c r="H31" s="472">
        <f t="shared" si="20"/>
        <v>0</v>
      </c>
      <c r="I31" s="472">
        <f t="shared" si="20"/>
        <v>5800</v>
      </c>
      <c r="J31" s="472">
        <f t="shared" si="20"/>
        <v>0</v>
      </c>
      <c r="K31" s="472">
        <f t="shared" si="20"/>
        <v>0</v>
      </c>
      <c r="L31" s="472">
        <f t="shared" si="20"/>
        <v>0</v>
      </c>
      <c r="M31" s="472">
        <f t="shared" si="20"/>
        <v>-5300</v>
      </c>
      <c r="N31" s="472">
        <f t="shared" si="20"/>
        <v>-5800</v>
      </c>
      <c r="O31" s="472">
        <f t="shared" si="20"/>
        <v>0</v>
      </c>
    </row>
    <row r="32" spans="1:15" ht="16.5">
      <c r="A32" s="144"/>
      <c r="B32" s="469" t="s">
        <v>30</v>
      </c>
      <c r="C32" s="475">
        <f>SUM(C24+C31)</f>
        <v>8085</v>
      </c>
      <c r="D32" s="475">
        <f t="shared" ref="D32:O32" si="21">SUM(D24+D31)</f>
        <v>6998</v>
      </c>
      <c r="E32" s="475">
        <f t="shared" si="21"/>
        <v>8300</v>
      </c>
      <c r="F32" s="475">
        <f t="shared" si="21"/>
        <v>7800</v>
      </c>
      <c r="G32" s="475">
        <f t="shared" si="21"/>
        <v>8300</v>
      </c>
      <c r="H32" s="475">
        <f t="shared" si="21"/>
        <v>0</v>
      </c>
      <c r="I32" s="475">
        <f t="shared" si="21"/>
        <v>8300</v>
      </c>
      <c r="J32" s="475">
        <f t="shared" si="21"/>
        <v>0</v>
      </c>
      <c r="K32" s="475">
        <f t="shared" si="21"/>
        <v>0</v>
      </c>
      <c r="L32" s="475">
        <f t="shared" si="21"/>
        <v>0</v>
      </c>
      <c r="M32" s="475">
        <f t="shared" si="21"/>
        <v>-7800</v>
      </c>
      <c r="N32" s="475">
        <f t="shared" si="21"/>
        <v>-8300</v>
      </c>
      <c r="O32" s="475">
        <f t="shared" si="21"/>
        <v>0</v>
      </c>
    </row>
    <row r="33" spans="1:15" ht="16.5">
      <c r="A33" s="144"/>
      <c r="B33" s="469" t="s">
        <v>31</v>
      </c>
      <c r="C33" s="474">
        <f>SUM(C14+C32)</f>
        <v>8521688</v>
      </c>
      <c r="D33" s="474">
        <f t="shared" ref="D33:O33" si="22">SUM(D14+D32)</f>
        <v>7241911</v>
      </c>
      <c r="E33" s="474">
        <f t="shared" si="22"/>
        <v>9356904</v>
      </c>
      <c r="F33" s="474">
        <f t="shared" si="22"/>
        <v>9827800</v>
      </c>
      <c r="G33" s="474">
        <f t="shared" si="22"/>
        <v>6713637</v>
      </c>
      <c r="H33" s="474">
        <f t="shared" si="22"/>
        <v>3407270</v>
      </c>
      <c r="I33" s="474">
        <f t="shared" si="22"/>
        <v>10120907</v>
      </c>
      <c r="J33" s="474">
        <f t="shared" si="22"/>
        <v>6407270</v>
      </c>
      <c r="K33" s="474">
        <f t="shared" si="22"/>
        <v>15423058</v>
      </c>
      <c r="L33" s="474">
        <f t="shared" si="22"/>
        <v>15871174</v>
      </c>
      <c r="M33" s="474">
        <f t="shared" si="22"/>
        <v>5595258</v>
      </c>
      <c r="N33" s="474">
        <f t="shared" si="22"/>
        <v>5302151</v>
      </c>
      <c r="O33" s="474">
        <f t="shared" si="22"/>
        <v>448116</v>
      </c>
    </row>
    <row r="34" spans="1:15" ht="16.5">
      <c r="A34" s="145"/>
      <c r="B34" s="820" t="s">
        <v>558</v>
      </c>
      <c r="C34" s="820"/>
      <c r="D34" s="820"/>
      <c r="E34" s="820"/>
      <c r="F34" s="820"/>
      <c r="G34" s="820"/>
      <c r="H34" s="820"/>
      <c r="I34" s="820"/>
      <c r="J34" s="820"/>
      <c r="K34" s="820"/>
      <c r="L34" s="820"/>
      <c r="M34" s="820"/>
      <c r="N34" s="145"/>
      <c r="O34" s="145"/>
    </row>
    <row r="35" spans="1:15" s="330" customFormat="1" ht="21" customHeight="1">
      <c r="A35" s="145"/>
      <c r="B35" s="145"/>
      <c r="C35" s="137"/>
      <c r="D35" s="137"/>
      <c r="E35" s="137"/>
      <c r="F35" s="137"/>
      <c r="G35" s="137"/>
      <c r="H35" s="137"/>
      <c r="I35" s="137"/>
      <c r="J35" s="137"/>
      <c r="K35" s="137"/>
      <c r="L35" s="137"/>
      <c r="M35" s="145"/>
      <c r="N35" s="680" t="str">
        <f>CONCATENATE("¼ ",Master!G3,"½")</f>
        <v>¼ m"kk ikfy;k½</v>
      </c>
      <c r="O35" s="680"/>
    </row>
    <row r="36" spans="1:15" ht="15.75">
      <c r="A36" s="145"/>
      <c r="B36" s="145"/>
      <c r="C36" s="137"/>
      <c r="D36" s="137"/>
      <c r="E36" s="137"/>
      <c r="F36" s="137"/>
      <c r="G36" s="137"/>
      <c r="H36" s="137"/>
      <c r="I36" s="137"/>
      <c r="J36" s="137"/>
      <c r="K36" s="137"/>
      <c r="L36" s="137"/>
      <c r="M36" s="822" t="str">
        <f>Master!C2</f>
        <v>iz/kkukpk;Z</v>
      </c>
      <c r="N36" s="822"/>
      <c r="O36" s="822"/>
    </row>
    <row r="37" spans="1:15" ht="15" customHeight="1">
      <c r="A37" s="145"/>
      <c r="B37" s="145"/>
      <c r="C37" s="137"/>
      <c r="D37" s="137"/>
      <c r="E37" s="137"/>
      <c r="F37" s="137"/>
      <c r="G37" s="137"/>
      <c r="H37" s="137"/>
      <c r="I37" s="137"/>
      <c r="J37" s="137"/>
      <c r="K37" s="137"/>
      <c r="L37" s="137"/>
      <c r="M37" s="823" t="str">
        <f>Master!D2</f>
        <v>egkRek xka/kh jktdh; fo|ky; ¼vaxzsth ek/;e½ cj ] ikyh</v>
      </c>
      <c r="N37" s="823"/>
      <c r="O37" s="823"/>
    </row>
    <row r="38" spans="1:15" ht="15" customHeight="1">
      <c r="A38" s="145"/>
      <c r="B38" s="145"/>
      <c r="C38" s="137"/>
      <c r="D38" s="137"/>
      <c r="E38" s="137"/>
      <c r="F38" s="137"/>
      <c r="G38" s="137"/>
      <c r="H38" s="137"/>
      <c r="I38" s="137"/>
      <c r="J38" s="137"/>
      <c r="K38" s="137"/>
      <c r="L38" s="137"/>
      <c r="M38" s="823"/>
      <c r="N38" s="823"/>
      <c r="O38" s="823"/>
    </row>
    <row r="39" spans="1:15">
      <c r="A39" s="145"/>
      <c r="B39" s="145"/>
      <c r="C39" s="137"/>
      <c r="D39" s="137"/>
      <c r="E39" s="137"/>
      <c r="F39" s="137"/>
      <c r="G39" s="137"/>
      <c r="H39" s="137"/>
      <c r="I39" s="137"/>
      <c r="J39" s="137"/>
      <c r="K39" s="137"/>
      <c r="L39" s="137"/>
      <c r="M39" s="823"/>
      <c r="N39" s="823"/>
      <c r="O39" s="823"/>
    </row>
    <row r="40" spans="1:15">
      <c r="A40" s="97"/>
      <c r="B40" s="97"/>
      <c r="C40" s="96"/>
      <c r="D40" s="96"/>
      <c r="E40" s="96"/>
      <c r="F40" s="96"/>
      <c r="G40" s="96"/>
      <c r="H40" s="96"/>
      <c r="I40" s="96"/>
      <c r="J40" s="96"/>
      <c r="K40" s="96"/>
      <c r="L40" s="96"/>
      <c r="M40" s="97"/>
      <c r="N40" s="97"/>
      <c r="O40" s="97"/>
    </row>
  </sheetData>
  <protectedRanges>
    <protectedRange sqref="C16:C23 C25:C30" name="Range1"/>
  </protectedRanges>
  <mergeCells count="19">
    <mergeCell ref="B34:M34"/>
    <mergeCell ref="G5:H5"/>
    <mergeCell ref="M36:O36"/>
    <mergeCell ref="M37:O39"/>
    <mergeCell ref="C15:O15"/>
    <mergeCell ref="L8:L9"/>
    <mergeCell ref="K6:O6"/>
    <mergeCell ref="M1:O1"/>
    <mergeCell ref="A2:O2"/>
    <mergeCell ref="A3:O3"/>
    <mergeCell ref="A4:O4"/>
    <mergeCell ref="A8:A9"/>
    <mergeCell ref="B8:B9"/>
    <mergeCell ref="C8:E8"/>
    <mergeCell ref="G8:I8"/>
    <mergeCell ref="J8:J9"/>
    <mergeCell ref="K8:K9"/>
    <mergeCell ref="M8:O8"/>
    <mergeCell ref="A7:O7"/>
  </mergeCells>
  <conditionalFormatting sqref="B34">
    <cfRule type="containsText" dxfId="37" priority="1" operator="containsText" text="in fjDr">
      <formula>NOT(ISERROR(SEARCH("in fjDr",B34)))</formula>
    </cfRule>
  </conditionalFormatting>
  <pageMargins left="0.69" right="0.2" top="0.25" bottom="0.25" header="0.3" footer="0.3"/>
  <pageSetup paperSize="9" scale="78" orientation="landscape" blackAndWhite="1" horizontalDpi="300" verticalDpi="300" r:id="rId1"/>
</worksheet>
</file>

<file path=xl/worksheets/sheet5.xml><?xml version="1.0" encoding="utf-8"?>
<worksheet xmlns="http://schemas.openxmlformats.org/spreadsheetml/2006/main" xmlns:r="http://schemas.openxmlformats.org/officeDocument/2006/relationships">
  <sheetPr codeName="Sheet5">
    <tabColor rgb="FF00B050"/>
    <pageSetUpPr fitToPage="1"/>
  </sheetPr>
  <dimension ref="A1:O21"/>
  <sheetViews>
    <sheetView showGridLines="0" view="pageBreakPreview" zoomScale="110" zoomScaleSheetLayoutView="110" workbookViewId="0">
      <selection activeCell="R12" sqref="R12"/>
    </sheetView>
  </sheetViews>
  <sheetFormatPr defaultRowHeight="15"/>
  <cols>
    <col min="1" max="1" width="6.75" customWidth="1"/>
    <col min="2" max="2" width="20.75" customWidth="1"/>
    <col min="3" max="3" width="8.25" customWidth="1"/>
    <col min="4" max="4" width="8.125" customWidth="1"/>
    <col min="5" max="5" width="8.25" customWidth="1"/>
    <col min="6" max="6" width="9.125" customWidth="1"/>
    <col min="7" max="7" width="8.375" customWidth="1"/>
    <col min="8" max="8" width="8.75" customWidth="1"/>
    <col min="9" max="9" width="8.25" customWidth="1"/>
    <col min="10" max="10" width="10" customWidth="1"/>
    <col min="11" max="11" width="9.375" customWidth="1"/>
    <col min="12" max="12" width="10" customWidth="1"/>
    <col min="13" max="13" width="9.875" customWidth="1"/>
    <col min="14" max="14" width="8.75" customWidth="1"/>
    <col min="15" max="15" width="8.875" customWidth="1"/>
  </cols>
  <sheetData>
    <row r="1" spans="1:15" ht="18.75">
      <c r="A1" s="99"/>
      <c r="B1" s="99"/>
      <c r="C1" s="99"/>
      <c r="D1" s="99"/>
      <c r="E1" s="99"/>
      <c r="F1" s="99"/>
      <c r="G1" s="99"/>
      <c r="H1" s="99"/>
      <c r="I1" s="99"/>
      <c r="J1" s="99"/>
      <c r="K1" s="99"/>
      <c r="L1" s="828">
        <f>Summary!$C$1</f>
        <v>30695</v>
      </c>
      <c r="M1" s="828"/>
      <c r="N1" s="828"/>
      <c r="O1" s="828"/>
    </row>
    <row r="2" spans="1:15" ht="23.25">
      <c r="A2" s="829" t="str">
        <f>Summary!A2</f>
        <v>iz/kkukpk;Z egkRek xka/kh jktdh; fo|ky; ¼vaxzsth ek/;e½ cj ] ikyh</v>
      </c>
      <c r="B2" s="829"/>
      <c r="C2" s="829"/>
      <c r="D2" s="829"/>
      <c r="E2" s="829"/>
      <c r="F2" s="829"/>
      <c r="G2" s="829"/>
      <c r="H2" s="829"/>
      <c r="I2" s="829"/>
      <c r="J2" s="829"/>
      <c r="K2" s="829"/>
      <c r="L2" s="829"/>
      <c r="M2" s="829"/>
      <c r="N2" s="829"/>
      <c r="O2" s="829"/>
    </row>
    <row r="3" spans="1:15" ht="23.25">
      <c r="A3" s="829" t="s">
        <v>76</v>
      </c>
      <c r="B3" s="829"/>
      <c r="C3" s="829"/>
      <c r="D3" s="829"/>
      <c r="E3" s="829"/>
      <c r="F3" s="829"/>
      <c r="G3" s="829"/>
      <c r="H3" s="829"/>
      <c r="I3" s="829"/>
      <c r="J3" s="829"/>
      <c r="K3" s="829"/>
      <c r="L3" s="829"/>
      <c r="M3" s="829"/>
      <c r="N3" s="829"/>
      <c r="O3" s="829"/>
    </row>
    <row r="4" spans="1:15" ht="23.25">
      <c r="A4" s="100"/>
      <c r="B4" s="101"/>
      <c r="C4" s="832" t="s">
        <v>77</v>
      </c>
      <c r="D4" s="832"/>
      <c r="E4" s="832"/>
      <c r="F4" s="832"/>
      <c r="G4" s="832"/>
      <c r="H4" s="832"/>
      <c r="I4" s="102" t="str">
        <f>F7</f>
        <v>2021-22</v>
      </c>
      <c r="J4" s="831" t="s">
        <v>78</v>
      </c>
      <c r="K4" s="831"/>
      <c r="L4" s="831"/>
      <c r="M4" s="831"/>
      <c r="N4" s="831"/>
      <c r="O4" s="101"/>
    </row>
    <row r="5" spans="1:15" ht="15.75">
      <c r="A5" s="833" t="s">
        <v>79</v>
      </c>
      <c r="B5" s="833"/>
      <c r="C5" s="833"/>
      <c r="D5" s="833"/>
      <c r="E5" s="833"/>
      <c r="F5" s="833"/>
      <c r="G5" s="833"/>
      <c r="H5" s="833"/>
      <c r="I5" s="833"/>
      <c r="J5" s="833"/>
      <c r="K5" s="833"/>
      <c r="L5" s="833"/>
      <c r="M5" s="834" t="s">
        <v>559</v>
      </c>
      <c r="N5" s="834"/>
      <c r="O5" s="834"/>
    </row>
    <row r="6" spans="1:15" ht="45">
      <c r="A6" s="830" t="s">
        <v>7</v>
      </c>
      <c r="B6" s="830" t="s">
        <v>80</v>
      </c>
      <c r="C6" s="830" t="s">
        <v>81</v>
      </c>
      <c r="D6" s="830"/>
      <c r="E6" s="830"/>
      <c r="F6" s="478" t="s">
        <v>82</v>
      </c>
      <c r="G6" s="830" t="s">
        <v>83</v>
      </c>
      <c r="H6" s="830"/>
      <c r="I6" s="830"/>
      <c r="J6" s="830" t="s">
        <v>738</v>
      </c>
      <c r="K6" s="830" t="s">
        <v>739</v>
      </c>
      <c r="L6" s="830" t="s">
        <v>740</v>
      </c>
      <c r="M6" s="830" t="s">
        <v>84</v>
      </c>
      <c r="N6" s="830"/>
      <c r="O6" s="830"/>
    </row>
    <row r="7" spans="1:15" ht="45">
      <c r="A7" s="830"/>
      <c r="B7" s="830"/>
      <c r="C7" s="404" t="str">
        <f>Master!C36</f>
        <v>2018-19</v>
      </c>
      <c r="D7" s="404" t="str">
        <f>Master!D36</f>
        <v>2019-20</v>
      </c>
      <c r="E7" s="404" t="str">
        <f>Master!E36</f>
        <v>2020-21</v>
      </c>
      <c r="F7" s="404" t="str">
        <f>Master!H36</f>
        <v>2021-22</v>
      </c>
      <c r="G7" s="405" t="str">
        <f>Master!F37</f>
        <v>vxLr 20 ls ekpZ 21 rd</v>
      </c>
      <c r="H7" s="405" t="str">
        <f>Master!H37</f>
        <v>vizSy 21 ls tqykbZ 21 rd</v>
      </c>
      <c r="I7" s="405" t="s">
        <v>85</v>
      </c>
      <c r="J7" s="830"/>
      <c r="K7" s="830"/>
      <c r="L7" s="830"/>
      <c r="M7" s="405" t="s">
        <v>86</v>
      </c>
      <c r="N7" s="405" t="s">
        <v>87</v>
      </c>
      <c r="O7" s="405" t="s">
        <v>88</v>
      </c>
    </row>
    <row r="8" spans="1:15">
      <c r="A8" s="103">
        <v>1</v>
      </c>
      <c r="B8" s="104">
        <v>2</v>
      </c>
      <c r="C8" s="103">
        <v>3</v>
      </c>
      <c r="D8" s="103">
        <v>4</v>
      </c>
      <c r="E8" s="103">
        <v>5</v>
      </c>
      <c r="F8" s="103">
        <v>6</v>
      </c>
      <c r="G8" s="103">
        <v>7</v>
      </c>
      <c r="H8" s="103">
        <v>8</v>
      </c>
      <c r="I8" s="103">
        <v>9</v>
      </c>
      <c r="J8" s="103">
        <v>10</v>
      </c>
      <c r="K8" s="103">
        <v>11</v>
      </c>
      <c r="L8" s="103">
        <v>12</v>
      </c>
      <c r="M8" s="103">
        <v>13</v>
      </c>
      <c r="N8" s="103">
        <v>14</v>
      </c>
      <c r="O8" s="103">
        <v>15</v>
      </c>
    </row>
    <row r="9" spans="1:15" ht="21.95" customHeight="1">
      <c r="A9" s="404">
        <v>1</v>
      </c>
      <c r="B9" s="479" t="s">
        <v>33</v>
      </c>
      <c r="C9" s="146">
        <f>Master!C39</f>
        <v>3380</v>
      </c>
      <c r="D9" s="146">
        <f>Master!D39</f>
        <v>2505</v>
      </c>
      <c r="E9" s="146">
        <f>Master!G39</f>
        <v>1735</v>
      </c>
      <c r="F9" s="146">
        <f>Master!I39</f>
        <v>8000</v>
      </c>
      <c r="G9" s="146">
        <f>Master!F39</f>
        <v>1735</v>
      </c>
      <c r="H9" s="146">
        <f>Master!H39</f>
        <v>1600</v>
      </c>
      <c r="I9" s="146">
        <f>SUM(G9:H9)</f>
        <v>3335</v>
      </c>
      <c r="J9" s="146">
        <f>Master!J39</f>
        <v>2100</v>
      </c>
      <c r="K9" s="146">
        <f>H9+J9</f>
        <v>3700</v>
      </c>
      <c r="L9" s="146">
        <f>Master!K39</f>
        <v>9000</v>
      </c>
      <c r="M9" s="146">
        <f>K9-F9</f>
        <v>-4300</v>
      </c>
      <c r="N9" s="146">
        <f>K9-I9</f>
        <v>365</v>
      </c>
      <c r="O9" s="146">
        <f>L9-K9</f>
        <v>5300</v>
      </c>
    </row>
    <row r="10" spans="1:15" ht="21.95" customHeight="1">
      <c r="A10" s="404">
        <v>2</v>
      </c>
      <c r="B10" s="479" t="s">
        <v>34</v>
      </c>
      <c r="C10" s="146">
        <f>Master!C40</f>
        <v>0</v>
      </c>
      <c r="D10" s="146">
        <f>Master!D40</f>
        <v>0</v>
      </c>
      <c r="E10" s="146">
        <f>Master!G40</f>
        <v>0</v>
      </c>
      <c r="F10" s="146">
        <f>Master!I40</f>
        <v>0</v>
      </c>
      <c r="G10" s="146">
        <f>Master!F40</f>
        <v>0</v>
      </c>
      <c r="H10" s="146">
        <f>Master!H40</f>
        <v>0</v>
      </c>
      <c r="I10" s="146">
        <f t="shared" ref="I10:I13" si="0">SUM(G10:H10)</f>
        <v>0</v>
      </c>
      <c r="J10" s="146">
        <f>Master!J40</f>
        <v>0</v>
      </c>
      <c r="K10" s="146">
        <f t="shared" ref="K10:K13" si="1">H10+J10</f>
        <v>0</v>
      </c>
      <c r="L10" s="146">
        <f>Master!K40</f>
        <v>0</v>
      </c>
      <c r="M10" s="146">
        <f t="shared" ref="M10:M13" si="2">K10-F10</f>
        <v>0</v>
      </c>
      <c r="N10" s="146">
        <f t="shared" ref="N10:N13" si="3">K10-I10</f>
        <v>0</v>
      </c>
      <c r="O10" s="146">
        <f t="shared" ref="O10:O13" si="4">L10-K10</f>
        <v>0</v>
      </c>
    </row>
    <row r="11" spans="1:15" ht="21.95" customHeight="1">
      <c r="A11" s="404">
        <v>3</v>
      </c>
      <c r="B11" s="479" t="s">
        <v>35</v>
      </c>
      <c r="C11" s="146">
        <f>Master!C41</f>
        <v>0</v>
      </c>
      <c r="D11" s="146">
        <f>Master!D41</f>
        <v>0</v>
      </c>
      <c r="E11" s="146">
        <f>Master!G41</f>
        <v>0</v>
      </c>
      <c r="F11" s="146">
        <f>Master!I41</f>
        <v>0</v>
      </c>
      <c r="G11" s="146">
        <f>Master!F41</f>
        <v>0</v>
      </c>
      <c r="H11" s="146">
        <f>Master!H41</f>
        <v>0</v>
      </c>
      <c r="I11" s="146">
        <f t="shared" si="0"/>
        <v>0</v>
      </c>
      <c r="J11" s="146">
        <f>Master!J41</f>
        <v>0</v>
      </c>
      <c r="K11" s="146">
        <f t="shared" si="1"/>
        <v>0</v>
      </c>
      <c r="L11" s="146">
        <f>Master!K41</f>
        <v>0</v>
      </c>
      <c r="M11" s="146">
        <f t="shared" si="2"/>
        <v>0</v>
      </c>
      <c r="N11" s="146">
        <f t="shared" si="3"/>
        <v>0</v>
      </c>
      <c r="O11" s="146">
        <f t="shared" si="4"/>
        <v>0</v>
      </c>
    </row>
    <row r="12" spans="1:15" ht="21.95" customHeight="1">
      <c r="A12" s="404">
        <v>4</v>
      </c>
      <c r="B12" s="479" t="s">
        <v>36</v>
      </c>
      <c r="C12" s="146">
        <f>Master!C42</f>
        <v>0</v>
      </c>
      <c r="D12" s="146">
        <f>Master!D42</f>
        <v>0</v>
      </c>
      <c r="E12" s="146">
        <f>Master!G42</f>
        <v>0</v>
      </c>
      <c r="F12" s="146">
        <f>Master!I42</f>
        <v>0</v>
      </c>
      <c r="G12" s="146">
        <f>Master!F42</f>
        <v>0</v>
      </c>
      <c r="H12" s="146">
        <f>Master!H42</f>
        <v>0</v>
      </c>
      <c r="I12" s="146">
        <f t="shared" si="0"/>
        <v>0</v>
      </c>
      <c r="J12" s="146">
        <f>Master!J42</f>
        <v>0</v>
      </c>
      <c r="K12" s="146">
        <f t="shared" si="1"/>
        <v>0</v>
      </c>
      <c r="L12" s="146">
        <f>Master!K42</f>
        <v>0</v>
      </c>
      <c r="M12" s="146">
        <f t="shared" si="2"/>
        <v>0</v>
      </c>
      <c r="N12" s="146">
        <f t="shared" si="3"/>
        <v>0</v>
      </c>
      <c r="O12" s="146">
        <f t="shared" si="4"/>
        <v>0</v>
      </c>
    </row>
    <row r="13" spans="1:15" ht="24.75" customHeight="1">
      <c r="A13" s="404">
        <v>5</v>
      </c>
      <c r="B13" s="479" t="s">
        <v>37</v>
      </c>
      <c r="C13" s="146">
        <f>Master!C43</f>
        <v>0</v>
      </c>
      <c r="D13" s="146">
        <f>Master!D43</f>
        <v>0</v>
      </c>
      <c r="E13" s="146">
        <f>Master!G43</f>
        <v>0</v>
      </c>
      <c r="F13" s="146">
        <f>Master!I43</f>
        <v>0</v>
      </c>
      <c r="G13" s="146">
        <f>Master!F43</f>
        <v>0</v>
      </c>
      <c r="H13" s="146">
        <f>Master!H43</f>
        <v>0</v>
      </c>
      <c r="I13" s="146">
        <f t="shared" si="0"/>
        <v>0</v>
      </c>
      <c r="J13" s="146">
        <f>Master!J43</f>
        <v>0</v>
      </c>
      <c r="K13" s="146">
        <f t="shared" si="1"/>
        <v>0</v>
      </c>
      <c r="L13" s="146">
        <f>Master!K43</f>
        <v>0</v>
      </c>
      <c r="M13" s="146">
        <f t="shared" si="2"/>
        <v>0</v>
      </c>
      <c r="N13" s="146">
        <f t="shared" si="3"/>
        <v>0</v>
      </c>
      <c r="O13" s="146">
        <f t="shared" si="4"/>
        <v>0</v>
      </c>
    </row>
    <row r="14" spans="1:15" ht="22.5" customHeight="1">
      <c r="A14" s="838" t="s">
        <v>89</v>
      </c>
      <c r="B14" s="838"/>
      <c r="C14" s="480">
        <f>SUM(C9:C13)</f>
        <v>3380</v>
      </c>
      <c r="D14" s="480">
        <f t="shared" ref="D14:O14" si="5">SUM(D9:D13)</f>
        <v>2505</v>
      </c>
      <c r="E14" s="480">
        <f t="shared" si="5"/>
        <v>1735</v>
      </c>
      <c r="F14" s="480">
        <f t="shared" si="5"/>
        <v>8000</v>
      </c>
      <c r="G14" s="480">
        <f t="shared" si="5"/>
        <v>1735</v>
      </c>
      <c r="H14" s="480">
        <f t="shared" si="5"/>
        <v>1600</v>
      </c>
      <c r="I14" s="480">
        <f t="shared" si="5"/>
        <v>3335</v>
      </c>
      <c r="J14" s="480">
        <f t="shared" si="5"/>
        <v>2100</v>
      </c>
      <c r="K14" s="480">
        <f t="shared" si="5"/>
        <v>3700</v>
      </c>
      <c r="L14" s="480">
        <f t="shared" si="5"/>
        <v>9000</v>
      </c>
      <c r="M14" s="480">
        <f t="shared" si="5"/>
        <v>-4300</v>
      </c>
      <c r="N14" s="480">
        <f t="shared" si="5"/>
        <v>365</v>
      </c>
      <c r="O14" s="480">
        <f t="shared" si="5"/>
        <v>5300</v>
      </c>
    </row>
    <row r="15" spans="1:15" ht="18.75">
      <c r="A15" s="99"/>
      <c r="B15" s="560" t="s">
        <v>558</v>
      </c>
      <c r="C15" s="477"/>
      <c r="D15" s="477"/>
      <c r="E15" s="477"/>
      <c r="F15" s="477"/>
      <c r="G15" s="477"/>
      <c r="H15" s="477"/>
      <c r="I15" s="477"/>
      <c r="J15" s="477"/>
      <c r="K15" s="99"/>
      <c r="L15" s="99"/>
      <c r="M15" s="99"/>
      <c r="N15" s="99"/>
      <c r="O15" s="99"/>
    </row>
    <row r="16" spans="1:15" s="330" customFormat="1" ht="18.75">
      <c r="A16" s="99"/>
      <c r="B16" s="559"/>
      <c r="C16" s="559"/>
      <c r="D16" s="559"/>
      <c r="E16" s="559"/>
      <c r="F16" s="559"/>
      <c r="G16" s="559"/>
      <c r="H16" s="559"/>
      <c r="I16" s="559"/>
      <c r="J16" s="559"/>
      <c r="K16" s="99"/>
      <c r="L16" s="99"/>
      <c r="M16" s="99"/>
      <c r="N16" s="99"/>
      <c r="O16" s="99"/>
    </row>
    <row r="17" spans="1:15">
      <c r="A17" s="99"/>
      <c r="B17" s="99"/>
      <c r="C17" s="99"/>
      <c r="D17" s="99"/>
      <c r="E17" s="99"/>
      <c r="F17" s="99"/>
      <c r="G17" s="99"/>
      <c r="H17" s="99"/>
      <c r="I17" s="99"/>
      <c r="J17" s="99"/>
      <c r="K17" s="99"/>
      <c r="L17" s="835" t="str">
        <f>CONCATENATE("¼ ",Master!G3,"½")</f>
        <v>¼ m"kk ikfy;k½</v>
      </c>
      <c r="M17" s="835"/>
      <c r="N17" s="835"/>
      <c r="O17" s="835"/>
    </row>
    <row r="18" spans="1:15" ht="18.75">
      <c r="A18" s="99"/>
      <c r="B18" s="99"/>
      <c r="C18" s="99"/>
      <c r="D18" s="99"/>
      <c r="E18" s="99"/>
      <c r="F18" s="99"/>
      <c r="G18" s="99"/>
      <c r="H18" s="99"/>
      <c r="I18" s="99"/>
      <c r="J18" s="99"/>
      <c r="K18" s="99"/>
      <c r="L18" s="837" t="str">
        <f>Master!C2</f>
        <v>iz/kkukpk;Z</v>
      </c>
      <c r="M18" s="837"/>
      <c r="N18" s="837"/>
      <c r="O18" s="837"/>
    </row>
    <row r="19" spans="1:15" ht="15" customHeight="1">
      <c r="A19" s="99"/>
      <c r="B19" s="99"/>
      <c r="C19" s="99"/>
      <c r="D19" s="99"/>
      <c r="E19" s="99"/>
      <c r="F19" s="99"/>
      <c r="G19" s="99"/>
      <c r="H19" s="99"/>
      <c r="I19" s="99"/>
      <c r="J19" s="99"/>
      <c r="K19" s="99"/>
      <c r="L19" s="836" t="str">
        <f>Master!D2</f>
        <v>egkRek xka/kh jktdh; fo|ky; ¼vaxzsth ek/;e½ cj ] ikyh</v>
      </c>
      <c r="M19" s="836"/>
      <c r="N19" s="836"/>
      <c r="O19" s="836"/>
    </row>
    <row r="20" spans="1:15" ht="15" customHeight="1">
      <c r="A20" s="99"/>
      <c r="B20" s="99"/>
      <c r="C20" s="99"/>
      <c r="D20" s="99"/>
      <c r="E20" s="99"/>
      <c r="F20" s="99"/>
      <c r="G20" s="99"/>
      <c r="H20" s="99"/>
      <c r="I20" s="99"/>
      <c r="J20" s="99"/>
      <c r="K20" s="99"/>
      <c r="L20" s="836"/>
      <c r="M20" s="836"/>
      <c r="N20" s="836"/>
      <c r="O20" s="836"/>
    </row>
    <row r="21" spans="1:15" ht="15" customHeight="1">
      <c r="A21" s="99"/>
      <c r="B21" s="99"/>
      <c r="C21" s="99"/>
      <c r="D21" s="99"/>
      <c r="E21" s="99"/>
      <c r="F21" s="99"/>
      <c r="G21" s="99"/>
      <c r="H21" s="99"/>
      <c r="I21" s="99"/>
      <c r="J21" s="99"/>
      <c r="K21" s="99"/>
      <c r="L21" s="836"/>
      <c r="M21" s="836"/>
      <c r="N21" s="836"/>
      <c r="O21" s="836"/>
    </row>
  </sheetData>
  <mergeCells count="19">
    <mergeCell ref="L17:O17"/>
    <mergeCell ref="L19:O21"/>
    <mergeCell ref="L18:O18"/>
    <mergeCell ref="A14:B14"/>
    <mergeCell ref="L1:O1"/>
    <mergeCell ref="A2:O2"/>
    <mergeCell ref="A3:O3"/>
    <mergeCell ref="A6:A7"/>
    <mergeCell ref="B6:B7"/>
    <mergeCell ref="C6:E6"/>
    <mergeCell ref="G6:I6"/>
    <mergeCell ref="J6:J7"/>
    <mergeCell ref="K6:K7"/>
    <mergeCell ref="L6:L7"/>
    <mergeCell ref="M6:O6"/>
    <mergeCell ref="J4:N4"/>
    <mergeCell ref="C4:H4"/>
    <mergeCell ref="A5:L5"/>
    <mergeCell ref="M5:O5"/>
  </mergeCells>
  <conditionalFormatting sqref="B15:B16">
    <cfRule type="containsText" dxfId="36" priority="1" operator="containsText" text="in fjDr">
      <formula>NOT(ISERROR(SEARCH("in fjDr",B15)))</formula>
    </cfRule>
  </conditionalFormatting>
  <pageMargins left="0.55000000000000004" right="0.28000000000000003" top="0.75" bottom="0.75" header="0.3" footer="0.3"/>
  <pageSetup paperSize="9" scale="96" orientation="landscape" blackAndWhite="1" horizontalDpi="300" verticalDpi="300" r:id="rId1"/>
</worksheet>
</file>

<file path=xl/worksheets/sheet6.xml><?xml version="1.0" encoding="utf-8"?>
<worksheet xmlns="http://schemas.openxmlformats.org/spreadsheetml/2006/main" xmlns:r="http://schemas.openxmlformats.org/officeDocument/2006/relationships">
  <sheetPr codeName="Sheet6">
    <tabColor rgb="FF00B050"/>
    <pageSetUpPr fitToPage="1"/>
  </sheetPr>
  <dimension ref="A1:C55"/>
  <sheetViews>
    <sheetView showGridLines="0" view="pageBreakPreview" zoomScale="110" zoomScaleSheetLayoutView="110" workbookViewId="0">
      <selection activeCell="G45" sqref="G45"/>
    </sheetView>
  </sheetViews>
  <sheetFormatPr defaultRowHeight="15"/>
  <cols>
    <col min="1" max="1" width="50" customWidth="1"/>
    <col min="2" max="2" width="22.375" customWidth="1"/>
    <col min="3" max="3" width="22.75" customWidth="1"/>
  </cols>
  <sheetData>
    <row r="1" spans="1:3" ht="15.75">
      <c r="A1" s="36"/>
      <c r="B1" s="36"/>
      <c r="C1" s="531">
        <f>Master!C3</f>
        <v>30695</v>
      </c>
    </row>
    <row r="2" spans="1:3" ht="18" customHeight="1">
      <c r="A2" s="840" t="str">
        <f>CONCATENATE(Master!C2," ",Master!D2)</f>
        <v>iz/kkukpk;Z egkRek xka/kh jktdh; fo|ky; ¼vaxzsth ek/;e½ cj ] ikyh</v>
      </c>
      <c r="B2" s="840"/>
      <c r="C2" s="840"/>
    </row>
    <row r="3" spans="1:3" ht="16.5" customHeight="1">
      <c r="A3" s="841" t="str">
        <f>CONCATENATE(Master!C1," ",Master!D1)</f>
        <v>Principal Mahatma Gandhi Government School (English Medium) Bar, PALI</v>
      </c>
      <c r="B3" s="841"/>
      <c r="C3" s="841"/>
    </row>
    <row r="4" spans="1:3" ht="17.25" customHeight="1">
      <c r="A4" s="842" t="s">
        <v>743</v>
      </c>
      <c r="B4" s="843"/>
      <c r="C4" s="843"/>
    </row>
    <row r="5" spans="1:3" ht="24" customHeight="1">
      <c r="A5" s="844" t="str">
        <f>CONCATENATE("BUDGET HEAD : ",VLOOKUP(Master!C5,Master!Q4:AO25,3,FALSE))</f>
        <v>BUDGET HEAD : 2202-GENERAL EDUCATION, 02-SECONDARY EDUCATION, 109-GOVT. SEC. SCHOOL, (02)-GIRLS SCHOOL (STATE FUND)</v>
      </c>
      <c r="B5" s="844"/>
      <c r="C5" s="844"/>
    </row>
    <row r="6" spans="1:3" ht="37.5" customHeight="1">
      <c r="A6" s="37" t="s">
        <v>39</v>
      </c>
      <c r="B6" s="38" t="s">
        <v>741</v>
      </c>
      <c r="C6" s="38" t="s">
        <v>742</v>
      </c>
    </row>
    <row r="7" spans="1:3" ht="15.95" customHeight="1">
      <c r="A7" s="39" t="s">
        <v>90</v>
      </c>
      <c r="B7" s="40"/>
      <c r="C7" s="40"/>
    </row>
    <row r="8" spans="1:3" ht="15.95" customHeight="1">
      <c r="A8" s="41" t="s">
        <v>91</v>
      </c>
      <c r="B8" s="517">
        <f>'Formet 8'!L26</f>
        <v>847200</v>
      </c>
      <c r="C8" s="517">
        <f>'Formet 8'!K26</f>
        <v>872400</v>
      </c>
    </row>
    <row r="9" spans="1:3" ht="15.95" customHeight="1">
      <c r="A9" s="41" t="s">
        <v>92</v>
      </c>
      <c r="B9" s="517">
        <f>'Formet 8'!L72</f>
        <v>9546400</v>
      </c>
      <c r="C9" s="517">
        <f>'Formet 8'!K72</f>
        <v>9829200</v>
      </c>
    </row>
    <row r="10" spans="1:3" ht="15.95" customHeight="1">
      <c r="A10" s="42" t="s">
        <v>125</v>
      </c>
      <c r="B10" s="518">
        <f>SUM(B8:B9)</f>
        <v>10393600</v>
      </c>
      <c r="C10" s="518">
        <f>SUM(C8:C9)</f>
        <v>10701600</v>
      </c>
    </row>
    <row r="11" spans="1:3" ht="15.95" customHeight="1">
      <c r="A11" s="43" t="s">
        <v>324</v>
      </c>
      <c r="B11" s="402"/>
      <c r="C11" s="522"/>
    </row>
    <row r="12" spans="1:3" ht="15.6" customHeight="1">
      <c r="A12" s="41" t="s">
        <v>93</v>
      </c>
      <c r="B12" s="519">
        <f>'Formet 8'!L75</f>
        <v>2910208</v>
      </c>
      <c r="C12" s="519">
        <f>'Formet 8'!K75</f>
        <v>2996448</v>
      </c>
    </row>
    <row r="13" spans="1:3" ht="15.6" customHeight="1">
      <c r="A13" s="41" t="s">
        <v>94</v>
      </c>
      <c r="B13" s="519">
        <f>'Formet 8'!L76</f>
        <v>519680</v>
      </c>
      <c r="C13" s="519">
        <f>'Formet 8'!K76</f>
        <v>535080</v>
      </c>
    </row>
    <row r="14" spans="1:3" ht="15.6" customHeight="1">
      <c r="A14" s="41" t="s">
        <v>95</v>
      </c>
      <c r="B14" s="519">
        <f>'Formet 8'!L77</f>
        <v>0</v>
      </c>
      <c r="C14" s="519">
        <f>'Formet 8'!K77</f>
        <v>0</v>
      </c>
    </row>
    <row r="15" spans="1:3" ht="15.6" customHeight="1">
      <c r="A15" s="41" t="s">
        <v>96</v>
      </c>
      <c r="B15" s="519">
        <f>'Formet 8'!L78</f>
        <v>935424</v>
      </c>
      <c r="C15" s="519">
        <f>'Formet 8'!K78</f>
        <v>963144</v>
      </c>
    </row>
    <row r="16" spans="1:3" ht="15.6" customHeight="1">
      <c r="A16" s="41" t="s">
        <v>97</v>
      </c>
      <c r="B16" s="519">
        <f>'Formet 8'!L80</f>
        <v>543488</v>
      </c>
      <c r="C16" s="519">
        <f>'Formet 8'!K80</f>
        <v>559744</v>
      </c>
    </row>
    <row r="17" spans="1:3" ht="15.6" customHeight="1">
      <c r="A17" s="41" t="s">
        <v>98</v>
      </c>
      <c r="B17" s="519">
        <v>0</v>
      </c>
      <c r="C17" s="519">
        <v>0</v>
      </c>
    </row>
    <row r="18" spans="1:3" ht="15.6" customHeight="1">
      <c r="A18" s="41" t="s">
        <v>99</v>
      </c>
      <c r="B18" s="519">
        <f>'Formet 8'!L79</f>
        <v>115158</v>
      </c>
      <c r="C18" s="519">
        <f>'Formet 8'!K79</f>
        <v>115158</v>
      </c>
    </row>
    <row r="19" spans="1:3" ht="15.6" customHeight="1">
      <c r="A19" s="41" t="s">
        <v>100</v>
      </c>
      <c r="B19" s="519">
        <f>'Formet 8'!L106</f>
        <v>0</v>
      </c>
      <c r="C19" s="519">
        <f>'Formet 8'!K106</f>
        <v>0</v>
      </c>
    </row>
    <row r="20" spans="1:3" ht="15.6" customHeight="1">
      <c r="A20" s="41" t="s">
        <v>569</v>
      </c>
      <c r="B20" s="519">
        <v>0</v>
      </c>
      <c r="C20" s="519">
        <v>0</v>
      </c>
    </row>
    <row r="21" spans="1:3" ht="15.6" customHeight="1">
      <c r="A21" s="41" t="s">
        <v>101</v>
      </c>
      <c r="B21" s="519">
        <f>'Formet 8'!L81</f>
        <v>0</v>
      </c>
      <c r="C21" s="519">
        <f>'Formet 8'!K81</f>
        <v>0</v>
      </c>
    </row>
    <row r="22" spans="1:3" ht="15.6" customHeight="1">
      <c r="A22" s="41" t="s">
        <v>102</v>
      </c>
      <c r="B22" s="519">
        <f>'Formet 8'!L83</f>
        <v>0</v>
      </c>
      <c r="C22" s="519">
        <f>'Formet 8'!K83</f>
        <v>0</v>
      </c>
    </row>
    <row r="23" spans="1:3" ht="15.6" customHeight="1">
      <c r="A23" s="41" t="s">
        <v>103</v>
      </c>
      <c r="B23" s="519">
        <v>0</v>
      </c>
      <c r="C23" s="519">
        <v>0</v>
      </c>
    </row>
    <row r="24" spans="1:3" ht="15.6" customHeight="1">
      <c r="A24" s="41" t="s">
        <v>570</v>
      </c>
      <c r="B24" s="519">
        <f>'Formet 8'!L82</f>
        <v>0</v>
      </c>
      <c r="C24" s="519">
        <f>'Formet 8'!K82</f>
        <v>0</v>
      </c>
    </row>
    <row r="25" spans="1:3" ht="15.6" customHeight="1">
      <c r="A25" s="41" t="s">
        <v>104</v>
      </c>
      <c r="B25" s="519">
        <v>0</v>
      </c>
      <c r="C25" s="519">
        <v>0</v>
      </c>
    </row>
    <row r="26" spans="1:3" ht="15.95" customHeight="1">
      <c r="A26" s="44" t="s">
        <v>325</v>
      </c>
      <c r="B26" s="520">
        <f>SUM(B12:B25)</f>
        <v>5023958</v>
      </c>
      <c r="C26" s="520">
        <f>SUM(C12:C25)</f>
        <v>5169574</v>
      </c>
    </row>
    <row r="27" spans="1:3" ht="15.95" customHeight="1">
      <c r="A27" s="44" t="s">
        <v>126</v>
      </c>
      <c r="B27" s="520">
        <f>B10+B26</f>
        <v>15417558</v>
      </c>
      <c r="C27" s="520">
        <f>C10+C26</f>
        <v>15871174</v>
      </c>
    </row>
    <row r="28" spans="1:3" ht="15.6" customHeight="1">
      <c r="A28" s="45" t="s">
        <v>105</v>
      </c>
      <c r="B28" s="519">
        <f>B19</f>
        <v>0</v>
      </c>
      <c r="C28" s="517">
        <f>C19</f>
        <v>0</v>
      </c>
    </row>
    <row r="29" spans="1:3" ht="15.6" customHeight="1">
      <c r="A29" s="45" t="s">
        <v>106</v>
      </c>
      <c r="B29" s="519">
        <f>'Formet 8'!L121</f>
        <v>4500</v>
      </c>
      <c r="C29" s="517">
        <f>'Formet 8'!K121</f>
        <v>0</v>
      </c>
    </row>
    <row r="30" spans="1:3" ht="15.6" customHeight="1">
      <c r="A30" s="45" t="s">
        <v>107</v>
      </c>
      <c r="B30" s="519">
        <f>'Formet 8'!L122</f>
        <v>1000</v>
      </c>
      <c r="C30" s="517">
        <f>'Formet 8'!K122</f>
        <v>0</v>
      </c>
    </row>
    <row r="31" spans="1:3" ht="15.95" customHeight="1">
      <c r="A31" s="44" t="s">
        <v>108</v>
      </c>
      <c r="B31" s="520">
        <f>SUM(B27:B30)</f>
        <v>15423058</v>
      </c>
      <c r="C31" s="520">
        <f>SUM(C27:C30)</f>
        <v>15871174</v>
      </c>
    </row>
    <row r="32" spans="1:3" ht="15.6" customHeight="1">
      <c r="A32" s="45" t="s">
        <v>109</v>
      </c>
      <c r="B32" s="519">
        <f>'Formet 9'!K24</f>
        <v>0</v>
      </c>
      <c r="C32" s="519">
        <f>'Formet 9'!L24</f>
        <v>0</v>
      </c>
    </row>
    <row r="33" spans="1:3" ht="15.6" customHeight="1">
      <c r="A33" s="45" t="s">
        <v>110</v>
      </c>
      <c r="B33" s="517">
        <v>0</v>
      </c>
      <c r="C33" s="517">
        <v>0</v>
      </c>
    </row>
    <row r="34" spans="1:3" ht="15.6" customHeight="1">
      <c r="A34" s="45" t="s">
        <v>111</v>
      </c>
      <c r="B34" s="517">
        <v>0</v>
      </c>
      <c r="C34" s="517">
        <v>0</v>
      </c>
    </row>
    <row r="35" spans="1:3" ht="15.6" customHeight="1">
      <c r="A35" s="45" t="s">
        <v>112</v>
      </c>
      <c r="B35" s="517">
        <v>0</v>
      </c>
      <c r="C35" s="517">
        <v>0</v>
      </c>
    </row>
    <row r="36" spans="1:3" ht="15.6" customHeight="1">
      <c r="A36" s="45" t="s">
        <v>113</v>
      </c>
      <c r="B36" s="517">
        <v>0</v>
      </c>
      <c r="C36" s="517">
        <v>0</v>
      </c>
    </row>
    <row r="37" spans="1:3" ht="15.6" customHeight="1">
      <c r="A37" s="45" t="s">
        <v>114</v>
      </c>
      <c r="B37" s="517">
        <v>0</v>
      </c>
      <c r="C37" s="517">
        <v>0</v>
      </c>
    </row>
    <row r="38" spans="1:3" ht="15.6" customHeight="1">
      <c r="A38" s="45" t="s">
        <v>115</v>
      </c>
      <c r="B38" s="517">
        <v>0</v>
      </c>
      <c r="C38" s="517">
        <v>0</v>
      </c>
    </row>
    <row r="39" spans="1:3" ht="15.6" customHeight="1">
      <c r="A39" s="45" t="s">
        <v>116</v>
      </c>
      <c r="B39" s="517">
        <f>'Formet 9'!K25</f>
        <v>0</v>
      </c>
      <c r="C39" s="517">
        <f>'Formet 9'!L25</f>
        <v>0</v>
      </c>
    </row>
    <row r="40" spans="1:3" ht="15.6" customHeight="1">
      <c r="A40" s="45" t="s">
        <v>117</v>
      </c>
      <c r="B40" s="517">
        <f>'Formet 9'!K26</f>
        <v>0</v>
      </c>
      <c r="C40" s="517">
        <f>'Formet 9'!L26</f>
        <v>0</v>
      </c>
    </row>
    <row r="41" spans="1:3" ht="15.6" customHeight="1">
      <c r="A41" s="45" t="s">
        <v>118</v>
      </c>
      <c r="B41" s="517">
        <f>'Formet 9'!K27</f>
        <v>0</v>
      </c>
      <c r="C41" s="517">
        <f>'Formet 9'!L27</f>
        <v>0</v>
      </c>
    </row>
    <row r="42" spans="1:3" ht="15.6" customHeight="1">
      <c r="A42" s="45" t="s">
        <v>119</v>
      </c>
      <c r="B42" s="517">
        <f>'Formet 9'!K29</f>
        <v>0</v>
      </c>
      <c r="C42" s="517">
        <f>'Formet 9'!L29</f>
        <v>0</v>
      </c>
    </row>
    <row r="43" spans="1:3" ht="15.6" customHeight="1">
      <c r="A43" s="45" t="s">
        <v>120</v>
      </c>
      <c r="B43" s="517">
        <v>0</v>
      </c>
      <c r="C43" s="517">
        <v>0</v>
      </c>
    </row>
    <row r="44" spans="1:3" ht="15.6" customHeight="1">
      <c r="A44" s="45" t="s">
        <v>121</v>
      </c>
      <c r="B44" s="517">
        <f>'Formet 9'!K28</f>
        <v>0</v>
      </c>
      <c r="C44" s="517">
        <f>'Formet 9'!L28</f>
        <v>0</v>
      </c>
    </row>
    <row r="45" spans="1:3" s="330" customFormat="1" ht="15.6" customHeight="1">
      <c r="A45" s="45" t="s">
        <v>565</v>
      </c>
      <c r="B45" s="517">
        <f>'Formet 9'!K30</f>
        <v>0</v>
      </c>
      <c r="C45" s="517">
        <f>'Formet 9'!L30</f>
        <v>0</v>
      </c>
    </row>
    <row r="46" spans="1:3" ht="15.95" customHeight="1">
      <c r="A46" s="46" t="s">
        <v>122</v>
      </c>
      <c r="B46" s="521">
        <f>SUM(B32:B45)</f>
        <v>0</v>
      </c>
      <c r="C46" s="521">
        <f>SUM(C32:C45)</f>
        <v>0</v>
      </c>
    </row>
    <row r="47" spans="1:3" ht="15.95" customHeight="1">
      <c r="A47" s="46" t="s">
        <v>123</v>
      </c>
      <c r="B47" s="521">
        <f>B31</f>
        <v>15423058</v>
      </c>
      <c r="C47" s="521">
        <f>C31</f>
        <v>15871174</v>
      </c>
    </row>
    <row r="48" spans="1:3" ht="15.95" customHeight="1">
      <c r="A48" s="44" t="s">
        <v>124</v>
      </c>
      <c r="B48" s="520">
        <f>SUM(B46:B47)</f>
        <v>15423058</v>
      </c>
      <c r="C48" s="520">
        <f>SUM(C46:C47)</f>
        <v>15871174</v>
      </c>
    </row>
    <row r="49" spans="1:3" ht="18.75" customHeight="1">
      <c r="A49" s="846" t="s">
        <v>568</v>
      </c>
      <c r="B49" s="846"/>
      <c r="C49" s="846"/>
    </row>
    <row r="50" spans="1:3" s="330" customFormat="1" ht="15" customHeight="1">
      <c r="A50" s="847"/>
      <c r="B50" s="847"/>
      <c r="C50" s="847"/>
    </row>
    <row r="51" spans="1:3" s="330" customFormat="1">
      <c r="A51" s="847"/>
      <c r="B51" s="847"/>
      <c r="C51" s="847"/>
    </row>
    <row r="52" spans="1:3" s="330" customFormat="1" ht="12" customHeight="1">
      <c r="A52" s="516"/>
      <c r="B52" s="848" t="str">
        <f>CONCATENATE("¼ ",Master!G3,"½")</f>
        <v>¼ m"kk ikfy;k½</v>
      </c>
      <c r="C52" s="848"/>
    </row>
    <row r="53" spans="1:3" ht="14.25" customHeight="1">
      <c r="A53" s="36"/>
      <c r="B53" s="845" t="str">
        <f>Master!C2</f>
        <v>iz/kkukpk;Z</v>
      </c>
      <c r="C53" s="845"/>
    </row>
    <row r="54" spans="1:3" ht="12" customHeight="1">
      <c r="A54" s="36"/>
      <c r="B54" s="839" t="str">
        <f>Master!D2</f>
        <v>egkRek xka/kh jktdh; fo|ky; ¼vaxzsth ek/;e½ cj ] ikyh</v>
      </c>
      <c r="C54" s="839"/>
    </row>
    <row r="55" spans="1:3" ht="12" customHeight="1">
      <c r="A55" s="36"/>
      <c r="B55" s="839"/>
      <c r="C55" s="839"/>
    </row>
  </sheetData>
  <mergeCells count="8">
    <mergeCell ref="B54:C55"/>
    <mergeCell ref="A2:C2"/>
    <mergeCell ref="A3:C3"/>
    <mergeCell ref="A4:C4"/>
    <mergeCell ref="A5:C5"/>
    <mergeCell ref="B53:C53"/>
    <mergeCell ref="A49:C51"/>
    <mergeCell ref="B52:C52"/>
  </mergeCells>
  <conditionalFormatting sqref="A49">
    <cfRule type="containsText" dxfId="35" priority="1" operator="containsText" text="in fjDr">
      <formula>NOT(ISERROR(SEARCH("in fjDr",A49)))</formula>
    </cfRule>
  </conditionalFormatting>
  <pageMargins left="0.7" right="0.45" top="0.2" bottom="0.2" header="0.3" footer="0.3"/>
  <pageSetup paperSize="9" scale="94" orientation="portrait" blackAndWhite="1" horizontalDpi="300" verticalDpi="300" r:id="rId1"/>
</worksheet>
</file>

<file path=xl/worksheets/sheet7.xml><?xml version="1.0" encoding="utf-8"?>
<worksheet xmlns="http://schemas.openxmlformats.org/spreadsheetml/2006/main" xmlns:r="http://schemas.openxmlformats.org/officeDocument/2006/relationships">
  <sheetPr codeName="Sheet7">
    <tabColor rgb="FF00B050"/>
    <pageSetUpPr fitToPage="1"/>
  </sheetPr>
  <dimension ref="A1:S20"/>
  <sheetViews>
    <sheetView showGridLines="0" view="pageBreakPreview" zoomScaleSheetLayoutView="100" workbookViewId="0">
      <selection activeCell="E8" sqref="E8"/>
    </sheetView>
  </sheetViews>
  <sheetFormatPr defaultColWidth="9.125" defaultRowHeight="15"/>
  <cols>
    <col min="1" max="1" width="9.125" style="330"/>
    <col min="2" max="2" width="11.25" style="330" customWidth="1"/>
    <col min="3" max="3" width="24.375" style="330" customWidth="1"/>
    <col min="4" max="9" width="15.75" style="330" customWidth="1"/>
    <col min="10" max="16384" width="9.125" style="330"/>
  </cols>
  <sheetData>
    <row r="1" spans="1:19" ht="15.75">
      <c r="H1" s="853">
        <f>Master!C3</f>
        <v>30695</v>
      </c>
      <c r="I1" s="853"/>
    </row>
    <row r="2" spans="1:19" ht="20.25">
      <c r="A2" s="851" t="str">
        <f>Summary!A2</f>
        <v>iz/kkukpk;Z egkRek xka/kh jktdh; fo|ky; ¼vaxzsth ek/;e½ cj ] ikyh</v>
      </c>
      <c r="B2" s="851"/>
      <c r="C2" s="851"/>
      <c r="D2" s="851"/>
      <c r="E2" s="851"/>
      <c r="F2" s="851"/>
      <c r="G2" s="851"/>
      <c r="H2" s="851"/>
      <c r="I2" s="851"/>
    </row>
    <row r="3" spans="1:19" ht="18">
      <c r="A3" s="850" t="str">
        <f>Summary!A3</f>
        <v>Principal Mahatma Gandhi Government School (English Medium) Bar, PALI</v>
      </c>
      <c r="B3" s="850"/>
      <c r="C3" s="850"/>
      <c r="D3" s="850"/>
      <c r="E3" s="850"/>
      <c r="F3" s="850"/>
      <c r="G3" s="850"/>
      <c r="H3" s="850"/>
      <c r="I3" s="850"/>
    </row>
    <row r="4" spans="1:19" ht="20.25">
      <c r="A4" s="851" t="str">
        <f>Summary!A4</f>
        <v>la'kksf/kr vuqeku l= 2021&amp;22 vk;&amp;O;;d vuqeku lkjka'k 2022&amp;23</v>
      </c>
      <c r="B4" s="851"/>
      <c r="C4" s="851"/>
      <c r="D4" s="851"/>
      <c r="E4" s="851"/>
      <c r="F4" s="851"/>
      <c r="G4" s="851"/>
      <c r="H4" s="851"/>
      <c r="I4" s="851"/>
    </row>
    <row r="5" spans="1:19" ht="21" customHeight="1">
      <c r="A5" s="854" t="s">
        <v>328</v>
      </c>
      <c r="B5" s="854"/>
      <c r="C5" s="854"/>
      <c r="D5" s="854"/>
      <c r="E5" s="854"/>
      <c r="F5" s="854"/>
      <c r="G5" s="854"/>
      <c r="H5" s="854"/>
      <c r="I5" s="854"/>
      <c r="J5" s="693"/>
      <c r="K5" s="693"/>
      <c r="L5" s="693"/>
      <c r="M5" s="693"/>
      <c r="N5" s="693"/>
      <c r="O5" s="693"/>
      <c r="P5" s="693"/>
    </row>
    <row r="6" spans="1:19" ht="21" customHeight="1">
      <c r="A6" s="852" t="str">
        <f>Summary!A5</f>
        <v>BUDGET HEAD : 2202-GENERAL EDUCATION, 02-SECONDARY EDUCATION, 109-GOVT. SEC. SCHOOL, (02)-GIRLS SCHOOL (STATE FUND)</v>
      </c>
      <c r="B6" s="852"/>
      <c r="C6" s="852"/>
      <c r="D6" s="852"/>
      <c r="E6" s="852"/>
      <c r="F6" s="852"/>
      <c r="G6" s="852"/>
      <c r="H6" s="852"/>
      <c r="I6" s="852"/>
      <c r="J6" s="693"/>
      <c r="K6" s="693"/>
      <c r="L6" s="693"/>
      <c r="M6" s="693"/>
      <c r="N6" s="693"/>
      <c r="O6" s="693"/>
      <c r="P6" s="693"/>
    </row>
    <row r="7" spans="1:19" ht="9" customHeight="1">
      <c r="A7" s="705"/>
      <c r="B7" s="705"/>
      <c r="C7" s="705"/>
      <c r="D7" s="706"/>
      <c r="E7" s="706"/>
      <c r="F7" s="706"/>
      <c r="G7" s="705"/>
      <c r="H7" s="705"/>
      <c r="I7" s="706"/>
      <c r="J7" s="693"/>
      <c r="K7" s="693"/>
      <c r="L7" s="693"/>
      <c r="M7" s="693"/>
      <c r="N7" s="693"/>
      <c r="O7" s="693"/>
      <c r="P7" s="693"/>
    </row>
    <row r="8" spans="1:19" ht="119.25" customHeight="1">
      <c r="A8" s="698" t="s">
        <v>696</v>
      </c>
      <c r="B8" s="701" t="s">
        <v>697</v>
      </c>
      <c r="C8" s="702" t="s">
        <v>330</v>
      </c>
      <c r="D8" s="703" t="s">
        <v>748</v>
      </c>
      <c r="E8" s="704" t="s">
        <v>746</v>
      </c>
      <c r="F8" s="703" t="s">
        <v>747</v>
      </c>
      <c r="G8" s="700" t="s">
        <v>698</v>
      </c>
      <c r="H8" s="700" t="s">
        <v>744</v>
      </c>
      <c r="I8" s="703" t="s">
        <v>745</v>
      </c>
      <c r="J8" s="693"/>
      <c r="L8" s="693"/>
      <c r="M8" s="693"/>
      <c r="N8" s="693"/>
      <c r="O8" s="693"/>
      <c r="P8" s="693"/>
      <c r="Q8" s="693"/>
      <c r="R8" s="693"/>
      <c r="S8" s="693"/>
    </row>
    <row r="9" spans="1:19" ht="18.75">
      <c r="A9" s="694">
        <v>1</v>
      </c>
      <c r="B9" s="695">
        <v>2</v>
      </c>
      <c r="C9" s="694">
        <v>3</v>
      </c>
      <c r="D9" s="696">
        <v>4</v>
      </c>
      <c r="E9" s="696">
        <v>5</v>
      </c>
      <c r="F9" s="696">
        <v>6</v>
      </c>
      <c r="G9" s="696">
        <v>7</v>
      </c>
      <c r="H9" s="696">
        <v>8</v>
      </c>
      <c r="I9" s="697">
        <v>9</v>
      </c>
      <c r="J9" s="693"/>
      <c r="K9" s="693"/>
      <c r="L9" s="693"/>
      <c r="M9" s="693"/>
      <c r="N9" s="693"/>
      <c r="O9" s="693"/>
      <c r="P9" s="693"/>
      <c r="Q9" s="693"/>
      <c r="R9" s="693"/>
      <c r="S9" s="693"/>
    </row>
    <row r="10" spans="1:19" ht="72.75" customHeight="1">
      <c r="A10" s="698">
        <v>1</v>
      </c>
      <c r="B10" s="699">
        <f>Master!C3</f>
        <v>30695</v>
      </c>
      <c r="C10" s="700" t="str">
        <f>Master!D2</f>
        <v>egkRek xka/kh jktdh; fo|ky; ¼vaxzsth ek/;e½ cj ] ikyh</v>
      </c>
      <c r="D10" s="699">
        <f>'Formet 9'!F11</f>
        <v>9820000</v>
      </c>
      <c r="E10" s="699">
        <f>'Formet 9'!H11</f>
        <v>3407270</v>
      </c>
      <c r="F10" s="699">
        <f>'Formet 9'!J11</f>
        <v>6407270</v>
      </c>
      <c r="G10" s="699">
        <f>'Formet 9'!K11</f>
        <v>15417558</v>
      </c>
      <c r="H10" s="699">
        <f>D10-G10</f>
        <v>-5597558</v>
      </c>
      <c r="I10" s="699">
        <f>'Formet 9'!L11</f>
        <v>15871174</v>
      </c>
      <c r="J10" s="693"/>
      <c r="K10" s="693"/>
      <c r="L10" s="693"/>
      <c r="M10" s="693"/>
      <c r="N10" s="693"/>
      <c r="O10" s="693"/>
      <c r="P10" s="693"/>
      <c r="Q10" s="693"/>
      <c r="R10" s="693"/>
      <c r="S10" s="693"/>
    </row>
    <row r="11" spans="1:19" ht="18.75">
      <c r="A11" s="693"/>
      <c r="B11" s="693"/>
      <c r="C11" s="693"/>
      <c r="D11" s="693"/>
      <c r="E11" s="693"/>
      <c r="F11" s="693"/>
      <c r="G11" s="693"/>
      <c r="H11" s="693"/>
      <c r="I11" s="693"/>
      <c r="J11" s="693"/>
      <c r="K11" s="693"/>
      <c r="L11" s="693"/>
      <c r="M11" s="693"/>
      <c r="N11" s="693"/>
      <c r="O11" s="693"/>
      <c r="P11" s="693"/>
      <c r="Q11" s="693"/>
      <c r="R11" s="693"/>
      <c r="S11" s="693"/>
    </row>
    <row r="12" spans="1:19" ht="18.75">
      <c r="A12" s="526" t="s">
        <v>558</v>
      </c>
      <c r="B12" s="182"/>
      <c r="C12" s="182"/>
      <c r="D12" s="182"/>
      <c r="E12" s="108"/>
      <c r="F12" s="108"/>
      <c r="G12" s="108"/>
      <c r="H12" s="108"/>
      <c r="I12" s="693"/>
      <c r="J12" s="693"/>
      <c r="K12" s="693"/>
      <c r="L12" s="693"/>
      <c r="M12" s="693"/>
      <c r="N12" s="693"/>
      <c r="O12" s="693"/>
      <c r="P12" s="693"/>
      <c r="Q12" s="693"/>
      <c r="R12" s="693"/>
      <c r="S12" s="693"/>
    </row>
    <row r="13" spans="1:19" ht="18.75">
      <c r="A13" s="526"/>
      <c r="B13" s="182"/>
      <c r="C13" s="182"/>
      <c r="D13" s="182"/>
      <c r="E13" s="108"/>
      <c r="F13" s="108"/>
      <c r="G13" s="108"/>
      <c r="H13" s="108"/>
      <c r="I13" s="693"/>
      <c r="J13" s="693"/>
      <c r="K13" s="693"/>
      <c r="L13" s="693"/>
      <c r="M13" s="693"/>
      <c r="N13" s="693"/>
      <c r="O13" s="693"/>
      <c r="P13" s="693"/>
      <c r="Q13" s="693"/>
      <c r="R13" s="693"/>
      <c r="S13" s="693"/>
    </row>
    <row r="14" spans="1:19" ht="18.75">
      <c r="A14" s="526"/>
      <c r="B14" s="182"/>
      <c r="C14" s="182"/>
      <c r="D14" s="182"/>
      <c r="E14" s="108"/>
      <c r="F14" s="108"/>
      <c r="G14" s="855" t="str">
        <f>CONCATENATE("¼ ",Master!G3,"½")</f>
        <v>¼ m"kk ikfy;k½</v>
      </c>
      <c r="H14" s="855"/>
      <c r="I14" s="693"/>
      <c r="J14" s="693"/>
      <c r="K14" s="693"/>
      <c r="L14" s="693"/>
      <c r="M14" s="693"/>
      <c r="N14" s="693"/>
      <c r="O14" s="693"/>
      <c r="P14" s="693"/>
      <c r="Q14" s="693"/>
      <c r="R14" s="693"/>
      <c r="S14" s="693"/>
    </row>
    <row r="15" spans="1:19" ht="18.75">
      <c r="A15" s="182"/>
      <c r="B15" s="182"/>
      <c r="C15" s="182"/>
      <c r="D15" s="182"/>
      <c r="E15" s="108"/>
      <c r="F15" s="108"/>
      <c r="G15" s="856" t="str">
        <f>Master!C2</f>
        <v>iz/kkukpk;Z</v>
      </c>
      <c r="H15" s="856"/>
      <c r="I15" s="693"/>
      <c r="J15" s="693"/>
      <c r="K15" s="693"/>
      <c r="L15" s="693"/>
      <c r="M15" s="693"/>
      <c r="N15" s="693"/>
      <c r="O15" s="693"/>
      <c r="P15" s="693"/>
      <c r="Q15" s="693"/>
      <c r="R15" s="693"/>
      <c r="S15" s="693"/>
    </row>
    <row r="16" spans="1:19" ht="18.75">
      <c r="A16" s="182"/>
      <c r="B16" s="182"/>
      <c r="C16" s="182"/>
      <c r="D16" s="182"/>
      <c r="E16" s="108"/>
      <c r="F16" s="108"/>
      <c r="G16" s="849" t="str">
        <f>Master!D2</f>
        <v>egkRek xka/kh jktdh; fo|ky; ¼vaxzsth ek/;e½ cj ] ikyh</v>
      </c>
      <c r="H16" s="849"/>
      <c r="I16" s="693"/>
      <c r="J16" s="693"/>
      <c r="K16" s="693"/>
      <c r="L16" s="693"/>
      <c r="M16" s="693"/>
      <c r="N16" s="693"/>
      <c r="O16" s="693"/>
      <c r="P16" s="693"/>
      <c r="Q16" s="693"/>
      <c r="R16" s="693"/>
      <c r="S16" s="693"/>
    </row>
    <row r="17" spans="1:19" ht="18.75">
      <c r="A17" s="182"/>
      <c r="B17" s="182"/>
      <c r="C17" s="182"/>
      <c r="D17" s="182"/>
      <c r="E17" s="108"/>
      <c r="F17" s="108"/>
      <c r="G17" s="849"/>
      <c r="H17" s="849"/>
      <c r="I17" s="693"/>
      <c r="J17" s="693"/>
      <c r="K17" s="693"/>
      <c r="L17" s="693"/>
      <c r="M17" s="693"/>
      <c r="N17" s="693"/>
      <c r="O17" s="693"/>
      <c r="P17" s="693"/>
      <c r="Q17" s="693"/>
      <c r="R17" s="693"/>
      <c r="S17" s="693"/>
    </row>
    <row r="18" spans="1:19" ht="18.75">
      <c r="A18" s="693"/>
      <c r="B18" s="693"/>
      <c r="C18" s="693"/>
      <c r="D18" s="693"/>
      <c r="E18" s="693"/>
      <c r="F18" s="693"/>
      <c r="G18" s="693"/>
      <c r="H18" s="693"/>
      <c r="I18" s="693"/>
      <c r="J18" s="693"/>
      <c r="K18" s="693"/>
      <c r="L18" s="693"/>
      <c r="M18" s="693"/>
      <c r="N18" s="693"/>
      <c r="O18" s="693"/>
      <c r="P18" s="693"/>
      <c r="Q18" s="693"/>
      <c r="R18" s="693"/>
      <c r="S18" s="693"/>
    </row>
    <row r="19" spans="1:19" ht="18.75">
      <c r="A19" s="693"/>
      <c r="B19" s="693"/>
      <c r="C19" s="693"/>
      <c r="D19" s="693"/>
      <c r="E19" s="693"/>
      <c r="F19" s="693"/>
      <c r="G19" s="693"/>
      <c r="H19" s="693"/>
      <c r="I19" s="693"/>
      <c r="J19" s="693"/>
      <c r="K19" s="693"/>
      <c r="L19" s="693"/>
      <c r="M19" s="693"/>
      <c r="N19" s="693"/>
      <c r="O19" s="693"/>
      <c r="P19" s="693"/>
      <c r="Q19" s="693"/>
      <c r="R19" s="693"/>
      <c r="S19" s="693"/>
    </row>
    <row r="20" spans="1:19" ht="18.75">
      <c r="A20" s="693"/>
      <c r="B20" s="693"/>
      <c r="C20" s="693"/>
      <c r="D20" s="693"/>
      <c r="E20" s="693"/>
      <c r="F20" s="693"/>
      <c r="G20" s="693"/>
      <c r="H20" s="693"/>
      <c r="I20" s="693"/>
      <c r="J20" s="693"/>
      <c r="K20" s="693"/>
      <c r="L20" s="693"/>
      <c r="M20" s="693"/>
      <c r="N20" s="693"/>
      <c r="O20" s="693"/>
      <c r="P20" s="693"/>
      <c r="Q20" s="693"/>
      <c r="R20" s="693"/>
      <c r="S20" s="693"/>
    </row>
  </sheetData>
  <mergeCells count="9">
    <mergeCell ref="G16:H17"/>
    <mergeCell ref="A3:I3"/>
    <mergeCell ref="A4:I4"/>
    <mergeCell ref="A6:I6"/>
    <mergeCell ref="H1:I1"/>
    <mergeCell ref="A2:I2"/>
    <mergeCell ref="A5:I5"/>
    <mergeCell ref="G14:H14"/>
    <mergeCell ref="G15:H15"/>
  </mergeCells>
  <conditionalFormatting sqref="A12:A14">
    <cfRule type="containsText" dxfId="34" priority="1" operator="containsText" text="in fjDr">
      <formula>NOT(ISERROR(SEARCH("in fjDr",A12)))</formula>
    </cfRule>
  </conditionalFormatting>
  <pageMargins left="0.55000000000000004" right="0.32" top="0.75" bottom="0.75" header="0.3" footer="0.3"/>
  <pageSetup paperSize="9" scale="99" orientation="landscape" blackAndWhite="1" horizontalDpi="300" verticalDpi="300" r:id="rId1"/>
</worksheet>
</file>

<file path=xl/worksheets/sheet8.xml><?xml version="1.0" encoding="utf-8"?>
<worksheet xmlns="http://schemas.openxmlformats.org/spreadsheetml/2006/main" xmlns:r="http://schemas.openxmlformats.org/officeDocument/2006/relationships">
  <sheetPr codeName="Sheet8">
    <tabColor rgb="FF00B050"/>
    <pageSetUpPr fitToPage="1"/>
  </sheetPr>
  <dimension ref="A1:M19"/>
  <sheetViews>
    <sheetView showGridLines="0" view="pageBreakPreview" zoomScale="110" zoomScaleSheetLayoutView="110" workbookViewId="0">
      <selection activeCell="J9" sqref="J9"/>
    </sheetView>
  </sheetViews>
  <sheetFormatPr defaultRowHeight="15"/>
  <cols>
    <col min="1" max="1" width="11.125" customWidth="1"/>
    <col min="2" max="9" width="14.75" customWidth="1"/>
    <col min="11" max="12" width="9.125" hidden="1" customWidth="1"/>
  </cols>
  <sheetData>
    <row r="1" spans="1:13" ht="15.75">
      <c r="A1" s="36"/>
      <c r="B1" s="36"/>
      <c r="C1" s="36"/>
      <c r="D1" s="36"/>
      <c r="E1" s="36"/>
      <c r="F1" s="36"/>
      <c r="G1" s="36"/>
      <c r="H1" s="859">
        <f>Summary!$C$1</f>
        <v>30695</v>
      </c>
      <c r="I1" s="859"/>
    </row>
    <row r="2" spans="1:13" ht="20.25">
      <c r="A2" s="816" t="str">
        <f>Summary!$A$2</f>
        <v>iz/kkukpk;Z egkRek xka/kh jktdh; fo|ky; ¼vaxzsth ek/;e½ cj ] ikyh</v>
      </c>
      <c r="B2" s="816"/>
      <c r="C2" s="816"/>
      <c r="D2" s="816"/>
      <c r="E2" s="816"/>
      <c r="F2" s="816"/>
      <c r="G2" s="816"/>
      <c r="H2" s="816"/>
      <c r="I2" s="816"/>
    </row>
    <row r="3" spans="1:13" ht="20.25">
      <c r="A3" s="816" t="s">
        <v>560</v>
      </c>
      <c r="B3" s="816"/>
      <c r="C3" s="816"/>
      <c r="D3" s="816"/>
      <c r="E3" s="816"/>
      <c r="F3" s="816"/>
      <c r="G3" s="816"/>
      <c r="H3" s="816"/>
      <c r="I3" s="816"/>
    </row>
    <row r="4" spans="1:13" ht="21" thickBot="1">
      <c r="A4" s="860" t="s">
        <v>749</v>
      </c>
      <c r="B4" s="860"/>
      <c r="C4" s="860"/>
      <c r="D4" s="860"/>
      <c r="E4" s="860"/>
      <c r="F4" s="860"/>
      <c r="G4" s="860"/>
      <c r="H4" s="860"/>
      <c r="I4" s="860"/>
    </row>
    <row r="5" spans="1:13" ht="20.25">
      <c r="A5" s="861" t="s">
        <v>39</v>
      </c>
      <c r="B5" s="863" t="s">
        <v>293</v>
      </c>
      <c r="C5" s="864"/>
      <c r="D5" s="864"/>
      <c r="E5" s="865"/>
      <c r="F5" s="863" t="s">
        <v>292</v>
      </c>
      <c r="G5" s="864"/>
      <c r="H5" s="864"/>
      <c r="I5" s="865"/>
    </row>
    <row r="6" spans="1:13" ht="18.75" customHeight="1">
      <c r="A6" s="862"/>
      <c r="B6" s="866" t="s">
        <v>730</v>
      </c>
      <c r="C6" s="857"/>
      <c r="D6" s="857" t="s">
        <v>732</v>
      </c>
      <c r="E6" s="858"/>
      <c r="F6" s="866" t="s">
        <v>730</v>
      </c>
      <c r="G6" s="857"/>
      <c r="H6" s="857" t="s">
        <v>732</v>
      </c>
      <c r="I6" s="858"/>
    </row>
    <row r="7" spans="1:13" ht="20.25">
      <c r="A7" s="862"/>
      <c r="B7" s="110" t="s">
        <v>289</v>
      </c>
      <c r="C7" s="111" t="s">
        <v>41</v>
      </c>
      <c r="D7" s="111" t="s">
        <v>289</v>
      </c>
      <c r="E7" s="112" t="s">
        <v>41</v>
      </c>
      <c r="F7" s="110" t="s">
        <v>289</v>
      </c>
      <c r="G7" s="111" t="s">
        <v>41</v>
      </c>
      <c r="H7" s="111" t="s">
        <v>289</v>
      </c>
      <c r="I7" s="112" t="s">
        <v>41</v>
      </c>
      <c r="K7" s="105" t="s">
        <v>290</v>
      </c>
      <c r="L7" s="105" t="s">
        <v>291</v>
      </c>
    </row>
    <row r="8" spans="1:13" ht="39" customHeight="1">
      <c r="A8" s="113" t="s">
        <v>42</v>
      </c>
      <c r="B8" s="171">
        <f>Master!B50</f>
        <v>36</v>
      </c>
      <c r="C8" s="172">
        <f>B8*10</f>
        <v>360</v>
      </c>
      <c r="D8" s="173">
        <f>Master!G50</f>
        <v>102</v>
      </c>
      <c r="E8" s="174">
        <f>D8*10</f>
        <v>1020</v>
      </c>
      <c r="F8" s="171">
        <f>Master!D50</f>
        <v>2</v>
      </c>
      <c r="G8" s="172">
        <f>F8*5</f>
        <v>10</v>
      </c>
      <c r="H8" s="173">
        <f>Master!I50</f>
        <v>5</v>
      </c>
      <c r="I8" s="174">
        <f>H8*5</f>
        <v>25</v>
      </c>
      <c r="K8" s="105">
        <f>C8+G8</f>
        <v>370</v>
      </c>
      <c r="L8" s="105">
        <f>E8+I8</f>
        <v>1045</v>
      </c>
    </row>
    <row r="9" spans="1:13" ht="39" customHeight="1">
      <c r="A9" s="113" t="s">
        <v>43</v>
      </c>
      <c r="B9" s="171">
        <f>Master!B51</f>
        <v>48</v>
      </c>
      <c r="C9" s="172">
        <f>B9*10</f>
        <v>480</v>
      </c>
      <c r="D9" s="173">
        <f>Master!G51</f>
        <v>11</v>
      </c>
      <c r="E9" s="174">
        <f>D9*10</f>
        <v>110</v>
      </c>
      <c r="F9" s="171">
        <f>Master!D51</f>
        <v>13</v>
      </c>
      <c r="G9" s="172">
        <f>F9*5</f>
        <v>65</v>
      </c>
      <c r="H9" s="173">
        <f>Master!I51</f>
        <v>16</v>
      </c>
      <c r="I9" s="174">
        <f>H9*5</f>
        <v>80</v>
      </c>
      <c r="K9" s="105">
        <f>C9+G9</f>
        <v>545</v>
      </c>
      <c r="L9" s="105">
        <f>E9+I9</f>
        <v>190</v>
      </c>
    </row>
    <row r="10" spans="1:13" ht="39" customHeight="1">
      <c r="A10" s="113" t="s">
        <v>44</v>
      </c>
      <c r="B10" s="171">
        <f>Master!B52</f>
        <v>0</v>
      </c>
      <c r="C10" s="172">
        <f>B10*10</f>
        <v>0</v>
      </c>
      <c r="D10" s="173">
        <f>Master!G52</f>
        <v>4</v>
      </c>
      <c r="E10" s="174">
        <f>D10*10</f>
        <v>40</v>
      </c>
      <c r="F10" s="171">
        <f>Master!D52</f>
        <v>0</v>
      </c>
      <c r="G10" s="172">
        <f>F10*5</f>
        <v>0</v>
      </c>
      <c r="H10" s="173">
        <f>Master!I52</f>
        <v>3</v>
      </c>
      <c r="I10" s="174">
        <f>H10*5</f>
        <v>15</v>
      </c>
      <c r="K10" s="105">
        <f>C10+G10</f>
        <v>0</v>
      </c>
      <c r="L10" s="105">
        <f>E10+I10</f>
        <v>55</v>
      </c>
    </row>
    <row r="11" spans="1:13" ht="39" customHeight="1">
      <c r="A11" s="113" t="s">
        <v>45</v>
      </c>
      <c r="B11" s="171">
        <f>Master!B53</f>
        <v>0</v>
      </c>
      <c r="C11" s="172">
        <f>B11*10</f>
        <v>0</v>
      </c>
      <c r="D11" s="173">
        <f>Master!G53</f>
        <v>6</v>
      </c>
      <c r="E11" s="174">
        <f>D11*10</f>
        <v>60</v>
      </c>
      <c r="F11" s="171">
        <f>Master!D53</f>
        <v>0</v>
      </c>
      <c r="G11" s="172">
        <f>F11*5</f>
        <v>0</v>
      </c>
      <c r="H11" s="173">
        <f>Master!I53</f>
        <v>90</v>
      </c>
      <c r="I11" s="174">
        <f>H11*5</f>
        <v>450</v>
      </c>
      <c r="K11" s="105">
        <f>C11+G11</f>
        <v>0</v>
      </c>
      <c r="L11" s="105">
        <f>E11+I11</f>
        <v>510</v>
      </c>
    </row>
    <row r="12" spans="1:13" ht="39" customHeight="1" thickBot="1">
      <c r="A12" s="114" t="s">
        <v>38</v>
      </c>
      <c r="B12" s="175">
        <f t="shared" ref="B12:I12" si="0">SUM(B8:B11)</f>
        <v>84</v>
      </c>
      <c r="C12" s="176">
        <f t="shared" si="0"/>
        <v>840</v>
      </c>
      <c r="D12" s="176">
        <f t="shared" si="0"/>
        <v>123</v>
      </c>
      <c r="E12" s="177">
        <f t="shared" si="0"/>
        <v>1230</v>
      </c>
      <c r="F12" s="175">
        <f t="shared" si="0"/>
        <v>15</v>
      </c>
      <c r="G12" s="176">
        <f t="shared" si="0"/>
        <v>75</v>
      </c>
      <c r="H12" s="176">
        <f t="shared" si="0"/>
        <v>114</v>
      </c>
      <c r="I12" s="177">
        <f t="shared" si="0"/>
        <v>570</v>
      </c>
      <c r="J12" s="106"/>
      <c r="K12" s="107">
        <f>SUM(K8:K11)</f>
        <v>915</v>
      </c>
      <c r="L12" s="107">
        <f>SUM(L8:L11)</f>
        <v>1800</v>
      </c>
      <c r="M12" s="106"/>
    </row>
    <row r="13" spans="1:13">
      <c r="A13" s="108"/>
      <c r="B13" s="108"/>
      <c r="C13" s="108"/>
      <c r="D13" s="108"/>
      <c r="E13" s="108"/>
      <c r="F13" s="108"/>
      <c r="G13" s="108"/>
      <c r="H13" s="108"/>
      <c r="I13" s="108"/>
    </row>
    <row r="14" spans="1:13">
      <c r="A14" s="108"/>
      <c r="B14" s="108"/>
      <c r="C14" s="108"/>
      <c r="D14" s="108"/>
      <c r="E14" s="108"/>
      <c r="F14" s="108"/>
      <c r="G14" s="108"/>
      <c r="H14" s="108"/>
      <c r="I14" s="108"/>
    </row>
    <row r="15" spans="1:13" ht="15.75">
      <c r="A15" s="108"/>
      <c r="B15" s="108"/>
      <c r="C15" s="108"/>
      <c r="D15" s="108"/>
      <c r="E15" s="108"/>
      <c r="F15" s="108"/>
      <c r="G15" s="108"/>
      <c r="H15" s="867" t="str">
        <f>CONCATENATE("¼ ",Master!G3,"½")</f>
        <v>¼ m"kk ikfy;k½</v>
      </c>
      <c r="I15" s="867"/>
    </row>
    <row r="16" spans="1:13" ht="18.75">
      <c r="A16" s="108"/>
      <c r="B16" s="108"/>
      <c r="C16" s="108"/>
      <c r="D16" s="108"/>
      <c r="E16" s="108"/>
      <c r="F16" s="108"/>
      <c r="G16" s="108"/>
      <c r="H16" s="856" t="str">
        <f>Master!C2</f>
        <v>iz/kkukpk;Z</v>
      </c>
      <c r="I16" s="856"/>
    </row>
    <row r="17" spans="1:9" ht="15" customHeight="1">
      <c r="A17" s="108"/>
      <c r="B17" s="108"/>
      <c r="C17" s="108"/>
      <c r="D17" s="108"/>
      <c r="E17" s="108"/>
      <c r="F17" s="108"/>
      <c r="G17" s="108"/>
      <c r="H17" s="849" t="str">
        <f>Master!D2</f>
        <v>egkRek xka/kh jktdh; fo|ky; ¼vaxzsth ek/;e½ cj ] ikyh</v>
      </c>
      <c r="I17" s="849"/>
    </row>
    <row r="18" spans="1:9" ht="15" customHeight="1">
      <c r="A18" s="108"/>
      <c r="B18" s="108"/>
      <c r="C18" s="108"/>
      <c r="D18" s="108"/>
      <c r="E18" s="108"/>
      <c r="F18" s="108"/>
      <c r="G18" s="109"/>
      <c r="H18" s="849"/>
      <c r="I18" s="849"/>
    </row>
    <row r="19" spans="1:9" ht="15" customHeight="1">
      <c r="A19" s="108"/>
      <c r="B19" s="108"/>
      <c r="C19" s="108"/>
      <c r="D19" s="108"/>
      <c r="E19" s="108"/>
      <c r="F19" s="108"/>
      <c r="G19" s="109"/>
      <c r="H19" s="849"/>
      <c r="I19" s="849"/>
    </row>
  </sheetData>
  <mergeCells count="14">
    <mergeCell ref="H6:I6"/>
    <mergeCell ref="H16:I16"/>
    <mergeCell ref="H17:I19"/>
    <mergeCell ref="H1:I1"/>
    <mergeCell ref="A2:I2"/>
    <mergeCell ref="A3:I3"/>
    <mergeCell ref="A4:I4"/>
    <mergeCell ref="A5:A7"/>
    <mergeCell ref="B5:E5"/>
    <mergeCell ref="F5:I5"/>
    <mergeCell ref="B6:C6"/>
    <mergeCell ref="D6:E6"/>
    <mergeCell ref="F6:G6"/>
    <mergeCell ref="H15:I15"/>
  </mergeCells>
  <pageMargins left="0.81" right="0.56999999999999995" top="0.75" bottom="0.75" header="0.3" footer="0.3"/>
  <pageSetup paperSize="9" orientation="landscape" blackAndWhite="1" horizontalDpi="300" verticalDpi="300" r:id="rId1"/>
</worksheet>
</file>

<file path=xl/worksheets/sheet9.xml><?xml version="1.0" encoding="utf-8"?>
<worksheet xmlns="http://schemas.openxmlformats.org/spreadsheetml/2006/main" xmlns:r="http://schemas.openxmlformats.org/officeDocument/2006/relationships">
  <sheetPr codeName="Sheet9">
    <tabColor rgb="FF00B050"/>
    <pageSetUpPr fitToPage="1"/>
  </sheetPr>
  <dimension ref="A1:AC56"/>
  <sheetViews>
    <sheetView showGridLines="0" view="pageBreakPreview" topLeftCell="A4" zoomScale="110" zoomScaleSheetLayoutView="110" workbookViewId="0">
      <selection activeCell="AC11" sqref="AC11"/>
    </sheetView>
  </sheetViews>
  <sheetFormatPr defaultColWidth="9.125" defaultRowHeight="15"/>
  <cols>
    <col min="1" max="1" width="7.875" style="147" customWidth="1"/>
    <col min="2" max="2" width="8.875" style="147" customWidth="1"/>
    <col min="3" max="17" width="6.25" style="147" customWidth="1"/>
    <col min="18" max="18" width="7" style="147" customWidth="1"/>
    <col min="19" max="19" width="7.125" style="147" customWidth="1"/>
    <col min="20" max="20" width="8" style="147" customWidth="1"/>
    <col min="21" max="23" width="6.25" style="147" customWidth="1"/>
    <col min="24" max="16384" width="9.125" style="147"/>
  </cols>
  <sheetData>
    <row r="1" spans="1:29" ht="18" customHeight="1">
      <c r="A1" s="484"/>
      <c r="B1" s="484"/>
      <c r="C1" s="484"/>
      <c r="D1" s="484"/>
      <c r="E1" s="484"/>
      <c r="F1" s="484"/>
      <c r="G1" s="484"/>
      <c r="H1" s="484"/>
      <c r="I1" s="484"/>
      <c r="J1" s="484"/>
      <c r="K1" s="484"/>
      <c r="L1" s="484"/>
      <c r="M1" s="484"/>
      <c r="N1" s="484"/>
      <c r="O1" s="484"/>
      <c r="P1" s="484"/>
      <c r="Q1" s="484"/>
      <c r="R1" s="484"/>
      <c r="S1" s="883">
        <f>Summary!$C$1</f>
        <v>30695</v>
      </c>
      <c r="T1" s="883"/>
      <c r="U1" s="883"/>
      <c r="V1" s="883"/>
      <c r="W1" s="883"/>
    </row>
    <row r="2" spans="1:29" ht="32.25" customHeight="1" thickBot="1">
      <c r="A2" s="884" t="str">
        <f>Summary!A2</f>
        <v>iz/kkukpk;Z egkRek xka/kh jktdh; fo|ky; ¼vaxzsth ek/;e½ cj ] ikyh</v>
      </c>
      <c r="B2" s="884"/>
      <c r="C2" s="884"/>
      <c r="D2" s="884"/>
      <c r="E2" s="884"/>
      <c r="F2" s="884"/>
      <c r="G2" s="884"/>
      <c r="H2" s="884"/>
      <c r="I2" s="884"/>
      <c r="J2" s="884"/>
      <c r="K2" s="884"/>
      <c r="L2" s="884"/>
      <c r="M2" s="884"/>
      <c r="N2" s="884"/>
      <c r="O2" s="884"/>
      <c r="P2" s="884"/>
      <c r="Q2" s="884"/>
      <c r="R2" s="884"/>
      <c r="S2" s="884"/>
      <c r="T2" s="884"/>
      <c r="U2" s="884"/>
      <c r="V2" s="884"/>
      <c r="W2" s="884"/>
    </row>
    <row r="3" spans="1:29" ht="24" customHeight="1">
      <c r="A3" s="485"/>
      <c r="B3" s="485"/>
      <c r="C3" s="485"/>
      <c r="D3" s="485"/>
      <c r="E3" s="485"/>
      <c r="F3" s="485"/>
      <c r="G3" s="485"/>
      <c r="H3" s="485"/>
      <c r="I3" s="485"/>
      <c r="J3" s="878" t="s">
        <v>326</v>
      </c>
      <c r="K3" s="878"/>
      <c r="L3" s="878"/>
      <c r="M3" s="878"/>
      <c r="N3" s="878"/>
      <c r="O3" s="485"/>
      <c r="P3" s="485"/>
      <c r="Q3" s="485"/>
      <c r="R3" s="485"/>
      <c r="S3" s="485"/>
      <c r="T3" s="485"/>
      <c r="U3" s="485"/>
      <c r="V3" s="485"/>
      <c r="W3" s="485"/>
      <c r="Z3" s="868" t="s">
        <v>664</v>
      </c>
      <c r="AA3" s="869"/>
      <c r="AB3" s="869"/>
      <c r="AC3" s="870"/>
    </row>
    <row r="4" spans="1:29" ht="10.5" customHeight="1">
      <c r="A4" s="485"/>
      <c r="B4" s="485"/>
      <c r="C4" s="485"/>
      <c r="D4" s="485"/>
      <c r="E4" s="485"/>
      <c r="F4" s="485"/>
      <c r="G4" s="485"/>
      <c r="H4" s="485"/>
      <c r="I4" s="485"/>
      <c r="J4" s="485"/>
      <c r="K4" s="485"/>
      <c r="L4" s="485"/>
      <c r="M4" s="485"/>
      <c r="N4" s="485"/>
      <c r="O4" s="485"/>
      <c r="P4" s="485"/>
      <c r="Q4" s="485"/>
      <c r="R4" s="485"/>
      <c r="S4" s="485"/>
      <c r="T4" s="485"/>
      <c r="U4" s="485"/>
      <c r="V4" s="485"/>
      <c r="W4" s="485"/>
      <c r="Z4" s="871"/>
      <c r="AA4" s="872"/>
      <c r="AB4" s="872"/>
      <c r="AC4" s="873"/>
    </row>
    <row r="5" spans="1:29" s="148" customFormat="1" ht="36.75" customHeight="1" thickBot="1">
      <c r="A5" s="885" t="s">
        <v>294</v>
      </c>
      <c r="B5" s="885" t="s">
        <v>295</v>
      </c>
      <c r="C5" s="879" t="s">
        <v>296</v>
      </c>
      <c r="D5" s="879"/>
      <c r="E5" s="879"/>
      <c r="F5" s="879" t="s">
        <v>297</v>
      </c>
      <c r="G5" s="879"/>
      <c r="H5" s="879"/>
      <c r="I5" s="879" t="s">
        <v>298</v>
      </c>
      <c r="J5" s="879"/>
      <c r="K5" s="879"/>
      <c r="L5" s="879" t="s">
        <v>299</v>
      </c>
      <c r="M5" s="879"/>
      <c r="N5" s="879"/>
      <c r="O5" s="879" t="s">
        <v>300</v>
      </c>
      <c r="P5" s="879"/>
      <c r="Q5" s="879"/>
      <c r="R5" s="879" t="s">
        <v>301</v>
      </c>
      <c r="S5" s="879"/>
      <c r="T5" s="879"/>
      <c r="U5" s="879" t="s">
        <v>302</v>
      </c>
      <c r="V5" s="879"/>
      <c r="W5" s="879"/>
      <c r="Z5" s="874"/>
      <c r="AA5" s="875"/>
      <c r="AB5" s="875"/>
      <c r="AC5" s="876"/>
    </row>
    <row r="6" spans="1:29" s="148" customFormat="1" ht="29.25" customHeight="1">
      <c r="A6" s="885"/>
      <c r="B6" s="885"/>
      <c r="C6" s="561" t="s">
        <v>303</v>
      </c>
      <c r="D6" s="561" t="s">
        <v>304</v>
      </c>
      <c r="E6" s="561" t="s">
        <v>305</v>
      </c>
      <c r="F6" s="561" t="s">
        <v>303</v>
      </c>
      <c r="G6" s="561" t="s">
        <v>304</v>
      </c>
      <c r="H6" s="561" t="s">
        <v>305</v>
      </c>
      <c r="I6" s="561" t="s">
        <v>303</v>
      </c>
      <c r="J6" s="561" t="s">
        <v>304</v>
      </c>
      <c r="K6" s="561" t="s">
        <v>305</v>
      </c>
      <c r="L6" s="561" t="s">
        <v>303</v>
      </c>
      <c r="M6" s="561" t="s">
        <v>304</v>
      </c>
      <c r="N6" s="561" t="s">
        <v>305</v>
      </c>
      <c r="O6" s="561" t="s">
        <v>303</v>
      </c>
      <c r="P6" s="561" t="s">
        <v>304</v>
      </c>
      <c r="Q6" s="561" t="s">
        <v>305</v>
      </c>
      <c r="R6" s="561" t="s">
        <v>303</v>
      </c>
      <c r="S6" s="561" t="s">
        <v>304</v>
      </c>
      <c r="T6" s="561" t="s">
        <v>305</v>
      </c>
      <c r="U6" s="561" t="s">
        <v>303</v>
      </c>
      <c r="V6" s="561" t="s">
        <v>304</v>
      </c>
      <c r="W6" s="561" t="s">
        <v>305</v>
      </c>
    </row>
    <row r="7" spans="1:29" ht="21" customHeight="1">
      <c r="A7" s="483">
        <v>1</v>
      </c>
      <c r="B7" s="483" t="s">
        <v>306</v>
      </c>
      <c r="C7" s="178">
        <v>0</v>
      </c>
      <c r="D7" s="178">
        <v>1</v>
      </c>
      <c r="E7" s="481">
        <f>SUM(C7+D7)</f>
        <v>1</v>
      </c>
      <c r="F7" s="178">
        <v>0</v>
      </c>
      <c r="G7" s="178">
        <v>0</v>
      </c>
      <c r="H7" s="481">
        <f>SUM(F7+G7)</f>
        <v>0</v>
      </c>
      <c r="I7" s="178">
        <v>2</v>
      </c>
      <c r="J7" s="178">
        <v>1</v>
      </c>
      <c r="K7" s="481">
        <f>SUM(I7+J7)</f>
        <v>3</v>
      </c>
      <c r="L7" s="178">
        <v>4</v>
      </c>
      <c r="M7" s="178">
        <v>8</v>
      </c>
      <c r="N7" s="481">
        <f>SUM(L7+M7)</f>
        <v>12</v>
      </c>
      <c r="O7" s="178">
        <v>0</v>
      </c>
      <c r="P7" s="178">
        <v>2</v>
      </c>
      <c r="Q7" s="481">
        <f>SUM(O7+P7)</f>
        <v>2</v>
      </c>
      <c r="R7" s="482">
        <f>SUM(C7,F7,I7,L7,O7)</f>
        <v>6</v>
      </c>
      <c r="S7" s="482">
        <f>SUM(D7,G7,J7,M7,P7)</f>
        <v>12</v>
      </c>
      <c r="T7" s="482">
        <f>SUM(R7+S7)</f>
        <v>18</v>
      </c>
      <c r="U7" s="178">
        <v>0</v>
      </c>
      <c r="V7" s="178">
        <v>0</v>
      </c>
      <c r="W7" s="481">
        <f>SUM(U7+V7)</f>
        <v>0</v>
      </c>
    </row>
    <row r="8" spans="1:29" ht="21" customHeight="1">
      <c r="A8" s="483">
        <v>2</v>
      </c>
      <c r="B8" s="483" t="s">
        <v>307</v>
      </c>
      <c r="C8" s="178">
        <v>0</v>
      </c>
      <c r="D8" s="178">
        <v>0</v>
      </c>
      <c r="E8" s="481">
        <f t="shared" ref="E8:E18" si="0">SUM(C8+D8)</f>
        <v>0</v>
      </c>
      <c r="F8" s="178">
        <v>0</v>
      </c>
      <c r="G8" s="178">
        <v>0</v>
      </c>
      <c r="H8" s="481">
        <f t="shared" ref="H8:H18" si="1">SUM(F8+G8)</f>
        <v>0</v>
      </c>
      <c r="I8" s="178">
        <v>2</v>
      </c>
      <c r="J8" s="178">
        <v>1</v>
      </c>
      <c r="K8" s="481">
        <f t="shared" ref="K8:K18" si="2">SUM(I8+J8)</f>
        <v>3</v>
      </c>
      <c r="L8" s="178">
        <v>5</v>
      </c>
      <c r="M8" s="178">
        <v>4</v>
      </c>
      <c r="N8" s="481">
        <f t="shared" ref="N8:N18" si="3">SUM(L8+M8)</f>
        <v>9</v>
      </c>
      <c r="O8" s="178">
        <v>0</v>
      </c>
      <c r="P8" s="178">
        <v>0</v>
      </c>
      <c r="Q8" s="481">
        <f t="shared" ref="Q8:Q18" si="4">SUM(O8+P8)</f>
        <v>0</v>
      </c>
      <c r="R8" s="482">
        <f t="shared" ref="R8:R18" si="5">SUM(C8,F8,I8,L8,O8)</f>
        <v>7</v>
      </c>
      <c r="S8" s="482">
        <f t="shared" ref="S8:S18" si="6">SUM(D8,G8,J8,M8,P8)</f>
        <v>5</v>
      </c>
      <c r="T8" s="482">
        <f t="shared" ref="T8:T18" si="7">SUM(R8+S8)</f>
        <v>12</v>
      </c>
      <c r="U8" s="178">
        <v>1</v>
      </c>
      <c r="V8" s="178">
        <v>0</v>
      </c>
      <c r="W8" s="481">
        <f t="shared" ref="W8:W18" si="8">SUM(U8+V8)</f>
        <v>1</v>
      </c>
    </row>
    <row r="9" spans="1:29" ht="21" customHeight="1">
      <c r="A9" s="483">
        <v>3</v>
      </c>
      <c r="B9" s="483" t="s">
        <v>308</v>
      </c>
      <c r="C9" s="178">
        <v>0</v>
      </c>
      <c r="D9" s="178">
        <v>0</v>
      </c>
      <c r="E9" s="481">
        <f t="shared" si="0"/>
        <v>0</v>
      </c>
      <c r="F9" s="178">
        <v>0</v>
      </c>
      <c r="G9" s="178">
        <v>0</v>
      </c>
      <c r="H9" s="481">
        <f t="shared" si="1"/>
        <v>0</v>
      </c>
      <c r="I9" s="178">
        <v>5</v>
      </c>
      <c r="J9" s="178">
        <v>0</v>
      </c>
      <c r="K9" s="481">
        <f t="shared" si="2"/>
        <v>5</v>
      </c>
      <c r="L9" s="178">
        <v>3</v>
      </c>
      <c r="M9" s="178">
        <v>6</v>
      </c>
      <c r="N9" s="481">
        <f t="shared" si="3"/>
        <v>9</v>
      </c>
      <c r="O9" s="178">
        <v>0</v>
      </c>
      <c r="P9" s="178">
        <v>0</v>
      </c>
      <c r="Q9" s="481">
        <f t="shared" si="4"/>
        <v>0</v>
      </c>
      <c r="R9" s="482">
        <f t="shared" si="5"/>
        <v>8</v>
      </c>
      <c r="S9" s="482">
        <f t="shared" si="6"/>
        <v>6</v>
      </c>
      <c r="T9" s="482">
        <f t="shared" si="7"/>
        <v>14</v>
      </c>
      <c r="U9" s="178">
        <v>1</v>
      </c>
      <c r="V9" s="178">
        <v>0</v>
      </c>
      <c r="W9" s="481">
        <f t="shared" si="8"/>
        <v>1</v>
      </c>
    </row>
    <row r="10" spans="1:29" ht="21" customHeight="1">
      <c r="A10" s="483">
        <v>4</v>
      </c>
      <c r="B10" s="483" t="s">
        <v>309</v>
      </c>
      <c r="C10" s="178">
        <v>1</v>
      </c>
      <c r="D10" s="178">
        <v>0</v>
      </c>
      <c r="E10" s="481">
        <f t="shared" si="0"/>
        <v>1</v>
      </c>
      <c r="F10" s="178">
        <v>0</v>
      </c>
      <c r="G10" s="178">
        <v>0</v>
      </c>
      <c r="H10" s="481">
        <f t="shared" si="1"/>
        <v>0</v>
      </c>
      <c r="I10" s="178">
        <v>1</v>
      </c>
      <c r="J10" s="178">
        <v>1</v>
      </c>
      <c r="K10" s="481">
        <f t="shared" si="2"/>
        <v>2</v>
      </c>
      <c r="L10" s="178">
        <v>2</v>
      </c>
      <c r="M10" s="178">
        <v>8</v>
      </c>
      <c r="N10" s="481">
        <f t="shared" si="3"/>
        <v>10</v>
      </c>
      <c r="O10" s="178">
        <v>0</v>
      </c>
      <c r="P10" s="178">
        <v>0</v>
      </c>
      <c r="Q10" s="481">
        <f t="shared" si="4"/>
        <v>0</v>
      </c>
      <c r="R10" s="482">
        <f t="shared" si="5"/>
        <v>4</v>
      </c>
      <c r="S10" s="482">
        <f t="shared" si="6"/>
        <v>9</v>
      </c>
      <c r="T10" s="482">
        <f t="shared" si="7"/>
        <v>13</v>
      </c>
      <c r="U10" s="178">
        <v>0</v>
      </c>
      <c r="V10" s="178">
        <v>2</v>
      </c>
      <c r="W10" s="481">
        <f t="shared" si="8"/>
        <v>2</v>
      </c>
    </row>
    <row r="11" spans="1:29" ht="21" customHeight="1">
      <c r="A11" s="483">
        <v>5</v>
      </c>
      <c r="B11" s="483" t="s">
        <v>310</v>
      </c>
      <c r="C11" s="178">
        <v>0</v>
      </c>
      <c r="D11" s="178">
        <v>1</v>
      </c>
      <c r="E11" s="481">
        <f t="shared" si="0"/>
        <v>1</v>
      </c>
      <c r="F11" s="178">
        <v>0</v>
      </c>
      <c r="G11" s="178">
        <v>0</v>
      </c>
      <c r="H11" s="481">
        <f t="shared" si="1"/>
        <v>0</v>
      </c>
      <c r="I11" s="178">
        <v>3</v>
      </c>
      <c r="J11" s="178">
        <v>1</v>
      </c>
      <c r="K11" s="481">
        <f t="shared" si="2"/>
        <v>4</v>
      </c>
      <c r="L11" s="178">
        <v>12</v>
      </c>
      <c r="M11" s="178">
        <v>7</v>
      </c>
      <c r="N11" s="481">
        <f t="shared" si="3"/>
        <v>19</v>
      </c>
      <c r="O11" s="178">
        <v>0</v>
      </c>
      <c r="P11" s="178">
        <v>0</v>
      </c>
      <c r="Q11" s="481">
        <f t="shared" si="4"/>
        <v>0</v>
      </c>
      <c r="R11" s="482">
        <f t="shared" si="5"/>
        <v>15</v>
      </c>
      <c r="S11" s="482">
        <f t="shared" si="6"/>
        <v>9</v>
      </c>
      <c r="T11" s="482">
        <f t="shared" si="7"/>
        <v>24</v>
      </c>
      <c r="U11" s="178">
        <v>0</v>
      </c>
      <c r="V11" s="178">
        <v>1</v>
      </c>
      <c r="W11" s="481">
        <f t="shared" si="8"/>
        <v>1</v>
      </c>
    </row>
    <row r="12" spans="1:29" ht="21" customHeight="1">
      <c r="A12" s="483">
        <v>6</v>
      </c>
      <c r="B12" s="483" t="s">
        <v>311</v>
      </c>
      <c r="C12" s="178">
        <v>0</v>
      </c>
      <c r="D12" s="178">
        <v>0</v>
      </c>
      <c r="E12" s="481">
        <f t="shared" si="0"/>
        <v>0</v>
      </c>
      <c r="F12" s="178">
        <v>0</v>
      </c>
      <c r="G12" s="178">
        <v>0</v>
      </c>
      <c r="H12" s="481">
        <f t="shared" si="1"/>
        <v>0</v>
      </c>
      <c r="I12" s="178">
        <v>3</v>
      </c>
      <c r="J12" s="178">
        <v>2</v>
      </c>
      <c r="K12" s="481">
        <f t="shared" si="2"/>
        <v>5</v>
      </c>
      <c r="L12" s="178">
        <v>17</v>
      </c>
      <c r="M12" s="178">
        <v>5</v>
      </c>
      <c r="N12" s="481">
        <f t="shared" si="3"/>
        <v>22</v>
      </c>
      <c r="O12" s="178">
        <v>0</v>
      </c>
      <c r="P12" s="178">
        <v>0</v>
      </c>
      <c r="Q12" s="481">
        <f t="shared" si="4"/>
        <v>0</v>
      </c>
      <c r="R12" s="482">
        <f t="shared" si="5"/>
        <v>20</v>
      </c>
      <c r="S12" s="482">
        <f t="shared" si="6"/>
        <v>7</v>
      </c>
      <c r="T12" s="482">
        <f t="shared" si="7"/>
        <v>27</v>
      </c>
      <c r="U12" s="178">
        <v>2</v>
      </c>
      <c r="V12" s="178">
        <v>0</v>
      </c>
      <c r="W12" s="481">
        <f t="shared" si="8"/>
        <v>2</v>
      </c>
    </row>
    <row r="13" spans="1:29" ht="21" customHeight="1">
      <c r="A13" s="483">
        <v>7</v>
      </c>
      <c r="B13" s="483" t="s">
        <v>312</v>
      </c>
      <c r="C13" s="178">
        <v>0</v>
      </c>
      <c r="D13" s="178">
        <v>0</v>
      </c>
      <c r="E13" s="481">
        <f t="shared" si="0"/>
        <v>0</v>
      </c>
      <c r="F13" s="178">
        <v>0</v>
      </c>
      <c r="G13" s="178">
        <v>0</v>
      </c>
      <c r="H13" s="481">
        <f t="shared" si="1"/>
        <v>0</v>
      </c>
      <c r="I13" s="178">
        <v>3</v>
      </c>
      <c r="J13" s="178">
        <v>0</v>
      </c>
      <c r="K13" s="481">
        <f t="shared" si="2"/>
        <v>3</v>
      </c>
      <c r="L13" s="178">
        <v>15</v>
      </c>
      <c r="M13" s="178">
        <v>14</v>
      </c>
      <c r="N13" s="481">
        <f t="shared" si="3"/>
        <v>29</v>
      </c>
      <c r="O13" s="178">
        <v>0</v>
      </c>
      <c r="P13" s="178">
        <v>0</v>
      </c>
      <c r="Q13" s="481">
        <f t="shared" si="4"/>
        <v>0</v>
      </c>
      <c r="R13" s="482">
        <f t="shared" si="5"/>
        <v>18</v>
      </c>
      <c r="S13" s="482">
        <f t="shared" si="6"/>
        <v>14</v>
      </c>
      <c r="T13" s="482">
        <f t="shared" si="7"/>
        <v>32</v>
      </c>
      <c r="U13" s="178">
        <v>4</v>
      </c>
      <c r="V13" s="178">
        <v>10</v>
      </c>
      <c r="W13" s="481">
        <f t="shared" si="8"/>
        <v>14</v>
      </c>
    </row>
    <row r="14" spans="1:29" ht="21" customHeight="1">
      <c r="A14" s="483">
        <v>8</v>
      </c>
      <c r="B14" s="483" t="s">
        <v>313</v>
      </c>
      <c r="C14" s="178">
        <v>0</v>
      </c>
      <c r="D14" s="178">
        <v>0</v>
      </c>
      <c r="E14" s="481">
        <f t="shared" si="0"/>
        <v>0</v>
      </c>
      <c r="F14" s="178">
        <v>0</v>
      </c>
      <c r="G14" s="178">
        <v>0</v>
      </c>
      <c r="H14" s="481">
        <f t="shared" si="1"/>
        <v>0</v>
      </c>
      <c r="I14" s="178">
        <v>2</v>
      </c>
      <c r="J14" s="178">
        <v>3</v>
      </c>
      <c r="K14" s="481">
        <f t="shared" si="2"/>
        <v>5</v>
      </c>
      <c r="L14" s="178">
        <v>18</v>
      </c>
      <c r="M14" s="178">
        <v>19</v>
      </c>
      <c r="N14" s="481">
        <f t="shared" si="3"/>
        <v>37</v>
      </c>
      <c r="O14" s="178">
        <v>0</v>
      </c>
      <c r="P14" s="178">
        <v>1</v>
      </c>
      <c r="Q14" s="481">
        <f t="shared" si="4"/>
        <v>1</v>
      </c>
      <c r="R14" s="482">
        <f t="shared" si="5"/>
        <v>20</v>
      </c>
      <c r="S14" s="482">
        <f t="shared" si="6"/>
        <v>23</v>
      </c>
      <c r="T14" s="482">
        <f t="shared" si="7"/>
        <v>43</v>
      </c>
      <c r="U14" s="178">
        <v>0</v>
      </c>
      <c r="V14" s="178">
        <v>0</v>
      </c>
      <c r="W14" s="481">
        <f t="shared" si="8"/>
        <v>0</v>
      </c>
    </row>
    <row r="15" spans="1:29" ht="21" customHeight="1">
      <c r="A15" s="483">
        <v>9</v>
      </c>
      <c r="B15" s="483" t="s">
        <v>314</v>
      </c>
      <c r="C15" s="178">
        <v>0</v>
      </c>
      <c r="D15" s="178">
        <v>0</v>
      </c>
      <c r="E15" s="481">
        <f t="shared" si="0"/>
        <v>0</v>
      </c>
      <c r="F15" s="178">
        <v>0</v>
      </c>
      <c r="G15" s="178">
        <v>0</v>
      </c>
      <c r="H15" s="481">
        <f t="shared" si="1"/>
        <v>0</v>
      </c>
      <c r="I15" s="178">
        <v>4</v>
      </c>
      <c r="J15" s="178">
        <v>2</v>
      </c>
      <c r="K15" s="481">
        <f t="shared" si="2"/>
        <v>6</v>
      </c>
      <c r="L15" s="178">
        <v>93</v>
      </c>
      <c r="M15" s="178">
        <v>74</v>
      </c>
      <c r="N15" s="481">
        <f t="shared" si="3"/>
        <v>167</v>
      </c>
      <c r="O15" s="178">
        <v>0</v>
      </c>
      <c r="P15" s="178">
        <v>3</v>
      </c>
      <c r="Q15" s="481">
        <f t="shared" si="4"/>
        <v>3</v>
      </c>
      <c r="R15" s="482">
        <f t="shared" si="5"/>
        <v>97</v>
      </c>
      <c r="S15" s="482">
        <f t="shared" si="6"/>
        <v>79</v>
      </c>
      <c r="T15" s="482">
        <f t="shared" si="7"/>
        <v>176</v>
      </c>
      <c r="U15" s="178">
        <v>8</v>
      </c>
      <c r="V15" s="178">
        <v>8</v>
      </c>
      <c r="W15" s="481">
        <f t="shared" si="8"/>
        <v>16</v>
      </c>
    </row>
    <row r="16" spans="1:29" ht="21" customHeight="1">
      <c r="A16" s="483">
        <v>10</v>
      </c>
      <c r="B16" s="483" t="s">
        <v>315</v>
      </c>
      <c r="C16" s="178">
        <v>0</v>
      </c>
      <c r="D16" s="178">
        <v>0</v>
      </c>
      <c r="E16" s="481">
        <f t="shared" si="0"/>
        <v>0</v>
      </c>
      <c r="F16" s="178">
        <v>0</v>
      </c>
      <c r="G16" s="178">
        <v>0</v>
      </c>
      <c r="H16" s="481">
        <f t="shared" si="1"/>
        <v>0</v>
      </c>
      <c r="I16" s="178">
        <v>6</v>
      </c>
      <c r="J16" s="178">
        <v>1</v>
      </c>
      <c r="K16" s="481">
        <f t="shared" si="2"/>
        <v>7</v>
      </c>
      <c r="L16" s="178">
        <v>65</v>
      </c>
      <c r="M16" s="178">
        <v>42</v>
      </c>
      <c r="N16" s="481">
        <f t="shared" si="3"/>
        <v>107</v>
      </c>
      <c r="O16" s="178">
        <v>2</v>
      </c>
      <c r="P16" s="178">
        <v>0</v>
      </c>
      <c r="Q16" s="481">
        <f t="shared" si="4"/>
        <v>2</v>
      </c>
      <c r="R16" s="482">
        <f t="shared" si="5"/>
        <v>73</v>
      </c>
      <c r="S16" s="482">
        <f t="shared" si="6"/>
        <v>43</v>
      </c>
      <c r="T16" s="482">
        <f t="shared" si="7"/>
        <v>116</v>
      </c>
      <c r="U16" s="178">
        <v>10</v>
      </c>
      <c r="V16" s="178">
        <v>12</v>
      </c>
      <c r="W16" s="481">
        <f t="shared" si="8"/>
        <v>22</v>
      </c>
    </row>
    <row r="17" spans="1:23" ht="21" customHeight="1">
      <c r="A17" s="483">
        <v>11</v>
      </c>
      <c r="B17" s="483" t="s">
        <v>316</v>
      </c>
      <c r="C17" s="178">
        <v>0</v>
      </c>
      <c r="D17" s="178">
        <v>0</v>
      </c>
      <c r="E17" s="481">
        <f t="shared" si="0"/>
        <v>0</v>
      </c>
      <c r="F17" s="178">
        <v>0</v>
      </c>
      <c r="G17" s="178">
        <v>0</v>
      </c>
      <c r="H17" s="481">
        <f t="shared" si="1"/>
        <v>0</v>
      </c>
      <c r="I17" s="178">
        <v>2</v>
      </c>
      <c r="J17" s="178">
        <v>3</v>
      </c>
      <c r="K17" s="481">
        <f t="shared" si="2"/>
        <v>5</v>
      </c>
      <c r="L17" s="178">
        <v>32</v>
      </c>
      <c r="M17" s="178">
        <v>36</v>
      </c>
      <c r="N17" s="481">
        <f t="shared" si="3"/>
        <v>68</v>
      </c>
      <c r="O17" s="178">
        <v>1</v>
      </c>
      <c r="P17" s="178">
        <v>1</v>
      </c>
      <c r="Q17" s="481">
        <f t="shared" si="4"/>
        <v>2</v>
      </c>
      <c r="R17" s="482">
        <f t="shared" si="5"/>
        <v>35</v>
      </c>
      <c r="S17" s="482">
        <f t="shared" si="6"/>
        <v>40</v>
      </c>
      <c r="T17" s="482">
        <f t="shared" si="7"/>
        <v>75</v>
      </c>
      <c r="U17" s="178">
        <v>6</v>
      </c>
      <c r="V17" s="178">
        <v>6</v>
      </c>
      <c r="W17" s="481">
        <f t="shared" si="8"/>
        <v>12</v>
      </c>
    </row>
    <row r="18" spans="1:23" ht="21" customHeight="1">
      <c r="A18" s="483">
        <v>12</v>
      </c>
      <c r="B18" s="483" t="s">
        <v>317</v>
      </c>
      <c r="C18" s="178">
        <v>0</v>
      </c>
      <c r="D18" s="178">
        <v>0</v>
      </c>
      <c r="E18" s="481">
        <f t="shared" si="0"/>
        <v>0</v>
      </c>
      <c r="F18" s="178">
        <v>0</v>
      </c>
      <c r="G18" s="178">
        <v>1</v>
      </c>
      <c r="H18" s="481">
        <f t="shared" si="1"/>
        <v>1</v>
      </c>
      <c r="I18" s="178">
        <v>0</v>
      </c>
      <c r="J18" s="178">
        <v>1</v>
      </c>
      <c r="K18" s="481">
        <f t="shared" si="2"/>
        <v>1</v>
      </c>
      <c r="L18" s="178">
        <v>16</v>
      </c>
      <c r="M18" s="178">
        <v>19</v>
      </c>
      <c r="N18" s="481">
        <f t="shared" si="3"/>
        <v>35</v>
      </c>
      <c r="O18" s="178">
        <v>0</v>
      </c>
      <c r="P18" s="178">
        <v>0</v>
      </c>
      <c r="Q18" s="481">
        <f t="shared" si="4"/>
        <v>0</v>
      </c>
      <c r="R18" s="482">
        <f t="shared" si="5"/>
        <v>16</v>
      </c>
      <c r="S18" s="482">
        <f t="shared" si="6"/>
        <v>21</v>
      </c>
      <c r="T18" s="482">
        <f t="shared" si="7"/>
        <v>37</v>
      </c>
      <c r="U18" s="178">
        <v>1</v>
      </c>
      <c r="V18" s="178">
        <v>0</v>
      </c>
      <c r="W18" s="481">
        <f t="shared" si="8"/>
        <v>1</v>
      </c>
    </row>
    <row r="19" spans="1:23" s="149" customFormat="1" ht="21.75" customHeight="1">
      <c r="A19" s="881" t="s">
        <v>71</v>
      </c>
      <c r="B19" s="882"/>
      <c r="C19" s="482">
        <f>SUM(C7:C18)</f>
        <v>1</v>
      </c>
      <c r="D19" s="482">
        <f t="shared" ref="D19:W19" si="9">SUM(D7:D18)</f>
        <v>2</v>
      </c>
      <c r="E19" s="482">
        <f t="shared" si="9"/>
        <v>3</v>
      </c>
      <c r="F19" s="482">
        <f t="shared" si="9"/>
        <v>0</v>
      </c>
      <c r="G19" s="482">
        <f t="shared" si="9"/>
        <v>1</v>
      </c>
      <c r="H19" s="482">
        <f t="shared" si="9"/>
        <v>1</v>
      </c>
      <c r="I19" s="482">
        <f t="shared" si="9"/>
        <v>33</v>
      </c>
      <c r="J19" s="482">
        <f t="shared" si="9"/>
        <v>16</v>
      </c>
      <c r="K19" s="482">
        <f t="shared" si="9"/>
        <v>49</v>
      </c>
      <c r="L19" s="482">
        <f t="shared" si="9"/>
        <v>282</v>
      </c>
      <c r="M19" s="482">
        <f t="shared" si="9"/>
        <v>242</v>
      </c>
      <c r="N19" s="482">
        <f t="shared" si="9"/>
        <v>524</v>
      </c>
      <c r="O19" s="482">
        <f t="shared" si="9"/>
        <v>3</v>
      </c>
      <c r="P19" s="482">
        <f t="shared" si="9"/>
        <v>7</v>
      </c>
      <c r="Q19" s="482">
        <f t="shared" si="9"/>
        <v>10</v>
      </c>
      <c r="R19" s="482">
        <f t="shared" si="9"/>
        <v>319</v>
      </c>
      <c r="S19" s="482">
        <f t="shared" si="9"/>
        <v>268</v>
      </c>
      <c r="T19" s="482">
        <f t="shared" si="9"/>
        <v>587</v>
      </c>
      <c r="U19" s="482">
        <f t="shared" si="9"/>
        <v>33</v>
      </c>
      <c r="V19" s="482">
        <f t="shared" si="9"/>
        <v>39</v>
      </c>
      <c r="W19" s="482">
        <f t="shared" si="9"/>
        <v>72</v>
      </c>
    </row>
    <row r="20" spans="1:23" customFormat="1">
      <c r="A20" s="150"/>
      <c r="B20" s="150"/>
      <c r="C20" s="150"/>
      <c r="D20" s="150"/>
      <c r="E20" s="150"/>
      <c r="F20" s="150"/>
      <c r="G20" s="150"/>
      <c r="H20" s="150"/>
      <c r="I20" s="150"/>
      <c r="J20" s="150"/>
      <c r="K20" s="150"/>
      <c r="L20" s="150"/>
      <c r="M20" s="150"/>
      <c r="N20" s="150"/>
      <c r="O20" s="150"/>
      <c r="P20" s="150"/>
      <c r="Q20" s="150"/>
      <c r="R20" s="150"/>
      <c r="S20" s="150"/>
      <c r="T20" s="150"/>
      <c r="U20" s="150"/>
      <c r="V20" s="150"/>
      <c r="W20" s="150"/>
    </row>
    <row r="21" spans="1:23" customFormat="1" ht="15.75">
      <c r="A21" s="523" t="s">
        <v>571</v>
      </c>
      <c r="B21" s="523"/>
      <c r="C21" s="523"/>
      <c r="D21" s="523"/>
      <c r="E21" s="523"/>
      <c r="F21" s="523"/>
      <c r="G21" s="524"/>
      <c r="H21" s="524"/>
      <c r="I21" s="524"/>
      <c r="J21" s="524"/>
      <c r="K21" s="524"/>
      <c r="L21" s="524"/>
      <c r="M21" s="524"/>
      <c r="N21" s="524"/>
      <c r="O21" s="524"/>
      <c r="P21" s="525"/>
      <c r="Q21" s="150"/>
      <c r="R21" s="150"/>
      <c r="S21" s="150"/>
      <c r="T21" s="150"/>
      <c r="U21" s="150"/>
      <c r="V21" s="150"/>
      <c r="W21" s="150"/>
    </row>
    <row r="22" spans="1:23" s="330" customFormat="1" ht="15.75">
      <c r="A22" s="523"/>
      <c r="B22" s="523"/>
      <c r="C22" s="523"/>
      <c r="D22" s="523"/>
      <c r="E22" s="523"/>
      <c r="F22" s="523"/>
      <c r="G22" s="524"/>
      <c r="H22" s="524"/>
      <c r="I22" s="524"/>
      <c r="J22" s="524"/>
      <c r="K22" s="524"/>
      <c r="L22" s="524"/>
      <c r="M22" s="524"/>
      <c r="N22" s="524"/>
      <c r="O22" s="524"/>
      <c r="P22" s="525"/>
      <c r="Q22" s="150"/>
      <c r="R22" s="855" t="str">
        <f>CONCATENATE("¼ ",Master!G3,"½")</f>
        <v>¼ m"kk ikfy;k½</v>
      </c>
      <c r="S22" s="855"/>
      <c r="T22" s="855"/>
      <c r="U22" s="855"/>
      <c r="V22" s="855"/>
      <c r="W22" s="150"/>
    </row>
    <row r="23" spans="1:23" customFormat="1" ht="16.5">
      <c r="A23" s="150"/>
      <c r="B23" s="150"/>
      <c r="C23" s="150"/>
      <c r="D23" s="150"/>
      <c r="E23" s="150"/>
      <c r="F23" s="150"/>
      <c r="G23" s="150"/>
      <c r="H23" s="150"/>
      <c r="I23" s="150"/>
      <c r="J23" s="150"/>
      <c r="K23" s="150"/>
      <c r="L23" s="150"/>
      <c r="M23" s="150"/>
      <c r="N23" s="150"/>
      <c r="O23" s="150"/>
      <c r="P23" s="150"/>
      <c r="Q23" s="150"/>
      <c r="R23" s="880" t="str">
        <f>Master!C2</f>
        <v>iz/kkukpk;Z</v>
      </c>
      <c r="S23" s="880"/>
      <c r="T23" s="880"/>
      <c r="U23" s="880"/>
      <c r="V23" s="880"/>
      <c r="W23" s="150"/>
    </row>
    <row r="24" spans="1:23" customFormat="1" ht="15" customHeight="1">
      <c r="A24" s="150"/>
      <c r="B24" s="150"/>
      <c r="C24" s="150"/>
      <c r="D24" s="150"/>
      <c r="E24" s="150"/>
      <c r="F24" s="150"/>
      <c r="G24" s="150"/>
      <c r="H24" s="150"/>
      <c r="I24" s="150"/>
      <c r="J24" s="150"/>
      <c r="K24" s="150"/>
      <c r="L24" s="150"/>
      <c r="M24" s="150"/>
      <c r="N24" s="150"/>
      <c r="O24" s="150"/>
      <c r="P24" s="150"/>
      <c r="Q24" s="150"/>
      <c r="R24" s="877" t="str">
        <f>Master!D2</f>
        <v>egkRek xka/kh jktdh; fo|ky; ¼vaxzsth ek/;e½ cj ] ikyh</v>
      </c>
      <c r="S24" s="877"/>
      <c r="T24" s="877"/>
      <c r="U24" s="877"/>
      <c r="V24" s="877"/>
      <c r="W24" s="150"/>
    </row>
    <row r="25" spans="1:23" customFormat="1" ht="15" customHeight="1">
      <c r="A25" s="150"/>
      <c r="B25" s="150"/>
      <c r="C25" s="150"/>
      <c r="D25" s="150"/>
      <c r="E25" s="150"/>
      <c r="F25" s="150"/>
      <c r="G25" s="150"/>
      <c r="H25" s="150"/>
      <c r="I25" s="150"/>
      <c r="J25" s="150"/>
      <c r="K25" s="150"/>
      <c r="L25" s="150"/>
      <c r="M25" s="150"/>
      <c r="N25" s="150"/>
      <c r="O25" s="150"/>
      <c r="P25" s="150"/>
      <c r="Q25" s="150"/>
      <c r="R25" s="877"/>
      <c r="S25" s="877"/>
      <c r="T25" s="877"/>
      <c r="U25" s="877"/>
      <c r="V25" s="877"/>
      <c r="W25" s="150"/>
    </row>
    <row r="26" spans="1:23" customFormat="1" ht="15" customHeight="1">
      <c r="A26" s="150"/>
      <c r="B26" s="150"/>
      <c r="C26" s="150"/>
      <c r="D26" s="150"/>
      <c r="E26" s="150"/>
      <c r="F26" s="150"/>
      <c r="G26" s="150"/>
      <c r="H26" s="150"/>
      <c r="I26" s="150"/>
      <c r="J26" s="150"/>
      <c r="K26" s="150"/>
      <c r="L26" s="150"/>
      <c r="M26" s="150"/>
      <c r="N26" s="150"/>
      <c r="O26" s="150"/>
      <c r="P26" s="150"/>
      <c r="Q26" s="150"/>
      <c r="R26" s="877"/>
      <c r="S26" s="877"/>
      <c r="T26" s="877"/>
      <c r="U26" s="877"/>
      <c r="V26" s="877"/>
      <c r="W26" s="150"/>
    </row>
    <row r="27" spans="1:23" customFormat="1"/>
    <row r="28" spans="1:23" customFormat="1"/>
    <row r="29" spans="1:23" customFormat="1"/>
    <row r="30" spans="1:23" customFormat="1"/>
    <row r="31" spans="1:23" customFormat="1"/>
    <row r="32" spans="1:23" customFormat="1"/>
    <row r="33" spans="1:25" customFormat="1"/>
    <row r="34" spans="1:25" customFormat="1"/>
    <row r="35" spans="1:25" customFormat="1"/>
    <row r="36" spans="1:25" customFormat="1"/>
    <row r="37" spans="1:25" customFormat="1"/>
    <row r="38" spans="1:25" customFormat="1"/>
    <row r="39" spans="1:25" customFormat="1"/>
    <row r="40" spans="1:25" customFormat="1"/>
    <row r="41" spans="1:25" customFormat="1"/>
    <row r="42" spans="1:25">
      <c r="A42"/>
      <c r="B42"/>
      <c r="C42"/>
      <c r="D42"/>
      <c r="E42"/>
      <c r="F42"/>
      <c r="G42"/>
      <c r="H42"/>
      <c r="I42"/>
      <c r="J42"/>
      <c r="K42"/>
      <c r="L42"/>
      <c r="M42"/>
      <c r="N42"/>
      <c r="O42"/>
      <c r="P42"/>
      <c r="Q42"/>
      <c r="R42"/>
      <c r="S42"/>
      <c r="T42"/>
      <c r="U42"/>
      <c r="V42"/>
      <c r="W42"/>
      <c r="X42"/>
      <c r="Y42"/>
    </row>
    <row r="43" spans="1:25">
      <c r="A43"/>
      <c r="B43"/>
      <c r="C43"/>
      <c r="D43"/>
      <c r="E43"/>
      <c r="F43"/>
      <c r="G43"/>
      <c r="H43"/>
      <c r="I43"/>
      <c r="J43"/>
      <c r="K43"/>
      <c r="L43"/>
      <c r="M43"/>
      <c r="N43"/>
      <c r="O43"/>
      <c r="P43"/>
      <c r="Q43"/>
      <c r="R43"/>
      <c r="S43"/>
      <c r="T43"/>
      <c r="U43"/>
      <c r="V43"/>
      <c r="W43"/>
      <c r="X43"/>
      <c r="Y43"/>
    </row>
    <row r="44" spans="1:25">
      <c r="A44"/>
      <c r="B44"/>
      <c r="C44"/>
      <c r="D44"/>
      <c r="E44"/>
      <c r="F44"/>
      <c r="G44"/>
      <c r="H44"/>
      <c r="I44"/>
      <c r="J44"/>
      <c r="K44"/>
      <c r="L44"/>
      <c r="M44"/>
      <c r="N44"/>
      <c r="O44"/>
      <c r="P44"/>
      <c r="Q44"/>
      <c r="R44"/>
      <c r="S44"/>
      <c r="T44"/>
      <c r="U44"/>
      <c r="V44"/>
      <c r="W44"/>
      <c r="X44"/>
      <c r="Y44"/>
    </row>
    <row r="45" spans="1:25">
      <c r="A45"/>
      <c r="B45"/>
      <c r="C45"/>
      <c r="D45"/>
      <c r="E45"/>
      <c r="F45"/>
      <c r="G45"/>
      <c r="H45"/>
      <c r="I45"/>
      <c r="J45"/>
      <c r="K45"/>
      <c r="L45"/>
      <c r="M45"/>
      <c r="N45"/>
      <c r="O45"/>
      <c r="P45"/>
      <c r="Q45"/>
      <c r="R45"/>
      <c r="S45"/>
      <c r="T45"/>
      <c r="U45"/>
      <c r="V45"/>
      <c r="W45"/>
      <c r="X45"/>
      <c r="Y45"/>
    </row>
    <row r="46" spans="1:25">
      <c r="A46"/>
      <c r="B46"/>
      <c r="C46"/>
      <c r="D46"/>
      <c r="E46"/>
      <c r="F46"/>
      <c r="G46"/>
      <c r="H46"/>
      <c r="I46"/>
      <c r="J46"/>
      <c r="K46"/>
      <c r="L46"/>
      <c r="M46"/>
      <c r="N46"/>
      <c r="O46"/>
      <c r="P46"/>
      <c r="Q46"/>
      <c r="R46"/>
      <c r="S46"/>
      <c r="T46"/>
      <c r="U46"/>
      <c r="V46"/>
      <c r="W46"/>
      <c r="X46"/>
      <c r="Y46"/>
    </row>
    <row r="47" spans="1:25">
      <c r="A47"/>
      <c r="B47"/>
      <c r="C47"/>
      <c r="D47"/>
      <c r="E47"/>
      <c r="F47"/>
      <c r="G47"/>
      <c r="H47"/>
      <c r="I47"/>
      <c r="J47"/>
      <c r="K47"/>
      <c r="L47"/>
      <c r="M47"/>
      <c r="N47"/>
      <c r="O47"/>
      <c r="P47"/>
      <c r="Q47"/>
      <c r="R47"/>
      <c r="S47"/>
      <c r="T47"/>
      <c r="U47"/>
      <c r="V47"/>
      <c r="W47"/>
      <c r="X47"/>
      <c r="Y47"/>
    </row>
    <row r="48" spans="1:25">
      <c r="A48"/>
      <c r="B48"/>
      <c r="C48"/>
      <c r="D48"/>
      <c r="E48"/>
      <c r="F48"/>
      <c r="G48"/>
      <c r="H48"/>
      <c r="I48"/>
      <c r="J48"/>
      <c r="K48"/>
      <c r="L48"/>
      <c r="M48"/>
      <c r="N48"/>
      <c r="O48"/>
      <c r="P48"/>
      <c r="Q48"/>
      <c r="R48"/>
      <c r="S48"/>
      <c r="T48"/>
      <c r="U48"/>
      <c r="V48"/>
      <c r="W48"/>
      <c r="X48"/>
      <c r="Y48"/>
    </row>
    <row r="49" spans="1:25">
      <c r="A49"/>
      <c r="B49"/>
      <c r="C49"/>
      <c r="D49"/>
      <c r="E49"/>
      <c r="F49"/>
      <c r="G49"/>
      <c r="H49"/>
      <c r="I49"/>
      <c r="J49"/>
      <c r="K49"/>
      <c r="L49"/>
      <c r="M49"/>
      <c r="N49"/>
      <c r="O49"/>
      <c r="P49"/>
      <c r="Q49"/>
      <c r="R49"/>
      <c r="S49"/>
      <c r="T49"/>
      <c r="U49"/>
      <c r="V49"/>
      <c r="W49"/>
      <c r="X49"/>
      <c r="Y49"/>
    </row>
    <row r="50" spans="1:25">
      <c r="A50"/>
      <c r="B50"/>
      <c r="C50"/>
      <c r="D50"/>
      <c r="E50"/>
      <c r="F50"/>
      <c r="G50"/>
      <c r="H50"/>
      <c r="I50"/>
      <c r="J50"/>
      <c r="K50"/>
      <c r="L50"/>
      <c r="M50"/>
      <c r="N50"/>
      <c r="O50"/>
      <c r="P50"/>
      <c r="Q50"/>
      <c r="R50"/>
      <c r="S50"/>
      <c r="T50"/>
      <c r="U50"/>
      <c r="V50"/>
      <c r="W50"/>
      <c r="X50"/>
      <c r="Y50"/>
    </row>
    <row r="51" spans="1:25">
      <c r="A51"/>
      <c r="B51"/>
      <c r="C51"/>
      <c r="D51"/>
      <c r="E51"/>
      <c r="F51"/>
      <c r="G51"/>
      <c r="H51"/>
      <c r="I51"/>
      <c r="J51"/>
      <c r="K51"/>
      <c r="L51"/>
      <c r="M51"/>
      <c r="N51"/>
      <c r="O51"/>
      <c r="P51"/>
      <c r="Q51"/>
      <c r="R51"/>
      <c r="S51"/>
      <c r="T51"/>
      <c r="U51"/>
      <c r="V51"/>
      <c r="W51"/>
      <c r="X51"/>
      <c r="Y51"/>
    </row>
    <row r="52" spans="1:25">
      <c r="A52"/>
      <c r="B52"/>
      <c r="C52"/>
      <c r="D52"/>
      <c r="E52"/>
      <c r="F52"/>
      <c r="G52"/>
      <c r="H52"/>
      <c r="I52"/>
      <c r="J52"/>
      <c r="K52"/>
      <c r="L52"/>
      <c r="M52"/>
      <c r="N52"/>
      <c r="O52"/>
      <c r="P52"/>
      <c r="Q52"/>
      <c r="R52"/>
      <c r="S52"/>
      <c r="T52"/>
      <c r="U52"/>
      <c r="V52"/>
      <c r="W52"/>
      <c r="X52"/>
      <c r="Y52"/>
    </row>
    <row r="53" spans="1:25">
      <c r="A53"/>
      <c r="B53"/>
      <c r="C53"/>
      <c r="D53"/>
      <c r="E53"/>
      <c r="F53"/>
      <c r="G53"/>
      <c r="H53"/>
      <c r="I53"/>
      <c r="J53"/>
      <c r="K53"/>
      <c r="L53"/>
      <c r="M53"/>
      <c r="N53"/>
      <c r="O53"/>
      <c r="P53"/>
      <c r="Q53"/>
      <c r="R53"/>
      <c r="S53"/>
      <c r="T53"/>
      <c r="U53"/>
      <c r="V53"/>
      <c r="W53"/>
      <c r="X53"/>
      <c r="Y53"/>
    </row>
    <row r="54" spans="1:25">
      <c r="A54"/>
      <c r="B54"/>
      <c r="C54"/>
      <c r="D54"/>
      <c r="E54"/>
      <c r="F54"/>
      <c r="G54"/>
      <c r="H54"/>
      <c r="I54"/>
      <c r="J54"/>
      <c r="K54"/>
      <c r="L54"/>
      <c r="M54"/>
      <c r="N54"/>
      <c r="O54"/>
      <c r="P54"/>
      <c r="Q54"/>
      <c r="R54"/>
      <c r="S54"/>
      <c r="T54"/>
      <c r="U54"/>
      <c r="V54"/>
      <c r="W54"/>
      <c r="X54"/>
      <c r="Y54"/>
    </row>
    <row r="55" spans="1:25">
      <c r="A55"/>
      <c r="B55"/>
      <c r="C55"/>
      <c r="D55"/>
      <c r="E55"/>
      <c r="F55"/>
      <c r="G55"/>
      <c r="H55"/>
      <c r="I55"/>
      <c r="J55"/>
      <c r="K55"/>
      <c r="L55"/>
      <c r="M55"/>
      <c r="N55"/>
      <c r="O55"/>
      <c r="P55"/>
      <c r="Q55"/>
      <c r="R55"/>
      <c r="S55"/>
      <c r="T55"/>
      <c r="U55"/>
      <c r="V55"/>
      <c r="W55"/>
      <c r="X55"/>
      <c r="Y55"/>
    </row>
    <row r="56" spans="1:25">
      <c r="A56"/>
      <c r="B56"/>
      <c r="C56"/>
      <c r="D56"/>
      <c r="E56"/>
      <c r="F56"/>
      <c r="G56"/>
      <c r="H56"/>
      <c r="I56"/>
      <c r="J56"/>
      <c r="K56"/>
      <c r="L56"/>
      <c r="M56"/>
      <c r="N56"/>
      <c r="O56"/>
      <c r="P56"/>
      <c r="Q56"/>
      <c r="R56"/>
      <c r="S56"/>
      <c r="T56"/>
      <c r="U56"/>
      <c r="V56"/>
      <c r="W56"/>
      <c r="X56"/>
      <c r="Y56"/>
    </row>
  </sheetData>
  <mergeCells count="17">
    <mergeCell ref="A19:B19"/>
    <mergeCell ref="S1:W1"/>
    <mergeCell ref="A2:W2"/>
    <mergeCell ref="A5:A6"/>
    <mergeCell ref="B5:B6"/>
    <mergeCell ref="C5:E5"/>
    <mergeCell ref="F5:H5"/>
    <mergeCell ref="I5:K5"/>
    <mergeCell ref="L5:N5"/>
    <mergeCell ref="O5:Q5"/>
    <mergeCell ref="R5:T5"/>
    <mergeCell ref="R22:V22"/>
    <mergeCell ref="Z3:AC5"/>
    <mergeCell ref="R24:V26"/>
    <mergeCell ref="J3:N3"/>
    <mergeCell ref="U5:W5"/>
    <mergeCell ref="R23:V23"/>
  </mergeCells>
  <pageMargins left="0.45" right="0.38" top="0.5" bottom="0.5" header="0.3" footer="0.3"/>
  <pageSetup paperSize="9" scale="91" orientation="landscape"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22</vt:i4>
      </vt:variant>
    </vt:vector>
  </HeadingPairs>
  <TitlesOfParts>
    <vt:vector size="50" baseType="lpstr">
      <vt:lpstr>instraction</vt:lpstr>
      <vt:lpstr>Master</vt:lpstr>
      <vt:lpstr>Formet 8</vt:lpstr>
      <vt:lpstr>Formet 9</vt:lpstr>
      <vt:lpstr>Formet 10</vt:lpstr>
      <vt:lpstr>Summary</vt:lpstr>
      <vt:lpstr>Demand</vt:lpstr>
      <vt:lpstr>Prapatra (kh)</vt:lpstr>
      <vt:lpstr>Namankan</vt:lpstr>
      <vt:lpstr>Format 1A</vt:lpstr>
      <vt:lpstr>Format 1B</vt:lpstr>
      <vt:lpstr>Format 1C</vt:lpstr>
      <vt:lpstr>Pending TA-Med List</vt:lpstr>
      <vt:lpstr>Scholership</vt:lpstr>
      <vt:lpstr>praptra-6</vt:lpstr>
      <vt:lpstr>PL Encash</vt:lpstr>
      <vt:lpstr>DA AREAR</vt:lpstr>
      <vt:lpstr>Liveries</vt:lpstr>
      <vt:lpstr>Fix Pay</vt:lpstr>
      <vt:lpstr>Sanvida</vt:lpstr>
      <vt:lpstr>Income</vt:lpstr>
      <vt:lpstr>Vardi</vt:lpstr>
      <vt:lpstr>7th pay fix. arr.</vt:lpstr>
      <vt:lpstr>vidhyarthimitra</vt:lpstr>
      <vt:lpstr>GA1</vt:lpstr>
      <vt:lpstr>GA2</vt:lpstr>
      <vt:lpstr>GA3</vt:lpstr>
      <vt:lpstr>forwarding letter</vt:lpstr>
      <vt:lpstr>'7th pay fix. arr.'!Print_Area</vt:lpstr>
      <vt:lpstr>'DA AREAR'!Print_Area</vt:lpstr>
      <vt:lpstr>'Fix Pay'!Print_Area</vt:lpstr>
      <vt:lpstr>'Format 1A'!Print_Area</vt:lpstr>
      <vt:lpstr>'Format 1C'!Print_Area</vt:lpstr>
      <vt:lpstr>'Formet 10'!Print_Area</vt:lpstr>
      <vt:lpstr>'Formet 8'!Print_Area</vt:lpstr>
      <vt:lpstr>'Formet 9'!Print_Area</vt:lpstr>
      <vt:lpstr>'forwarding letter'!Print_Area</vt:lpstr>
      <vt:lpstr>'GA1'!Print_Area</vt:lpstr>
      <vt:lpstr>'GA2'!Print_Area</vt:lpstr>
      <vt:lpstr>Liveries!Print_Area</vt:lpstr>
      <vt:lpstr>Namankan!Print_Area</vt:lpstr>
      <vt:lpstr>'Pending TA-Med List'!Print_Area</vt:lpstr>
      <vt:lpstr>'PL Encash'!Print_Area</vt:lpstr>
      <vt:lpstr>'Prapatra (kh)'!Print_Area</vt:lpstr>
      <vt:lpstr>'praptra-6'!Print_Area</vt:lpstr>
      <vt:lpstr>Sanvida!Print_Area</vt:lpstr>
      <vt:lpstr>Scholership!Print_Area</vt:lpstr>
      <vt:lpstr>Summary!Print_Area</vt:lpstr>
      <vt:lpstr>Vardi!Print_Area</vt:lpstr>
      <vt:lpstr>vidhyarthimitra!Print_Area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2021-08-24T14:04:35Z</dcterms:modified>
</cp:coreProperties>
</file>