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How to Use" sheetId="11" r:id="rId1"/>
    <sheet name="Master Sheet" sheetId="9" r:id="rId2"/>
    <sheet name="Arrear Sheet" sheetId="2" r:id="rId3"/>
    <sheet name="Unlock sheet" sheetId="10" r:id="rId4"/>
  </sheets>
  <definedNames>
    <definedName name="month">'Master Sheet'!$AG$3:$AG$63</definedName>
    <definedName name="post">Table1[Post]</definedName>
    <definedName name="_xlnm.Print_Area" localSheetId="2">'Arrear Sheet'!$A$1:$AB$70</definedName>
    <definedName name="_xlnm.Print_Area" localSheetId="3">'Unlock sheet'!$A$1:$AB$56</definedName>
    <definedName name="ram">#REF!</definedName>
  </definedNames>
  <calcPr calcId="124519"/>
</workbook>
</file>

<file path=xl/calcChain.xml><?xml version="1.0" encoding="utf-8"?>
<calcChain xmlns="http://schemas.openxmlformats.org/spreadsheetml/2006/main">
  <c r="AX71" i="2"/>
  <c r="AX72"/>
  <c r="AX73"/>
  <c r="AX74"/>
  <c r="BA71"/>
  <c r="BB72"/>
  <c r="AM38"/>
  <c r="AM37"/>
  <c r="AM36"/>
  <c r="AM34"/>
  <c r="AM33"/>
  <c r="AM32"/>
  <c r="AN2" l="1"/>
  <c r="AM2"/>
  <c r="AQ71"/>
  <c r="AQ72"/>
  <c r="AQ73"/>
  <c r="AM30"/>
  <c r="AM29"/>
  <c r="AM28"/>
  <c r="G9" i="10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C9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K8"/>
  <c r="E8"/>
  <c r="D8"/>
  <c r="R16"/>
  <c r="R17" s="1"/>
  <c r="R18" s="1"/>
  <c r="R19" s="1"/>
  <c r="R20" s="1"/>
  <c r="R21" s="1"/>
  <c r="R22" s="1"/>
  <c r="R23" s="1"/>
  <c r="R24" s="1"/>
  <c r="R25" s="1"/>
  <c r="R26" s="1"/>
  <c r="R27" s="1"/>
  <c r="R28" s="1"/>
  <c r="R29" s="1"/>
  <c r="R30" s="1"/>
  <c r="R31" s="1"/>
  <c r="R32" s="1"/>
  <c r="R33" s="1"/>
  <c r="R34" s="1"/>
  <c r="R35" s="1"/>
  <c r="R36" s="1"/>
  <c r="R37" s="1"/>
  <c r="R38" s="1"/>
  <c r="R39" s="1"/>
  <c r="R40" s="1"/>
  <c r="R41" s="1"/>
  <c r="R42" s="1"/>
  <c r="R43" s="1"/>
  <c r="R44" s="1"/>
  <c r="R45" s="1"/>
  <c r="R46" s="1"/>
  <c r="R47" s="1"/>
  <c r="S9"/>
  <c r="S10" s="1"/>
  <c r="S11" s="1"/>
  <c r="S12" s="1"/>
  <c r="S13" s="1"/>
  <c r="S14" s="1"/>
  <c r="S15" s="1"/>
  <c r="S16" s="1"/>
  <c r="S17" s="1"/>
  <c r="S18" s="1"/>
  <c r="S19" s="1"/>
  <c r="S20" s="1"/>
  <c r="S21" s="1"/>
  <c r="S22" s="1"/>
  <c r="S23" s="1"/>
  <c r="S24" s="1"/>
  <c r="S25" s="1"/>
  <c r="S26" s="1"/>
  <c r="S27" s="1"/>
  <c r="S28" s="1"/>
  <c r="S29" s="1"/>
  <c r="S30" s="1"/>
  <c r="S31" s="1"/>
  <c r="S32" s="1"/>
  <c r="S33" s="1"/>
  <c r="S34" s="1"/>
  <c r="S35" s="1"/>
  <c r="S36" s="1"/>
  <c r="S37" s="1"/>
  <c r="S38" s="1"/>
  <c r="S39" s="1"/>
  <c r="S40" s="1"/>
  <c r="S41" s="1"/>
  <c r="S42" s="1"/>
  <c r="S43" s="1"/>
  <c r="S44" s="1"/>
  <c r="S45" s="1"/>
  <c r="S46" s="1"/>
  <c r="S47" s="1"/>
  <c r="R9"/>
  <c r="R10" s="1"/>
  <c r="R11" s="1"/>
  <c r="R12" s="1"/>
  <c r="R13" s="1"/>
  <c r="R14" s="1"/>
  <c r="R15" s="1"/>
  <c r="AM3" i="2" l="1"/>
  <c r="AN4"/>
  <c r="AM26"/>
  <c r="AM27"/>
  <c r="AO7"/>
  <c r="V3" i="10"/>
  <c r="V3" i="2"/>
  <c r="B1"/>
  <c r="D18" i="10"/>
  <c r="F18" s="1"/>
  <c r="E18"/>
  <c r="H18"/>
  <c r="I18"/>
  <c r="K18"/>
  <c r="P18"/>
  <c r="T18"/>
  <c r="W18"/>
  <c r="D19"/>
  <c r="F19" s="1"/>
  <c r="E19"/>
  <c r="H19"/>
  <c r="J19" s="1"/>
  <c r="I19"/>
  <c r="K19"/>
  <c r="M19"/>
  <c r="T19"/>
  <c r="W19"/>
  <c r="D20"/>
  <c r="O20" s="1"/>
  <c r="E20"/>
  <c r="H20"/>
  <c r="J20" s="1"/>
  <c r="I20"/>
  <c r="K20"/>
  <c r="P20"/>
  <c r="T20"/>
  <c r="W20"/>
  <c r="D21"/>
  <c r="O21" s="1"/>
  <c r="E21"/>
  <c r="H21"/>
  <c r="I21"/>
  <c r="K21"/>
  <c r="P21"/>
  <c r="T21"/>
  <c r="W21"/>
  <c r="D22"/>
  <c r="F22" s="1"/>
  <c r="E22"/>
  <c r="M22" s="1"/>
  <c r="H22"/>
  <c r="P22" s="1"/>
  <c r="I22"/>
  <c r="K22"/>
  <c r="L22"/>
  <c r="T22"/>
  <c r="W22"/>
  <c r="D23"/>
  <c r="E23"/>
  <c r="H23"/>
  <c r="J23" s="1"/>
  <c r="I23"/>
  <c r="K23"/>
  <c r="P23"/>
  <c r="T23"/>
  <c r="W23"/>
  <c r="D24"/>
  <c r="O24" s="1"/>
  <c r="E24"/>
  <c r="M24" s="1"/>
  <c r="H24"/>
  <c r="I24"/>
  <c r="K24"/>
  <c r="L24"/>
  <c r="P24"/>
  <c r="T24"/>
  <c r="W24"/>
  <c r="D25"/>
  <c r="L25" s="1"/>
  <c r="E25"/>
  <c r="H25"/>
  <c r="I25"/>
  <c r="K25"/>
  <c r="P25"/>
  <c r="T25"/>
  <c r="W25"/>
  <c r="D26"/>
  <c r="F26" s="1"/>
  <c r="E26"/>
  <c r="H26"/>
  <c r="I26"/>
  <c r="J26" s="1"/>
  <c r="K26"/>
  <c r="P26"/>
  <c r="T26"/>
  <c r="W26"/>
  <c r="D27"/>
  <c r="F27" s="1"/>
  <c r="E27"/>
  <c r="H27"/>
  <c r="I27"/>
  <c r="K27"/>
  <c r="M27"/>
  <c r="P27"/>
  <c r="T27"/>
  <c r="W27"/>
  <c r="D28"/>
  <c r="O28" s="1"/>
  <c r="Q28" s="1"/>
  <c r="Y28" s="1"/>
  <c r="E28"/>
  <c r="M28" s="1"/>
  <c r="H28"/>
  <c r="I28"/>
  <c r="K28"/>
  <c r="L28"/>
  <c r="P28"/>
  <c r="T28"/>
  <c r="W28"/>
  <c r="D29"/>
  <c r="L29" s="1"/>
  <c r="E29"/>
  <c r="H29"/>
  <c r="I29"/>
  <c r="J29" s="1"/>
  <c r="K29"/>
  <c r="P29"/>
  <c r="T29"/>
  <c r="W29"/>
  <c r="D30"/>
  <c r="F30" s="1"/>
  <c r="E30"/>
  <c r="H30"/>
  <c r="I30"/>
  <c r="K30"/>
  <c r="T30"/>
  <c r="W30"/>
  <c r="D31"/>
  <c r="F31" s="1"/>
  <c r="E31"/>
  <c r="H31"/>
  <c r="I31"/>
  <c r="K31"/>
  <c r="M31"/>
  <c r="P31"/>
  <c r="T31"/>
  <c r="W31"/>
  <c r="D32"/>
  <c r="E32"/>
  <c r="H32"/>
  <c r="I32"/>
  <c r="K32"/>
  <c r="L32"/>
  <c r="O32"/>
  <c r="P32"/>
  <c r="T32"/>
  <c r="W32"/>
  <c r="D33"/>
  <c r="O33" s="1"/>
  <c r="E33"/>
  <c r="M33" s="1"/>
  <c r="H33"/>
  <c r="I33"/>
  <c r="J33" s="1"/>
  <c r="K33"/>
  <c r="P33"/>
  <c r="T33"/>
  <c r="W33"/>
  <c r="D34"/>
  <c r="F34" s="1"/>
  <c r="E34"/>
  <c r="M34" s="1"/>
  <c r="H34"/>
  <c r="P34" s="1"/>
  <c r="I34"/>
  <c r="J34"/>
  <c r="K34"/>
  <c r="T34"/>
  <c r="W34"/>
  <c r="D35"/>
  <c r="F35" s="1"/>
  <c r="E35"/>
  <c r="H35"/>
  <c r="I35"/>
  <c r="M35" s="1"/>
  <c r="K35"/>
  <c r="P35"/>
  <c r="T35"/>
  <c r="W35"/>
  <c r="D36"/>
  <c r="L36" s="1"/>
  <c r="E36"/>
  <c r="M36" s="1"/>
  <c r="H36"/>
  <c r="I36"/>
  <c r="K36"/>
  <c r="O36"/>
  <c r="P36"/>
  <c r="T36"/>
  <c r="W36"/>
  <c r="D37"/>
  <c r="L37" s="1"/>
  <c r="E37"/>
  <c r="H37"/>
  <c r="I37"/>
  <c r="J37" s="1"/>
  <c r="K37"/>
  <c r="P37"/>
  <c r="T37"/>
  <c r="W37"/>
  <c r="D38"/>
  <c r="F38" s="1"/>
  <c r="E38"/>
  <c r="H38"/>
  <c r="I38"/>
  <c r="K38"/>
  <c r="T38"/>
  <c r="W38"/>
  <c r="D39"/>
  <c r="F39" s="1"/>
  <c r="E39"/>
  <c r="H39"/>
  <c r="I39"/>
  <c r="K39"/>
  <c r="M39"/>
  <c r="P39"/>
  <c r="T39"/>
  <c r="W39"/>
  <c r="D40"/>
  <c r="L40" s="1"/>
  <c r="E40"/>
  <c r="H40"/>
  <c r="I40"/>
  <c r="K40"/>
  <c r="O40"/>
  <c r="P40"/>
  <c r="T40"/>
  <c r="W40"/>
  <c r="D41"/>
  <c r="O41" s="1"/>
  <c r="E41"/>
  <c r="M41" s="1"/>
  <c r="H41"/>
  <c r="I41"/>
  <c r="J41" s="1"/>
  <c r="K41"/>
  <c r="P41"/>
  <c r="T41"/>
  <c r="W41"/>
  <c r="D42"/>
  <c r="F42" s="1"/>
  <c r="E42"/>
  <c r="M42" s="1"/>
  <c r="H42"/>
  <c r="P42" s="1"/>
  <c r="I42"/>
  <c r="K42"/>
  <c r="T42"/>
  <c r="W42"/>
  <c r="D43"/>
  <c r="F43" s="1"/>
  <c r="E43"/>
  <c r="H43"/>
  <c r="I43"/>
  <c r="M43" s="1"/>
  <c r="K43"/>
  <c r="P43"/>
  <c r="T43"/>
  <c r="W43"/>
  <c r="D44"/>
  <c r="L44" s="1"/>
  <c r="E44"/>
  <c r="M44" s="1"/>
  <c r="H44"/>
  <c r="I44"/>
  <c r="K44"/>
  <c r="O44"/>
  <c r="P44"/>
  <c r="T44"/>
  <c r="W44"/>
  <c r="D45"/>
  <c r="L45" s="1"/>
  <c r="E45"/>
  <c r="H45"/>
  <c r="I45"/>
  <c r="K45"/>
  <c r="P45"/>
  <c r="T45"/>
  <c r="W45"/>
  <c r="D46"/>
  <c r="F46" s="1"/>
  <c r="E46"/>
  <c r="H46"/>
  <c r="P46" s="1"/>
  <c r="I46"/>
  <c r="K46"/>
  <c r="T46"/>
  <c r="W46"/>
  <c r="D47"/>
  <c r="F47" s="1"/>
  <c r="E47"/>
  <c r="M47" s="1"/>
  <c r="H47"/>
  <c r="I47"/>
  <c r="K47"/>
  <c r="T47"/>
  <c r="W47"/>
  <c r="K16"/>
  <c r="K17"/>
  <c r="I8"/>
  <c r="M8" s="1"/>
  <c r="H8"/>
  <c r="L8" s="1"/>
  <c r="H16"/>
  <c r="I16"/>
  <c r="H17"/>
  <c r="I17"/>
  <c r="H9"/>
  <c r="D16"/>
  <c r="E16"/>
  <c r="D17"/>
  <c r="L17" s="1"/>
  <c r="E17"/>
  <c r="D9"/>
  <c r="U55"/>
  <c r="Q4"/>
  <c r="M4"/>
  <c r="N3"/>
  <c r="E3"/>
  <c r="C48" s="1"/>
  <c r="B1"/>
  <c r="Q4" i="2"/>
  <c r="M4"/>
  <c r="N3"/>
  <c r="E3"/>
  <c r="AM25"/>
  <c r="AM24"/>
  <c r="AM22"/>
  <c r="AM21"/>
  <c r="AM19"/>
  <c r="AM18"/>
  <c r="AM16"/>
  <c r="AM9"/>
  <c r="AM10"/>
  <c r="AM14"/>
  <c r="AM13"/>
  <c r="AO2" l="1"/>
  <c r="AO4"/>
  <c r="AU10"/>
  <c r="AU11" s="1"/>
  <c r="J45" i="10"/>
  <c r="J42"/>
  <c r="Q41"/>
  <c r="Y41" s="1"/>
  <c r="J39"/>
  <c r="J35"/>
  <c r="J22"/>
  <c r="Q21"/>
  <c r="Y21" s="1"/>
  <c r="J38"/>
  <c r="J31"/>
  <c r="J28"/>
  <c r="J47"/>
  <c r="J43"/>
  <c r="Q33"/>
  <c r="Y33" s="1"/>
  <c r="J30"/>
  <c r="J18"/>
  <c r="J21"/>
  <c r="O45"/>
  <c r="Q45" s="1"/>
  <c r="Y45" s="1"/>
  <c r="O37"/>
  <c r="Q37" s="1"/>
  <c r="Y37" s="1"/>
  <c r="O29"/>
  <c r="Q29" s="1"/>
  <c r="Y29" s="1"/>
  <c r="F29"/>
  <c r="O25"/>
  <c r="F25"/>
  <c r="L38"/>
  <c r="L30"/>
  <c r="L26"/>
  <c r="M23"/>
  <c r="F21"/>
  <c r="O19"/>
  <c r="L42"/>
  <c r="L34"/>
  <c r="F23"/>
  <c r="L16"/>
  <c r="P47"/>
  <c r="J46"/>
  <c r="N46" s="1"/>
  <c r="M16"/>
  <c r="M46"/>
  <c r="L41"/>
  <c r="Q40"/>
  <c r="Y40" s="1"/>
  <c r="J40"/>
  <c r="M38"/>
  <c r="L33"/>
  <c r="Q32"/>
  <c r="Y32" s="1"/>
  <c r="J32"/>
  <c r="M30"/>
  <c r="J25"/>
  <c r="Q24"/>
  <c r="Y24" s="1"/>
  <c r="L21"/>
  <c r="L20"/>
  <c r="M20"/>
  <c r="P19"/>
  <c r="N18"/>
  <c r="N42"/>
  <c r="N34"/>
  <c r="N22"/>
  <c r="M18"/>
  <c r="L46"/>
  <c r="M17"/>
  <c r="Q44"/>
  <c r="Y44" s="1"/>
  <c r="J44"/>
  <c r="P38"/>
  <c r="Q36"/>
  <c r="Y36" s="1"/>
  <c r="J36"/>
  <c r="P30"/>
  <c r="J27"/>
  <c r="N26"/>
  <c r="Q25"/>
  <c r="Y25" s="1"/>
  <c r="J24"/>
  <c r="M45"/>
  <c r="M40"/>
  <c r="N38"/>
  <c r="M37"/>
  <c r="M32"/>
  <c r="N30"/>
  <c r="M26"/>
  <c r="Q20"/>
  <c r="Y20" s="1"/>
  <c r="Q19"/>
  <c r="Y19" s="1"/>
  <c r="F45"/>
  <c r="N45" s="1"/>
  <c r="Z45" s="1"/>
  <c r="F41"/>
  <c r="F37"/>
  <c r="N37" s="1"/>
  <c r="Z37" s="1"/>
  <c r="F33"/>
  <c r="M29"/>
  <c r="M25"/>
  <c r="M21"/>
  <c r="L18"/>
  <c r="N47"/>
  <c r="N43"/>
  <c r="N39"/>
  <c r="N35"/>
  <c r="N31"/>
  <c r="N27"/>
  <c r="N23"/>
  <c r="N41"/>
  <c r="Z41" s="1"/>
  <c r="N33"/>
  <c r="Z33" s="1"/>
  <c r="N29"/>
  <c r="Z29" s="1"/>
  <c r="N25"/>
  <c r="Z25" s="1"/>
  <c r="N21"/>
  <c r="Z21" s="1"/>
  <c r="N19"/>
  <c r="Z19" s="1"/>
  <c r="L47"/>
  <c r="F44"/>
  <c r="N44" s="1"/>
  <c r="Z44" s="1"/>
  <c r="L43"/>
  <c r="F40"/>
  <c r="N40" s="1"/>
  <c r="Z40" s="1"/>
  <c r="L39"/>
  <c r="F36"/>
  <c r="N36" s="1"/>
  <c r="Z36" s="1"/>
  <c r="L35"/>
  <c r="F32"/>
  <c r="N32" s="1"/>
  <c r="Z32" s="1"/>
  <c r="L31"/>
  <c r="F28"/>
  <c r="N28" s="1"/>
  <c r="Z28" s="1"/>
  <c r="L27"/>
  <c r="F24"/>
  <c r="N24" s="1"/>
  <c r="Z24" s="1"/>
  <c r="L23"/>
  <c r="F20"/>
  <c r="N20" s="1"/>
  <c r="Z20" s="1"/>
  <c r="L19"/>
  <c r="O46"/>
  <c r="Q46" s="1"/>
  <c r="Y46" s="1"/>
  <c r="O42"/>
  <c r="Q42" s="1"/>
  <c r="Y42" s="1"/>
  <c r="Z42" s="1"/>
  <c r="O38"/>
  <c r="Q38" s="1"/>
  <c r="Y38" s="1"/>
  <c r="Z38" s="1"/>
  <c r="O34"/>
  <c r="Q34" s="1"/>
  <c r="Y34" s="1"/>
  <c r="Z34" s="1"/>
  <c r="O30"/>
  <c r="Q30" s="1"/>
  <c r="Y30" s="1"/>
  <c r="Z30" s="1"/>
  <c r="O26"/>
  <c r="Q26" s="1"/>
  <c r="Y26" s="1"/>
  <c r="Z26" s="1"/>
  <c r="O22"/>
  <c r="Q22" s="1"/>
  <c r="Y22" s="1"/>
  <c r="Z22" s="1"/>
  <c r="O18"/>
  <c r="Q18" s="1"/>
  <c r="Y18" s="1"/>
  <c r="Z18" s="1"/>
  <c r="O47"/>
  <c r="Q47" s="1"/>
  <c r="Y47" s="1"/>
  <c r="O43"/>
  <c r="Q43" s="1"/>
  <c r="Y43" s="1"/>
  <c r="O39"/>
  <c r="Q39" s="1"/>
  <c r="Y39" s="1"/>
  <c r="O35"/>
  <c r="Q35" s="1"/>
  <c r="Y35" s="1"/>
  <c r="O31"/>
  <c r="Q31" s="1"/>
  <c r="Y31" s="1"/>
  <c r="O27"/>
  <c r="Q27" s="1"/>
  <c r="Y27" s="1"/>
  <c r="O23"/>
  <c r="Q23" s="1"/>
  <c r="Y23" s="1"/>
  <c r="AA3" i="2"/>
  <c r="E9" i="10"/>
  <c r="I9"/>
  <c r="K9"/>
  <c r="L9"/>
  <c r="AQ2" i="2"/>
  <c r="AQ6" s="1"/>
  <c r="AU9" s="1"/>
  <c r="AQ3"/>
  <c r="AM12" s="1"/>
  <c r="AO6"/>
  <c r="V48" i="10"/>
  <c r="U53"/>
  <c r="O6" i="2"/>
  <c r="AA3" i="10"/>
  <c r="X48"/>
  <c r="U48"/>
  <c r="F54"/>
  <c r="AM7" i="2"/>
  <c r="AN6"/>
  <c r="AM6"/>
  <c r="AO3" s="1"/>
  <c r="AQ9" l="1"/>
  <c r="AV9"/>
  <c r="AW9"/>
  <c r="Z46" i="10"/>
  <c r="Z31"/>
  <c r="Z47"/>
  <c r="Z27"/>
  <c r="Z43"/>
  <c r="Z23"/>
  <c r="Z39"/>
  <c r="Z35"/>
  <c r="M9"/>
  <c r="E10"/>
  <c r="D10"/>
  <c r="I11"/>
  <c r="H11"/>
  <c r="I10"/>
  <c r="K10"/>
  <c r="H10"/>
  <c r="G13" i="9"/>
  <c r="AQ4" i="2"/>
  <c r="AK4"/>
  <c r="AN9"/>
  <c r="AN10" s="1"/>
  <c r="AR9" l="1"/>
  <c r="AS9"/>
  <c r="K12" i="10"/>
  <c r="E11"/>
  <c r="M11" s="1"/>
  <c r="D11"/>
  <c r="L11" s="1"/>
  <c r="K11"/>
  <c r="I12"/>
  <c r="H12"/>
  <c r="M10"/>
  <c r="L10"/>
  <c r="AM11" i="2"/>
  <c r="AO9"/>
  <c r="D12" i="10" l="1"/>
  <c r="L12" s="1"/>
  <c r="E12"/>
  <c r="M12" s="1"/>
  <c r="I13"/>
  <c r="K13"/>
  <c r="H13"/>
  <c r="T8"/>
  <c r="O8"/>
  <c r="AP9" i="2"/>
  <c r="F8" i="10"/>
  <c r="D13" l="1"/>
  <c r="L13" s="1"/>
  <c r="E13"/>
  <c r="M13" s="1"/>
  <c r="H14"/>
  <c r="K14"/>
  <c r="I14"/>
  <c r="G48"/>
  <c r="G8" i="2"/>
  <c r="C8"/>
  <c r="AJ9"/>
  <c r="W8" i="10"/>
  <c r="J8"/>
  <c r="N8" s="1"/>
  <c r="P8"/>
  <c r="B8" i="2"/>
  <c r="O9" i="10"/>
  <c r="E8" i="2" l="1"/>
  <c r="I8"/>
  <c r="U8"/>
  <c r="V8"/>
  <c r="E14" i="10"/>
  <c r="M14" s="1"/>
  <c r="D14"/>
  <c r="I15"/>
  <c r="K15"/>
  <c r="K48" s="1"/>
  <c r="H15"/>
  <c r="H48" s="1"/>
  <c r="Q8"/>
  <c r="Y8" s="1"/>
  <c r="Z8" s="1"/>
  <c r="H8" i="2"/>
  <c r="P8" s="1"/>
  <c r="K8"/>
  <c r="R8"/>
  <c r="S8"/>
  <c r="T9" i="10"/>
  <c r="F9"/>
  <c r="O10"/>
  <c r="J9"/>
  <c r="P9"/>
  <c r="W9"/>
  <c r="N9" l="1"/>
  <c r="D15"/>
  <c r="D48" s="1"/>
  <c r="E15"/>
  <c r="E48" s="1"/>
  <c r="L14"/>
  <c r="I48"/>
  <c r="J8" i="2"/>
  <c r="F10" i="10"/>
  <c r="W10"/>
  <c r="J10"/>
  <c r="O11"/>
  <c r="Q9"/>
  <c r="P10"/>
  <c r="Q10" s="1"/>
  <c r="T10"/>
  <c r="L15" l="1"/>
  <c r="L48" s="1"/>
  <c r="M15"/>
  <c r="M48" s="1"/>
  <c r="N10"/>
  <c r="F11"/>
  <c r="Y10"/>
  <c r="P11"/>
  <c r="Q11" s="1"/>
  <c r="W11"/>
  <c r="T11"/>
  <c r="J11"/>
  <c r="O12"/>
  <c r="Y9"/>
  <c r="N11" l="1"/>
  <c r="Z10"/>
  <c r="W12"/>
  <c r="T12"/>
  <c r="J12"/>
  <c r="Y11"/>
  <c r="F12"/>
  <c r="Z9"/>
  <c r="P12"/>
  <c r="Q12" s="1"/>
  <c r="Z11" l="1"/>
  <c r="N12"/>
  <c r="W13"/>
  <c r="F13"/>
  <c r="O13"/>
  <c r="P13"/>
  <c r="Y12"/>
  <c r="O14"/>
  <c r="T13"/>
  <c r="J13"/>
  <c r="AK12" i="2"/>
  <c r="Z12" i="10" l="1"/>
  <c r="N13"/>
  <c r="T14"/>
  <c r="O15"/>
  <c r="F14"/>
  <c r="Q13"/>
  <c r="J14"/>
  <c r="P14"/>
  <c r="Q14" s="1"/>
  <c r="AO10" i="2"/>
  <c r="AK3" s="1"/>
  <c r="AN11"/>
  <c r="AO11" s="1"/>
  <c r="W14" i="10"/>
  <c r="T8" i="2"/>
  <c r="A8"/>
  <c r="Y13" i="10" l="1"/>
  <c r="Z13" s="1"/>
  <c r="N14"/>
  <c r="Y14"/>
  <c r="W15"/>
  <c r="F15"/>
  <c r="T15"/>
  <c r="P15"/>
  <c r="Q15" s="1"/>
  <c r="J15"/>
  <c r="AP10" i="2"/>
  <c r="AP11"/>
  <c r="R48" i="10"/>
  <c r="O16"/>
  <c r="S48"/>
  <c r="M8" i="2"/>
  <c r="AN12"/>
  <c r="AO12" s="1"/>
  <c r="AQ10" l="1"/>
  <c r="AS10" s="1"/>
  <c r="N15" i="10"/>
  <c r="Z14"/>
  <c r="AZ10" i="2"/>
  <c r="AZ11" s="1"/>
  <c r="AY10"/>
  <c r="P16" i="10"/>
  <c r="Q16" s="1"/>
  <c r="W17"/>
  <c r="AJ11" i="2"/>
  <c r="W16" i="10"/>
  <c r="W48" s="1"/>
  <c r="F16"/>
  <c r="T17"/>
  <c r="Y15"/>
  <c r="AJ10" i="2"/>
  <c r="AK11" s="1"/>
  <c r="J16" i="10"/>
  <c r="T16"/>
  <c r="B9" i="2"/>
  <c r="B10"/>
  <c r="AP12"/>
  <c r="AN13"/>
  <c r="AO13" s="1"/>
  <c r="V10" l="1"/>
  <c r="U10"/>
  <c r="U9"/>
  <c r="V9"/>
  <c r="E10"/>
  <c r="I10"/>
  <c r="E9"/>
  <c r="I9"/>
  <c r="N16" i="10"/>
  <c r="BB9" i="2"/>
  <c r="BB10" s="1"/>
  <c r="R9"/>
  <c r="R10" s="1"/>
  <c r="AW10"/>
  <c r="AQ11"/>
  <c r="AQ12" s="1"/>
  <c r="AY11"/>
  <c r="T48" i="10"/>
  <c r="S9" i="2"/>
  <c r="S10" s="1"/>
  <c r="AV11"/>
  <c r="AW11"/>
  <c r="AR10"/>
  <c r="D9" s="1"/>
  <c r="A9"/>
  <c r="A10" s="1"/>
  <c r="C9"/>
  <c r="G9"/>
  <c r="G10" s="1"/>
  <c r="AU12"/>
  <c r="AW12" s="1"/>
  <c r="AV10"/>
  <c r="H9" s="1"/>
  <c r="Y16" i="10"/>
  <c r="Z16" s="1"/>
  <c r="D8" i="2"/>
  <c r="B11"/>
  <c r="AJ12"/>
  <c r="J17" i="10"/>
  <c r="J48" s="1"/>
  <c r="P17"/>
  <c r="P48" s="1"/>
  <c r="F17"/>
  <c r="O17"/>
  <c r="O48" s="1"/>
  <c r="Z15"/>
  <c r="AP13" i="2"/>
  <c r="AN14"/>
  <c r="AO14" s="1"/>
  <c r="O9" l="1"/>
  <c r="V11"/>
  <c r="U11"/>
  <c r="E11"/>
  <c r="I11"/>
  <c r="F48" i="10"/>
  <c r="N17"/>
  <c r="N48" s="1"/>
  <c r="BB11" i="2"/>
  <c r="R11"/>
  <c r="AR11"/>
  <c r="D10" s="1"/>
  <c r="L8"/>
  <c r="AQ13"/>
  <c r="P9"/>
  <c r="H10"/>
  <c r="P10" s="1"/>
  <c r="T10"/>
  <c r="S11"/>
  <c r="K9"/>
  <c r="W9"/>
  <c r="T9"/>
  <c r="AV12"/>
  <c r="H11" s="1"/>
  <c r="W10"/>
  <c r="L9"/>
  <c r="A11"/>
  <c r="G11"/>
  <c r="C10"/>
  <c r="O10" s="1"/>
  <c r="AU13"/>
  <c r="AW13" s="1"/>
  <c r="J9"/>
  <c r="M9"/>
  <c r="AS11"/>
  <c r="AR12"/>
  <c r="B12"/>
  <c r="AJ13"/>
  <c r="F8"/>
  <c r="Q17" i="10"/>
  <c r="Q48" s="1"/>
  <c r="AP14" i="2"/>
  <c r="F9"/>
  <c r="W8"/>
  <c r="AN15"/>
  <c r="AO15" s="1"/>
  <c r="V12" l="1"/>
  <c r="U12"/>
  <c r="E12"/>
  <c r="I12"/>
  <c r="R12"/>
  <c r="BB12"/>
  <c r="AQ14"/>
  <c r="J10"/>
  <c r="L10"/>
  <c r="M10"/>
  <c r="S12"/>
  <c r="AV13"/>
  <c r="H12" s="1"/>
  <c r="K10"/>
  <c r="P11"/>
  <c r="A12"/>
  <c r="G12"/>
  <c r="T11"/>
  <c r="C11"/>
  <c r="J11"/>
  <c r="AU14"/>
  <c r="D11"/>
  <c r="L11" s="1"/>
  <c r="N9"/>
  <c r="N8"/>
  <c r="AS12"/>
  <c r="B13"/>
  <c r="AJ14"/>
  <c r="F10"/>
  <c r="AP15"/>
  <c r="AN16"/>
  <c r="AO16" s="1"/>
  <c r="V13" l="1"/>
  <c r="U13"/>
  <c r="O11"/>
  <c r="I13"/>
  <c r="E13"/>
  <c r="R13"/>
  <c r="M11"/>
  <c r="BB13"/>
  <c r="K11"/>
  <c r="AQ15"/>
  <c r="S13"/>
  <c r="P12"/>
  <c r="J12"/>
  <c r="T12"/>
  <c r="AS13"/>
  <c r="AV14"/>
  <c r="H13" s="1"/>
  <c r="X8"/>
  <c r="BA9" s="1"/>
  <c r="G13"/>
  <c r="AW14"/>
  <c r="C12"/>
  <c r="AU15"/>
  <c r="AW15" s="1"/>
  <c r="A13"/>
  <c r="X9"/>
  <c r="BA10" s="1"/>
  <c r="AX10" s="1"/>
  <c r="N10"/>
  <c r="F11"/>
  <c r="AR13"/>
  <c r="AR14"/>
  <c r="AS14"/>
  <c r="B14"/>
  <c r="AJ15"/>
  <c r="Y17" i="10"/>
  <c r="Y48" s="1"/>
  <c r="AP16" i="2"/>
  <c r="AN17"/>
  <c r="V14" l="1"/>
  <c r="U14"/>
  <c r="BB14"/>
  <c r="I14"/>
  <c r="E14"/>
  <c r="M12"/>
  <c r="AX9"/>
  <c r="O8" s="1"/>
  <c r="R14"/>
  <c r="Q9"/>
  <c r="Y9" s="1"/>
  <c r="Z9" s="1"/>
  <c r="K12"/>
  <c r="AQ16"/>
  <c r="N11"/>
  <c r="W11"/>
  <c r="M13"/>
  <c r="C13"/>
  <c r="S14"/>
  <c r="T13"/>
  <c r="P13"/>
  <c r="J13"/>
  <c r="D12"/>
  <c r="L12" s="1"/>
  <c r="AV15"/>
  <c r="H14" s="1"/>
  <c r="AU16"/>
  <c r="G14"/>
  <c r="A14"/>
  <c r="X10"/>
  <c r="BA11" s="1"/>
  <c r="AX11" s="1"/>
  <c r="AS15"/>
  <c r="AR15"/>
  <c r="B15"/>
  <c r="AJ16"/>
  <c r="Z17" i="10"/>
  <c r="Z48" s="1"/>
  <c r="AN18" i="2"/>
  <c r="AO18" s="1"/>
  <c r="AO17"/>
  <c r="O12" l="1"/>
  <c r="V15"/>
  <c r="U15"/>
  <c r="BB15"/>
  <c r="E15"/>
  <c r="I15"/>
  <c r="X11"/>
  <c r="BA12" s="1"/>
  <c r="AX12" s="1"/>
  <c r="R15"/>
  <c r="Q11"/>
  <c r="Q10"/>
  <c r="Y10" s="1"/>
  <c r="Z10" s="1"/>
  <c r="C14"/>
  <c r="K13"/>
  <c r="D13"/>
  <c r="F13" s="1"/>
  <c r="S15"/>
  <c r="P14"/>
  <c r="F12"/>
  <c r="AV16"/>
  <c r="H15" s="1"/>
  <c r="T14"/>
  <c r="G15"/>
  <c r="J14"/>
  <c r="AW16"/>
  <c r="C15"/>
  <c r="A15"/>
  <c r="D14"/>
  <c r="AR16"/>
  <c r="AS16"/>
  <c r="AN19"/>
  <c r="AO19" s="1"/>
  <c r="AP18"/>
  <c r="AP17"/>
  <c r="AQ17" s="1"/>
  <c r="Y11" l="1"/>
  <c r="Z11" s="1"/>
  <c r="O14"/>
  <c r="O13"/>
  <c r="AQ18"/>
  <c r="K14"/>
  <c r="N13"/>
  <c r="W13"/>
  <c r="N12"/>
  <c r="W12"/>
  <c r="L13"/>
  <c r="L14" s="1"/>
  <c r="D15"/>
  <c r="L15" s="1"/>
  <c r="P15"/>
  <c r="J15"/>
  <c r="T15"/>
  <c r="AU17"/>
  <c r="F14"/>
  <c r="K15"/>
  <c r="M14"/>
  <c r="M15" s="1"/>
  <c r="AJ17"/>
  <c r="B17"/>
  <c r="AJ18"/>
  <c r="B16"/>
  <c r="AN20"/>
  <c r="AN21" s="1"/>
  <c r="AP19"/>
  <c r="O15" l="1"/>
  <c r="V16"/>
  <c r="U16"/>
  <c r="V17"/>
  <c r="U17"/>
  <c r="BB16"/>
  <c r="BB17" s="1"/>
  <c r="I16"/>
  <c r="E16"/>
  <c r="X12"/>
  <c r="BA13" s="1"/>
  <c r="AX13" s="1"/>
  <c r="R16"/>
  <c r="R17" s="1"/>
  <c r="X13"/>
  <c r="BA14" s="1"/>
  <c r="AX14" s="1"/>
  <c r="Q12"/>
  <c r="Q13"/>
  <c r="AQ19"/>
  <c r="AS19" s="1"/>
  <c r="N14"/>
  <c r="W14"/>
  <c r="F15"/>
  <c r="W15" s="1"/>
  <c r="S16"/>
  <c r="S17" s="1"/>
  <c r="A16"/>
  <c r="A17" s="1"/>
  <c r="AV17"/>
  <c r="H16" s="1"/>
  <c r="AU18"/>
  <c r="AW17"/>
  <c r="G16"/>
  <c r="C16"/>
  <c r="C17" s="1"/>
  <c r="AR18"/>
  <c r="AS18"/>
  <c r="E17" s="1"/>
  <c r="AS17"/>
  <c r="AR17"/>
  <c r="D16" s="1"/>
  <c r="B18"/>
  <c r="AJ19"/>
  <c r="AO20"/>
  <c r="AP20" s="1"/>
  <c r="AN22"/>
  <c r="AO21"/>
  <c r="V18" l="1"/>
  <c r="U18"/>
  <c r="O16"/>
  <c r="BB18"/>
  <c r="AX18" s="1"/>
  <c r="E18"/>
  <c r="Y13"/>
  <c r="Z13" s="1"/>
  <c r="Y12"/>
  <c r="Z12" s="1"/>
  <c r="R18"/>
  <c r="X14"/>
  <c r="BA15" s="1"/>
  <c r="AX15" s="1"/>
  <c r="Q14"/>
  <c r="AQ20"/>
  <c r="AS20" s="1"/>
  <c r="AR19"/>
  <c r="D18" s="1"/>
  <c r="N15"/>
  <c r="D17"/>
  <c r="O17" s="1"/>
  <c r="J16"/>
  <c r="G17"/>
  <c r="S18"/>
  <c r="A18"/>
  <c r="P16"/>
  <c r="T16"/>
  <c r="T17"/>
  <c r="AW18"/>
  <c r="I17" s="1"/>
  <c r="AV18"/>
  <c r="H17" s="1"/>
  <c r="C18"/>
  <c r="O18" s="1"/>
  <c r="AU19"/>
  <c r="K16"/>
  <c r="B19"/>
  <c r="AJ20"/>
  <c r="F16"/>
  <c r="W17" s="1"/>
  <c r="M16"/>
  <c r="L16"/>
  <c r="AP21"/>
  <c r="AN23"/>
  <c r="AO22"/>
  <c r="V19" l="1"/>
  <c r="U19"/>
  <c r="BB19"/>
  <c r="AX19" s="1"/>
  <c r="E19"/>
  <c r="Y14"/>
  <c r="Z14" s="1"/>
  <c r="R19"/>
  <c r="X15"/>
  <c r="BA16" s="1"/>
  <c r="AX16" s="1"/>
  <c r="G18"/>
  <c r="Q15"/>
  <c r="AQ21"/>
  <c r="AS21" s="1"/>
  <c r="AR20"/>
  <c r="D19" s="1"/>
  <c r="W16"/>
  <c r="S19"/>
  <c r="A19"/>
  <c r="T18"/>
  <c r="W18"/>
  <c r="C19"/>
  <c r="P17"/>
  <c r="Q17" s="1"/>
  <c r="J17"/>
  <c r="AV19"/>
  <c r="H18" s="1"/>
  <c r="P18" s="1"/>
  <c r="AW19"/>
  <c r="I18" s="1"/>
  <c r="AU20"/>
  <c r="F17"/>
  <c r="K17"/>
  <c r="K18" s="1"/>
  <c r="B20"/>
  <c r="AJ21"/>
  <c r="F18"/>
  <c r="M17"/>
  <c r="L17"/>
  <c r="N16"/>
  <c r="AP22"/>
  <c r="AN24"/>
  <c r="AO23"/>
  <c r="Y15" l="1"/>
  <c r="Z15" s="1"/>
  <c r="O19"/>
  <c r="V20"/>
  <c r="U20"/>
  <c r="BB20"/>
  <c r="AX20" s="1"/>
  <c r="E20"/>
  <c r="R20"/>
  <c r="AQ22"/>
  <c r="Q18"/>
  <c r="W19"/>
  <c r="S20"/>
  <c r="T19"/>
  <c r="AV20"/>
  <c r="H19" s="1"/>
  <c r="L19" s="1"/>
  <c r="AW20"/>
  <c r="I19" s="1"/>
  <c r="J18"/>
  <c r="C20"/>
  <c r="G19"/>
  <c r="A20"/>
  <c r="AU21"/>
  <c r="X16"/>
  <c r="BA17" s="1"/>
  <c r="AX17" s="1"/>
  <c r="AR21"/>
  <c r="D20" s="1"/>
  <c r="F19"/>
  <c r="M18"/>
  <c r="B21"/>
  <c r="AJ22"/>
  <c r="L18"/>
  <c r="AP23"/>
  <c r="AN25"/>
  <c r="AO24"/>
  <c r="O20" l="1"/>
  <c r="V21"/>
  <c r="U21"/>
  <c r="BB21"/>
  <c r="AX21"/>
  <c r="R21"/>
  <c r="J19"/>
  <c r="N19" s="1"/>
  <c r="X19" s="1"/>
  <c r="AQ23"/>
  <c r="AS23" s="1"/>
  <c r="G20"/>
  <c r="Q16"/>
  <c r="Y16" s="1"/>
  <c r="Z16" s="1"/>
  <c r="S21"/>
  <c r="W20"/>
  <c r="C21"/>
  <c r="A21"/>
  <c r="T20"/>
  <c r="P19"/>
  <c r="Q19" s="1"/>
  <c r="K19"/>
  <c r="AW21"/>
  <c r="I20" s="1"/>
  <c r="AV21"/>
  <c r="H20" s="1"/>
  <c r="AU22"/>
  <c r="N17"/>
  <c r="AR22"/>
  <c r="AS22"/>
  <c r="E21" s="1"/>
  <c r="F20"/>
  <c r="B22"/>
  <c r="AJ23"/>
  <c r="N18"/>
  <c r="AP24"/>
  <c r="AN26"/>
  <c r="AO25"/>
  <c r="V22" l="1"/>
  <c r="U22"/>
  <c r="BB22"/>
  <c r="E22"/>
  <c r="AX22"/>
  <c r="BA20"/>
  <c r="K20"/>
  <c r="R22"/>
  <c r="AU23"/>
  <c r="AV23" s="1"/>
  <c r="H22" s="1"/>
  <c r="AQ24"/>
  <c r="AS24" s="1"/>
  <c r="M19"/>
  <c r="M20"/>
  <c r="P20"/>
  <c r="Q20" s="1"/>
  <c r="S22"/>
  <c r="W21"/>
  <c r="T21"/>
  <c r="C22"/>
  <c r="Y19"/>
  <c r="Z19" s="1"/>
  <c r="G21"/>
  <c r="K21" s="1"/>
  <c r="L20"/>
  <c r="AW22"/>
  <c r="I21" s="1"/>
  <c r="AV22"/>
  <c r="H21" s="1"/>
  <c r="D21"/>
  <c r="O21" s="1"/>
  <c r="A22"/>
  <c r="X18"/>
  <c r="BA19" s="1"/>
  <c r="X17"/>
  <c r="BA18" s="1"/>
  <c r="AR23"/>
  <c r="B23"/>
  <c r="AJ24"/>
  <c r="AP25"/>
  <c r="AN27"/>
  <c r="AO26"/>
  <c r="V23" l="1"/>
  <c r="U23"/>
  <c r="BB23"/>
  <c r="E23"/>
  <c r="J20"/>
  <c r="N20" s="1"/>
  <c r="X20" s="1"/>
  <c r="BA21" s="1"/>
  <c r="R23"/>
  <c r="AU24"/>
  <c r="AX23"/>
  <c r="P21"/>
  <c r="G22"/>
  <c r="K22" s="1"/>
  <c r="AQ25"/>
  <c r="AS25" s="1"/>
  <c r="AW23"/>
  <c r="I22" s="1"/>
  <c r="M21"/>
  <c r="Y18"/>
  <c r="Z18" s="1"/>
  <c r="Y17"/>
  <c r="Z17" s="1"/>
  <c r="F21"/>
  <c r="S23"/>
  <c r="W22"/>
  <c r="AV24"/>
  <c r="H23" s="1"/>
  <c r="L21"/>
  <c r="C23"/>
  <c r="T22"/>
  <c r="AU25"/>
  <c r="AW25" s="1"/>
  <c r="AW24"/>
  <c r="I23" s="1"/>
  <c r="D22"/>
  <c r="O22" s="1"/>
  <c r="G23"/>
  <c r="A23"/>
  <c r="AR24"/>
  <c r="B24"/>
  <c r="AJ25"/>
  <c r="AP26"/>
  <c r="AN28"/>
  <c r="AO27"/>
  <c r="V24" l="1"/>
  <c r="U24"/>
  <c r="BB24"/>
  <c r="AX24" s="1"/>
  <c r="I24"/>
  <c r="E24"/>
  <c r="R24"/>
  <c r="P22"/>
  <c r="Q22" s="1"/>
  <c r="Q21"/>
  <c r="J21"/>
  <c r="N21" s="1"/>
  <c r="J22"/>
  <c r="M22"/>
  <c r="AQ26"/>
  <c r="F22"/>
  <c r="S24"/>
  <c r="M23"/>
  <c r="P23"/>
  <c r="T23"/>
  <c r="L22"/>
  <c r="W23"/>
  <c r="C24"/>
  <c r="A24"/>
  <c r="J23"/>
  <c r="D23"/>
  <c r="O23" s="1"/>
  <c r="AV25"/>
  <c r="H24" s="1"/>
  <c r="G24"/>
  <c r="AU26"/>
  <c r="K23"/>
  <c r="AR25"/>
  <c r="B25"/>
  <c r="AJ26"/>
  <c r="AP27"/>
  <c r="AN29"/>
  <c r="AO28"/>
  <c r="V25" l="1"/>
  <c r="U25"/>
  <c r="BB25"/>
  <c r="AX25" s="1"/>
  <c r="R25"/>
  <c r="X21"/>
  <c r="BA22" s="1"/>
  <c r="M24"/>
  <c r="N22"/>
  <c r="AQ27"/>
  <c r="P24"/>
  <c r="Q23"/>
  <c r="L23"/>
  <c r="K24"/>
  <c r="F23"/>
  <c r="N23" s="1"/>
  <c r="X23" s="1"/>
  <c r="S25"/>
  <c r="C25"/>
  <c r="T24"/>
  <c r="W24"/>
  <c r="J24"/>
  <c r="AV26"/>
  <c r="H25" s="1"/>
  <c r="D24"/>
  <c r="O24" s="1"/>
  <c r="A25"/>
  <c r="AW26"/>
  <c r="I25" s="1"/>
  <c r="G25"/>
  <c r="AU27"/>
  <c r="AW27" s="1"/>
  <c r="AR26"/>
  <c r="AS26"/>
  <c r="E25" s="1"/>
  <c r="B26"/>
  <c r="AJ27"/>
  <c r="AP28"/>
  <c r="AN30"/>
  <c r="AO29"/>
  <c r="AP29" s="1"/>
  <c r="V26" l="1"/>
  <c r="U26"/>
  <c r="BB26"/>
  <c r="AX26" s="1"/>
  <c r="I26"/>
  <c r="R26"/>
  <c r="X22"/>
  <c r="Y22" s="1"/>
  <c r="Z22" s="1"/>
  <c r="Y21"/>
  <c r="Z21" s="1"/>
  <c r="BA24"/>
  <c r="M25"/>
  <c r="F24"/>
  <c r="N24" s="1"/>
  <c r="X24" s="1"/>
  <c r="AQ28"/>
  <c r="AQ29" s="1"/>
  <c r="Y23"/>
  <c r="Z23" s="1"/>
  <c r="D25"/>
  <c r="O25" s="1"/>
  <c r="L24"/>
  <c r="P25"/>
  <c r="S26"/>
  <c r="T25"/>
  <c r="W25"/>
  <c r="J25"/>
  <c r="K25"/>
  <c r="G26"/>
  <c r="C26"/>
  <c r="AV27"/>
  <c r="H26" s="1"/>
  <c r="AU28"/>
  <c r="A26"/>
  <c r="AR27"/>
  <c r="AS27"/>
  <c r="E26" s="1"/>
  <c r="B27"/>
  <c r="AJ28"/>
  <c r="B28"/>
  <c r="AJ29"/>
  <c r="AN31"/>
  <c r="AO30"/>
  <c r="AP30" s="1"/>
  <c r="V27" l="1"/>
  <c r="U27"/>
  <c r="V28"/>
  <c r="U28"/>
  <c r="BB27"/>
  <c r="AX27" s="1"/>
  <c r="BA23"/>
  <c r="BA25"/>
  <c r="R27"/>
  <c r="R28" s="1"/>
  <c r="AS28"/>
  <c r="E27" s="1"/>
  <c r="F25"/>
  <c r="N25" s="1"/>
  <c r="X25" s="1"/>
  <c r="AQ30"/>
  <c r="Q25"/>
  <c r="L25"/>
  <c r="Q24"/>
  <c r="Y24" s="1"/>
  <c r="Z24" s="1"/>
  <c r="M26"/>
  <c r="S27"/>
  <c r="S28"/>
  <c r="K26"/>
  <c r="W26"/>
  <c r="P26"/>
  <c r="T26"/>
  <c r="AV28"/>
  <c r="H27" s="1"/>
  <c r="G27"/>
  <c r="A27"/>
  <c r="A28" s="1"/>
  <c r="AU29"/>
  <c r="J26"/>
  <c r="AW28"/>
  <c r="I27" s="1"/>
  <c r="C27"/>
  <c r="D26"/>
  <c r="L26" s="1"/>
  <c r="AR28"/>
  <c r="C28"/>
  <c r="B29"/>
  <c r="AJ30"/>
  <c r="AN32"/>
  <c r="AO31"/>
  <c r="AP31" s="1"/>
  <c r="O26" l="1"/>
  <c r="Q26" s="1"/>
  <c r="V29"/>
  <c r="U29"/>
  <c r="BB28"/>
  <c r="AX28" s="1"/>
  <c r="BA26"/>
  <c r="R29"/>
  <c r="AQ31"/>
  <c r="AU30"/>
  <c r="G29" s="1"/>
  <c r="Y25"/>
  <c r="Z25" s="1"/>
  <c r="K27"/>
  <c r="S29"/>
  <c r="W27"/>
  <c r="G28"/>
  <c r="K28" s="1"/>
  <c r="M27"/>
  <c r="T28"/>
  <c r="J27"/>
  <c r="W28"/>
  <c r="T27"/>
  <c r="F26"/>
  <c r="N26" s="1"/>
  <c r="X26" s="1"/>
  <c r="A29"/>
  <c r="AW29"/>
  <c r="I28" s="1"/>
  <c r="AV29"/>
  <c r="H28" s="1"/>
  <c r="P27"/>
  <c r="D27"/>
  <c r="O27" s="1"/>
  <c r="AS29"/>
  <c r="E28" s="1"/>
  <c r="AR29"/>
  <c r="B30"/>
  <c r="AJ31"/>
  <c r="AN33"/>
  <c r="AO32"/>
  <c r="AP32" s="1"/>
  <c r="V30" l="1"/>
  <c r="U30"/>
  <c r="BB29"/>
  <c r="AX29" s="1"/>
  <c r="R30"/>
  <c r="AU31"/>
  <c r="AV31" s="1"/>
  <c r="H30" s="1"/>
  <c r="BA27"/>
  <c r="AW30"/>
  <c r="I29" s="1"/>
  <c r="AV30"/>
  <c r="H29" s="1"/>
  <c r="P29" s="1"/>
  <c r="AQ32"/>
  <c r="AS32" s="1"/>
  <c r="L27"/>
  <c r="Q27"/>
  <c r="Y26"/>
  <c r="Z26" s="1"/>
  <c r="P28"/>
  <c r="M28"/>
  <c r="S30"/>
  <c r="C30"/>
  <c r="W29"/>
  <c r="T29"/>
  <c r="F27"/>
  <c r="N27" s="1"/>
  <c r="X27" s="1"/>
  <c r="C29"/>
  <c r="D28"/>
  <c r="O28" s="1"/>
  <c r="A30"/>
  <c r="J28"/>
  <c r="AS31"/>
  <c r="E30" s="1"/>
  <c r="AR31"/>
  <c r="AS30"/>
  <c r="E29" s="1"/>
  <c r="AR30"/>
  <c r="B31"/>
  <c r="AJ32"/>
  <c r="AN34"/>
  <c r="AO33"/>
  <c r="AP33" s="1"/>
  <c r="V31" l="1"/>
  <c r="U31"/>
  <c r="BB30"/>
  <c r="AX30" s="1"/>
  <c r="AU32"/>
  <c r="AV32" s="1"/>
  <c r="H31" s="1"/>
  <c r="E31"/>
  <c r="G30"/>
  <c r="K30" s="1"/>
  <c r="BA28"/>
  <c r="AW31"/>
  <c r="I30" s="1"/>
  <c r="M30" s="1"/>
  <c r="R31"/>
  <c r="J29"/>
  <c r="AQ33"/>
  <c r="AS33" s="1"/>
  <c r="K29"/>
  <c r="M29"/>
  <c r="F28"/>
  <c r="N28" s="1"/>
  <c r="Q28"/>
  <c r="L28"/>
  <c r="Y27"/>
  <c r="Z27" s="1"/>
  <c r="S31"/>
  <c r="W30"/>
  <c r="C31"/>
  <c r="AR32"/>
  <c r="D31" s="1"/>
  <c r="T30"/>
  <c r="D29"/>
  <c r="L29" s="1"/>
  <c r="AU33"/>
  <c r="AW33" s="1"/>
  <c r="A31"/>
  <c r="D30"/>
  <c r="O30" s="1"/>
  <c r="B32"/>
  <c r="AJ33"/>
  <c r="AN35"/>
  <c r="AO34"/>
  <c r="AP34" s="1"/>
  <c r="AW32" l="1"/>
  <c r="I31" s="1"/>
  <c r="M31" s="1"/>
  <c r="G31"/>
  <c r="O31"/>
  <c r="O29"/>
  <c r="Q29" s="1"/>
  <c r="V32"/>
  <c r="U32"/>
  <c r="BB31"/>
  <c r="AX31" s="1"/>
  <c r="I32"/>
  <c r="E32"/>
  <c r="J30"/>
  <c r="X28"/>
  <c r="BA29" s="1"/>
  <c r="P30"/>
  <c r="Q30" s="1"/>
  <c r="R32"/>
  <c r="AQ34"/>
  <c r="L31"/>
  <c r="F29"/>
  <c r="N29" s="1"/>
  <c r="L30"/>
  <c r="S32"/>
  <c r="T31"/>
  <c r="C32"/>
  <c r="W31"/>
  <c r="F30"/>
  <c r="A32"/>
  <c r="AV33"/>
  <c r="H32" s="1"/>
  <c r="AU34"/>
  <c r="G32"/>
  <c r="AR33"/>
  <c r="D32" s="1"/>
  <c r="F31"/>
  <c r="B33"/>
  <c r="AJ34"/>
  <c r="AN36"/>
  <c r="AO35"/>
  <c r="AP35" s="1"/>
  <c r="J31" l="1"/>
  <c r="K31"/>
  <c r="P31"/>
  <c r="Q31" s="1"/>
  <c r="O32"/>
  <c r="BB32"/>
  <c r="AX32" s="1"/>
  <c r="V33"/>
  <c r="U33"/>
  <c r="Y28"/>
  <c r="Z28" s="1"/>
  <c r="N30"/>
  <c r="X30" s="1"/>
  <c r="Y30" s="1"/>
  <c r="Z30" s="1"/>
  <c r="R33"/>
  <c r="X29"/>
  <c r="BA30" s="1"/>
  <c r="AQ35"/>
  <c r="M32"/>
  <c r="S33"/>
  <c r="N31"/>
  <c r="X31" s="1"/>
  <c r="W32"/>
  <c r="T32"/>
  <c r="C33"/>
  <c r="P32"/>
  <c r="AV34"/>
  <c r="H33" s="1"/>
  <c r="AU35"/>
  <c r="K32"/>
  <c r="A33"/>
  <c r="L32"/>
  <c r="J32"/>
  <c r="AW34"/>
  <c r="I33" s="1"/>
  <c r="G33"/>
  <c r="F32"/>
  <c r="AR34"/>
  <c r="AS34"/>
  <c r="E33" s="1"/>
  <c r="B34"/>
  <c r="AJ35"/>
  <c r="AN37"/>
  <c r="AO36"/>
  <c r="AP36" s="1"/>
  <c r="BB33" l="1"/>
  <c r="AX33" s="1"/>
  <c r="V34"/>
  <c r="U34"/>
  <c r="Y29"/>
  <c r="Z29" s="1"/>
  <c r="BA31"/>
  <c r="R34"/>
  <c r="BA32"/>
  <c r="AQ36"/>
  <c r="AS36" s="1"/>
  <c r="Y31"/>
  <c r="Z31" s="1"/>
  <c r="N32"/>
  <c r="X32" s="1"/>
  <c r="Q32"/>
  <c r="J33"/>
  <c r="S34"/>
  <c r="T33"/>
  <c r="W33"/>
  <c r="M33"/>
  <c r="P33"/>
  <c r="C34"/>
  <c r="K33"/>
  <c r="AV35"/>
  <c r="H34" s="1"/>
  <c r="A34"/>
  <c r="D33"/>
  <c r="O33" s="1"/>
  <c r="AW35"/>
  <c r="I34" s="1"/>
  <c r="G34"/>
  <c r="AU36"/>
  <c r="AW36" s="1"/>
  <c r="AR35"/>
  <c r="D34" s="1"/>
  <c r="AS35"/>
  <c r="E34" s="1"/>
  <c r="B35"/>
  <c r="AJ36"/>
  <c r="AN38"/>
  <c r="AO37"/>
  <c r="AP37" s="1"/>
  <c r="O34" l="1"/>
  <c r="BB34"/>
  <c r="AX34" s="1"/>
  <c r="V35"/>
  <c r="U35"/>
  <c r="BB35"/>
  <c r="AX35" s="1"/>
  <c r="E35"/>
  <c r="I35"/>
  <c r="K34"/>
  <c r="R35"/>
  <c r="BA33"/>
  <c r="AV36"/>
  <c r="H35" s="1"/>
  <c r="AQ37"/>
  <c r="AS37" s="1"/>
  <c r="Y32"/>
  <c r="Z32" s="1"/>
  <c r="M34"/>
  <c r="L33"/>
  <c r="Q33"/>
  <c r="S35"/>
  <c r="T34"/>
  <c r="F33"/>
  <c r="N33" s="1"/>
  <c r="X33" s="1"/>
  <c r="W34"/>
  <c r="P34"/>
  <c r="A35"/>
  <c r="AU37"/>
  <c r="AW37" s="1"/>
  <c r="G35"/>
  <c r="L34"/>
  <c r="J34"/>
  <c r="C35"/>
  <c r="AR36"/>
  <c r="D35" s="1"/>
  <c r="B36"/>
  <c r="AJ37"/>
  <c r="F34"/>
  <c r="AN39"/>
  <c r="AO38"/>
  <c r="AP38" s="1"/>
  <c r="O35" l="1"/>
  <c r="V36"/>
  <c r="U36"/>
  <c r="BB36"/>
  <c r="AX36" s="1"/>
  <c r="E36"/>
  <c r="I36"/>
  <c r="BA34"/>
  <c r="R36"/>
  <c r="AR37"/>
  <c r="D36" s="1"/>
  <c r="AQ38"/>
  <c r="AS38" s="1"/>
  <c r="Q34"/>
  <c r="M35"/>
  <c r="L35"/>
  <c r="J35"/>
  <c r="Y33"/>
  <c r="Z33" s="1"/>
  <c r="T35"/>
  <c r="S36"/>
  <c r="K35"/>
  <c r="W35"/>
  <c r="C36"/>
  <c r="N34"/>
  <c r="X34" s="1"/>
  <c r="A36"/>
  <c r="P35"/>
  <c r="AV37"/>
  <c r="H36" s="1"/>
  <c r="AU38"/>
  <c r="G36"/>
  <c r="F35"/>
  <c r="B37"/>
  <c r="AJ38"/>
  <c r="AN40"/>
  <c r="AO40" s="1"/>
  <c r="AO39"/>
  <c r="AP39" s="1"/>
  <c r="O36" l="1"/>
  <c r="V37"/>
  <c r="U37"/>
  <c r="BB37"/>
  <c r="AX37" s="1"/>
  <c r="E37"/>
  <c r="BA35"/>
  <c r="R37"/>
  <c r="AQ39"/>
  <c r="AS39" s="1"/>
  <c r="Y34"/>
  <c r="Z34" s="1"/>
  <c r="N35"/>
  <c r="X35" s="1"/>
  <c r="Q35"/>
  <c r="L36"/>
  <c r="S37"/>
  <c r="K36"/>
  <c r="P36"/>
  <c r="J36"/>
  <c r="T36"/>
  <c r="W36"/>
  <c r="M36"/>
  <c r="AV38"/>
  <c r="H37" s="1"/>
  <c r="C37"/>
  <c r="A37"/>
  <c r="AU39"/>
  <c r="G37"/>
  <c r="AW38"/>
  <c r="I37" s="1"/>
  <c r="F36"/>
  <c r="AR38"/>
  <c r="D37" s="1"/>
  <c r="B38"/>
  <c r="AJ39"/>
  <c r="AN41"/>
  <c r="AO41" s="1"/>
  <c r="AP40"/>
  <c r="P37" l="1"/>
  <c r="O37"/>
  <c r="Q37" s="1"/>
  <c r="V38"/>
  <c r="U38"/>
  <c r="BB38"/>
  <c r="AX38" s="1"/>
  <c r="E38"/>
  <c r="BA36"/>
  <c r="R38"/>
  <c r="AQ40"/>
  <c r="Y35"/>
  <c r="Z35" s="1"/>
  <c r="Q36"/>
  <c r="T37"/>
  <c r="N36"/>
  <c r="X36" s="1"/>
  <c r="S38"/>
  <c r="W37"/>
  <c r="M37"/>
  <c r="C38"/>
  <c r="AV39"/>
  <c r="H38" s="1"/>
  <c r="AU40"/>
  <c r="A38"/>
  <c r="G38"/>
  <c r="K37"/>
  <c r="J37"/>
  <c r="AW39"/>
  <c r="I38" s="1"/>
  <c r="L37"/>
  <c r="AR39"/>
  <c r="D38" s="1"/>
  <c r="B39"/>
  <c r="AJ40"/>
  <c r="F37"/>
  <c r="AN42"/>
  <c r="AO42" s="1"/>
  <c r="AP41"/>
  <c r="O38" l="1"/>
  <c r="V39"/>
  <c r="U39"/>
  <c r="BB39"/>
  <c r="AX39" s="1"/>
  <c r="K38"/>
  <c r="R39"/>
  <c r="BA37"/>
  <c r="AQ41"/>
  <c r="AS41" s="1"/>
  <c r="Y36"/>
  <c r="Z36" s="1"/>
  <c r="N37"/>
  <c r="X37" s="1"/>
  <c r="S39"/>
  <c r="W38"/>
  <c r="M38"/>
  <c r="J38"/>
  <c r="AV40"/>
  <c r="H39" s="1"/>
  <c r="T38"/>
  <c r="G39"/>
  <c r="P38"/>
  <c r="AW40"/>
  <c r="I39" s="1"/>
  <c r="L38"/>
  <c r="AU41"/>
  <c r="AW41" s="1"/>
  <c r="C39"/>
  <c r="A39"/>
  <c r="AR40"/>
  <c r="D39" s="1"/>
  <c r="AS40"/>
  <c r="E39" s="1"/>
  <c r="F38"/>
  <c r="B40"/>
  <c r="AJ41"/>
  <c r="AN43"/>
  <c r="AO43" s="1"/>
  <c r="AP42"/>
  <c r="O39" l="1"/>
  <c r="V40"/>
  <c r="U40"/>
  <c r="BB40"/>
  <c r="AX40" s="1"/>
  <c r="I40"/>
  <c r="E40"/>
  <c r="BA38"/>
  <c r="R40"/>
  <c r="Q38"/>
  <c r="AQ42"/>
  <c r="AS42" s="1"/>
  <c r="N38"/>
  <c r="X38" s="1"/>
  <c r="Y37"/>
  <c r="Z37" s="1"/>
  <c r="K39"/>
  <c r="W39"/>
  <c r="S40"/>
  <c r="T39"/>
  <c r="AR41"/>
  <c r="D40" s="1"/>
  <c r="M39"/>
  <c r="J39"/>
  <c r="G40"/>
  <c r="AV41"/>
  <c r="H40" s="1"/>
  <c r="C40"/>
  <c r="O40" s="1"/>
  <c r="P39"/>
  <c r="AU42"/>
  <c r="L39"/>
  <c r="A40"/>
  <c r="F39"/>
  <c r="B41"/>
  <c r="AJ42"/>
  <c r="AN44"/>
  <c r="AO44" s="1"/>
  <c r="AP43"/>
  <c r="V41" l="1"/>
  <c r="U41"/>
  <c r="BB41"/>
  <c r="AX41" s="1"/>
  <c r="E41"/>
  <c r="M40"/>
  <c r="BA39"/>
  <c r="R41"/>
  <c r="AQ43"/>
  <c r="AS43" s="1"/>
  <c r="Y38"/>
  <c r="Z38" s="1"/>
  <c r="Q39"/>
  <c r="T40"/>
  <c r="S41"/>
  <c r="W40"/>
  <c r="N39"/>
  <c r="X39" s="1"/>
  <c r="K40"/>
  <c r="L40"/>
  <c r="J40"/>
  <c r="AV42"/>
  <c r="H41" s="1"/>
  <c r="P40"/>
  <c r="AU43"/>
  <c r="AW43" s="1"/>
  <c r="G41"/>
  <c r="A41"/>
  <c r="AW42"/>
  <c r="I41" s="1"/>
  <c r="C41"/>
  <c r="O41" s="1"/>
  <c r="AR42"/>
  <c r="D41" s="1"/>
  <c r="B42"/>
  <c r="AJ43"/>
  <c r="F40"/>
  <c r="AN45"/>
  <c r="AO45" s="1"/>
  <c r="AP45" s="1"/>
  <c r="AP44"/>
  <c r="V42" l="1"/>
  <c r="U42"/>
  <c r="BB42"/>
  <c r="AX42" s="1"/>
  <c r="I42"/>
  <c r="E42"/>
  <c r="BA40"/>
  <c r="R42"/>
  <c r="AQ44"/>
  <c r="AQ45" s="1"/>
  <c r="Y39"/>
  <c r="Z39" s="1"/>
  <c r="N40"/>
  <c r="X40" s="1"/>
  <c r="Q40"/>
  <c r="S42"/>
  <c r="M41"/>
  <c r="J41"/>
  <c r="W41"/>
  <c r="K41"/>
  <c r="T41"/>
  <c r="L41"/>
  <c r="P41"/>
  <c r="AV43"/>
  <c r="H42" s="1"/>
  <c r="AU44"/>
  <c r="AW44" s="1"/>
  <c r="G42"/>
  <c r="A42"/>
  <c r="C42"/>
  <c r="AR43"/>
  <c r="B43"/>
  <c r="AJ44"/>
  <c r="F41"/>
  <c r="AN46"/>
  <c r="AO46" s="1"/>
  <c r="AP46" s="1"/>
  <c r="V43" l="1"/>
  <c r="U43"/>
  <c r="BB43"/>
  <c r="AX43" s="1"/>
  <c r="I43"/>
  <c r="AV44"/>
  <c r="H43" s="1"/>
  <c r="BA41"/>
  <c r="N41"/>
  <c r="X41" s="1"/>
  <c r="R43"/>
  <c r="Q41"/>
  <c r="AQ46"/>
  <c r="AS44"/>
  <c r="E43" s="1"/>
  <c r="Y40"/>
  <c r="Z40" s="1"/>
  <c r="M42"/>
  <c r="S43"/>
  <c r="J42"/>
  <c r="T42"/>
  <c r="K42"/>
  <c r="W42"/>
  <c r="AU45"/>
  <c r="C43"/>
  <c r="P42"/>
  <c r="A43"/>
  <c r="D42"/>
  <c r="O42" s="1"/>
  <c r="G43"/>
  <c r="AR44"/>
  <c r="D43" s="1"/>
  <c r="B44"/>
  <c r="AJ45"/>
  <c r="AN47"/>
  <c r="AO47" s="1"/>
  <c r="AP47" s="1"/>
  <c r="O43" l="1"/>
  <c r="V44"/>
  <c r="U44"/>
  <c r="BB44"/>
  <c r="AX44" s="1"/>
  <c r="M43"/>
  <c r="P43"/>
  <c r="BA42"/>
  <c r="AV45"/>
  <c r="H44" s="1"/>
  <c r="R44"/>
  <c r="AQ47"/>
  <c r="L42"/>
  <c r="Q42"/>
  <c r="AW45"/>
  <c r="I44" s="1"/>
  <c r="Y41"/>
  <c r="Z41" s="1"/>
  <c r="F42"/>
  <c r="N42" s="1"/>
  <c r="X42" s="1"/>
  <c r="S44"/>
  <c r="T43"/>
  <c r="W43"/>
  <c r="AU46"/>
  <c r="G44"/>
  <c r="C44"/>
  <c r="A44"/>
  <c r="J43"/>
  <c r="K43"/>
  <c r="L43"/>
  <c r="AR45"/>
  <c r="D44" s="1"/>
  <c r="AS45"/>
  <c r="E44" s="1"/>
  <c r="AS46"/>
  <c r="F43"/>
  <c r="B45"/>
  <c r="AJ46"/>
  <c r="AV46" s="1"/>
  <c r="AN48"/>
  <c r="AO48" s="1"/>
  <c r="AP48" s="1"/>
  <c r="O44" l="1"/>
  <c r="V45"/>
  <c r="U45"/>
  <c r="BB45"/>
  <c r="AX45" s="1"/>
  <c r="E45"/>
  <c r="Q43"/>
  <c r="R45"/>
  <c r="BA43"/>
  <c r="AQ48"/>
  <c r="AW46"/>
  <c r="I45" s="1"/>
  <c r="M44"/>
  <c r="AU47"/>
  <c r="P44"/>
  <c r="K44"/>
  <c r="Y42"/>
  <c r="Z42" s="1"/>
  <c r="H45"/>
  <c r="S45"/>
  <c r="J44"/>
  <c r="T44"/>
  <c r="W44"/>
  <c r="N43"/>
  <c r="X43" s="1"/>
  <c r="G45"/>
  <c r="L44"/>
  <c r="C45"/>
  <c r="A45"/>
  <c r="AR46"/>
  <c r="D45" s="1"/>
  <c r="AS47"/>
  <c r="F44"/>
  <c r="B46"/>
  <c r="AJ47"/>
  <c r="AN49"/>
  <c r="AO49" s="1"/>
  <c r="AP49" s="1"/>
  <c r="AV47" l="1"/>
  <c r="O45"/>
  <c r="V46"/>
  <c r="U46"/>
  <c r="BB46"/>
  <c r="AX46" s="1"/>
  <c r="E46"/>
  <c r="N44"/>
  <c r="X44" s="1"/>
  <c r="BA45" s="1"/>
  <c r="BA44"/>
  <c r="AW47"/>
  <c r="I46" s="1"/>
  <c r="R46"/>
  <c r="Q44"/>
  <c r="M45"/>
  <c r="AU48"/>
  <c r="AW48" s="1"/>
  <c r="AQ49"/>
  <c r="Y43"/>
  <c r="Z43" s="1"/>
  <c r="J45"/>
  <c r="H46"/>
  <c r="S46"/>
  <c r="T45"/>
  <c r="W45"/>
  <c r="K45"/>
  <c r="P45"/>
  <c r="G46"/>
  <c r="C46"/>
  <c r="L45"/>
  <c r="A46"/>
  <c r="AS48"/>
  <c r="AR47"/>
  <c r="F45"/>
  <c r="B47"/>
  <c r="AJ48"/>
  <c r="AN50"/>
  <c r="AO50" s="1"/>
  <c r="AP50" s="1"/>
  <c r="AV48" l="1"/>
  <c r="V47"/>
  <c r="U47"/>
  <c r="AU49"/>
  <c r="AW49" s="1"/>
  <c r="BB47"/>
  <c r="AX47" s="1"/>
  <c r="E47"/>
  <c r="I47"/>
  <c r="R47"/>
  <c r="AQ50"/>
  <c r="Y44"/>
  <c r="Z44" s="1"/>
  <c r="Q45"/>
  <c r="N45"/>
  <c r="X45" s="1"/>
  <c r="K46"/>
  <c r="S47"/>
  <c r="W46"/>
  <c r="T46"/>
  <c r="H47"/>
  <c r="M46"/>
  <c r="J46"/>
  <c r="C47"/>
  <c r="A47"/>
  <c r="P46"/>
  <c r="G47"/>
  <c r="D46"/>
  <c r="O46" s="1"/>
  <c r="AR48"/>
  <c r="B48"/>
  <c r="AJ49"/>
  <c r="AV49" s="1"/>
  <c r="AN51"/>
  <c r="AO51" s="1"/>
  <c r="AP51" s="1"/>
  <c r="AU50" l="1"/>
  <c r="AW50" s="1"/>
  <c r="V48"/>
  <c r="U48"/>
  <c r="BB48"/>
  <c r="AX48" s="1"/>
  <c r="I48"/>
  <c r="P47"/>
  <c r="R48"/>
  <c r="BA46"/>
  <c r="AQ51"/>
  <c r="Y45"/>
  <c r="Z45" s="1"/>
  <c r="M47"/>
  <c r="L46"/>
  <c r="Q46"/>
  <c r="H48"/>
  <c r="S48"/>
  <c r="K47"/>
  <c r="F46"/>
  <c r="N46" s="1"/>
  <c r="X46" s="1"/>
  <c r="W47"/>
  <c r="J47"/>
  <c r="D47"/>
  <c r="O47" s="1"/>
  <c r="A48"/>
  <c r="G48"/>
  <c r="AU51"/>
  <c r="T47"/>
  <c r="C48"/>
  <c r="AR49"/>
  <c r="D48" s="1"/>
  <c r="AS49"/>
  <c r="E48" s="1"/>
  <c r="B49"/>
  <c r="AJ50"/>
  <c r="AV50" s="1"/>
  <c r="AN52"/>
  <c r="AO52" s="1"/>
  <c r="AP52" s="1"/>
  <c r="O48" l="1"/>
  <c r="V49"/>
  <c r="U49"/>
  <c r="BB49"/>
  <c r="AX49" s="1"/>
  <c r="I49"/>
  <c r="F47"/>
  <c r="N47" s="1"/>
  <c r="X47" s="1"/>
  <c r="BA48" s="1"/>
  <c r="BA47"/>
  <c r="R49"/>
  <c r="P48"/>
  <c r="AQ52"/>
  <c r="M48"/>
  <c r="L47"/>
  <c r="Q47"/>
  <c r="S49"/>
  <c r="W48"/>
  <c r="H49"/>
  <c r="T48"/>
  <c r="K48"/>
  <c r="J48"/>
  <c r="AU52"/>
  <c r="AW52" s="1"/>
  <c r="G49"/>
  <c r="AW51"/>
  <c r="A49"/>
  <c r="L48"/>
  <c r="C49"/>
  <c r="F48"/>
  <c r="AR50"/>
  <c r="D49" s="1"/>
  <c r="AS50"/>
  <c r="E49" s="1"/>
  <c r="B50"/>
  <c r="AJ51"/>
  <c r="AV51" s="1"/>
  <c r="AN53"/>
  <c r="AO53" s="1"/>
  <c r="AP53" s="1"/>
  <c r="O49" l="1"/>
  <c r="V50"/>
  <c r="U50"/>
  <c r="I50"/>
  <c r="BB50"/>
  <c r="AX50" s="1"/>
  <c r="R50"/>
  <c r="Q48"/>
  <c r="AQ53"/>
  <c r="W49"/>
  <c r="Y47"/>
  <c r="Z47" s="1"/>
  <c r="L49"/>
  <c r="M49"/>
  <c r="H50"/>
  <c r="S50"/>
  <c r="J49"/>
  <c r="T49"/>
  <c r="K49"/>
  <c r="N48"/>
  <c r="X48" s="1"/>
  <c r="C50"/>
  <c r="AU53"/>
  <c r="AW53" s="1"/>
  <c r="G50"/>
  <c r="A50"/>
  <c r="P49"/>
  <c r="AR51"/>
  <c r="AS51"/>
  <c r="E50" s="1"/>
  <c r="F49"/>
  <c r="B51"/>
  <c r="AJ52"/>
  <c r="AV52" s="1"/>
  <c r="AN54"/>
  <c r="AO54" s="1"/>
  <c r="AP54" s="1"/>
  <c r="V51" l="1"/>
  <c r="U51"/>
  <c r="I51"/>
  <c r="BB51"/>
  <c r="AX51" s="1"/>
  <c r="BA49"/>
  <c r="R51"/>
  <c r="K50"/>
  <c r="AQ54"/>
  <c r="N49"/>
  <c r="X49" s="1"/>
  <c r="M50"/>
  <c r="Y48"/>
  <c r="Z48" s="1"/>
  <c r="Q49"/>
  <c r="J50"/>
  <c r="H51"/>
  <c r="S51"/>
  <c r="T50"/>
  <c r="W50"/>
  <c r="G51"/>
  <c r="P50"/>
  <c r="C51"/>
  <c r="A51"/>
  <c r="D50"/>
  <c r="O50" s="1"/>
  <c r="AU54"/>
  <c r="AR52"/>
  <c r="D51" s="1"/>
  <c r="AS52"/>
  <c r="E51" s="1"/>
  <c r="AS53"/>
  <c r="B52"/>
  <c r="AJ53"/>
  <c r="AV53" s="1"/>
  <c r="AN55"/>
  <c r="AO55" s="1"/>
  <c r="AP55" s="1"/>
  <c r="O51" l="1"/>
  <c r="E52"/>
  <c r="I52"/>
  <c r="BB52"/>
  <c r="AX52" s="1"/>
  <c r="BA50"/>
  <c r="R52"/>
  <c r="AQ55"/>
  <c r="Y49"/>
  <c r="Z49" s="1"/>
  <c r="H52"/>
  <c r="M51"/>
  <c r="L51"/>
  <c r="P51"/>
  <c r="L50"/>
  <c r="Q50"/>
  <c r="K51"/>
  <c r="S52"/>
  <c r="F50"/>
  <c r="N50" s="1"/>
  <c r="X50" s="1"/>
  <c r="J51"/>
  <c r="T51"/>
  <c r="C52"/>
  <c r="AU55"/>
  <c r="AW54"/>
  <c r="A52"/>
  <c r="G52"/>
  <c r="F51"/>
  <c r="AR53"/>
  <c r="D52" s="1"/>
  <c r="AS54"/>
  <c r="B53"/>
  <c r="AJ54"/>
  <c r="AR54" s="1"/>
  <c r="AN56"/>
  <c r="AO56" s="1"/>
  <c r="AP56" s="1"/>
  <c r="O52" l="1"/>
  <c r="I53"/>
  <c r="E53"/>
  <c r="P52"/>
  <c r="BB53"/>
  <c r="AX53" s="1"/>
  <c r="BA51"/>
  <c r="R53"/>
  <c r="AQ56"/>
  <c r="W51"/>
  <c r="Q51"/>
  <c r="Y50"/>
  <c r="Z50" s="1"/>
  <c r="S53"/>
  <c r="M52"/>
  <c r="N51"/>
  <c r="X51" s="1"/>
  <c r="T52"/>
  <c r="K52"/>
  <c r="D53"/>
  <c r="G53"/>
  <c r="AW55"/>
  <c r="AV54"/>
  <c r="H53" s="1"/>
  <c r="L52"/>
  <c r="J52"/>
  <c r="V52" s="1"/>
  <c r="A53"/>
  <c r="AU56"/>
  <c r="C53"/>
  <c r="O53" s="1"/>
  <c r="F52"/>
  <c r="U52" s="1"/>
  <c r="B54"/>
  <c r="AJ55"/>
  <c r="AV55" s="1"/>
  <c r="AN57"/>
  <c r="AO57" s="1"/>
  <c r="AP57" s="1"/>
  <c r="V54" l="1"/>
  <c r="U54"/>
  <c r="I54"/>
  <c r="BB54"/>
  <c r="AX54" s="1"/>
  <c r="Q52"/>
  <c r="R54"/>
  <c r="BA52"/>
  <c r="K53"/>
  <c r="L53"/>
  <c r="AQ57"/>
  <c r="Y51"/>
  <c r="Z51" s="1"/>
  <c r="M53"/>
  <c r="H54"/>
  <c r="S54"/>
  <c r="P53"/>
  <c r="J53"/>
  <c r="V53" s="1"/>
  <c r="C54"/>
  <c r="T53"/>
  <c r="AW56"/>
  <c r="AU57"/>
  <c r="AW57" s="1"/>
  <c r="G54"/>
  <c r="A54"/>
  <c r="N52"/>
  <c r="AS55"/>
  <c r="E54" s="1"/>
  <c r="F53"/>
  <c r="U53" s="1"/>
  <c r="AR55"/>
  <c r="AS56"/>
  <c r="B55"/>
  <c r="AJ56"/>
  <c r="AR56" s="1"/>
  <c r="AN58"/>
  <c r="AO58" s="1"/>
  <c r="AP58" s="1"/>
  <c r="V55" l="1"/>
  <c r="U55"/>
  <c r="BB55"/>
  <c r="AX55" s="1"/>
  <c r="E55"/>
  <c r="I55"/>
  <c r="R55"/>
  <c r="P54"/>
  <c r="AQ58"/>
  <c r="M54"/>
  <c r="Q53"/>
  <c r="S55"/>
  <c r="C55"/>
  <c r="K54"/>
  <c r="J54"/>
  <c r="T54"/>
  <c r="AV56"/>
  <c r="H55" s="1"/>
  <c r="AU58"/>
  <c r="AW58" s="1"/>
  <c r="A55"/>
  <c r="D54"/>
  <c r="O54" s="1"/>
  <c r="D55"/>
  <c r="G55"/>
  <c r="X52"/>
  <c r="N53"/>
  <c r="W53"/>
  <c r="W52"/>
  <c r="AS57"/>
  <c r="B56"/>
  <c r="AJ57"/>
  <c r="AV57" s="1"/>
  <c r="AN59"/>
  <c r="AO59" s="1"/>
  <c r="AP59" s="1"/>
  <c r="O55" l="1"/>
  <c r="V56"/>
  <c r="U56"/>
  <c r="BB56"/>
  <c r="AX56" s="1"/>
  <c r="I56"/>
  <c r="E56"/>
  <c r="BA53"/>
  <c r="K55"/>
  <c r="M55"/>
  <c r="R56"/>
  <c r="L55"/>
  <c r="AQ59"/>
  <c r="F54"/>
  <c r="N54" s="1"/>
  <c r="J55"/>
  <c r="L54"/>
  <c r="Q54"/>
  <c r="S56"/>
  <c r="W54"/>
  <c r="H56"/>
  <c r="P55"/>
  <c r="T55"/>
  <c r="W55"/>
  <c r="AU59"/>
  <c r="AW59" s="1"/>
  <c r="G56"/>
  <c r="C56"/>
  <c r="A56"/>
  <c r="Y52"/>
  <c r="Z52" s="1"/>
  <c r="X53"/>
  <c r="BA54" s="1"/>
  <c r="F55"/>
  <c r="AR57"/>
  <c r="B57"/>
  <c r="AJ58"/>
  <c r="AV58" s="1"/>
  <c r="AN60"/>
  <c r="AO60" s="1"/>
  <c r="AP60" s="1"/>
  <c r="V57" l="1"/>
  <c r="U57"/>
  <c r="BB57"/>
  <c r="AX57" s="1"/>
  <c r="I57"/>
  <c r="R57"/>
  <c r="P56"/>
  <c r="AQ60"/>
  <c r="Y53"/>
  <c r="Z53" s="1"/>
  <c r="Q55"/>
  <c r="N55"/>
  <c r="X55" s="1"/>
  <c r="S57"/>
  <c r="X54"/>
  <c r="BA55" s="1"/>
  <c r="C57"/>
  <c r="M56"/>
  <c r="T56"/>
  <c r="D56"/>
  <c r="O56" s="1"/>
  <c r="J56"/>
  <c r="W56"/>
  <c r="K56"/>
  <c r="AU60"/>
  <c r="AW60" s="1"/>
  <c r="H57"/>
  <c r="G57"/>
  <c r="A57"/>
  <c r="AR58"/>
  <c r="AS58"/>
  <c r="E57" s="1"/>
  <c r="B58"/>
  <c r="AJ59"/>
  <c r="AV59" s="1"/>
  <c r="AN61"/>
  <c r="AO61" s="1"/>
  <c r="AP61" s="1"/>
  <c r="V58" l="1"/>
  <c r="U58"/>
  <c r="BB58"/>
  <c r="AX58" s="1"/>
  <c r="I58"/>
  <c r="BA56"/>
  <c r="R58"/>
  <c r="K57"/>
  <c r="AQ61"/>
  <c r="Q56"/>
  <c r="Y55"/>
  <c r="Z55" s="1"/>
  <c r="M57"/>
  <c r="F56"/>
  <c r="N56" s="1"/>
  <c r="X56" s="1"/>
  <c r="W57"/>
  <c r="L56"/>
  <c r="S58"/>
  <c r="T57"/>
  <c r="P57"/>
  <c r="J57"/>
  <c r="AU61"/>
  <c r="AW61" s="1"/>
  <c r="G58"/>
  <c r="H58"/>
  <c r="C58"/>
  <c r="A58"/>
  <c r="D57"/>
  <c r="O57" s="1"/>
  <c r="AR59"/>
  <c r="AS60"/>
  <c r="AS59"/>
  <c r="E58" s="1"/>
  <c r="B59"/>
  <c r="AJ60"/>
  <c r="AV60" s="1"/>
  <c r="AN62"/>
  <c r="AO62" s="1"/>
  <c r="AP62" s="1"/>
  <c r="V59" l="1"/>
  <c r="U59"/>
  <c r="BB59"/>
  <c r="AX59" s="1"/>
  <c r="E59"/>
  <c r="I59"/>
  <c r="BA57"/>
  <c r="R59"/>
  <c r="AQ62"/>
  <c r="T58"/>
  <c r="Y56"/>
  <c r="Z56" s="1"/>
  <c r="W58"/>
  <c r="L57"/>
  <c r="Q57"/>
  <c r="J58"/>
  <c r="K58"/>
  <c r="S59"/>
  <c r="M58"/>
  <c r="P58"/>
  <c r="F57"/>
  <c r="N57" s="1"/>
  <c r="X57" s="1"/>
  <c r="AU62"/>
  <c r="AW62" s="1"/>
  <c r="A59"/>
  <c r="G59"/>
  <c r="C59"/>
  <c r="H59"/>
  <c r="D58"/>
  <c r="O58" s="1"/>
  <c r="AR60"/>
  <c r="D59" s="1"/>
  <c r="AS61"/>
  <c r="B60"/>
  <c r="AJ61"/>
  <c r="AR61" s="1"/>
  <c r="AN63"/>
  <c r="AO63" s="1"/>
  <c r="AP63" s="1"/>
  <c r="O59" l="1"/>
  <c r="V60"/>
  <c r="U60"/>
  <c r="BB60"/>
  <c r="AX60" s="1"/>
  <c r="I60"/>
  <c r="E60"/>
  <c r="M59"/>
  <c r="BA58"/>
  <c r="R60"/>
  <c r="L59"/>
  <c r="AQ63"/>
  <c r="T59"/>
  <c r="P59"/>
  <c r="L58"/>
  <c r="Q58"/>
  <c r="Y57"/>
  <c r="Z57" s="1"/>
  <c r="K59"/>
  <c r="W59"/>
  <c r="S60"/>
  <c r="F58"/>
  <c r="N58" s="1"/>
  <c r="X58" s="1"/>
  <c r="J59"/>
  <c r="AV61"/>
  <c r="H60" s="1"/>
  <c r="D60"/>
  <c r="G60"/>
  <c r="C60"/>
  <c r="AU63"/>
  <c r="A60"/>
  <c r="F59"/>
  <c r="AS62"/>
  <c r="B61"/>
  <c r="AJ62"/>
  <c r="AV62" s="1"/>
  <c r="AN64"/>
  <c r="AO64" s="1"/>
  <c r="AP64" s="1"/>
  <c r="O60" l="1"/>
  <c r="V61"/>
  <c r="U61"/>
  <c r="BB61"/>
  <c r="AX61" s="1"/>
  <c r="I61"/>
  <c r="E61"/>
  <c r="BA59"/>
  <c r="R61"/>
  <c r="AQ64"/>
  <c r="Q59"/>
  <c r="K60"/>
  <c r="Y58"/>
  <c r="Z58" s="1"/>
  <c r="M60"/>
  <c r="L60"/>
  <c r="S61"/>
  <c r="T60"/>
  <c r="N59"/>
  <c r="X59" s="1"/>
  <c r="W60"/>
  <c r="P60"/>
  <c r="J60"/>
  <c r="AW63"/>
  <c r="G61"/>
  <c r="C61"/>
  <c r="H61"/>
  <c r="AU64"/>
  <c r="A61"/>
  <c r="AR62"/>
  <c r="D61" s="1"/>
  <c r="F60"/>
  <c r="AS63"/>
  <c r="B62"/>
  <c r="AJ63"/>
  <c r="AV63" s="1"/>
  <c r="AN65"/>
  <c r="AO65" s="1"/>
  <c r="AP65" s="1"/>
  <c r="O61" l="1"/>
  <c r="V62"/>
  <c r="U62"/>
  <c r="BB62"/>
  <c r="AX62" s="1"/>
  <c r="I62"/>
  <c r="E62"/>
  <c r="BA60"/>
  <c r="R62"/>
  <c r="M61"/>
  <c r="K61"/>
  <c r="P61"/>
  <c r="N60"/>
  <c r="X60" s="1"/>
  <c r="L61"/>
  <c r="AQ65"/>
  <c r="Y59"/>
  <c r="Z59" s="1"/>
  <c r="Q60"/>
  <c r="S62"/>
  <c r="T61"/>
  <c r="J61"/>
  <c r="W61"/>
  <c r="AW64"/>
  <c r="G62"/>
  <c r="H62"/>
  <c r="C62"/>
  <c r="AU65"/>
  <c r="AW65" s="1"/>
  <c r="A62"/>
  <c r="F61"/>
  <c r="AR63"/>
  <c r="B63"/>
  <c r="AJ64"/>
  <c r="AV64" s="1"/>
  <c r="AN66"/>
  <c r="V63" l="1"/>
  <c r="U63"/>
  <c r="I63"/>
  <c r="BA61"/>
  <c r="R63"/>
  <c r="BB63"/>
  <c r="AX63" s="1"/>
  <c r="Q61"/>
  <c r="Y60"/>
  <c r="Z60" s="1"/>
  <c r="K62"/>
  <c r="P62"/>
  <c r="S63"/>
  <c r="T62"/>
  <c r="N61"/>
  <c r="X61" s="1"/>
  <c r="M62"/>
  <c r="W62"/>
  <c r="J62"/>
  <c r="A63"/>
  <c r="H63"/>
  <c r="D62"/>
  <c r="L62" s="1"/>
  <c r="G63"/>
  <c r="C63"/>
  <c r="AO66"/>
  <c r="AP66" s="1"/>
  <c r="AN67"/>
  <c r="AR64"/>
  <c r="D63" s="1"/>
  <c r="AS64"/>
  <c r="E63" s="1"/>
  <c r="B64"/>
  <c r="AJ65"/>
  <c r="AV65" s="1"/>
  <c r="O63" l="1"/>
  <c r="O62"/>
  <c r="V64"/>
  <c r="U64"/>
  <c r="I64"/>
  <c r="F62"/>
  <c r="N62" s="1"/>
  <c r="BA62"/>
  <c r="R64"/>
  <c r="BB64"/>
  <c r="AX64" s="1"/>
  <c r="AQ66"/>
  <c r="AS66" s="1"/>
  <c r="M63"/>
  <c r="P63"/>
  <c r="L63"/>
  <c r="W63"/>
  <c r="K63"/>
  <c r="S64"/>
  <c r="J63"/>
  <c r="T63"/>
  <c r="G64"/>
  <c r="C64"/>
  <c r="A64"/>
  <c r="AU66"/>
  <c r="H64"/>
  <c r="AN68"/>
  <c r="AO67"/>
  <c r="AP67" s="1"/>
  <c r="AR65"/>
  <c r="F63"/>
  <c r="AS65"/>
  <c r="E64" s="1"/>
  <c r="B65"/>
  <c r="AJ66"/>
  <c r="V65" l="1"/>
  <c r="U65"/>
  <c r="E65"/>
  <c r="AR66"/>
  <c r="D65" s="1"/>
  <c r="K64"/>
  <c r="X62"/>
  <c r="BA63" s="1"/>
  <c r="R65"/>
  <c r="BB65"/>
  <c r="AX65" s="1"/>
  <c r="N63"/>
  <c r="X63" s="1"/>
  <c r="AQ67"/>
  <c r="AS67" s="1"/>
  <c r="M64"/>
  <c r="Q62"/>
  <c r="S65"/>
  <c r="T64"/>
  <c r="C65"/>
  <c r="AV66"/>
  <c r="H65" s="1"/>
  <c r="P64"/>
  <c r="W64"/>
  <c r="J64"/>
  <c r="AW66"/>
  <c r="I65" s="1"/>
  <c r="B66"/>
  <c r="AU67"/>
  <c r="AW67" s="1"/>
  <c r="A65"/>
  <c r="G65"/>
  <c r="D64"/>
  <c r="F64" s="1"/>
  <c r="AO68"/>
  <c r="AP68" s="1"/>
  <c r="AN69"/>
  <c r="AO69" s="1"/>
  <c r="AJ67"/>
  <c r="O65" l="1"/>
  <c r="O64"/>
  <c r="Q64" s="1"/>
  <c r="V66"/>
  <c r="U66"/>
  <c r="E66"/>
  <c r="I66"/>
  <c r="L65"/>
  <c r="W65"/>
  <c r="BA64"/>
  <c r="R66"/>
  <c r="BB66"/>
  <c r="AX66" s="1"/>
  <c r="M65"/>
  <c r="AQ68"/>
  <c r="N64"/>
  <c r="X64" s="1"/>
  <c r="P65"/>
  <c r="Q63"/>
  <c r="Y63" s="1"/>
  <c r="Z63" s="1"/>
  <c r="A66"/>
  <c r="S66"/>
  <c r="T65"/>
  <c r="J65"/>
  <c r="L64"/>
  <c r="K65"/>
  <c r="AV67"/>
  <c r="H66" s="1"/>
  <c r="B67"/>
  <c r="AU68"/>
  <c r="AW68" s="1"/>
  <c r="G66"/>
  <c r="C66"/>
  <c r="F65"/>
  <c r="AP69"/>
  <c r="AN70"/>
  <c r="AO70" s="1"/>
  <c r="AP70" s="1"/>
  <c r="AJ68"/>
  <c r="AR67"/>
  <c r="V67" l="1"/>
  <c r="U67"/>
  <c r="I67"/>
  <c r="R67"/>
  <c r="BB67"/>
  <c r="AX67" s="1"/>
  <c r="BA65"/>
  <c r="BA70"/>
  <c r="BB71"/>
  <c r="AX70"/>
  <c r="BA69"/>
  <c r="BB70"/>
  <c r="AX69"/>
  <c r="Q65"/>
  <c r="M66"/>
  <c r="W66"/>
  <c r="N65"/>
  <c r="X65" s="1"/>
  <c r="AQ69"/>
  <c r="AQ70"/>
  <c r="J66"/>
  <c r="Y64"/>
  <c r="Z64" s="1"/>
  <c r="S67"/>
  <c r="A67"/>
  <c r="T66"/>
  <c r="P66"/>
  <c r="K66"/>
  <c r="AV68"/>
  <c r="H67" s="1"/>
  <c r="G67"/>
  <c r="D66"/>
  <c r="L66" s="1"/>
  <c r="B68"/>
  <c r="AW69"/>
  <c r="AU69"/>
  <c r="AV69"/>
  <c r="B69"/>
  <c r="AU70"/>
  <c r="C67"/>
  <c r="K67" s="1"/>
  <c r="AS68"/>
  <c r="E67" s="1"/>
  <c r="AR68"/>
  <c r="D67" s="1"/>
  <c r="O66" l="1"/>
  <c r="O67"/>
  <c r="V68"/>
  <c r="U68"/>
  <c r="BB68"/>
  <c r="AX68" s="1"/>
  <c r="D69"/>
  <c r="BA66"/>
  <c r="W67"/>
  <c r="Q66"/>
  <c r="Y65"/>
  <c r="Z65" s="1"/>
  <c r="P67"/>
  <c r="R68"/>
  <c r="S68"/>
  <c r="E69"/>
  <c r="I68"/>
  <c r="J67"/>
  <c r="T67"/>
  <c r="F66"/>
  <c r="N66" s="1"/>
  <c r="X66" s="1"/>
  <c r="F69"/>
  <c r="C68"/>
  <c r="A68"/>
  <c r="D68"/>
  <c r="C69"/>
  <c r="G68"/>
  <c r="H68"/>
  <c r="O68" l="1"/>
  <c r="BB69"/>
  <c r="BA67"/>
  <c r="Q67"/>
  <c r="J68"/>
  <c r="Y66"/>
  <c r="Z66" s="1"/>
  <c r="T68"/>
  <c r="K68"/>
  <c r="P68"/>
  <c r="W68"/>
  <c r="L67"/>
  <c r="L68" s="1"/>
  <c r="M67"/>
  <c r="E68"/>
  <c r="F67"/>
  <c r="N67" s="1"/>
  <c r="X67" l="1"/>
  <c r="BA68" s="1"/>
  <c r="M68"/>
  <c r="F68"/>
  <c r="N68" s="1"/>
  <c r="X68" l="1"/>
  <c r="Y67"/>
  <c r="Z67" l="1"/>
  <c r="Q68"/>
  <c r="Q8"/>
  <c r="Y8" s="1"/>
  <c r="Y61" l="1"/>
  <c r="Y20"/>
  <c r="Y62" s="1"/>
  <c r="Y54"/>
  <c r="Y46"/>
  <c r="Z8"/>
  <c r="Y68" l="1"/>
  <c r="Z61"/>
  <c r="Z54"/>
  <c r="Z62" s="1"/>
  <c r="Z20"/>
  <c r="Z46" s="1"/>
  <c r="Z68" l="1"/>
</calcChain>
</file>

<file path=xl/sharedStrings.xml><?xml version="1.0" encoding="utf-8"?>
<sst xmlns="http://schemas.openxmlformats.org/spreadsheetml/2006/main" count="208" uniqueCount="134">
  <si>
    <t xml:space="preserve">    Post :  </t>
  </si>
  <si>
    <t>Month</t>
  </si>
  <si>
    <t>Pay Due</t>
  </si>
  <si>
    <t>Pay Drawn</t>
  </si>
  <si>
    <t>Pay Difference</t>
  </si>
  <si>
    <t>SI</t>
  </si>
  <si>
    <t>Income Tax</t>
  </si>
  <si>
    <t>Total Deduction</t>
  </si>
  <si>
    <t>Net Payment</t>
  </si>
  <si>
    <t>Bill No./Date</t>
  </si>
  <si>
    <t>Encashment Date</t>
  </si>
  <si>
    <t>Pay</t>
  </si>
  <si>
    <t>DA</t>
  </si>
  <si>
    <t>HRA</t>
  </si>
  <si>
    <t>Total</t>
  </si>
  <si>
    <t>Due</t>
  </si>
  <si>
    <t>Ded</t>
  </si>
  <si>
    <t>Diff.</t>
  </si>
  <si>
    <t>TOTAL</t>
  </si>
  <si>
    <t>.</t>
  </si>
  <si>
    <t>NPS</t>
  </si>
  <si>
    <t>Corona relief fund</t>
  </si>
  <si>
    <t>Sr. No.</t>
  </si>
  <si>
    <t>Difference Arrear Sheet</t>
  </si>
  <si>
    <t>Office Name :-</t>
  </si>
  <si>
    <t>DATA ENTRY</t>
  </si>
  <si>
    <t>Mahtma Gandhi Government School (English Medium) Bar, PALI</t>
  </si>
  <si>
    <t>USHA PALIYA</t>
  </si>
  <si>
    <t>Name Of Employee :</t>
  </si>
  <si>
    <t xml:space="preserve">    Pay Matrix Level : </t>
  </si>
  <si>
    <t>Arrear From Date :</t>
  </si>
  <si>
    <t>to</t>
  </si>
  <si>
    <t>Posting Place :</t>
  </si>
  <si>
    <t>%</t>
  </si>
  <si>
    <t>Drawing &amp; Despersal Officer</t>
  </si>
  <si>
    <t>S.R.</t>
  </si>
  <si>
    <t>Date :</t>
  </si>
  <si>
    <t>For Copying And Necessary Action</t>
  </si>
  <si>
    <t>Treasury Officer / Deputy treasury  Officer</t>
  </si>
  <si>
    <t>Related Employee Sh./Smt./Mis.</t>
  </si>
  <si>
    <t>File Register</t>
  </si>
  <si>
    <t>In Words:</t>
  </si>
  <si>
    <t xml:space="preserve">परम पूज्य गुरुदेव वासुदेवजी महाराज </t>
  </si>
  <si>
    <t>S.I. Deduction Premium Amount :-</t>
  </si>
  <si>
    <t>डीडीओ का नाम :-</t>
  </si>
  <si>
    <t>डीडीओ का पद  :-</t>
  </si>
  <si>
    <t>मकान किराया दर :-</t>
  </si>
  <si>
    <t>कार्मिक का नाम :-</t>
  </si>
  <si>
    <t>कार्मिक का पद :-</t>
  </si>
  <si>
    <t>निर्धारित पे मैट्रिक्स लेवल :-</t>
  </si>
  <si>
    <t>किस माह से एरियर बनाना है :-</t>
  </si>
  <si>
    <t>तथा किस माह तक एरियर बनाना है :-</t>
  </si>
  <si>
    <t>इन्कम टैक्स कटाना है तो % में लिखे :-</t>
  </si>
  <si>
    <t xml:space="preserve">वेतन का प्रकार सेलेक्ट करें :- </t>
  </si>
  <si>
    <t>पूर्व राजकीय सेवा का वेतन (बेसिक) यहाँ लिखे :-</t>
  </si>
  <si>
    <t>NO</t>
  </si>
  <si>
    <t>Post</t>
  </si>
  <si>
    <t>DEEO</t>
  </si>
  <si>
    <t>CDEO</t>
  </si>
  <si>
    <t>ADEO</t>
  </si>
  <si>
    <t>ADPC</t>
  </si>
  <si>
    <t>APC</t>
  </si>
  <si>
    <t>CBEO</t>
  </si>
  <si>
    <t>ACBEO-1</t>
  </si>
  <si>
    <t>ACBEO-2</t>
  </si>
  <si>
    <t>PEEO</t>
  </si>
  <si>
    <t>Principal</t>
  </si>
  <si>
    <t>Head Master</t>
  </si>
  <si>
    <t>Lecturer</t>
  </si>
  <si>
    <t>Sr. Teacher</t>
  </si>
  <si>
    <t>Teacher L-2</t>
  </si>
  <si>
    <t>Teacher L-1</t>
  </si>
  <si>
    <t>Prabodhak</t>
  </si>
  <si>
    <t>PTI - 1</t>
  </si>
  <si>
    <t>PTI - II</t>
  </si>
  <si>
    <t>PTI - III</t>
  </si>
  <si>
    <t>Librarian</t>
  </si>
  <si>
    <t>LDC</t>
  </si>
  <si>
    <t>UDC</t>
  </si>
  <si>
    <t>Peon</t>
  </si>
  <si>
    <t>OA</t>
  </si>
  <si>
    <t>Heeralal Jat</t>
  </si>
  <si>
    <t>Regular Pay</t>
  </si>
  <si>
    <r>
      <t xml:space="preserve">नवीन निर्धारित वेतन </t>
    </r>
    <r>
      <rPr>
        <b/>
        <sz val="13"/>
        <color rgb="FF0000CC"/>
        <rFont val="Calibri"/>
        <family val="2"/>
        <scheme val="minor"/>
      </rPr>
      <t>(New Basic Salary)</t>
    </r>
    <r>
      <rPr>
        <b/>
        <sz val="12"/>
        <color rgb="FF0000CC"/>
        <rFont val="Calibri"/>
        <family val="2"/>
        <scheme val="minor"/>
      </rPr>
      <t xml:space="preserve"> :- </t>
    </r>
  </si>
  <si>
    <t xml:space="preserve">यदि नियमित वेतन मिला हो तो यहाँ लिखें :- </t>
  </si>
  <si>
    <t xml:space="preserve"> फिक्स पे वेतन मिला हो तो यहाँ लिखें :-</t>
  </si>
  <si>
    <t>Fix Pay</t>
  </si>
  <si>
    <t>यदि कार्मिक के जीपीएफ कटौती है तो    YES सेलेक्ट करें :-</t>
  </si>
  <si>
    <t>YES</t>
  </si>
  <si>
    <r>
      <t xml:space="preserve">यदि आपके वेतन से राज्य बीमा कटोती हो रही है तो  </t>
    </r>
    <r>
      <rPr>
        <b/>
        <sz val="12"/>
        <color rgb="FFCC0099"/>
        <rFont val="Calibri"/>
        <family val="2"/>
        <scheme val="minor"/>
      </rPr>
      <t>YES</t>
    </r>
    <r>
      <rPr>
        <b/>
        <sz val="11.5"/>
        <color rgb="FFCC0099"/>
        <rFont val="Calibri"/>
        <family val="2"/>
        <scheme val="minor"/>
      </rPr>
      <t xml:space="preserve"> सेलेक्ट करें :-</t>
    </r>
  </si>
  <si>
    <t>GPF / NPS :-</t>
  </si>
  <si>
    <t xml:space="preserve">वर्तमान में यदि आप पूर्व राजकीय सेवा का वेतन आहरण किया है तो सामने कॉलम में YES सेलेक्ट करे :- </t>
  </si>
  <si>
    <t xml:space="preserve">किस तारीख से एरियर बनाना है :- 
(Date Format :- DD/MM/YYYY ).           </t>
  </si>
  <si>
    <r>
      <t xml:space="preserve">नया वेतन मिलने के दिनों की संख्या :- 
</t>
    </r>
    <r>
      <rPr>
        <b/>
        <sz val="11"/>
        <color rgb="FF0000CC"/>
        <rFont val="Calibri"/>
        <family val="2"/>
        <scheme val="minor"/>
      </rPr>
      <t>(आप सिर्फ़ चेक कर सकते है )</t>
    </r>
  </si>
  <si>
    <t>Lab Tec.</t>
  </si>
  <si>
    <t>यदि एरियर ड्रा के दौरान आपके वेतन में फिक्सेशन या एसीपी के कारण वेतन में बदलाव आया हो तो  YES सेलेक्ट करें :-</t>
  </si>
  <si>
    <t xml:space="preserve">जिस माह में वेतन में बदलाव आया है , वह माह सलेक्ट करें :- </t>
  </si>
  <si>
    <t xml:space="preserve">परिवर्तित वेतन यहाँ पर लिखें :- </t>
  </si>
  <si>
    <t>This Program Is Developed By :</t>
  </si>
  <si>
    <t>Mahatma Gandhi Government School Bar , PALI</t>
  </si>
  <si>
    <t>Senior Teacher</t>
  </si>
  <si>
    <t>V./P. :- Chandawal Nagar, Teh. - Sojat (Pali)</t>
  </si>
  <si>
    <t>heeralaljatchandawal@gmail.com</t>
  </si>
  <si>
    <t xml:space="preserve">यह एक्सेल प्रोग्राम इष्टदेव बजरंगबली व पाबूजी महाराज की असीम कृपा तथा गुरुदेव वासुदेवजी महाराज के आशीर्वाद और माता -पिता के शुभ आशीष से आप तक हाजिर किया जा रहा है </t>
  </si>
  <si>
    <t>Master Sheet :-</t>
  </si>
  <si>
    <t xml:space="preserve"> </t>
  </si>
  <si>
    <t>Arrear Sheet :-</t>
  </si>
  <si>
    <t>यहाँ पर मास्टर शीट पर जो एंट्री की गयी है उसका आउटपुट मिलेगा I यहाँ किसी भी प्रकार की एन्ट्री नहीं होगी I जो भी संशोधन करना है तो मास्टर शीट पर करना है I यह शीट fully ऑटोमेटेड है , यहाँ पर केवल प्रिंट निकलना है , जो A4 साइज़ में पेज सेट किया हुआ है I</t>
  </si>
  <si>
    <t>Unlock Arrear Sheet :-</t>
  </si>
  <si>
    <t>सूचना :-</t>
  </si>
  <si>
    <t>वैसे शीट पूरी मेहनत से तैयार की गयी है , फिर भी अगर कही पर त्रुटि रहती है तो जरुर अवगत करावे , इस हेतु जरुर संशोधित संस्करण निकला जायेगा I</t>
  </si>
  <si>
    <t xml:space="preserve">धन्यवाद </t>
  </si>
  <si>
    <t>हीरालाल जाट , वरिष्ठ अध्यापक (एक्सेल प्रोग्रामर )</t>
  </si>
  <si>
    <t xml:space="preserve">आपका दोस्त </t>
  </si>
  <si>
    <t>वैसे इस प्रोग्राम को तैयार करने में पूर्ण सावधानी बरती गयी है , फिर भी मानवीय त्रुटि होना संम्भव है I अतः आप अपने स्तर पर जरुर चेक कर लेवे I इस हेतु निर्माणकर्ता कतई जिम्मेदार नहीं होगा I यह आपकी सुविधा के लिए है I</t>
  </si>
  <si>
    <t>यह अनलॉक शीट इसलिए डाली गयी ताकि किसी भी अपवाद स्वरुप किसी कार्मिक का वेतन ड्रा (एरियर ) सही नहीं बैठ रहा है या फिर वेतन व कटोती में ज्यादा संशोधन है तो आप अनलॉक शीट काम में ले सकते है I कही पर त्रुटि रहने के समय काम ले सकते है I</t>
  </si>
  <si>
    <r>
      <rPr>
        <b/>
        <sz val="14"/>
        <color theme="1"/>
        <rFont val="Calibri"/>
        <family val="2"/>
        <scheme val="minor"/>
      </rPr>
      <t xml:space="preserve"> ::  </t>
    </r>
    <r>
      <rPr>
        <b/>
        <u val="double"/>
        <sz val="14"/>
        <color theme="1"/>
        <rFont val="Calibri"/>
        <family val="2"/>
        <scheme val="minor"/>
      </rPr>
      <t xml:space="preserve"> निर्देश </t>
    </r>
    <r>
      <rPr>
        <b/>
        <sz val="14"/>
        <color theme="1"/>
        <rFont val="Calibri"/>
        <family val="2"/>
        <scheme val="minor"/>
      </rPr>
      <t xml:space="preserve"> ::</t>
    </r>
  </si>
  <si>
    <t>नोट :-  आप को जो भी एन्ट्री करनी है वो सब मास्टर शीट पर ही करनी है , एरियर शीट पर कुछ नहीं करना है I यदि आपको ड्राप डाउन लिस्ट में आपका पद नहीं मिल रहा है तो मास्टर शीट पर गुरुदेव की फोटो के निचे टेबल दे रखी है , उसमे लिख लेवे , वह पद लिस्ट में ऐड हो जाएगा I</t>
  </si>
  <si>
    <t xml:space="preserve">कितने दिनों का वेतन काटा गया है , उन दिनों की संख्या को सलेक्ट करें :- </t>
  </si>
  <si>
    <r>
      <t xml:space="preserve">यदि आपके मार्च </t>
    </r>
    <r>
      <rPr>
        <b/>
        <sz val="14"/>
        <color rgb="FFCC0099"/>
        <rFont val="Calibri"/>
        <family val="2"/>
        <scheme val="minor"/>
      </rPr>
      <t>2020</t>
    </r>
    <r>
      <rPr>
        <b/>
        <sz val="11.5"/>
        <color rgb="FFCC0099"/>
        <rFont val="Calibri"/>
        <family val="2"/>
        <scheme val="minor"/>
      </rPr>
      <t xml:space="preserve"> के वेतन से कोरोना  कटोती हुई है तो  </t>
    </r>
    <r>
      <rPr>
        <b/>
        <sz val="12"/>
        <color rgb="FFCC0099"/>
        <rFont val="Calibri"/>
        <family val="2"/>
        <scheme val="minor"/>
      </rPr>
      <t>YES</t>
    </r>
    <r>
      <rPr>
        <b/>
        <sz val="11.5"/>
        <color rgb="FFCC0099"/>
        <rFont val="Calibri"/>
        <family val="2"/>
        <scheme val="minor"/>
      </rPr>
      <t xml:space="preserve"> सेलेक्ट करें :-</t>
    </r>
  </si>
  <si>
    <t>S.I. Deduction Due Premium Amount :-</t>
  </si>
  <si>
    <t>G.P.F. Deduction Due Premium Amount :-</t>
  </si>
  <si>
    <t>G.P.F. Deduction Premium Amount :-</t>
  </si>
  <si>
    <t xml:space="preserve">परिवर्तित प्रीमियम राशि यहाँ पर लिखें :- </t>
  </si>
  <si>
    <t>यदि एरियर बनाने की अवधि के दौरान राज्य बीमा कटोती में वृद्धि हुई है तो YES सेलेक्ट करें :-</t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</si>
  <si>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S.I. Premium</t>
    </r>
    <r>
      <rPr>
        <b/>
        <sz val="11.5"/>
        <color rgb="FF0000CC"/>
        <rFont val="Calibri"/>
        <family val="2"/>
        <scheme val="minor"/>
      </rPr>
      <t xml:space="preserve"> में बदलाव आया है , वह माह सलेक्ट करें :- </t>
    </r>
  </si>
  <si>
    <r>
      <t xml:space="preserve">यदि एरियर बनाने की अवधि के दौरान </t>
    </r>
    <r>
      <rPr>
        <b/>
        <sz val="12"/>
        <color rgb="FFCC0099"/>
        <rFont val="Calibri"/>
        <family val="2"/>
        <scheme val="minor"/>
      </rPr>
      <t>GPF</t>
    </r>
    <r>
      <rPr>
        <b/>
        <sz val="11"/>
        <color rgb="FFCC0099"/>
        <rFont val="Calibri"/>
        <family val="2"/>
        <scheme val="minor"/>
      </rPr>
      <t xml:space="preserve"> कटोती में वृद्धि हुई है तो YES सेलेक्ट करें :-</t>
    </r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</si>
  <si>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G.P.F. Ded.</t>
    </r>
    <r>
      <rPr>
        <b/>
        <sz val="11.5"/>
        <color rgb="FF0000CC"/>
        <rFont val="Calibri"/>
        <family val="2"/>
        <scheme val="minor"/>
      </rPr>
      <t xml:space="preserve"> में वृद्धि करवाई  है , वह माह सलेक्ट करें :- </t>
    </r>
  </si>
  <si>
    <t>इस शीट पर आप अपने से सम्बंधित सूचना की एंट्री कर सकते है I सबसे पहले आप अपने विद्यालय का नाम तथा उसके बाद अपने डीडीओ का नाम व पद , उसके बाद अपना स्वयं का नाम व पद इनपुट करें I उसके बाद आपको किस माह से एरियर बनाना है , उस माह को सलेक्ट बटन से सलेक्ट करे तथा अगले कॉलम में किस माह तक एरियर बनाना है उसे सलेक्ट करें I मकान किराया दर , पे मेट्रिक्स लेवल और इनकम टैक्स कटवाना है तो प्रतिशत में लिखे अन्यथा शुन्य ही रहने देवे I उसके बाद वेतन का प्रकार लिखें , इसमे आप रेगुलर पे और फिक्स पे में से चयन करें I यदि आप फिक्स वेतन को सलेक्ट करते है तो फ़िक्स पे के वेतन वाला कॉलम खुल जायेगा और रेगुलर वेतन वाला कॉलम फ्रीज़ हो जायेगा I और यदि आप रेगुलर पे का आप्शन सलेक्ट करते है तो रेगुलर पे वाला आप्शन अनफ्रीज़ हो जायेगा I उसके बाद आप जिस दिनांक से वेतन बनाना चाहते है उस दिनांक को DD/MM/YYYY के फॉर्मेट में लिखें I नवीन वेतन का बेसिक पे लिखें , जिसके द्वारा एरियर की कैलकुलेशन होगी I उसके बाद यदि आप किसी पूर्व राजकीय सेवा में रहने के कारण एरियर बनाना है तो इसमे YES सलेक्ट करें I जैसे ही YES सलेक्ट करेंगे तो वेतन लिखने के लिए कॉलम अनफ्रीज़ हो जायेगा , जिसमे वेतन लिख पायेंगे I उसके बाद यदि आपके S.I. कटौती हो रही है तो S.I. कटौती को इन्द्राज करें I उसके बाद यदि आपके G.P.F. कटौती हो रही है तो पहले YES सलेक्ट करें तथा उसके बाद आप G.P.F. कटौती को इन्द्राज करें I अन्त में यदि एरियर बनाने के पीरियड में आपके वेतन में जुलाई की वेतन वृद्धि के अलावा ओर किसी प्रकार की वेतन वृद्धि हुई है तो YES सलेक्ट करे , YES सलेक्ट करते ही वेतन लिखने के लिए आप्शन शो हो जायेंगे I नियमित वेतन वृद्धि स्वतः होगी I
   मार्च 2020 के वेतन से कोरोना की कटौती हुई हो तो yes सेलेक्ट करे I जैसे ही yes सलेक्ट करेंगे दिनों की संख्या भरने के आप्शन शो हो जायेगा I वहा दिनों की संख्या सलेक्ट कर लेवे I</t>
  </si>
  <si>
    <t>https://youtu.be/e9tzJ3zCZPk</t>
  </si>
  <si>
    <t>Video link :-</t>
  </si>
  <si>
    <t>You tube Video Link</t>
  </si>
  <si>
    <t>You tube Channal Link</t>
  </si>
  <si>
    <t>https://youtube.com/c/Heeralaljat</t>
  </si>
</sst>
</file>

<file path=xl/styles.xml><?xml version="1.0" encoding="utf-8"?>
<styleSheet xmlns="http://schemas.openxmlformats.org/spreadsheetml/2006/main">
  <numFmts count="4">
    <numFmt numFmtId="164" formatCode="[$-409]mmm/yy;@"/>
    <numFmt numFmtId="165" formatCode="dd/mm/yyyy"/>
    <numFmt numFmtId="166" formatCode="\L\-0"/>
    <numFmt numFmtId="167" formatCode="[$-409]mmmm/yy;@"/>
  </numFmts>
  <fonts count="78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8"/>
      <color indexed="8"/>
      <name val="Times New Roman"/>
      <charset val="1"/>
    </font>
    <font>
      <b/>
      <sz val="12"/>
      <name val="Times New Roman"/>
      <family val="1"/>
    </font>
    <font>
      <sz val="14"/>
      <color theme="1"/>
      <name val="Kruti Dev 010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i/>
      <sz val="14"/>
      <color theme="1"/>
      <name val="Cambria"/>
      <family val="1"/>
      <scheme val="major"/>
    </font>
    <font>
      <sz val="14"/>
      <name val="Times New Roman"/>
      <family val="1"/>
    </font>
    <font>
      <b/>
      <i/>
      <sz val="18"/>
      <name val="Cambria"/>
      <family val="1"/>
      <scheme val="major"/>
    </font>
    <font>
      <b/>
      <i/>
      <u/>
      <sz val="16"/>
      <name val="Times New Roman"/>
      <family val="1"/>
    </font>
    <font>
      <b/>
      <sz val="14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DevLys 010"/>
    </font>
    <font>
      <sz val="12"/>
      <color theme="1"/>
      <name val="DevLys 010"/>
    </font>
    <font>
      <i/>
      <sz val="14"/>
      <color theme="1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3"/>
      <color theme="1"/>
      <name val="Cambria"/>
      <family val="1"/>
      <scheme val="major"/>
    </font>
    <font>
      <sz val="13"/>
      <name val="Times New Roman"/>
      <family val="1"/>
    </font>
    <font>
      <b/>
      <i/>
      <sz val="14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i/>
      <sz val="12"/>
      <color rgb="FF0000CC"/>
      <name val="Calibri"/>
      <family val="2"/>
      <scheme val="minor"/>
    </font>
    <font>
      <b/>
      <sz val="13"/>
      <color rgb="FF0000CC"/>
      <name val="Kruti Dev 010"/>
    </font>
    <font>
      <b/>
      <sz val="12"/>
      <color rgb="FF0000CC"/>
      <name val="Calibri"/>
      <family val="2"/>
      <scheme val="minor"/>
    </font>
    <font>
      <b/>
      <sz val="13"/>
      <color rgb="FF0000CC"/>
      <name val="Calibri"/>
      <family val="2"/>
      <scheme val="minor"/>
    </font>
    <font>
      <b/>
      <sz val="11.5"/>
      <color rgb="FF0000CC"/>
      <name val="Calibri"/>
      <family val="2"/>
      <scheme val="minor"/>
    </font>
    <font>
      <b/>
      <sz val="13"/>
      <color rgb="FFCC0099"/>
      <name val="Calibri"/>
      <family val="2"/>
      <scheme val="minor"/>
    </font>
    <font>
      <b/>
      <sz val="11.5"/>
      <color rgb="FFCC0099"/>
      <name val="Calibri"/>
      <family val="2"/>
      <scheme val="minor"/>
    </font>
    <font>
      <b/>
      <sz val="12"/>
      <color rgb="FFCC0099"/>
      <name val="Calibri"/>
      <family val="2"/>
      <scheme val="minor"/>
    </font>
    <font>
      <sz val="10"/>
      <color theme="2" tint="-0.249977111117893"/>
      <name val="Times New Roman"/>
      <family val="1"/>
    </font>
    <font>
      <sz val="14"/>
      <color theme="2" tint="-0.249977111117893"/>
      <name val="Times New Roman"/>
      <family val="1"/>
    </font>
    <font>
      <sz val="11"/>
      <color theme="2" tint="-0.249977111117893"/>
      <name val="Times New Roman"/>
      <family val="1"/>
    </font>
    <font>
      <sz val="8"/>
      <color theme="2" tint="-0.249977111117893"/>
      <name val="Times New Roman"/>
      <charset val="1"/>
    </font>
    <font>
      <sz val="11"/>
      <color theme="2" tint="-0.249977111117893"/>
      <name val="Calibri"/>
      <family val="2"/>
      <scheme val="minor"/>
    </font>
    <font>
      <b/>
      <u val="double"/>
      <sz val="20"/>
      <color rgb="FFFF0000"/>
      <name val="Cambria"/>
      <family val="1"/>
      <scheme val="major"/>
    </font>
    <font>
      <b/>
      <sz val="11"/>
      <color rgb="FFC00000"/>
      <name val="Calibri"/>
      <family val="2"/>
      <scheme val="minor"/>
    </font>
    <font>
      <b/>
      <i/>
      <sz val="16"/>
      <color rgb="FF0000CC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i/>
      <u/>
      <sz val="16"/>
      <color theme="10"/>
      <name val="Calibri"/>
      <family val="2"/>
    </font>
    <font>
      <b/>
      <i/>
      <sz val="16"/>
      <color rgb="FFCC0066"/>
      <name val="Calibri"/>
      <family val="2"/>
      <scheme val="minor"/>
    </font>
    <font>
      <b/>
      <sz val="14"/>
      <color rgb="FFCC00CC"/>
      <name val="Cambria"/>
      <family val="1"/>
      <scheme val="major"/>
    </font>
    <font>
      <b/>
      <i/>
      <sz val="16"/>
      <color rgb="FF000099"/>
      <name val="Cambria"/>
      <family val="1"/>
      <scheme val="major"/>
    </font>
    <font>
      <b/>
      <i/>
      <sz val="16"/>
      <color rgb="FF660033"/>
      <name val="Cambria"/>
      <family val="1"/>
      <scheme val="major"/>
    </font>
    <font>
      <b/>
      <sz val="14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1"/>
      <color rgb="FFCC00CC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4"/>
      <color rgb="FFCC0099"/>
      <name val="Calibri"/>
      <family val="2"/>
      <scheme val="minor"/>
    </font>
    <font>
      <b/>
      <sz val="12.5"/>
      <color rgb="FF0000CC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6"/>
      <color theme="1"/>
      <name val="Cambria"/>
      <family val="1"/>
      <scheme val="major"/>
    </font>
    <font>
      <b/>
      <u/>
      <sz val="16"/>
      <color theme="10"/>
      <name val="Calibri"/>
      <family val="2"/>
    </font>
    <font>
      <b/>
      <sz val="16"/>
      <color theme="1"/>
      <name val="Cambria"/>
      <family val="1"/>
      <scheme val="major"/>
    </font>
    <font>
      <b/>
      <u/>
      <sz val="16"/>
      <color rgb="FF0000CC"/>
      <name val="Calibri"/>
      <family val="2"/>
    </font>
    <font>
      <b/>
      <sz val="16"/>
      <color rgb="FF0000CC"/>
      <name val="Cambria"/>
      <family val="1"/>
      <scheme val="major"/>
    </font>
    <font>
      <b/>
      <u/>
      <sz val="14"/>
      <color rgb="FF0000CC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BFFC7"/>
        <bgColor indexed="64"/>
      </patternFill>
    </fill>
    <fill>
      <patternFill patternType="solid">
        <fgColor rgb="FF97FFB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CC0099"/>
      </left>
      <right style="thin">
        <color rgb="FFCC0099"/>
      </right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/>
      <bottom/>
      <diagonal/>
    </border>
    <border>
      <left style="thin">
        <color rgb="FFCC0099"/>
      </left>
      <right/>
      <top style="thin">
        <color rgb="FFCC0099"/>
      </top>
      <bottom style="thin">
        <color rgb="FFCC0099"/>
      </bottom>
      <diagonal/>
    </border>
    <border>
      <left/>
      <right/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 style="thin">
        <color rgb="FFCC0099"/>
      </top>
      <bottom style="thin">
        <color rgb="FFCC0099"/>
      </bottom>
      <diagonal/>
    </border>
    <border>
      <left/>
      <right/>
      <top/>
      <bottom style="thin">
        <color rgb="FFCC0099"/>
      </bottom>
      <diagonal/>
    </border>
  </borders>
  <cellStyleXfs count="2">
    <xf numFmtId="0" fontId="0" fillId="0" borderId="0"/>
    <xf numFmtId="0" fontId="58" fillId="0" borderId="0" applyNumberFormat="0" applyFill="0" applyBorder="0" applyAlignment="0" applyProtection="0">
      <alignment vertical="top"/>
      <protection locked="0"/>
    </xf>
  </cellStyleXfs>
  <cellXfs count="224">
    <xf numFmtId="0" fontId="0" fillId="0" borderId="0" xfId="0"/>
    <xf numFmtId="0" fontId="29" fillId="0" borderId="0" xfId="0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0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18" fillId="0" borderId="0" xfId="0" applyFont="1" applyAlignment="1" applyProtection="1">
      <protection hidden="1"/>
    </xf>
    <xf numFmtId="0" fontId="0" fillId="3" borderId="0" xfId="0" applyFill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20" fillId="0" borderId="0" xfId="0" applyFont="1" applyAlignment="1" applyProtection="1">
      <alignment vertical="center" shrinkToFi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23" fillId="2" borderId="0" xfId="0" applyFont="1" applyFill="1" applyBorder="1" applyAlignment="1" applyProtection="1">
      <alignment horizontal="left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5" fillId="2" borderId="2" xfId="0" applyFont="1" applyFill="1" applyBorder="1" applyAlignment="1" applyProtection="1">
      <alignment horizontal="center" vertical="center" shrinkToFit="1"/>
      <protection hidden="1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164" fontId="1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6" xfId="0" applyFont="1" applyFill="1" applyBorder="1" applyAlignment="1" applyProtection="1">
      <alignment horizontal="center" vertical="center" shrinkToFit="1"/>
      <protection hidden="1"/>
    </xf>
    <xf numFmtId="0" fontId="1" fillId="2" borderId="2" xfId="0" applyFont="1" applyFill="1" applyBorder="1" applyAlignment="1" applyProtection="1">
      <alignment horizontal="center" vertical="center" shrinkToFit="1"/>
      <protection hidden="1"/>
    </xf>
    <xf numFmtId="0" fontId="1" fillId="2" borderId="3" xfId="0" applyFont="1" applyFill="1" applyBorder="1" applyAlignment="1" applyProtection="1">
      <alignment horizontal="center" vertical="center" shrinkToFit="1"/>
      <protection hidden="1"/>
    </xf>
    <xf numFmtId="0" fontId="1" fillId="2" borderId="1" xfId="0" applyFont="1" applyFill="1" applyBorder="1" applyAlignment="1" applyProtection="1">
      <alignment horizontal="center" vertical="center" shrinkToFit="1"/>
      <protection hidden="1"/>
    </xf>
    <xf numFmtId="1" fontId="12" fillId="2" borderId="2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shrinkToFit="1"/>
      <protection hidden="1"/>
    </xf>
    <xf numFmtId="0" fontId="7" fillId="0" borderId="0" xfId="0" applyFont="1" applyAlignment="1" applyProtection="1">
      <alignment vertical="top" wrapText="1" readingOrder="1"/>
      <protection hidden="1"/>
    </xf>
    <xf numFmtId="0" fontId="0" fillId="0" borderId="0" xfId="0" applyAlignment="1" applyProtection="1">
      <protection hidden="1"/>
    </xf>
    <xf numFmtId="1" fontId="1" fillId="0" borderId="1" xfId="0" quotePrefix="1" applyNumberFormat="1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vertical="top" shrinkToFit="1"/>
      <protection hidden="1"/>
    </xf>
    <xf numFmtId="0" fontId="13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textRotation="90" shrinkToFit="1"/>
      <protection hidden="1"/>
    </xf>
    <xf numFmtId="0" fontId="5" fillId="2" borderId="0" xfId="0" applyFont="1" applyFill="1" applyBorder="1" applyAlignment="1" applyProtection="1">
      <alignment horizontal="center" vertical="center" shrinkToFit="1"/>
      <protection hidden="1"/>
    </xf>
    <xf numFmtId="0" fontId="13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0" xfId="0" applyFont="1" applyFill="1" applyBorder="1" applyAlignment="1" applyProtection="1">
      <alignment horizontal="center" vertical="center" textRotation="90" shrinkToFit="1"/>
      <protection hidden="1"/>
    </xf>
    <xf numFmtId="0" fontId="24" fillId="2" borderId="0" xfId="0" applyFont="1" applyFill="1" applyBorder="1" applyAlignment="1" applyProtection="1">
      <alignment horizontal="center" vertical="center" shrinkToFit="1"/>
      <protection hidden="1"/>
    </xf>
    <xf numFmtId="0" fontId="33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Alignment="1" applyProtection="1">
      <alignment vertical="center" shrinkToFit="1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right" vertical="center" shrinkToFit="1"/>
      <protection hidden="1"/>
    </xf>
    <xf numFmtId="0" fontId="14" fillId="2" borderId="2" xfId="0" applyFont="1" applyFill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 applyProtection="1">
      <alignment horizontal="center" vertical="center" wrapText="1" shrinkToFit="1"/>
      <protection locked="0"/>
    </xf>
    <xf numFmtId="0" fontId="14" fillId="2" borderId="1" xfId="0" applyFont="1" applyFill="1" applyBorder="1" applyAlignment="1" applyProtection="1">
      <alignment horizontal="center" vertical="center" wrapText="1" shrinkToFit="1"/>
      <protection locked="0"/>
    </xf>
    <xf numFmtId="0" fontId="37" fillId="3" borderId="0" xfId="0" applyFont="1" applyFill="1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37" fillId="3" borderId="0" xfId="0" applyFont="1" applyFill="1" applyAlignment="1" applyProtection="1">
      <alignment horizontal="right" vertical="center"/>
      <protection hidden="1"/>
    </xf>
    <xf numFmtId="0" fontId="38" fillId="3" borderId="0" xfId="0" applyFont="1" applyFill="1" applyAlignment="1" applyProtection="1">
      <alignment horizontal="right" vertical="center"/>
      <protection hidden="1"/>
    </xf>
    <xf numFmtId="0" fontId="37" fillId="3" borderId="0" xfId="0" applyFont="1" applyFill="1" applyAlignment="1" applyProtection="1">
      <alignment horizontal="right"/>
      <protection hidden="1"/>
    </xf>
    <xf numFmtId="0" fontId="37" fillId="3" borderId="0" xfId="0" applyFont="1" applyFill="1" applyAlignment="1" applyProtection="1">
      <alignment horizontal="right" vertical="center"/>
      <protection hidden="1"/>
    </xf>
    <xf numFmtId="0" fontId="37" fillId="3" borderId="0" xfId="0" applyFont="1" applyFill="1" applyBorder="1" applyAlignment="1" applyProtection="1">
      <alignment horizontal="right" vertical="center"/>
      <protection hidden="1"/>
    </xf>
    <xf numFmtId="0" fontId="16" fillId="0" borderId="9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28" fillId="3" borderId="0" xfId="0" applyFont="1" applyFill="1" applyBorder="1" applyAlignment="1" applyProtection="1">
      <alignment vertical="center"/>
      <protection hidden="1"/>
    </xf>
    <xf numFmtId="0" fontId="16" fillId="0" borderId="9" xfId="0" applyFont="1" applyFill="1" applyBorder="1" applyAlignment="1" applyProtection="1">
      <alignment horizontal="center" vertical="center"/>
      <protection locked="0"/>
    </xf>
    <xf numFmtId="0" fontId="40" fillId="3" borderId="0" xfId="0" applyFont="1" applyFill="1" applyAlignment="1" applyProtection="1">
      <alignment vertical="top" wrapText="1"/>
      <protection hidden="1"/>
    </xf>
    <xf numFmtId="0" fontId="0" fillId="4" borderId="0" xfId="0" applyFill="1" applyProtection="1">
      <protection hidden="1"/>
    </xf>
    <xf numFmtId="0" fontId="42" fillId="4" borderId="0" xfId="0" applyFont="1" applyFill="1" applyAlignment="1" applyProtection="1">
      <alignment horizontal="right" vertical="center"/>
      <protection hidden="1"/>
    </xf>
    <xf numFmtId="0" fontId="39" fillId="4" borderId="0" xfId="0" applyFont="1" applyFill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0" fontId="28" fillId="4" borderId="0" xfId="0" applyFont="1" applyFill="1" applyBorder="1" applyAlignment="1" applyProtection="1">
      <alignment horizontal="left" vertical="center"/>
      <protection hidden="1"/>
    </xf>
    <xf numFmtId="0" fontId="37" fillId="4" borderId="0" xfId="0" applyFont="1" applyFill="1" applyProtection="1">
      <protection hidden="1"/>
    </xf>
    <xf numFmtId="0" fontId="28" fillId="4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Protection="1">
      <protection hidden="1"/>
    </xf>
    <xf numFmtId="0" fontId="39" fillId="5" borderId="0" xfId="0" applyFont="1" applyFill="1" applyAlignment="1" applyProtection="1">
      <alignment horizontal="center" vertical="center"/>
      <protection locked="0"/>
    </xf>
    <xf numFmtId="0" fontId="39" fillId="5" borderId="0" xfId="0" applyFont="1" applyFill="1" applyBorder="1" applyAlignment="1" applyProtection="1">
      <alignment horizontal="center" vertical="center"/>
      <protection locked="0"/>
    </xf>
    <xf numFmtId="0" fontId="44" fillId="4" borderId="0" xfId="0" applyFont="1" applyFill="1" applyAlignment="1" applyProtection="1">
      <alignment horizontal="right" vertical="center" wrapText="1"/>
      <protection hidden="1"/>
    </xf>
    <xf numFmtId="164" fontId="16" fillId="0" borderId="9" xfId="0" applyNumberFormat="1" applyFont="1" applyFill="1" applyBorder="1" applyAlignment="1" applyProtection="1">
      <alignment horizontal="center" vertical="center"/>
      <protection locked="0"/>
    </xf>
    <xf numFmtId="0" fontId="16" fillId="0" borderId="9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32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horizontal="center" vertical="center" shrinkToFit="1"/>
      <protection hidden="1"/>
    </xf>
    <xf numFmtId="164" fontId="1" fillId="2" borderId="0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locked="0"/>
    </xf>
    <xf numFmtId="1" fontId="12" fillId="2" borderId="0" xfId="0" applyNumberFormat="1" applyFont="1" applyFill="1" applyBorder="1" applyAlignment="1" applyProtection="1">
      <alignment horizontal="center" vertical="center" shrinkToFit="1"/>
      <protection hidden="1"/>
    </xf>
    <xf numFmtId="0" fontId="14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34" fillId="2" borderId="0" xfId="0" applyFont="1" applyFill="1" applyBorder="1" applyAlignment="1" applyProtection="1">
      <alignment vertical="center" shrinkToFit="1"/>
      <protection hidden="1"/>
    </xf>
    <xf numFmtId="0" fontId="0" fillId="0" borderId="0" xfId="0" applyProtection="1">
      <protection hidden="1"/>
    </xf>
    <xf numFmtId="1" fontId="28" fillId="0" borderId="9" xfId="0" applyNumberFormat="1" applyFont="1" applyBorder="1" applyAlignment="1" applyProtection="1">
      <alignment horizontal="center" vertical="center"/>
      <protection locked="0"/>
    </xf>
    <xf numFmtId="0" fontId="42" fillId="4" borderId="10" xfId="0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 applyAlignment="1" applyProtection="1">
      <alignment horizontal="center" vertical="center" shrinkToFit="1"/>
      <protection hidden="1"/>
    </xf>
    <xf numFmtId="0" fontId="1" fillId="8" borderId="2" xfId="0" applyFont="1" applyFill="1" applyBorder="1" applyAlignment="1" applyProtection="1">
      <alignment horizontal="center" vertical="center" shrinkToFit="1"/>
      <protection hidden="1"/>
    </xf>
    <xf numFmtId="0" fontId="1" fillId="8" borderId="2" xfId="0" applyFont="1" applyFill="1" applyBorder="1" applyAlignment="1" applyProtection="1">
      <alignment horizontal="center" vertical="center" shrinkToFit="1"/>
      <protection locked="0"/>
    </xf>
    <xf numFmtId="166" fontId="17" fillId="0" borderId="9" xfId="0" applyNumberFormat="1" applyFont="1" applyBorder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vertical="center" shrinkToFit="1"/>
      <protection hidden="1"/>
    </xf>
    <xf numFmtId="14" fontId="48" fillId="0" borderId="0" xfId="0" applyNumberFormat="1" applyFont="1" applyAlignment="1" applyProtection="1">
      <alignment vertical="center" shrinkToFit="1"/>
      <protection hidden="1"/>
    </xf>
    <xf numFmtId="0" fontId="49" fillId="0" borderId="0" xfId="0" applyFont="1" applyAlignment="1" applyProtection="1">
      <alignment vertical="center" shrinkToFit="1"/>
      <protection hidden="1"/>
    </xf>
    <xf numFmtId="0" fontId="50" fillId="0" borderId="0" xfId="0" applyFont="1" applyAlignment="1" applyProtection="1">
      <alignment vertical="center" shrinkToFit="1"/>
      <protection hidden="1"/>
    </xf>
    <xf numFmtId="14" fontId="49" fillId="0" borderId="0" xfId="0" applyNumberFormat="1" applyFont="1" applyAlignment="1" applyProtection="1">
      <alignment vertical="center" shrinkToFit="1"/>
      <protection hidden="1"/>
    </xf>
    <xf numFmtId="14" fontId="48" fillId="0" borderId="11" xfId="0" applyNumberFormat="1" applyFont="1" applyBorder="1" applyAlignment="1" applyProtection="1">
      <alignment vertical="center" shrinkToFit="1"/>
      <protection hidden="1"/>
    </xf>
    <xf numFmtId="14" fontId="48" fillId="0" borderId="12" xfId="0" applyNumberFormat="1" applyFont="1" applyBorder="1" applyAlignment="1" applyProtection="1">
      <alignment vertical="center" shrinkToFit="1"/>
      <protection hidden="1"/>
    </xf>
    <xf numFmtId="0" fontId="48" fillId="0" borderId="12" xfId="0" applyFont="1" applyBorder="1" applyAlignment="1" applyProtection="1">
      <alignment vertical="center" shrinkToFit="1"/>
      <protection hidden="1"/>
    </xf>
    <xf numFmtId="1" fontId="48" fillId="0" borderId="13" xfId="0" applyNumberFormat="1" applyFont="1" applyBorder="1" applyAlignment="1" applyProtection="1">
      <alignment vertical="center" shrinkToFit="1"/>
      <protection hidden="1"/>
    </xf>
    <xf numFmtId="0" fontId="48" fillId="0" borderId="11" xfId="0" applyFont="1" applyBorder="1" applyAlignment="1" applyProtection="1">
      <alignment vertical="center" shrinkToFit="1"/>
      <protection hidden="1"/>
    </xf>
    <xf numFmtId="0" fontId="48" fillId="0" borderId="13" xfId="0" applyFont="1" applyBorder="1" applyAlignment="1" applyProtection="1">
      <alignment vertical="center" shrinkToFit="1"/>
      <protection hidden="1"/>
    </xf>
    <xf numFmtId="0" fontId="51" fillId="0" borderId="0" xfId="0" applyFont="1" applyAlignment="1" applyProtection="1">
      <alignment vertical="top" wrapText="1" readingOrder="1"/>
      <protection hidden="1"/>
    </xf>
    <xf numFmtId="0" fontId="48" fillId="0" borderId="0" xfId="0" applyFont="1" applyAlignment="1" applyProtection="1">
      <alignment shrinkToFit="1"/>
      <protection hidden="1"/>
    </xf>
    <xf numFmtId="0" fontId="52" fillId="0" borderId="0" xfId="0" applyFont="1" applyProtection="1">
      <protection hidden="1"/>
    </xf>
    <xf numFmtId="0" fontId="48" fillId="0" borderId="0" xfId="0" applyFont="1" applyAlignment="1" applyProtection="1">
      <alignment vertical="top" shrinkToFit="1"/>
      <protection hidden="1"/>
    </xf>
    <xf numFmtId="14" fontId="48" fillId="0" borderId="0" xfId="0" applyNumberFormat="1" applyFont="1" applyAlignment="1" applyProtection="1">
      <alignment vertical="top" shrinkToFit="1"/>
      <protection hidden="1"/>
    </xf>
    <xf numFmtId="0" fontId="48" fillId="0" borderId="0" xfId="0" applyFont="1" applyAlignment="1" applyProtection="1">
      <alignment horizontal="center" vertical="center" shrinkToFit="1"/>
      <protection hidden="1"/>
    </xf>
    <xf numFmtId="0" fontId="48" fillId="6" borderId="0" xfId="0" applyFont="1" applyFill="1" applyAlignment="1" applyProtection="1">
      <alignment vertical="top" shrinkToFit="1"/>
      <protection hidden="1"/>
    </xf>
    <xf numFmtId="0" fontId="48" fillId="7" borderId="0" xfId="0" applyFont="1" applyFill="1" applyAlignment="1" applyProtection="1">
      <alignment vertical="top" shrinkToFit="1"/>
      <protection hidden="1"/>
    </xf>
    <xf numFmtId="0" fontId="28" fillId="0" borderId="9" xfId="0" applyFont="1" applyFill="1" applyBorder="1" applyAlignment="1" applyProtection="1">
      <alignment horizontal="left" vertical="center"/>
      <protection locked="0"/>
    </xf>
    <xf numFmtId="0" fontId="55" fillId="4" borderId="0" xfId="0" applyFont="1" applyFill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16" fillId="9" borderId="9" xfId="0" applyFont="1" applyFill="1" applyBorder="1" applyAlignment="1" applyProtection="1">
      <alignment horizontal="center" vertical="center"/>
      <protection hidden="1"/>
    </xf>
    <xf numFmtId="165" fontId="16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10" borderId="0" xfId="0" applyFill="1" applyProtection="1">
      <protection hidden="1"/>
    </xf>
    <xf numFmtId="0" fontId="0" fillId="11" borderId="0" xfId="0" applyFill="1" applyProtection="1">
      <protection hidden="1"/>
    </xf>
    <xf numFmtId="0" fontId="10" fillId="12" borderId="4" xfId="0" applyFont="1" applyFill="1" applyBorder="1" applyAlignment="1" applyProtection="1">
      <alignment horizontal="center" vertical="center"/>
      <protection hidden="1"/>
    </xf>
    <xf numFmtId="0" fontId="16" fillId="12" borderId="5" xfId="0" applyFont="1" applyFill="1" applyBorder="1" applyAlignment="1" applyProtection="1">
      <alignment horizontal="center" vertical="center"/>
      <protection hidden="1"/>
    </xf>
    <xf numFmtId="0" fontId="39" fillId="12" borderId="1" xfId="0" applyFont="1" applyFill="1" applyBorder="1" applyAlignment="1" applyProtection="1">
      <alignment vertical="justify" wrapText="1"/>
      <protection hidden="1"/>
    </xf>
    <xf numFmtId="0" fontId="0" fillId="13" borderId="0" xfId="0" applyFill="1" applyProtection="1">
      <protection hidden="1"/>
    </xf>
    <xf numFmtId="0" fontId="54" fillId="13" borderId="0" xfId="0" applyFont="1" applyFill="1" applyAlignment="1" applyProtection="1">
      <alignment wrapText="1"/>
      <protection hidden="1"/>
    </xf>
    <xf numFmtId="0" fontId="10" fillId="14" borderId="4" xfId="0" applyFont="1" applyFill="1" applyBorder="1" applyAlignment="1" applyProtection="1">
      <alignment horizontal="center" vertical="center"/>
      <protection hidden="1"/>
    </xf>
    <xf numFmtId="0" fontId="16" fillId="14" borderId="5" xfId="0" applyFont="1" applyFill="1" applyBorder="1" applyAlignment="1" applyProtection="1">
      <alignment horizontal="center" vertical="center"/>
      <protection hidden="1"/>
    </xf>
    <xf numFmtId="0" fontId="15" fillId="14" borderId="1" xfId="0" applyFont="1" applyFill="1" applyBorder="1" applyAlignment="1" applyProtection="1">
      <alignment vertical="center" wrapText="1"/>
      <protection hidden="1"/>
    </xf>
    <xf numFmtId="0" fontId="0" fillId="14" borderId="0" xfId="0" applyFill="1" applyProtection="1">
      <protection hidden="1"/>
    </xf>
    <xf numFmtId="0" fontId="10" fillId="15" borderId="4" xfId="0" applyFont="1" applyFill="1" applyBorder="1" applyAlignment="1" applyProtection="1">
      <alignment horizontal="center" vertical="center"/>
      <protection hidden="1"/>
    </xf>
    <xf numFmtId="0" fontId="16" fillId="15" borderId="5" xfId="0" applyFont="1" applyFill="1" applyBorder="1" applyAlignment="1" applyProtection="1">
      <alignment horizontal="center" vertical="center" wrapText="1"/>
      <protection hidden="1"/>
    </xf>
    <xf numFmtId="0" fontId="15" fillId="15" borderId="1" xfId="0" applyFont="1" applyFill="1" applyBorder="1" applyAlignment="1" applyProtection="1">
      <alignment vertical="center" wrapText="1"/>
      <protection hidden="1"/>
    </xf>
    <xf numFmtId="0" fontId="0" fillId="15" borderId="0" xfId="0" applyFill="1" applyProtection="1">
      <protection hidden="1"/>
    </xf>
    <xf numFmtId="0" fontId="0" fillId="16" borderId="4" xfId="0" applyFill="1" applyBorder="1" applyProtection="1">
      <protection hidden="1"/>
    </xf>
    <xf numFmtId="0" fontId="66" fillId="16" borderId="5" xfId="0" applyFont="1" applyFill="1" applyBorder="1" applyAlignment="1" applyProtection="1">
      <alignment horizontal="right" vertical="center"/>
      <protection hidden="1"/>
    </xf>
    <xf numFmtId="0" fontId="66" fillId="16" borderId="1" xfId="0" applyFont="1" applyFill="1" applyBorder="1" applyAlignment="1" applyProtection="1">
      <alignment vertical="center" wrapText="1"/>
      <protection hidden="1"/>
    </xf>
    <xf numFmtId="0" fontId="0" fillId="16" borderId="0" xfId="0" applyFill="1" applyProtection="1">
      <protection hidden="1"/>
    </xf>
    <xf numFmtId="0" fontId="0" fillId="18" borderId="0" xfId="0" applyFill="1" applyProtection="1">
      <protection hidden="1"/>
    </xf>
    <xf numFmtId="0" fontId="67" fillId="18" borderId="0" xfId="0" applyFont="1" applyFill="1" applyProtection="1">
      <protection hidden="1"/>
    </xf>
    <xf numFmtId="0" fontId="0" fillId="17" borderId="0" xfId="0" applyFill="1" applyProtection="1">
      <protection hidden="1"/>
    </xf>
    <xf numFmtId="0" fontId="0" fillId="0" borderId="0" xfId="0" applyProtection="1">
      <protection hidden="1"/>
    </xf>
    <xf numFmtId="0" fontId="16" fillId="0" borderId="9" xfId="0" applyNumberFormat="1" applyFont="1" applyFill="1" applyBorder="1" applyAlignment="1" applyProtection="1">
      <alignment horizontal="center" vertical="center"/>
      <protection locked="0"/>
    </xf>
    <xf numFmtId="0" fontId="48" fillId="19" borderId="0" xfId="0" applyFont="1" applyFill="1" applyAlignment="1" applyProtection="1">
      <alignment vertical="top" shrinkToFit="1"/>
      <protection hidden="1"/>
    </xf>
    <xf numFmtId="0" fontId="48" fillId="19" borderId="0" xfId="0" applyFont="1" applyFill="1" applyAlignment="1" applyProtection="1">
      <alignment vertical="center" shrinkToFit="1"/>
      <protection hidden="1"/>
    </xf>
    <xf numFmtId="0" fontId="70" fillId="4" borderId="0" xfId="0" applyFont="1" applyFill="1" applyAlignment="1" applyProtection="1">
      <alignment horizontal="right" vertical="center"/>
      <protection hidden="1"/>
    </xf>
    <xf numFmtId="0" fontId="16" fillId="10" borderId="0" xfId="0" applyFont="1" applyFill="1" applyAlignment="1" applyProtection="1">
      <alignment horizontal="center" wrapText="1"/>
      <protection hidden="1"/>
    </xf>
    <xf numFmtId="0" fontId="65" fillId="11" borderId="0" xfId="0" applyFont="1" applyFill="1" applyAlignment="1" applyProtection="1">
      <alignment horizontal="center" vertical="center"/>
      <protection hidden="1"/>
    </xf>
    <xf numFmtId="0" fontId="56" fillId="4" borderId="0" xfId="0" applyFont="1" applyFill="1" applyAlignment="1" applyProtection="1">
      <alignment horizontal="right" vertical="top" wrapText="1"/>
      <protection hidden="1"/>
    </xf>
    <xf numFmtId="0" fontId="56" fillId="4" borderId="10" xfId="0" applyFont="1" applyFill="1" applyBorder="1" applyAlignment="1" applyProtection="1">
      <alignment horizontal="right" vertical="top" wrapText="1"/>
      <protection hidden="1"/>
    </xf>
    <xf numFmtId="0" fontId="42" fillId="4" borderId="0" xfId="0" applyFont="1" applyFill="1" applyBorder="1" applyAlignment="1" applyProtection="1">
      <alignment horizontal="right" vertical="center"/>
      <protection hidden="1"/>
    </xf>
    <xf numFmtId="0" fontId="42" fillId="4" borderId="10" xfId="0" applyFont="1" applyFill="1" applyBorder="1" applyAlignment="1" applyProtection="1">
      <alignment horizontal="right" vertical="center"/>
      <protection hidden="1"/>
    </xf>
    <xf numFmtId="0" fontId="60" fillId="4" borderId="0" xfId="0" applyFont="1" applyFill="1" applyAlignment="1" applyProtection="1">
      <alignment horizontal="center" vertical="center"/>
      <protection hidden="1"/>
    </xf>
    <xf numFmtId="0" fontId="46" fillId="4" borderId="0" xfId="0" applyFont="1" applyFill="1" applyAlignment="1" applyProtection="1">
      <alignment horizontal="right" vertical="top" wrapText="1"/>
      <protection hidden="1"/>
    </xf>
    <xf numFmtId="0" fontId="46" fillId="4" borderId="10" xfId="0" applyFont="1" applyFill="1" applyBorder="1" applyAlignment="1" applyProtection="1">
      <alignment horizontal="right" vertical="top" wrapText="1"/>
      <protection hidden="1"/>
    </xf>
    <xf numFmtId="0" fontId="47" fillId="4" borderId="0" xfId="0" applyFont="1" applyFill="1" applyAlignment="1" applyProtection="1">
      <alignment horizontal="right" vertical="top" wrapText="1"/>
      <protection hidden="1"/>
    </xf>
    <xf numFmtId="0" fontId="47" fillId="4" borderId="10" xfId="0" applyFont="1" applyFill="1" applyBorder="1" applyAlignment="1" applyProtection="1">
      <alignment horizontal="right" vertical="top" wrapText="1"/>
      <protection hidden="1"/>
    </xf>
    <xf numFmtId="0" fontId="70" fillId="4" borderId="0" xfId="0" applyFont="1" applyFill="1" applyBorder="1" applyAlignment="1" applyProtection="1">
      <alignment horizontal="right" vertical="center"/>
      <protection hidden="1"/>
    </xf>
    <xf numFmtId="0" fontId="70" fillId="4" borderId="10" xfId="0" applyFont="1" applyFill="1" applyBorder="1" applyAlignment="1" applyProtection="1">
      <alignment horizontal="right" vertical="center"/>
      <protection hidden="1"/>
    </xf>
    <xf numFmtId="0" fontId="59" fillId="4" borderId="0" xfId="1" applyFont="1" applyFill="1" applyAlignment="1" applyProtection="1">
      <alignment horizontal="center" vertical="center"/>
      <protection hidden="1"/>
    </xf>
    <xf numFmtId="0" fontId="57" fillId="4" borderId="0" xfId="0" applyFont="1" applyFill="1" applyAlignment="1" applyProtection="1">
      <alignment horizontal="center" vertical="center"/>
      <protection hidden="1"/>
    </xf>
    <xf numFmtId="0" fontId="16" fillId="4" borderId="0" xfId="0" applyFont="1" applyFill="1" applyAlignment="1" applyProtection="1">
      <alignment horizontal="center" vertical="center"/>
      <protection hidden="1"/>
    </xf>
    <xf numFmtId="0" fontId="64" fillId="4" borderId="0" xfId="0" applyFont="1" applyFill="1" applyAlignment="1" applyProtection="1">
      <alignment horizontal="center" vertical="top"/>
      <protection hidden="1"/>
    </xf>
    <xf numFmtId="0" fontId="63" fillId="4" borderId="0" xfId="0" applyFont="1" applyFill="1" applyAlignment="1" applyProtection="1">
      <alignment horizontal="center" vertical="center"/>
      <protection hidden="1"/>
    </xf>
    <xf numFmtId="0" fontId="62" fillId="4" borderId="0" xfId="0" applyFont="1" applyFill="1" applyAlignment="1" applyProtection="1">
      <alignment horizontal="center" vertical="center"/>
      <protection hidden="1"/>
    </xf>
    <xf numFmtId="0" fontId="61" fillId="4" borderId="0" xfId="0" applyFont="1" applyFill="1" applyAlignment="1" applyProtection="1">
      <alignment horizontal="center" vertical="center"/>
      <protection hidden="1"/>
    </xf>
    <xf numFmtId="0" fontId="46" fillId="4" borderId="0" xfId="0" applyFont="1" applyFill="1" applyBorder="1" applyAlignment="1" applyProtection="1">
      <alignment horizontal="right" vertical="center" wrapText="1"/>
      <protection hidden="1"/>
    </xf>
    <xf numFmtId="0" fontId="46" fillId="4" borderId="10" xfId="0" applyFont="1" applyFill="1" applyBorder="1" applyAlignment="1" applyProtection="1">
      <alignment horizontal="right" vertical="center" wrapText="1"/>
      <protection hidden="1"/>
    </xf>
    <xf numFmtId="0" fontId="53" fillId="4" borderId="0" xfId="0" applyFont="1" applyFill="1" applyAlignment="1" applyProtection="1">
      <alignment horizontal="center" vertical="center"/>
      <protection hidden="1"/>
    </xf>
    <xf numFmtId="0" fontId="39" fillId="3" borderId="0" xfId="0" applyFont="1" applyFill="1" applyAlignment="1" applyProtection="1">
      <alignment horizontal="center" vertical="center"/>
      <protection hidden="1"/>
    </xf>
    <xf numFmtId="0" fontId="19" fillId="0" borderId="11" xfId="0" applyFont="1" applyFill="1" applyBorder="1" applyAlignment="1" applyProtection="1">
      <alignment horizontal="left" vertical="center"/>
      <protection locked="0"/>
    </xf>
    <xf numFmtId="0" fontId="19" fillId="0" borderId="12" xfId="0" applyFont="1" applyFill="1" applyBorder="1" applyAlignment="1" applyProtection="1">
      <alignment horizontal="left" vertical="center"/>
      <protection locked="0"/>
    </xf>
    <xf numFmtId="0" fontId="19" fillId="0" borderId="13" xfId="0" applyFont="1" applyFill="1" applyBorder="1" applyAlignment="1" applyProtection="1">
      <alignment horizontal="left" vertical="center"/>
      <protection locked="0"/>
    </xf>
    <xf numFmtId="0" fontId="47" fillId="4" borderId="0" xfId="0" applyFont="1" applyFill="1" applyBorder="1" applyAlignment="1" applyProtection="1">
      <alignment horizontal="right" vertical="center"/>
      <protection hidden="1"/>
    </xf>
    <xf numFmtId="0" fontId="47" fillId="4" borderId="10" xfId="0" applyFont="1" applyFill="1" applyBorder="1" applyAlignment="1" applyProtection="1">
      <alignment horizontal="right" vertical="center"/>
      <protection hidden="1"/>
    </xf>
    <xf numFmtId="0" fontId="54" fillId="4" borderId="0" xfId="0" applyFont="1" applyFill="1" applyBorder="1" applyAlignment="1" applyProtection="1">
      <alignment horizontal="right" vertical="center"/>
      <protection hidden="1"/>
    </xf>
    <xf numFmtId="0" fontId="54" fillId="4" borderId="10" xfId="0" applyFont="1" applyFill="1" applyBorder="1" applyAlignment="1" applyProtection="1">
      <alignment horizontal="right" vertical="center"/>
      <protection hidden="1"/>
    </xf>
    <xf numFmtId="0" fontId="45" fillId="4" borderId="0" xfId="0" applyFont="1" applyFill="1" applyAlignment="1" applyProtection="1">
      <alignment horizontal="right" vertical="center" wrapText="1"/>
      <protection hidden="1"/>
    </xf>
    <xf numFmtId="0" fontId="45" fillId="4" borderId="10" xfId="0" applyFont="1" applyFill="1" applyBorder="1" applyAlignment="1" applyProtection="1">
      <alignment horizontal="right" vertical="center" wrapText="1"/>
      <protection hidden="1"/>
    </xf>
    <xf numFmtId="0" fontId="41" fillId="3" borderId="0" xfId="0" applyFont="1" applyFill="1" applyAlignment="1" applyProtection="1">
      <alignment horizontal="right" vertical="center" wrapText="1"/>
      <protection hidden="1"/>
    </xf>
    <xf numFmtId="0" fontId="21" fillId="2" borderId="0" xfId="0" applyFont="1" applyFill="1" applyBorder="1" applyAlignment="1" applyProtection="1">
      <alignment horizontal="center" vertical="center" shrinkToFit="1"/>
      <protection hidden="1"/>
    </xf>
    <xf numFmtId="0" fontId="22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0" fontId="20" fillId="2" borderId="0" xfId="0" applyFont="1" applyFill="1" applyBorder="1" applyAlignment="1" applyProtection="1">
      <alignment horizontal="righ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5" fillId="2" borderId="0" xfId="0" applyFont="1" applyFill="1" applyBorder="1" applyAlignment="1" applyProtection="1">
      <alignment horizontal="left" vertical="center"/>
      <protection hidden="1"/>
    </xf>
    <xf numFmtId="0" fontId="20" fillId="2" borderId="0" xfId="0" applyFont="1" applyFill="1" applyBorder="1" applyAlignment="1" applyProtection="1">
      <alignment horizontal="center" vertical="center"/>
      <protection hidden="1"/>
    </xf>
    <xf numFmtId="0" fontId="36" fillId="2" borderId="0" xfId="0" applyFont="1" applyFill="1" applyBorder="1" applyAlignment="1" applyProtection="1">
      <alignment horizontal="center" vertical="center"/>
      <protection hidden="1"/>
    </xf>
    <xf numFmtId="165" fontId="3" fillId="2" borderId="0" xfId="0" applyNumberFormat="1" applyFont="1" applyFill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top" wrapText="1" readingOrder="1"/>
      <protection hidden="1"/>
    </xf>
    <xf numFmtId="0" fontId="0" fillId="0" borderId="0" xfId="0" applyProtection="1">
      <protection hidden="1"/>
    </xf>
    <xf numFmtId="166" fontId="17" fillId="0" borderId="0" xfId="0" applyNumberFormat="1" applyFont="1" applyBorder="1" applyAlignment="1" applyProtection="1">
      <alignment horizontal="left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167" fontId="3" fillId="2" borderId="0" xfId="0" applyNumberFormat="1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 wrapText="1" shrinkToFit="1"/>
      <protection hidden="1"/>
    </xf>
    <xf numFmtId="0" fontId="5" fillId="2" borderId="3" xfId="0" applyFont="1" applyFill="1" applyBorder="1" applyAlignment="1" applyProtection="1">
      <alignment horizontal="center" vertical="center" wrapText="1" shrinkToFit="1"/>
      <protection hidden="1"/>
    </xf>
    <xf numFmtId="0" fontId="5" fillId="2" borderId="4" xfId="0" applyFont="1" applyFill="1" applyBorder="1" applyAlignment="1" applyProtection="1">
      <alignment horizontal="center" vertical="center" shrinkToFit="1"/>
      <protection hidden="1"/>
    </xf>
    <xf numFmtId="0" fontId="5" fillId="2" borderId="5" xfId="0" applyFont="1" applyFill="1" applyBorder="1" applyAlignment="1" applyProtection="1">
      <alignment horizontal="center" vertical="center" shrinkToFit="1"/>
      <protection hidden="1"/>
    </xf>
    <xf numFmtId="0" fontId="35" fillId="0" borderId="8" xfId="0" applyFont="1" applyBorder="1" applyAlignment="1" applyProtection="1">
      <alignment horizontal="center" vertical="center"/>
      <protection hidden="1"/>
    </xf>
    <xf numFmtId="0" fontId="34" fillId="2" borderId="8" xfId="0" applyFont="1" applyFill="1" applyBorder="1" applyAlignment="1" applyProtection="1">
      <alignment horizontal="left" vertical="center" shrinkToFit="1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9" fillId="0" borderId="0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32" fillId="0" borderId="0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left" vertical="top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71" fillId="11" borderId="0" xfId="0" applyFont="1" applyFill="1" applyProtection="1">
      <protection hidden="1"/>
    </xf>
    <xf numFmtId="0" fontId="18" fillId="11" borderId="0" xfId="0" applyFont="1" applyFill="1" applyAlignment="1" applyProtection="1">
      <alignment horizontal="right"/>
      <protection hidden="1"/>
    </xf>
    <xf numFmtId="0" fontId="72" fillId="4" borderId="0" xfId="0" applyFont="1" applyFill="1" applyAlignment="1" applyProtection="1">
      <alignment horizontal="center" vertical="center"/>
      <protection hidden="1"/>
    </xf>
    <xf numFmtId="0" fontId="73" fillId="4" borderId="0" xfId="1" applyFont="1" applyFill="1" applyAlignment="1" applyProtection="1">
      <alignment horizontal="center" vertical="center"/>
      <protection hidden="1"/>
    </xf>
    <xf numFmtId="0" fontId="74" fillId="4" borderId="0" xfId="0" applyFont="1" applyFill="1" applyAlignment="1" applyProtection="1">
      <alignment horizontal="center" vertical="center"/>
      <protection hidden="1"/>
    </xf>
    <xf numFmtId="0" fontId="75" fillId="4" borderId="0" xfId="1" applyFont="1" applyFill="1" applyAlignment="1" applyProtection="1">
      <alignment horizontal="center" vertical="center"/>
      <protection hidden="1"/>
    </xf>
    <xf numFmtId="0" fontId="76" fillId="4" borderId="0" xfId="0" applyFont="1" applyFill="1" applyAlignment="1" applyProtection="1">
      <alignment horizontal="center" vertical="center"/>
      <protection hidden="1"/>
    </xf>
    <xf numFmtId="0" fontId="77" fillId="3" borderId="14" xfId="0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48">
    <dxf>
      <font>
        <color theme="0"/>
      </font>
    </dxf>
    <dxf>
      <font>
        <b/>
        <i val="0"/>
        <color rgb="FF0000CC"/>
      </font>
    </dxf>
    <dxf>
      <font>
        <b/>
        <i val="0"/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rgb="FFCCFFCC"/>
        </patternFill>
      </fill>
      <alignment horizontal="center" vertical="center" textRotation="0" wrapText="0" indent="0" relativeIndent="0" justifyLastLine="0" shrinkToFit="0" mergeCell="0" readingOrder="0"/>
      <protection locked="1" hidden="1"/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97FFBA"/>
      </font>
      <fill>
        <patternFill>
          <bgColor rgb="FF98FAB9"/>
        </patternFill>
      </fill>
      <border>
        <left/>
        <right/>
        <top/>
        <bottom/>
        <vertical/>
        <horizontal/>
      </border>
    </dxf>
    <dxf>
      <font>
        <color rgb="FF90FAB3"/>
      </font>
      <fill>
        <patternFill>
          <bgColor rgb="FF9CFAC0"/>
        </patternFill>
      </fill>
      <border>
        <left/>
        <right/>
        <top/>
        <bottom/>
        <vertical/>
        <horizontal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</dxfs>
  <tableStyles count="0" defaultTableStyle="TableStyleMedium9" defaultPivotStyle="PivotStyleLight16"/>
  <colors>
    <mruColors>
      <color rgb="FF0000CC"/>
      <color rgb="FF9CFAC0"/>
      <color rgb="FF98FAB9"/>
      <color rgb="FF8BF9B5"/>
      <color rgb="FF90FAB3"/>
      <color rgb="FF86FAAD"/>
      <color rgb="FF66FF99"/>
      <color rgb="FF99FF99"/>
      <color rgb="FF9DF5B2"/>
      <color rgb="FFAFF7C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Unlock sheet'!A1"/><Relationship Id="rId2" Type="http://schemas.openxmlformats.org/officeDocument/2006/relationships/hyperlink" Target="#'Arrear Sheet'!A1"/><Relationship Id="rId1" Type="http://schemas.openxmlformats.org/officeDocument/2006/relationships/image" Target="../media/image1.jpeg"/><Relationship Id="rId5" Type="http://schemas.openxmlformats.org/officeDocument/2006/relationships/image" Target="../media/image2.jpeg"/><Relationship Id="rId4" Type="http://schemas.openxmlformats.org/officeDocument/2006/relationships/hyperlink" Target="#'How to Use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9115425</xdr:colOff>
      <xdr:row>2</xdr:row>
      <xdr:rowOff>19050</xdr:rowOff>
    </xdr:from>
    <xdr:to>
      <xdr:col>3</xdr:col>
      <xdr:colOff>1139112</xdr:colOff>
      <xdr:row>4</xdr:row>
      <xdr:rowOff>88252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10953750" y="63817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447675</xdr:colOff>
      <xdr:row>0</xdr:row>
      <xdr:rowOff>85725</xdr:rowOff>
    </xdr:from>
    <xdr:to>
      <xdr:col>13</xdr:col>
      <xdr:colOff>447675</xdr:colOff>
      <xdr:row>4</xdr:row>
      <xdr:rowOff>208578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85725"/>
          <a:ext cx="1485900" cy="1390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242985</xdr:colOff>
      <xdr:row>0</xdr:row>
      <xdr:rowOff>0</xdr:rowOff>
    </xdr:from>
    <xdr:to>
      <xdr:col>15</xdr:col>
      <xdr:colOff>913623</xdr:colOff>
      <xdr:row>5</xdr:row>
      <xdr:rowOff>204106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0" y="0"/>
          <a:ext cx="1875842" cy="18564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1273240</xdr:colOff>
      <xdr:row>29</xdr:row>
      <xdr:rowOff>194389</xdr:rowOff>
    </xdr:from>
    <xdr:to>
      <xdr:col>3</xdr:col>
      <xdr:colOff>1817525</xdr:colOff>
      <xdr:row>31</xdr:row>
      <xdr:rowOff>174950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2128546" y="7668598"/>
          <a:ext cx="2565918" cy="60260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FFFF00"/>
              </a:solidFill>
            </a:rPr>
            <a:t>Go  to  Arrear Sheet</a:t>
          </a:r>
        </a:p>
      </xdr:txBody>
    </xdr:sp>
    <xdr:clientData/>
  </xdr:twoCellAnchor>
  <xdr:twoCellAnchor>
    <xdr:from>
      <xdr:col>6</xdr:col>
      <xdr:colOff>690077</xdr:colOff>
      <xdr:row>29</xdr:row>
      <xdr:rowOff>184669</xdr:rowOff>
    </xdr:from>
    <xdr:to>
      <xdr:col>9</xdr:col>
      <xdr:colOff>174949</xdr:colOff>
      <xdr:row>31</xdr:row>
      <xdr:rowOff>165230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426710" y="7658878"/>
          <a:ext cx="2565918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6CF082"/>
              </a:solidFill>
            </a:rPr>
            <a:t>Unlock Sheet</a:t>
          </a:r>
        </a:p>
      </xdr:txBody>
    </xdr:sp>
    <xdr:clientData/>
  </xdr:twoCellAnchor>
  <xdr:twoCellAnchor>
    <xdr:from>
      <xdr:col>5</xdr:col>
      <xdr:colOff>77756</xdr:colOff>
      <xdr:row>29</xdr:row>
      <xdr:rowOff>213827</xdr:rowOff>
    </xdr:from>
    <xdr:to>
      <xdr:col>6</xdr:col>
      <xdr:colOff>126352</xdr:colOff>
      <xdr:row>31</xdr:row>
      <xdr:rowOff>194388</xdr:rowOff>
    </xdr:to>
    <xdr:sp macro="" textlink="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5297067" y="7688036"/>
          <a:ext cx="2565918" cy="602602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/>
            <a:t>How  to</a:t>
          </a:r>
          <a:r>
            <a:rPr lang="en-US" sz="1800" b="1" baseline="0"/>
            <a:t> Use  Sheet</a:t>
          </a:r>
          <a:endParaRPr lang="en-US" sz="1800" b="1"/>
        </a:p>
      </xdr:txBody>
    </xdr:sp>
    <xdr:clientData/>
  </xdr:twoCellAnchor>
  <xdr:twoCellAnchor editAs="oneCell">
    <xdr:from>
      <xdr:col>8</xdr:col>
      <xdr:colOff>602602</xdr:colOff>
      <xdr:row>33</xdr:row>
      <xdr:rowOff>184670</xdr:rowOff>
    </xdr:from>
    <xdr:to>
      <xdr:col>9</xdr:col>
      <xdr:colOff>758112</xdr:colOff>
      <xdr:row>39</xdr:row>
      <xdr:rowOff>272145</xdr:rowOff>
    </xdr:to>
    <xdr:pic>
      <xdr:nvPicPr>
        <xdr:cNvPr id="9" name="Picture 8" descr="WhatsApp Image 2021-06-01 at 5.26.05 PM.jpe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62372" y="10496940"/>
          <a:ext cx="1613419" cy="18758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6</xdr:row>
      <xdr:rowOff>0</xdr:rowOff>
    </xdr:from>
    <xdr:to>
      <xdr:col>31</xdr:col>
      <xdr:colOff>539037</xdr:colOff>
      <xdr:row>7</xdr:row>
      <xdr:rowOff>21577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5401925" y="159067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6</xdr:row>
      <xdr:rowOff>0</xdr:rowOff>
    </xdr:from>
    <xdr:to>
      <xdr:col>33</xdr:col>
      <xdr:colOff>539037</xdr:colOff>
      <xdr:row>8</xdr:row>
      <xdr:rowOff>97777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6764000" y="141922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O10:O41" totalsRowShown="0" headerRowDxfId="8" dataDxfId="7">
  <autoFilter ref="O10:O41"/>
  <tableColumns count="1">
    <tableColumn id="1" name="Post" dataDxfId="6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be.com/c/Heeralaljat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youtu.be/e9tzJ3zCZPk" TargetMode="External"/><Relationship Id="rId1" Type="http://schemas.openxmlformats.org/officeDocument/2006/relationships/hyperlink" Target="mailto:heeralaljatchandawal@gmail.co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youtu.be/e9tzJ3zCZP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XFC21"/>
  <sheetViews>
    <sheetView showGridLines="0" showRowColHeaders="0" tabSelected="1" workbookViewId="0">
      <selection activeCell="C8" sqref="C8"/>
    </sheetView>
  </sheetViews>
  <sheetFormatPr defaultColWidth="9" defaultRowHeight="15" zeroHeight="1"/>
  <cols>
    <col min="1" max="1" width="7.25" style="121" customWidth="1"/>
    <col min="2" max="2" width="16.875" style="121" customWidth="1"/>
    <col min="3" max="3" width="120.875" style="121" customWidth="1"/>
    <col min="4" max="4" width="16.75" style="121" customWidth="1"/>
    <col min="5" max="16382" width="9" style="121" hidden="1" customWidth="1"/>
    <col min="16383" max="16383" width="8.75" style="121" hidden="1" customWidth="1"/>
    <col min="16384" max="16384" width="3.75" style="121" hidden="1" customWidth="1"/>
  </cols>
  <sheetData>
    <row r="1" spans="1:6" ht="24" customHeight="1">
      <c r="A1" s="125"/>
      <c r="B1" s="152" t="s">
        <v>103</v>
      </c>
      <c r="C1" s="152"/>
    </row>
    <row r="2" spans="1:6" ht="24.75" customHeight="1">
      <c r="A2" s="125"/>
      <c r="B2" s="152"/>
      <c r="C2" s="152"/>
    </row>
    <row r="3" spans="1:6">
      <c r="A3" s="126"/>
      <c r="B3" s="126"/>
      <c r="C3" s="126"/>
    </row>
    <row r="4" spans="1:6" ht="27" customHeight="1">
      <c r="A4" s="126"/>
      <c r="B4" s="153" t="s">
        <v>116</v>
      </c>
      <c r="C4" s="153"/>
    </row>
    <row r="5" spans="1:6" ht="18.75">
      <c r="A5" s="126"/>
      <c r="B5" s="217" t="s">
        <v>130</v>
      </c>
      <c r="C5" s="216" t="s">
        <v>129</v>
      </c>
    </row>
    <row r="6" spans="1:6" ht="206.25" customHeight="1">
      <c r="A6" s="127">
        <v>1</v>
      </c>
      <c r="B6" s="128" t="s">
        <v>104</v>
      </c>
      <c r="C6" s="129" t="s">
        <v>128</v>
      </c>
      <c r="F6" s="121" t="s">
        <v>105</v>
      </c>
    </row>
    <row r="7" spans="1:6">
      <c r="A7" s="130"/>
      <c r="B7" s="130"/>
      <c r="C7" s="130"/>
    </row>
    <row r="8" spans="1:6" ht="30">
      <c r="A8" s="130"/>
      <c r="B8" s="130"/>
      <c r="C8" s="131" t="s">
        <v>117</v>
      </c>
    </row>
    <row r="9" spans="1:6">
      <c r="A9" s="130"/>
      <c r="B9" s="130"/>
      <c r="C9" s="130" t="s">
        <v>105</v>
      </c>
    </row>
    <row r="10" spans="1:6" ht="37.5" customHeight="1">
      <c r="A10" s="132">
        <v>2</v>
      </c>
      <c r="B10" s="133" t="s">
        <v>106</v>
      </c>
      <c r="C10" s="134" t="s">
        <v>107</v>
      </c>
    </row>
    <row r="11" spans="1:6">
      <c r="A11" s="135"/>
      <c r="B11" s="135"/>
      <c r="C11" s="135"/>
    </row>
    <row r="12" spans="1:6" ht="37.5">
      <c r="A12" s="136">
        <v>3</v>
      </c>
      <c r="B12" s="137" t="s">
        <v>108</v>
      </c>
      <c r="C12" s="138" t="s">
        <v>115</v>
      </c>
    </row>
    <row r="13" spans="1:6">
      <c r="A13" s="139"/>
      <c r="B13" s="139"/>
      <c r="C13" s="139"/>
    </row>
    <row r="14" spans="1:6" ht="30">
      <c r="A14" s="140"/>
      <c r="B14" s="141" t="s">
        <v>109</v>
      </c>
      <c r="C14" s="142" t="s">
        <v>114</v>
      </c>
    </row>
    <row r="15" spans="1:6">
      <c r="A15" s="143"/>
      <c r="B15" s="143"/>
      <c r="C15" s="143"/>
    </row>
    <row r="16" spans="1:6">
      <c r="A16" s="144"/>
      <c r="B16" s="144"/>
      <c r="C16" s="145" t="s">
        <v>110</v>
      </c>
    </row>
    <row r="17" spans="1:3">
      <c r="A17" s="144"/>
      <c r="B17" s="144"/>
      <c r="C17" s="144"/>
    </row>
    <row r="18" spans="1:3">
      <c r="A18" s="146"/>
      <c r="B18" s="146"/>
      <c r="C18" s="146" t="s">
        <v>111</v>
      </c>
    </row>
    <row r="19" spans="1:3">
      <c r="A19" s="146"/>
      <c r="B19" s="146"/>
      <c r="C19" s="146" t="s">
        <v>113</v>
      </c>
    </row>
    <row r="20" spans="1:3">
      <c r="A20" s="146"/>
      <c r="B20" s="146"/>
      <c r="C20" s="146" t="s">
        <v>112</v>
      </c>
    </row>
    <row r="21" spans="1:3"/>
  </sheetData>
  <sheetProtection password="C1FB" sheet="1" objects="1" scenarios="1" selectLockedCells="1"/>
  <mergeCells count="2">
    <mergeCell ref="B1:C2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C00CC"/>
  </sheetPr>
  <dimension ref="A1:AG63"/>
  <sheetViews>
    <sheetView showGridLines="0" showRowColHeaders="0" zoomScale="98" zoomScaleNormal="98" workbookViewId="0">
      <selection activeCell="D3" sqref="D3:K3"/>
    </sheetView>
  </sheetViews>
  <sheetFormatPr defaultColWidth="0" defaultRowHeight="18" customHeight="1" zeroHeight="1"/>
  <cols>
    <col min="1" max="1" width="2.75" style="59" customWidth="1"/>
    <col min="2" max="2" width="8.375" style="51" customWidth="1"/>
    <col min="3" max="3" width="26.5" style="51" customWidth="1"/>
    <col min="4" max="4" width="27.75" style="51" customWidth="1"/>
    <col min="5" max="5" width="2.875" style="59" customWidth="1"/>
    <col min="6" max="6" width="33" style="51" customWidth="1"/>
    <col min="7" max="7" width="18.375" style="51" customWidth="1"/>
    <col min="8" max="8" width="2.875" style="59" customWidth="1"/>
    <col min="9" max="9" width="19.125" style="51" customWidth="1"/>
    <col min="10" max="10" width="18.125" style="51" customWidth="1"/>
    <col min="11" max="11" width="14" style="51" customWidth="1"/>
    <col min="12" max="12" width="4" style="51" customWidth="1"/>
    <col min="13" max="13" width="4.625" style="52" customWidth="1"/>
    <col min="14" max="14" width="14.125" style="51" customWidth="1"/>
    <col min="15" max="15" width="15.875" style="51" customWidth="1"/>
    <col min="16" max="16" width="14.625" style="51" customWidth="1"/>
    <col min="17" max="17" width="12.625" style="51" customWidth="1"/>
    <col min="18" max="32" width="9" style="51" hidden="1" customWidth="1"/>
    <col min="33" max="33" width="9" style="15" hidden="1" customWidth="1"/>
    <col min="34" max="16384" width="9" style="51" hidden="1"/>
  </cols>
  <sheetData>
    <row r="1" spans="1:33" ht="29.25" customHeight="1">
      <c r="A1" s="63"/>
      <c r="B1" s="63"/>
      <c r="C1" s="63"/>
      <c r="D1" s="174" t="s">
        <v>25</v>
      </c>
      <c r="E1" s="174"/>
      <c r="F1" s="174"/>
      <c r="G1" s="174"/>
      <c r="H1" s="174"/>
      <c r="I1" s="174"/>
      <c r="J1" s="220" t="s">
        <v>131</v>
      </c>
      <c r="K1" s="220"/>
      <c r="L1" s="63"/>
      <c r="M1" s="63"/>
      <c r="N1" s="63"/>
      <c r="O1" s="63"/>
      <c r="P1" s="63"/>
      <c r="Q1" s="63"/>
    </row>
    <row r="2" spans="1:33" ht="21.75" customHeight="1">
      <c r="A2" s="14"/>
      <c r="B2" s="14"/>
      <c r="C2" s="14"/>
      <c r="D2" s="14"/>
      <c r="E2" s="14"/>
      <c r="F2" s="14"/>
      <c r="G2" s="14"/>
      <c r="H2" s="14"/>
      <c r="I2" s="14"/>
      <c r="J2" s="223" t="s">
        <v>129</v>
      </c>
      <c r="K2" s="223"/>
      <c r="L2" s="14"/>
      <c r="M2" s="63"/>
      <c r="N2" s="63"/>
      <c r="O2" s="63"/>
      <c r="P2" s="63"/>
      <c r="Q2" s="63"/>
    </row>
    <row r="3" spans="1:33" ht="30.95" customHeight="1">
      <c r="A3" s="14"/>
      <c r="B3" s="63"/>
      <c r="C3" s="120" t="s">
        <v>24</v>
      </c>
      <c r="D3" s="176" t="s">
        <v>26</v>
      </c>
      <c r="E3" s="177"/>
      <c r="F3" s="177"/>
      <c r="G3" s="177"/>
      <c r="H3" s="177"/>
      <c r="I3" s="177"/>
      <c r="J3" s="177"/>
      <c r="K3" s="178"/>
      <c r="L3" s="14"/>
      <c r="M3" s="63"/>
      <c r="N3" s="63"/>
      <c r="O3" s="63"/>
      <c r="P3" s="63"/>
      <c r="Q3" s="63"/>
      <c r="AG3" s="15">
        <v>42736</v>
      </c>
    </row>
    <row r="4" spans="1:33" ht="18.75">
      <c r="A4" s="14"/>
      <c r="B4" s="14"/>
      <c r="C4" s="54"/>
      <c r="D4" s="55"/>
      <c r="E4" s="55"/>
      <c r="F4" s="14"/>
      <c r="G4" s="50"/>
      <c r="H4" s="50"/>
      <c r="I4" s="14"/>
      <c r="J4" s="14"/>
      <c r="K4" s="50"/>
      <c r="L4" s="14"/>
      <c r="M4" s="63"/>
      <c r="N4" s="63"/>
      <c r="O4" s="63"/>
      <c r="P4" s="63"/>
      <c r="Q4" s="63"/>
      <c r="AG4" s="15">
        <v>42767</v>
      </c>
    </row>
    <row r="5" spans="1:33" ht="30" customHeight="1">
      <c r="A5" s="14"/>
      <c r="B5" s="63"/>
      <c r="C5" s="64" t="s">
        <v>44</v>
      </c>
      <c r="D5" s="58" t="s">
        <v>27</v>
      </c>
      <c r="E5" s="55"/>
      <c r="F5" s="64" t="s">
        <v>45</v>
      </c>
      <c r="G5" s="75" t="s">
        <v>66</v>
      </c>
      <c r="H5" s="70"/>
      <c r="I5" s="156" t="s">
        <v>46</v>
      </c>
      <c r="J5" s="157"/>
      <c r="K5" s="91">
        <v>8</v>
      </c>
      <c r="L5" s="60" t="s">
        <v>33</v>
      </c>
      <c r="M5" s="67"/>
      <c r="N5" s="66"/>
      <c r="O5" s="66"/>
      <c r="P5" s="66"/>
      <c r="Q5" s="66"/>
      <c r="AG5" s="15">
        <v>42795</v>
      </c>
    </row>
    <row r="6" spans="1:33" ht="18.75">
      <c r="A6" s="14"/>
      <c r="B6" s="14"/>
      <c r="C6" s="56"/>
      <c r="D6" s="50"/>
      <c r="E6" s="50"/>
      <c r="F6" s="55"/>
      <c r="G6" s="50"/>
      <c r="H6" s="70"/>
      <c r="I6" s="55"/>
      <c r="J6" s="55"/>
      <c r="K6" s="50"/>
      <c r="L6" s="50"/>
      <c r="M6" s="68"/>
      <c r="N6" s="65"/>
      <c r="O6" s="65"/>
      <c r="P6" s="66"/>
      <c r="Q6" s="66"/>
      <c r="AG6" s="15">
        <v>42826</v>
      </c>
    </row>
    <row r="7" spans="1:33" ht="30" customHeight="1">
      <c r="A7" s="14"/>
      <c r="B7" s="63"/>
      <c r="C7" s="92" t="s">
        <v>47</v>
      </c>
      <c r="D7" s="119" t="s">
        <v>81</v>
      </c>
      <c r="E7" s="50"/>
      <c r="F7" s="64" t="s">
        <v>48</v>
      </c>
      <c r="G7" s="75" t="s">
        <v>69</v>
      </c>
      <c r="H7" s="70"/>
      <c r="I7" s="156" t="s">
        <v>49</v>
      </c>
      <c r="J7" s="157"/>
      <c r="K7" s="99">
        <v>11</v>
      </c>
      <c r="L7" s="50"/>
      <c r="M7" s="68"/>
      <c r="N7" s="65"/>
      <c r="O7" s="175" t="s">
        <v>42</v>
      </c>
      <c r="P7" s="175"/>
      <c r="Q7" s="66"/>
      <c r="AG7" s="15">
        <v>42856</v>
      </c>
    </row>
    <row r="8" spans="1:33" ht="18.75">
      <c r="A8" s="14"/>
      <c r="B8" s="14"/>
      <c r="C8" s="56"/>
      <c r="D8" s="50"/>
      <c r="E8" s="50"/>
      <c r="F8" s="55"/>
      <c r="G8" s="50"/>
      <c r="H8" s="70"/>
      <c r="I8" s="55"/>
      <c r="J8" s="55"/>
      <c r="K8" s="50"/>
      <c r="L8" s="50"/>
      <c r="M8" s="68"/>
      <c r="N8" s="65"/>
      <c r="O8" s="65"/>
      <c r="P8" s="66"/>
      <c r="Q8" s="66"/>
      <c r="AG8" s="15">
        <v>42887</v>
      </c>
    </row>
    <row r="9" spans="1:33" ht="30" customHeight="1">
      <c r="A9" s="70"/>
      <c r="B9" s="179" t="s">
        <v>50</v>
      </c>
      <c r="C9" s="180"/>
      <c r="D9" s="74">
        <v>42736</v>
      </c>
      <c r="E9" s="50"/>
      <c r="F9" s="64" t="s">
        <v>51</v>
      </c>
      <c r="G9" s="74">
        <v>44531</v>
      </c>
      <c r="H9" s="70"/>
      <c r="I9" s="156" t="s">
        <v>52</v>
      </c>
      <c r="J9" s="157"/>
      <c r="K9" s="61">
        <v>10</v>
      </c>
      <c r="L9" s="60" t="s">
        <v>33</v>
      </c>
      <c r="M9" s="69"/>
      <c r="N9" s="65"/>
      <c r="O9" s="65"/>
      <c r="P9" s="66"/>
      <c r="Q9" s="66"/>
      <c r="AG9" s="15">
        <v>42917</v>
      </c>
    </row>
    <row r="10" spans="1:33" ht="18.75" customHeight="1">
      <c r="A10" s="70"/>
      <c r="B10" s="14"/>
      <c r="C10" s="56"/>
      <c r="D10" s="53"/>
      <c r="E10" s="50"/>
      <c r="F10" s="56"/>
      <c r="G10" s="56"/>
      <c r="H10" s="70"/>
      <c r="I10" s="56"/>
      <c r="J10" s="56"/>
      <c r="K10" s="53"/>
      <c r="L10" s="60"/>
      <c r="M10" s="69"/>
      <c r="N10" s="65"/>
      <c r="O10" s="65" t="s">
        <v>56</v>
      </c>
      <c r="P10" s="66"/>
      <c r="Q10" s="66"/>
      <c r="AG10" s="15">
        <v>42948</v>
      </c>
    </row>
    <row r="11" spans="1:33" ht="30" customHeight="1">
      <c r="A11" s="70"/>
      <c r="B11" s="179" t="s">
        <v>53</v>
      </c>
      <c r="C11" s="180"/>
      <c r="D11" s="61" t="s">
        <v>82</v>
      </c>
      <c r="E11" s="50"/>
      <c r="F11" s="64" t="s">
        <v>85</v>
      </c>
      <c r="G11" s="61">
        <v>23700</v>
      </c>
      <c r="H11" s="70"/>
      <c r="I11" s="156" t="s">
        <v>84</v>
      </c>
      <c r="J11" s="157"/>
      <c r="K11" s="61">
        <v>32800</v>
      </c>
      <c r="L11" s="50"/>
      <c r="M11" s="68"/>
      <c r="N11" s="65"/>
      <c r="O11" s="71" t="s">
        <v>58</v>
      </c>
      <c r="P11" s="66"/>
      <c r="Q11" s="66"/>
      <c r="AG11" s="15">
        <v>42979</v>
      </c>
    </row>
    <row r="12" spans="1:33" ht="18.75">
      <c r="A12" s="70"/>
      <c r="B12" s="56"/>
      <c r="C12" s="57"/>
      <c r="D12" s="57"/>
      <c r="E12" s="50"/>
      <c r="F12" s="57"/>
      <c r="G12" s="57"/>
      <c r="H12" s="70"/>
      <c r="I12" s="57"/>
      <c r="J12" s="57"/>
      <c r="K12" s="57"/>
      <c r="L12" s="50"/>
      <c r="M12" s="68"/>
      <c r="N12" s="65"/>
      <c r="O12" s="72" t="s">
        <v>57</v>
      </c>
      <c r="P12" s="66"/>
      <c r="Q12" s="66"/>
      <c r="AE12" s="15"/>
      <c r="AG12" s="15">
        <v>43009</v>
      </c>
    </row>
    <row r="13" spans="1:33" ht="30" customHeight="1">
      <c r="A13" s="70"/>
      <c r="B13" s="172" t="s">
        <v>92</v>
      </c>
      <c r="C13" s="173"/>
      <c r="D13" s="123">
        <v>42752</v>
      </c>
      <c r="E13" s="50"/>
      <c r="F13" s="73" t="s">
        <v>93</v>
      </c>
      <c r="G13" s="122">
        <f>IFERROR(IF('Arrear Sheet'!AQ6="","",'Arrear Sheet'!AQ6),"")</f>
        <v>15</v>
      </c>
      <c r="H13" s="70"/>
      <c r="I13" s="156" t="s">
        <v>83</v>
      </c>
      <c r="J13" s="157"/>
      <c r="K13" s="61">
        <v>33800</v>
      </c>
      <c r="L13" s="50"/>
      <c r="M13" s="68"/>
      <c r="N13" s="65"/>
      <c r="O13" s="72" t="s">
        <v>59</v>
      </c>
      <c r="P13" s="66"/>
      <c r="Q13" s="66"/>
      <c r="AE13" s="15"/>
      <c r="AG13" s="15">
        <v>43040</v>
      </c>
    </row>
    <row r="14" spans="1:33" ht="18.75">
      <c r="A14" s="14"/>
      <c r="B14" s="14"/>
      <c r="C14" s="56"/>
      <c r="D14" s="57"/>
      <c r="E14" s="57"/>
      <c r="F14" s="56"/>
      <c r="G14" s="56"/>
      <c r="H14" s="70"/>
      <c r="I14" s="56"/>
      <c r="J14" s="56"/>
      <c r="K14" s="53"/>
      <c r="L14" s="50"/>
      <c r="M14" s="68"/>
      <c r="N14" s="65"/>
      <c r="O14" s="72" t="s">
        <v>60</v>
      </c>
      <c r="P14" s="66"/>
      <c r="Q14" s="66"/>
      <c r="AE14" s="15"/>
      <c r="AG14" s="15">
        <v>43070</v>
      </c>
    </row>
    <row r="15" spans="1:33" ht="30" customHeight="1">
      <c r="A15" s="14"/>
      <c r="B15" s="183" t="s">
        <v>91</v>
      </c>
      <c r="C15" s="183"/>
      <c r="D15" s="183"/>
      <c r="E15" s="183"/>
      <c r="F15" s="184"/>
      <c r="G15" s="61" t="s">
        <v>55</v>
      </c>
      <c r="H15" s="70"/>
      <c r="I15" s="181" t="s">
        <v>54</v>
      </c>
      <c r="J15" s="182"/>
      <c r="K15" s="61">
        <v>30500</v>
      </c>
      <c r="L15" s="50"/>
      <c r="M15" s="68"/>
      <c r="N15" s="65"/>
      <c r="O15" s="72" t="s">
        <v>61</v>
      </c>
      <c r="P15" s="66"/>
      <c r="Q15" s="66"/>
      <c r="AE15" s="15"/>
      <c r="AG15" s="15">
        <v>43101</v>
      </c>
    </row>
    <row r="16" spans="1:33" ht="18.75">
      <c r="A16" s="14"/>
      <c r="B16" s="185"/>
      <c r="C16" s="185"/>
      <c r="D16" s="53"/>
      <c r="E16" s="56"/>
      <c r="F16" s="56"/>
      <c r="G16" s="56"/>
      <c r="H16" s="70"/>
      <c r="I16" s="56"/>
      <c r="J16" s="56"/>
      <c r="K16" s="53"/>
      <c r="L16" s="50"/>
      <c r="M16" s="68"/>
      <c r="N16" s="65"/>
      <c r="O16" s="72" t="s">
        <v>62</v>
      </c>
      <c r="P16" s="66"/>
      <c r="Q16" s="66"/>
      <c r="AE16" s="15"/>
      <c r="AG16" s="15">
        <v>43132</v>
      </c>
    </row>
    <row r="17" spans="1:33" ht="31.5" customHeight="1">
      <c r="A17" s="14"/>
      <c r="B17" s="159" t="s">
        <v>89</v>
      </c>
      <c r="C17" s="160"/>
      <c r="D17" s="61" t="s">
        <v>88</v>
      </c>
      <c r="E17" s="56"/>
      <c r="F17" s="151" t="s">
        <v>43</v>
      </c>
      <c r="G17" s="61">
        <v>2100</v>
      </c>
      <c r="H17" s="70"/>
      <c r="I17" s="163" t="s">
        <v>120</v>
      </c>
      <c r="J17" s="164"/>
      <c r="K17" s="61">
        <v>2100</v>
      </c>
      <c r="L17" s="50"/>
      <c r="M17" s="68"/>
      <c r="N17" s="65"/>
      <c r="O17" s="72" t="s">
        <v>63</v>
      </c>
      <c r="P17" s="66"/>
      <c r="Q17" s="66"/>
      <c r="AE17" s="15"/>
      <c r="AG17" s="15">
        <v>43160</v>
      </c>
    </row>
    <row r="18" spans="1:33" ht="18.75">
      <c r="A18" s="14"/>
      <c r="B18" s="62"/>
      <c r="C18" s="62"/>
      <c r="D18" s="56"/>
      <c r="E18" s="56"/>
      <c r="F18" s="56"/>
      <c r="G18" s="56"/>
      <c r="H18" s="70"/>
      <c r="I18" s="56"/>
      <c r="J18" s="56"/>
      <c r="K18" s="53"/>
      <c r="L18" s="50"/>
      <c r="M18" s="68"/>
      <c r="N18" s="65"/>
      <c r="O18" s="72" t="s">
        <v>64</v>
      </c>
      <c r="P18" s="66"/>
      <c r="Q18" s="66"/>
      <c r="AG18" s="15">
        <v>43191</v>
      </c>
    </row>
    <row r="19" spans="1:33" s="147" customFormat="1" ht="33.75" customHeight="1">
      <c r="A19" s="14"/>
      <c r="B19" s="154" t="s">
        <v>124</v>
      </c>
      <c r="C19" s="155"/>
      <c r="D19" s="61" t="s">
        <v>55</v>
      </c>
      <c r="E19" s="56"/>
      <c r="F19" s="73" t="s">
        <v>125</v>
      </c>
      <c r="G19" s="74">
        <v>43435</v>
      </c>
      <c r="H19" s="70"/>
      <c r="I19" s="156" t="s">
        <v>123</v>
      </c>
      <c r="J19" s="157"/>
      <c r="K19" s="61">
        <v>3000</v>
      </c>
      <c r="L19" s="50"/>
      <c r="M19" s="68"/>
      <c r="N19" s="65"/>
      <c r="O19" s="72" t="s">
        <v>65</v>
      </c>
      <c r="P19" s="66"/>
      <c r="Q19" s="66"/>
      <c r="AG19" s="15">
        <v>43221</v>
      </c>
    </row>
    <row r="20" spans="1:33" s="147" customFormat="1" ht="18.75">
      <c r="A20" s="14"/>
      <c r="B20" s="62"/>
      <c r="C20" s="62"/>
      <c r="D20" s="56"/>
      <c r="E20" s="56"/>
      <c r="F20" s="56"/>
      <c r="G20" s="56"/>
      <c r="H20" s="70"/>
      <c r="I20" s="56"/>
      <c r="J20" s="56"/>
      <c r="K20" s="56"/>
      <c r="L20" s="50"/>
      <c r="M20" s="68"/>
      <c r="N20" s="65"/>
      <c r="O20" s="72" t="s">
        <v>66</v>
      </c>
      <c r="P20" s="66"/>
      <c r="Q20" s="66"/>
      <c r="AG20" s="15">
        <v>43252</v>
      </c>
    </row>
    <row r="21" spans="1:33" ht="30.95" customHeight="1">
      <c r="A21" s="14"/>
      <c r="B21" s="161" t="s">
        <v>87</v>
      </c>
      <c r="C21" s="162"/>
      <c r="D21" s="61" t="s">
        <v>55</v>
      </c>
      <c r="E21" s="56"/>
      <c r="F21" s="151" t="s">
        <v>122</v>
      </c>
      <c r="G21" s="61">
        <v>3000</v>
      </c>
      <c r="H21" s="70"/>
      <c r="I21" s="163" t="s">
        <v>121</v>
      </c>
      <c r="J21" s="164"/>
      <c r="K21" s="61">
        <v>3200</v>
      </c>
      <c r="L21" s="50"/>
      <c r="M21" s="68"/>
      <c r="N21" s="65"/>
      <c r="O21" s="72" t="s">
        <v>65</v>
      </c>
      <c r="P21" s="66"/>
      <c r="Q21" s="66"/>
      <c r="AG21" s="15">
        <v>43282</v>
      </c>
    </row>
    <row r="22" spans="1:33" ht="18.7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63"/>
      <c r="N22" s="63"/>
      <c r="O22" s="72" t="s">
        <v>66</v>
      </c>
      <c r="P22" s="63"/>
      <c r="Q22" s="63"/>
      <c r="AG22" s="15">
        <v>43313</v>
      </c>
    </row>
    <row r="23" spans="1:33" s="147" customFormat="1" ht="32.1" customHeight="1">
      <c r="A23" s="14"/>
      <c r="B23" s="154" t="s">
        <v>126</v>
      </c>
      <c r="C23" s="155"/>
      <c r="D23" s="61" t="s">
        <v>55</v>
      </c>
      <c r="E23" s="14"/>
      <c r="F23" s="73" t="s">
        <v>127</v>
      </c>
      <c r="G23" s="74">
        <v>44287</v>
      </c>
      <c r="H23" s="14"/>
      <c r="I23" s="156" t="s">
        <v>123</v>
      </c>
      <c r="J23" s="157"/>
      <c r="K23" s="61">
        <v>5000</v>
      </c>
      <c r="L23" s="14"/>
      <c r="M23" s="63"/>
      <c r="N23" s="63"/>
      <c r="O23" s="72" t="s">
        <v>67</v>
      </c>
      <c r="P23" s="63"/>
      <c r="Q23" s="63"/>
      <c r="AG23" s="15">
        <v>43344</v>
      </c>
    </row>
    <row r="24" spans="1:33" s="147" customFormat="1" ht="18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63"/>
      <c r="N24" s="63"/>
      <c r="O24" s="72" t="s">
        <v>68</v>
      </c>
      <c r="P24" s="63"/>
      <c r="Q24" s="63"/>
      <c r="AG24" s="15">
        <v>43374</v>
      </c>
    </row>
    <row r="25" spans="1:33" s="94" customFormat="1" ht="45" customHeight="1">
      <c r="A25" s="14"/>
      <c r="B25" s="154" t="s">
        <v>95</v>
      </c>
      <c r="C25" s="155"/>
      <c r="D25" s="61" t="s">
        <v>55</v>
      </c>
      <c r="E25" s="14"/>
      <c r="F25" s="73" t="s">
        <v>96</v>
      </c>
      <c r="G25" s="74">
        <v>44287</v>
      </c>
      <c r="H25" s="14"/>
      <c r="I25" s="156" t="s">
        <v>97</v>
      </c>
      <c r="J25" s="157"/>
      <c r="K25" s="61">
        <v>41100</v>
      </c>
      <c r="L25" s="14"/>
      <c r="M25" s="63"/>
      <c r="N25" s="63"/>
      <c r="O25" s="72" t="s">
        <v>69</v>
      </c>
      <c r="P25" s="63"/>
      <c r="Q25" s="63"/>
      <c r="AG25" s="15">
        <v>43405</v>
      </c>
    </row>
    <row r="26" spans="1:33" ht="18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63"/>
      <c r="N26" s="63"/>
      <c r="O26" s="72" t="s">
        <v>70</v>
      </c>
      <c r="P26" s="63"/>
      <c r="Q26" s="63"/>
      <c r="AG26" s="15">
        <v>43435</v>
      </c>
    </row>
    <row r="27" spans="1:33" s="124" customFormat="1" ht="36.75" customHeight="1">
      <c r="A27" s="14"/>
      <c r="B27" s="159" t="s">
        <v>119</v>
      </c>
      <c r="C27" s="160"/>
      <c r="D27" s="61" t="s">
        <v>55</v>
      </c>
      <c r="E27" s="14"/>
      <c r="F27" s="73" t="s">
        <v>118</v>
      </c>
      <c r="G27" s="148">
        <v>3</v>
      </c>
      <c r="H27" s="14"/>
      <c r="I27" s="14"/>
      <c r="J27" s="14"/>
      <c r="K27" s="14"/>
      <c r="L27" s="14"/>
      <c r="M27" s="63"/>
      <c r="N27" s="63"/>
      <c r="O27" s="72" t="s">
        <v>71</v>
      </c>
      <c r="P27" s="63"/>
      <c r="Q27" s="63"/>
      <c r="AG27" s="15">
        <v>43466</v>
      </c>
    </row>
    <row r="28" spans="1:33" s="124" customFormat="1" ht="18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63"/>
      <c r="N28" s="63"/>
      <c r="O28" s="72" t="s">
        <v>72</v>
      </c>
      <c r="P28" s="63"/>
      <c r="Q28" s="63"/>
      <c r="AG28" s="15">
        <v>43497</v>
      </c>
    </row>
    <row r="29" spans="1:33" s="52" customFormat="1" ht="24.75" customHeight="1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72" t="s">
        <v>73</v>
      </c>
      <c r="P29" s="63"/>
      <c r="Q29" s="63"/>
      <c r="AG29" s="15">
        <v>43525</v>
      </c>
    </row>
    <row r="30" spans="1:33" s="52" customFormat="1" ht="24.75" customHeight="1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72" t="s">
        <v>74</v>
      </c>
      <c r="P30" s="63"/>
      <c r="Q30" s="63"/>
      <c r="AG30" s="15">
        <v>43556</v>
      </c>
    </row>
    <row r="31" spans="1:33" s="52" customFormat="1" ht="24.75" customHeight="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72" t="s">
        <v>75</v>
      </c>
      <c r="P31" s="63"/>
      <c r="Q31" s="63"/>
      <c r="AG31" s="15">
        <v>43586</v>
      </c>
    </row>
    <row r="32" spans="1:33" s="52" customFormat="1" ht="24.75" customHeight="1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72" t="s">
        <v>76</v>
      </c>
      <c r="P32" s="63"/>
      <c r="Q32" s="63"/>
      <c r="AG32" s="15">
        <v>43617</v>
      </c>
    </row>
    <row r="33" spans="1:33" s="52" customFormat="1" ht="24.75" customHeight="1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72" t="s">
        <v>80</v>
      </c>
      <c r="P33" s="63"/>
      <c r="Q33" s="63"/>
      <c r="AG33" s="15">
        <v>43647</v>
      </c>
    </row>
    <row r="34" spans="1:33" s="52" customFormat="1" ht="24.75" customHeight="1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72" t="s">
        <v>78</v>
      </c>
      <c r="P34" s="63"/>
      <c r="Q34" s="63"/>
      <c r="AG34" s="15">
        <v>43678</v>
      </c>
    </row>
    <row r="35" spans="1:33" s="52" customFormat="1" ht="24.75" customHeight="1">
      <c r="A35" s="63"/>
      <c r="B35" s="63"/>
      <c r="C35" s="218" t="s">
        <v>131</v>
      </c>
      <c r="D35" s="218"/>
      <c r="E35" s="168" t="s">
        <v>98</v>
      </c>
      <c r="F35" s="168"/>
      <c r="G35" s="168"/>
      <c r="H35" s="63"/>
      <c r="I35" s="63"/>
      <c r="J35" s="63"/>
      <c r="K35" s="63"/>
      <c r="L35" s="63"/>
      <c r="M35" s="63"/>
      <c r="N35" s="63"/>
      <c r="O35" s="72" t="s">
        <v>77</v>
      </c>
      <c r="P35" s="63"/>
      <c r="Q35" s="63"/>
      <c r="AG35" s="15">
        <v>43709</v>
      </c>
    </row>
    <row r="36" spans="1:33" ht="23.25" customHeight="1">
      <c r="A36" s="63"/>
      <c r="B36" s="63"/>
      <c r="C36" s="221" t="s">
        <v>129</v>
      </c>
      <c r="D36" s="222"/>
      <c r="E36" s="169" t="s">
        <v>81</v>
      </c>
      <c r="F36" s="169"/>
      <c r="G36" s="169"/>
      <c r="H36" s="63"/>
      <c r="I36" s="63"/>
      <c r="J36" s="63"/>
      <c r="K36" s="63"/>
      <c r="L36" s="63"/>
      <c r="M36" s="63"/>
      <c r="N36" s="63"/>
      <c r="O36" s="72" t="s">
        <v>94</v>
      </c>
      <c r="P36" s="63"/>
      <c r="Q36" s="63"/>
      <c r="AG36" s="15">
        <v>43739</v>
      </c>
    </row>
    <row r="37" spans="1:33" s="52" customFormat="1" ht="23.25" customHeight="1">
      <c r="A37" s="63"/>
      <c r="B37" s="63"/>
      <c r="C37" s="63"/>
      <c r="D37" s="63"/>
      <c r="E37" s="170" t="s">
        <v>100</v>
      </c>
      <c r="F37" s="170"/>
      <c r="G37" s="170"/>
      <c r="H37" s="63"/>
      <c r="I37" s="63"/>
      <c r="J37" s="63"/>
      <c r="K37" s="63"/>
      <c r="L37" s="63"/>
      <c r="M37" s="63"/>
      <c r="N37" s="63"/>
      <c r="O37" s="72" t="s">
        <v>79</v>
      </c>
      <c r="P37" s="63"/>
      <c r="Q37" s="63"/>
      <c r="AG37" s="15">
        <v>43770</v>
      </c>
    </row>
    <row r="38" spans="1:33" s="52" customFormat="1" ht="23.25" customHeight="1">
      <c r="A38" s="63"/>
      <c r="B38" s="63"/>
      <c r="C38" s="218" t="s">
        <v>132</v>
      </c>
      <c r="D38" s="218"/>
      <c r="E38" s="171" t="s">
        <v>99</v>
      </c>
      <c r="F38" s="171"/>
      <c r="G38" s="171"/>
      <c r="H38" s="63"/>
      <c r="I38" s="63"/>
      <c r="J38" s="63"/>
      <c r="K38" s="63"/>
      <c r="L38" s="63"/>
      <c r="M38" s="63"/>
      <c r="N38" s="63"/>
      <c r="O38" s="72"/>
      <c r="P38" s="63"/>
      <c r="Q38" s="63"/>
      <c r="AG38" s="15">
        <v>43800</v>
      </c>
    </row>
    <row r="39" spans="1:33" s="52" customFormat="1" ht="23.25" customHeight="1">
      <c r="A39" s="63"/>
      <c r="B39" s="63"/>
      <c r="C39" s="219" t="s">
        <v>133</v>
      </c>
      <c r="D39" s="220"/>
      <c r="E39" s="158" t="s">
        <v>101</v>
      </c>
      <c r="F39" s="158"/>
      <c r="G39" s="158"/>
      <c r="H39" s="63"/>
      <c r="I39" s="63"/>
      <c r="J39" s="63"/>
      <c r="K39" s="63"/>
      <c r="L39" s="63"/>
      <c r="M39" s="63"/>
      <c r="N39" s="63"/>
      <c r="O39" s="72"/>
      <c r="P39" s="63"/>
      <c r="Q39" s="63"/>
      <c r="AG39" s="15">
        <v>43831</v>
      </c>
    </row>
    <row r="40" spans="1:33" s="52" customFormat="1" ht="23.25" customHeight="1">
      <c r="A40" s="63"/>
      <c r="B40" s="63"/>
      <c r="C40" s="63"/>
      <c r="D40" s="63"/>
      <c r="E40" s="165" t="s">
        <v>102</v>
      </c>
      <c r="F40" s="166"/>
      <c r="G40" s="166"/>
      <c r="H40" s="63"/>
      <c r="I40" s="63"/>
      <c r="J40" s="63"/>
      <c r="K40" s="63"/>
      <c r="L40" s="63"/>
      <c r="M40" s="63"/>
      <c r="N40" s="63"/>
      <c r="O40" s="72"/>
      <c r="P40" s="63"/>
      <c r="Q40" s="63"/>
      <c r="AG40" s="15">
        <v>43862</v>
      </c>
    </row>
    <row r="41" spans="1:33" s="52" customFormat="1" ht="23.25" customHeight="1">
      <c r="A41" s="63"/>
      <c r="B41" s="63"/>
      <c r="C41" s="63"/>
      <c r="D41" s="63"/>
      <c r="E41" s="167"/>
      <c r="F41" s="167"/>
      <c r="G41" s="167"/>
      <c r="H41" s="63"/>
      <c r="I41" s="63"/>
      <c r="J41" s="63"/>
      <c r="K41" s="63"/>
      <c r="L41" s="63"/>
      <c r="M41" s="63"/>
      <c r="N41" s="63"/>
      <c r="O41" s="72"/>
      <c r="P41" s="63"/>
      <c r="Q41" s="63"/>
      <c r="AG41" s="15">
        <v>43891</v>
      </c>
    </row>
    <row r="42" spans="1:33" s="52" customFormat="1" ht="23.25" customHeight="1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AG42" s="15">
        <v>43922</v>
      </c>
    </row>
    <row r="43" spans="1:33" s="52" customFormat="1" ht="23.25" customHeight="1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AG43" s="15">
        <v>43952</v>
      </c>
    </row>
    <row r="44" spans="1:33" ht="18" hidden="1" customHeight="1">
      <c r="AG44" s="15">
        <v>43983</v>
      </c>
    </row>
    <row r="45" spans="1:33" ht="18" hidden="1" customHeight="1">
      <c r="AG45" s="15">
        <v>44013</v>
      </c>
    </row>
    <row r="46" spans="1:33" ht="18" hidden="1" customHeight="1">
      <c r="AG46" s="15">
        <v>44044</v>
      </c>
    </row>
    <row r="47" spans="1:33" ht="18" hidden="1" customHeight="1">
      <c r="AG47" s="15">
        <v>44075</v>
      </c>
    </row>
    <row r="48" spans="1:33" ht="18" hidden="1" customHeight="1">
      <c r="AG48" s="15">
        <v>44105</v>
      </c>
    </row>
    <row r="49" spans="33:33" ht="18" hidden="1" customHeight="1">
      <c r="AG49" s="15">
        <v>44136</v>
      </c>
    </row>
    <row r="50" spans="33:33" ht="18" hidden="1" customHeight="1">
      <c r="AG50" s="15">
        <v>44166</v>
      </c>
    </row>
    <row r="51" spans="33:33" ht="18" hidden="1" customHeight="1">
      <c r="AG51" s="15">
        <v>44197</v>
      </c>
    </row>
    <row r="52" spans="33:33" ht="18" hidden="1" customHeight="1">
      <c r="AG52" s="15">
        <v>44228</v>
      </c>
    </row>
    <row r="53" spans="33:33" ht="18" hidden="1" customHeight="1">
      <c r="AG53" s="15">
        <v>44256</v>
      </c>
    </row>
    <row r="54" spans="33:33" ht="18" hidden="1" customHeight="1">
      <c r="AG54" s="15">
        <v>44287</v>
      </c>
    </row>
    <row r="55" spans="33:33" ht="18" hidden="1" customHeight="1">
      <c r="AG55" s="15">
        <v>44317</v>
      </c>
    </row>
    <row r="56" spans="33:33" ht="18" hidden="1" customHeight="1">
      <c r="AG56" s="15">
        <v>44348</v>
      </c>
    </row>
    <row r="57" spans="33:33" ht="18" hidden="1" customHeight="1">
      <c r="AG57" s="15">
        <v>44378</v>
      </c>
    </row>
    <row r="58" spans="33:33" ht="18" hidden="1" customHeight="1">
      <c r="AG58" s="15">
        <v>44409</v>
      </c>
    </row>
    <row r="59" spans="33:33" ht="18" hidden="1" customHeight="1">
      <c r="AG59" s="15">
        <v>44440</v>
      </c>
    </row>
    <row r="60" spans="33:33" ht="18" hidden="1" customHeight="1">
      <c r="AG60" s="15">
        <v>44470</v>
      </c>
    </row>
    <row r="61" spans="33:33" ht="18" hidden="1" customHeight="1">
      <c r="AG61" s="15">
        <v>44501</v>
      </c>
    </row>
    <row r="62" spans="33:33" ht="18" hidden="1" customHeight="1">
      <c r="AG62" s="15">
        <v>44531</v>
      </c>
    </row>
    <row r="63" spans="33:33" ht="18" hidden="1" customHeight="1"/>
  </sheetData>
  <sheetProtection password="C1FB" sheet="1" objects="1" scenarios="1" selectLockedCells="1"/>
  <mergeCells count="38">
    <mergeCell ref="J1:K1"/>
    <mergeCell ref="J2:K2"/>
    <mergeCell ref="I13:J13"/>
    <mergeCell ref="B13:C13"/>
    <mergeCell ref="I17:J17"/>
    <mergeCell ref="D1:I1"/>
    <mergeCell ref="O7:P7"/>
    <mergeCell ref="B17:C17"/>
    <mergeCell ref="D3:K3"/>
    <mergeCell ref="B11:C11"/>
    <mergeCell ref="I11:J11"/>
    <mergeCell ref="I15:J15"/>
    <mergeCell ref="B15:F15"/>
    <mergeCell ref="B16:C16"/>
    <mergeCell ref="I5:J5"/>
    <mergeCell ref="B9:C9"/>
    <mergeCell ref="I7:J7"/>
    <mergeCell ref="I9:J9"/>
    <mergeCell ref="E40:G40"/>
    <mergeCell ref="E41:G41"/>
    <mergeCell ref="E35:G35"/>
    <mergeCell ref="E36:G36"/>
    <mergeCell ref="E37:G37"/>
    <mergeCell ref="E38:G38"/>
    <mergeCell ref="B19:C19"/>
    <mergeCell ref="I19:J19"/>
    <mergeCell ref="B23:C23"/>
    <mergeCell ref="I23:J23"/>
    <mergeCell ref="E39:G39"/>
    <mergeCell ref="B27:C27"/>
    <mergeCell ref="B25:C25"/>
    <mergeCell ref="I25:J25"/>
    <mergeCell ref="B21:C21"/>
    <mergeCell ref="I21:J21"/>
    <mergeCell ref="C35:D35"/>
    <mergeCell ref="C36:D36"/>
    <mergeCell ref="C38:D38"/>
    <mergeCell ref="C39:D39"/>
  </mergeCells>
  <conditionalFormatting sqref="G21">
    <cfRule type="expression" dxfId="47" priority="118" stopIfTrue="1">
      <formula>$D21=""</formula>
    </cfRule>
    <cfRule type="expression" dxfId="46" priority="119" stopIfTrue="1">
      <formula>$D21="NO"</formula>
    </cfRule>
  </conditionalFormatting>
  <conditionalFormatting sqref="K21">
    <cfRule type="expression" dxfId="45" priority="116" stopIfTrue="1">
      <formula>$D21=""</formula>
    </cfRule>
    <cfRule type="expression" dxfId="44" priority="117" stopIfTrue="1">
      <formula>$D21="NO"</formula>
    </cfRule>
  </conditionalFormatting>
  <conditionalFormatting sqref="G17">
    <cfRule type="expression" dxfId="43" priority="112" stopIfTrue="1">
      <formula>$D17=""</formula>
    </cfRule>
    <cfRule type="expression" dxfId="42" priority="113" stopIfTrue="1">
      <formula>$D17="NO"</formula>
    </cfRule>
  </conditionalFormatting>
  <conditionalFormatting sqref="K17">
    <cfRule type="expression" dxfId="41" priority="108" stopIfTrue="1">
      <formula>$D17=""</formula>
    </cfRule>
    <cfRule type="expression" dxfId="40" priority="109" stopIfTrue="1">
      <formula>$D17="NO"</formula>
    </cfRule>
  </conditionalFormatting>
  <conditionalFormatting sqref="K15">
    <cfRule type="expression" dxfId="39" priority="32" stopIfTrue="1">
      <formula>$G15=""</formula>
    </cfRule>
    <cfRule type="expression" dxfId="38" priority="33" stopIfTrue="1">
      <formula>$G15="NO"</formula>
    </cfRule>
  </conditionalFormatting>
  <conditionalFormatting sqref="G11">
    <cfRule type="expression" dxfId="37" priority="30" stopIfTrue="1">
      <formula>$D11=""</formula>
    </cfRule>
    <cfRule type="expression" dxfId="36" priority="31" stopIfTrue="1">
      <formula>$D11="Regular Pay"</formula>
    </cfRule>
  </conditionalFormatting>
  <conditionalFormatting sqref="K11">
    <cfRule type="expression" dxfId="35" priority="28" stopIfTrue="1">
      <formula>$D11=""</formula>
    </cfRule>
    <cfRule type="expression" dxfId="34" priority="29" stopIfTrue="1">
      <formula>$D11="Fix Pay"</formula>
    </cfRule>
  </conditionalFormatting>
  <conditionalFormatting sqref="G13">
    <cfRule type="expression" dxfId="33" priority="25" stopIfTrue="1">
      <formula>$D$13=""</formula>
    </cfRule>
  </conditionalFormatting>
  <conditionalFormatting sqref="E25:L25">
    <cfRule type="expression" dxfId="32" priority="23" stopIfTrue="1">
      <formula>$D25=""</formula>
    </cfRule>
    <cfRule type="expression" dxfId="31" priority="24" stopIfTrue="1">
      <formula>$D25="NO"</formula>
    </cfRule>
  </conditionalFormatting>
  <conditionalFormatting sqref="E27:F27 H27:L27">
    <cfRule type="expression" dxfId="30" priority="21" stopIfTrue="1">
      <formula>$D27=""</formula>
    </cfRule>
    <cfRule type="expression" dxfId="29" priority="22" stopIfTrue="1">
      <formula>$D27="NO"</formula>
    </cfRule>
  </conditionalFormatting>
  <conditionalFormatting sqref="F27">
    <cfRule type="expression" dxfId="28" priority="19" stopIfTrue="1">
      <formula>$D27=""</formula>
    </cfRule>
    <cfRule type="expression" dxfId="27" priority="20" stopIfTrue="1">
      <formula>$D27="NO"</formula>
    </cfRule>
  </conditionalFormatting>
  <conditionalFormatting sqref="G27">
    <cfRule type="expression" dxfId="26" priority="17" stopIfTrue="1">
      <formula>$D27=""</formula>
    </cfRule>
    <cfRule type="expression" dxfId="25" priority="18" stopIfTrue="1">
      <formula>$D27="NO"</formula>
    </cfRule>
  </conditionalFormatting>
  <conditionalFormatting sqref="F19">
    <cfRule type="expression" dxfId="24" priority="15" stopIfTrue="1">
      <formula>$D19=""</formula>
    </cfRule>
    <cfRule type="expression" dxfId="23" priority="16" stopIfTrue="1">
      <formula>$D19="NO"</formula>
    </cfRule>
  </conditionalFormatting>
  <conditionalFormatting sqref="G19">
    <cfRule type="expression" dxfId="22" priority="13" stopIfTrue="1">
      <formula>$D19=""</formula>
    </cfRule>
    <cfRule type="expression" dxfId="21" priority="14" stopIfTrue="1">
      <formula>$D19="NO"</formula>
    </cfRule>
  </conditionalFormatting>
  <conditionalFormatting sqref="I19:J19">
    <cfRule type="expression" dxfId="20" priority="11" stopIfTrue="1">
      <formula>$D19=""</formula>
    </cfRule>
    <cfRule type="expression" dxfId="19" priority="12" stopIfTrue="1">
      <formula>$D19="NO"</formula>
    </cfRule>
  </conditionalFormatting>
  <conditionalFormatting sqref="K19">
    <cfRule type="expression" dxfId="18" priority="9" stopIfTrue="1">
      <formula>$D19=""</formula>
    </cfRule>
    <cfRule type="expression" dxfId="17" priority="10" stopIfTrue="1">
      <formula>$D19="NO"</formula>
    </cfRule>
  </conditionalFormatting>
  <conditionalFormatting sqref="F23">
    <cfRule type="expression" dxfId="16" priority="7" stopIfTrue="1">
      <formula>$D23=""</formula>
    </cfRule>
    <cfRule type="expression" dxfId="15" priority="8" stopIfTrue="1">
      <formula>$D23="NO"</formula>
    </cfRule>
  </conditionalFormatting>
  <conditionalFormatting sqref="G23">
    <cfRule type="expression" dxfId="14" priority="5" stopIfTrue="1">
      <formula>$D23=""</formula>
    </cfRule>
    <cfRule type="expression" dxfId="13" priority="6" stopIfTrue="1">
      <formula>$D23="NO"</formula>
    </cfRule>
  </conditionalFormatting>
  <conditionalFormatting sqref="I23:J23">
    <cfRule type="expression" dxfId="12" priority="3" stopIfTrue="1">
      <formula>$D23=""</formula>
    </cfRule>
    <cfRule type="expression" dxfId="11" priority="4" stopIfTrue="1">
      <formula>$D23="NO"</formula>
    </cfRule>
  </conditionalFormatting>
  <conditionalFormatting sqref="K23">
    <cfRule type="expression" dxfId="10" priority="1" stopIfTrue="1">
      <formula>$D23=""</formula>
    </cfRule>
    <cfRule type="expression" dxfId="9" priority="2" stopIfTrue="1">
      <formula>$D23="NO"</formula>
    </cfRule>
  </conditionalFormatting>
  <dataValidations count="16">
    <dataValidation type="custom" allowBlank="1" showInputMessage="1" showErrorMessage="1" errorTitle="Select SI Ded. &quot;YES&quot;" error="पहले राज्य बीमा की कटोती में yes सेलेक्ट करे " sqref="K17 G17">
      <formula1>$D17="YES"</formula1>
    </dataValidation>
    <dataValidation type="custom" allowBlank="1" showInputMessage="1" showErrorMessage="1" errorTitle="Select GPF Ded. &quot;YES&quot;" error="पहले जीपीएफ की कटोती में yes सेलेक्ट करे " sqref="K21 G21">
      <formula1>$D21="YES"</formula1>
    </dataValidation>
    <dataValidation type="custom" allowBlank="1" showInputMessage="1" showErrorMessage="1" errorTitle="Select प्रीवियस service &quot;YES&quot;" error="पहले पूर्व राजकीय सेवा वाले कॉलम में yes सेलेक्ट करे " sqref="K15">
      <formula1>$G15="YES"</formula1>
    </dataValidation>
    <dataValidation type="custom" allowBlank="1" showInputMessage="1" showErrorMessage="1" errorTitle="Select Fix Pay" error="कार्मिक का वेतन नियमित है, इसलिए यहाँ राशि नहीं लिखी जाएगी  " sqref="G11">
      <formula1>$D11="Fix Pay"</formula1>
    </dataValidation>
    <dataValidation type="custom" allowBlank="1" showInputMessage="1" showErrorMessage="1" errorTitle="Select Regular Pay" error="कार्मिक फिक्स वेतन पर  है, इसलिए यहाँ राशि नहीं लिखी जाएगी  " sqref="K11">
      <formula1>$D11="Regular Pay"</formula1>
    </dataValidation>
    <dataValidation type="custom" allowBlank="1" showInputMessage="1" showErrorMessage="1" errorTitle="Select  &quot;YES&quot;" error="पहले वेतन वृद्धि वाले कॉलम  में yes सेलेक्ट करे " sqref="K25 K19 K23">
      <formula1>$D19="YES"</formula1>
    </dataValidation>
    <dataValidation type="list" allowBlank="1" showInputMessage="1" showErrorMessage="1" sqref="D25 D27 D21 G15 D17 D19 D23">
      <formula1>"YES,NO"</formula1>
    </dataValidation>
    <dataValidation type="list" allowBlank="1" showInputMessage="1" showErrorMessage="1" sqref="G25 D9 G9 G19 G23">
      <formula1>month</formula1>
    </dataValidation>
    <dataValidation type="list" allowBlank="1" showInputMessage="1" showErrorMessage="1" sqref="G27">
      <formula1>"1,2,3,4,5"</formula1>
    </dataValidation>
    <dataValidation type="custom" allowBlank="1" showInputMessage="1" showErrorMessage="1" errorTitle="भाई साहब वेतन अंको में लिखना है" error="salary should be written in numbers" sqref="K9 K13">
      <formula1>ISNUMBER(K9)=TRUE</formula1>
    </dataValidation>
    <dataValidation type="list" allowBlank="1" showInputMessage="1" showErrorMessage="1" errorTitle="Select Pay" error="यहाँ पर नियमित या फिक्स वेतन में से सेलेक्ट करें " sqref="D11">
      <formula1>"Fix Pay,Regular Pay"</formula1>
    </dataValidation>
    <dataValidation type="date" allowBlank="1" showInputMessage="1" showErrorMessage="1" errorTitle="write Date format" error="आप इस शीट में 1-1-2017 व 31-12-2021 के मध्य किसी भी माह व दिनांक का arrear बना सकते हैं " sqref="D13">
      <formula1>42736</formula1>
      <formula2>44561</formula2>
    </dataValidation>
    <dataValidation type="list" allowBlank="1" showInputMessage="1" showErrorMessage="1" sqref="G7 G5">
      <formula1>post</formula1>
    </dataValidation>
    <dataValidation type="custom" allowBlank="1" showInputMessage="1" showErrorMessage="1" sqref="D7 D5">
      <formula1>ISTEXT(D5)=TRUE</formula1>
    </dataValidation>
    <dataValidation type="whole" allowBlank="1" showInputMessage="1" showErrorMessage="1" errorTitle="पे मैट्रिक्स लेवल " error="पे मैट्रिक्स लेवल 1 से 24 के मध्य ही है" sqref="K7">
      <formula1>1</formula1>
      <formula2>24</formula2>
    </dataValidation>
    <dataValidation type="custom" allowBlank="1" showInputMessage="1" showErrorMessage="1" sqref="K5">
      <formula1>ISNUMBER(K5)=TRUE</formula1>
    </dataValidation>
  </dataValidations>
  <hyperlinks>
    <hyperlink ref="E40" r:id="rId1"/>
    <hyperlink ref="C36" r:id="rId2"/>
    <hyperlink ref="C39" r:id="rId3"/>
    <hyperlink ref="J2" r:id="rId4"/>
  </hyperlinks>
  <pageMargins left="0.7" right="0.7" top="0.75" bottom="0.75" header="0.3" footer="0.3"/>
  <pageSetup orientation="portrait" r:id="rId5"/>
  <drawing r:id="rId6"/>
  <tableParts count="1"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C74"/>
  <sheetViews>
    <sheetView showGridLines="0" view="pageBreakPreview" zoomScaleSheetLayoutView="100" workbookViewId="0">
      <selection activeCell="AB16" sqref="AB16"/>
    </sheetView>
  </sheetViews>
  <sheetFormatPr defaultColWidth="9.125" defaultRowHeight="12.75"/>
  <cols>
    <col min="1" max="1" width="4.75" style="16" customWidth="1"/>
    <col min="2" max="2" width="8.625" style="45" customWidth="1"/>
    <col min="3" max="3" width="8.125" style="46" customWidth="1"/>
    <col min="4" max="14" width="6.625" style="46" customWidth="1"/>
    <col min="15" max="24" width="5.625" style="46" customWidth="1"/>
    <col min="25" max="25" width="7.625" style="16" customWidth="1"/>
    <col min="26" max="26" width="7.375" style="16" customWidth="1"/>
    <col min="27" max="34" width="9.125" style="16"/>
    <col min="35" max="35" width="9.125" style="16" customWidth="1"/>
    <col min="36" max="52" width="9.125" style="100" hidden="1" customWidth="1"/>
    <col min="53" max="55" width="9.125" style="16" hidden="1" customWidth="1"/>
    <col min="56" max="16384" width="9.125" style="16"/>
  </cols>
  <sheetData>
    <row r="1" spans="1:54" ht="22.5">
      <c r="B1" s="186" t="str">
        <f>IF('Master Sheet'!D3="","",CONCATENATE("Office ",'Master Sheet'!D3,))</f>
        <v>Office Mahtma Gandhi Government School (English Medium) Bar, PALI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M1" s="101">
        <v>43891</v>
      </c>
    </row>
    <row r="2" spans="1:54" ht="20.25">
      <c r="B2" s="187" t="s">
        <v>23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M2" s="100" t="str">
        <f>'Master Sheet'!D27</f>
        <v>NO</v>
      </c>
      <c r="AN2" s="100">
        <f>'Master Sheet'!G27</f>
        <v>3</v>
      </c>
      <c r="AO2" s="100">
        <f>IFERROR(IF(AN4="",0,MONTH(AN4)),"")</f>
        <v>1</v>
      </c>
      <c r="AQ2" s="100">
        <f>IF(AM4=AM3,29,IF(AO2=1,31,IF(AO2=2,28,IF(AO2=3,31,IF(AO2=4,30,IF(AO2=5,31,IF(AO2=6,30,IF(AO2=7,31,IF(AO2=8,31,IF(AO2=9,30,IF(AO2=10,31,IF(AO2=11,30,IF(AO2=12,31,0)))))))))))))</f>
        <v>31</v>
      </c>
      <c r="AS2" s="101">
        <v>42917</v>
      </c>
    </row>
    <row r="3" spans="1:54" s="17" customFormat="1" ht="24" customHeight="1">
      <c r="B3" s="190" t="s">
        <v>28</v>
      </c>
      <c r="C3" s="190"/>
      <c r="D3" s="190"/>
      <c r="E3" s="191" t="str">
        <f>IFERROR(UPPER('Master Sheet'!D7),"")</f>
        <v>HEERALAL JAT</v>
      </c>
      <c r="F3" s="191"/>
      <c r="G3" s="191"/>
      <c r="H3" s="191"/>
      <c r="I3" s="191"/>
      <c r="J3" s="191"/>
      <c r="K3" s="191"/>
      <c r="L3" s="193" t="s">
        <v>0</v>
      </c>
      <c r="M3" s="193"/>
      <c r="N3" s="192" t="str">
        <f>IFERROR(UPPER('Master Sheet'!G7),"")</f>
        <v>SR. TEACHER</v>
      </c>
      <c r="O3" s="192"/>
      <c r="P3" s="192"/>
      <c r="Q3" s="192"/>
      <c r="R3" s="192"/>
      <c r="S3" s="194" t="s">
        <v>29</v>
      </c>
      <c r="T3" s="194"/>
      <c r="U3" s="194"/>
      <c r="V3" s="199" t="str">
        <f>IFERROR(CONCATENATE("L - ",'Master Sheet'!K7),"")</f>
        <v>L - 11</v>
      </c>
      <c r="W3" s="199"/>
      <c r="X3" s="194" t="s">
        <v>90</v>
      </c>
      <c r="Y3" s="194"/>
      <c r="Z3" s="194"/>
      <c r="AA3" s="195" t="str">
        <f>IF($AM$18=$AM$20,"GPF","NPS")</f>
        <v>NPS</v>
      </c>
      <c r="AB3" s="195"/>
      <c r="AJ3" s="102"/>
      <c r="AK3" s="102">
        <f>MONTH(AO10)</f>
        <v>2</v>
      </c>
      <c r="AL3" s="102"/>
      <c r="AM3" s="104">
        <f>'Master Sheet'!D9</f>
        <v>42736</v>
      </c>
      <c r="AN3" s="102"/>
      <c r="AO3" s="102">
        <f>IFERROR(IF(AM6="",0,MONTH(AM6)),"")</f>
        <v>1</v>
      </c>
      <c r="AP3" s="102"/>
      <c r="AQ3" s="103">
        <f>IF(AM4=AM3,29,IF(AO2=1,31,IF(AO2=2,28,IF(AO2=3,31,IF(AO2=4,30,IF(AO2=5,31,IF(AO2=6,30,IF(AO2=7,31,IF(AO2=8,31,IF(AO2=9,30,IF(AO2=10,31,IF(AO2=11,30,IF(AO2=12,31,0)))))))))))))</f>
        <v>31</v>
      </c>
      <c r="AR3" s="102"/>
      <c r="AS3" s="101">
        <v>43282</v>
      </c>
      <c r="AT3" s="102"/>
      <c r="AU3" s="102"/>
      <c r="AV3" s="102"/>
      <c r="AW3" s="102"/>
      <c r="AX3" s="102"/>
      <c r="AY3" s="102"/>
      <c r="AZ3" s="102"/>
    </row>
    <row r="4" spans="1:54" s="17" customFormat="1" ht="24" customHeight="1">
      <c r="B4" s="190"/>
      <c r="C4" s="190"/>
      <c r="D4" s="190"/>
      <c r="E4" s="95"/>
      <c r="F4" s="18"/>
      <c r="G4" s="190" t="s">
        <v>30</v>
      </c>
      <c r="H4" s="190"/>
      <c r="I4" s="190"/>
      <c r="J4" s="190"/>
      <c r="K4" s="190"/>
      <c r="L4" s="190"/>
      <c r="M4" s="200">
        <f>IFERROR('Master Sheet'!D9,"")</f>
        <v>42736</v>
      </c>
      <c r="N4" s="200"/>
      <c r="O4" s="200"/>
      <c r="P4" s="19" t="s">
        <v>31</v>
      </c>
      <c r="Q4" s="200">
        <f>IFERROR('Master Sheet'!G9,"")</f>
        <v>44531</v>
      </c>
      <c r="R4" s="200"/>
      <c r="S4" s="200"/>
      <c r="T4" s="193" t="s">
        <v>32</v>
      </c>
      <c r="U4" s="193"/>
      <c r="V4" s="193"/>
      <c r="W4" s="198"/>
      <c r="X4" s="198"/>
      <c r="Y4" s="198"/>
      <c r="Z4" s="198"/>
      <c r="AA4" s="198"/>
      <c r="AB4" s="198"/>
      <c r="AJ4" s="102"/>
      <c r="AK4" s="102">
        <f>MONTH(AN6)</f>
        <v>12</v>
      </c>
      <c r="AL4" s="102"/>
      <c r="AM4" s="104">
        <v>43862</v>
      </c>
      <c r="AN4" s="104">
        <f>'Master Sheet'!D13</f>
        <v>42752</v>
      </c>
      <c r="AO4" s="102">
        <f>IFERROR(IF(AN4="",0,DAY(AN4)-1),"")</f>
        <v>16</v>
      </c>
      <c r="AP4" s="102"/>
      <c r="AQ4" s="102">
        <f>IFERROR(SUM(AQ3-AO4),"")</f>
        <v>15</v>
      </c>
      <c r="AR4" s="102"/>
      <c r="AS4" s="101">
        <v>43647</v>
      </c>
      <c r="AT4" s="102"/>
      <c r="AU4" s="102"/>
      <c r="AV4" s="102"/>
      <c r="AW4" s="102"/>
      <c r="AX4" s="102"/>
      <c r="AY4" s="102"/>
      <c r="AZ4" s="102"/>
    </row>
    <row r="5" spans="1:54" ht="9.75" customHeight="1"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21"/>
      <c r="O5" s="22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S5" s="101">
        <v>44013</v>
      </c>
    </row>
    <row r="6" spans="1:54" ht="24.75" customHeight="1">
      <c r="A6" s="189" t="s">
        <v>22</v>
      </c>
      <c r="B6" s="188" t="s">
        <v>1</v>
      </c>
      <c r="C6" s="188" t="s">
        <v>2</v>
      </c>
      <c r="D6" s="188"/>
      <c r="E6" s="188"/>
      <c r="F6" s="188"/>
      <c r="G6" s="188" t="s">
        <v>3</v>
      </c>
      <c r="H6" s="188"/>
      <c r="I6" s="188"/>
      <c r="J6" s="188"/>
      <c r="K6" s="188" t="s">
        <v>4</v>
      </c>
      <c r="L6" s="188"/>
      <c r="M6" s="188"/>
      <c r="N6" s="188"/>
      <c r="O6" s="188" t="str">
        <f>IF($AM$18=$AM$20,"GPF","NPS")</f>
        <v>NPS</v>
      </c>
      <c r="P6" s="188"/>
      <c r="Q6" s="188"/>
      <c r="R6" s="188" t="s">
        <v>5</v>
      </c>
      <c r="S6" s="188"/>
      <c r="T6" s="188"/>
      <c r="U6" s="188" t="s">
        <v>21</v>
      </c>
      <c r="V6" s="188"/>
      <c r="W6" s="188"/>
      <c r="X6" s="189" t="s">
        <v>6</v>
      </c>
      <c r="Y6" s="189" t="s">
        <v>7</v>
      </c>
      <c r="Z6" s="189" t="s">
        <v>8</v>
      </c>
      <c r="AA6" s="189" t="s">
        <v>9</v>
      </c>
      <c r="AB6" s="189" t="s">
        <v>10</v>
      </c>
      <c r="AK6" s="101">
        <v>44075</v>
      </c>
      <c r="AL6" s="101">
        <v>44105</v>
      </c>
      <c r="AM6" s="105">
        <f>IF('Master Sheet'!D9="","",'Master Sheet'!D9)</f>
        <v>42736</v>
      </c>
      <c r="AN6" s="106">
        <f>IF('Master Sheet'!G9="","",'Master Sheet'!G9)</f>
        <v>44531</v>
      </c>
      <c r="AO6" s="107">
        <f>IFERROR(IF(AN4="",0,DAY(AN4)-1),"")</f>
        <v>16</v>
      </c>
      <c r="AP6" s="107"/>
      <c r="AQ6" s="108">
        <f>IFERROR(SUM(AQ2-AO4),"")</f>
        <v>15</v>
      </c>
      <c r="AS6" s="101">
        <v>44378</v>
      </c>
    </row>
    <row r="7" spans="1:54" ht="45.75" customHeight="1">
      <c r="A7" s="189"/>
      <c r="B7" s="188"/>
      <c r="C7" s="79" t="s">
        <v>11</v>
      </c>
      <c r="D7" s="79" t="s">
        <v>12</v>
      </c>
      <c r="E7" s="79" t="s">
        <v>13</v>
      </c>
      <c r="F7" s="79" t="s">
        <v>14</v>
      </c>
      <c r="G7" s="79" t="s">
        <v>11</v>
      </c>
      <c r="H7" s="79" t="s">
        <v>12</v>
      </c>
      <c r="I7" s="79" t="s">
        <v>13</v>
      </c>
      <c r="J7" s="79" t="s">
        <v>14</v>
      </c>
      <c r="K7" s="79" t="s">
        <v>11</v>
      </c>
      <c r="L7" s="79" t="s">
        <v>12</v>
      </c>
      <c r="M7" s="79" t="s">
        <v>13</v>
      </c>
      <c r="N7" s="79" t="s">
        <v>14</v>
      </c>
      <c r="O7" s="79" t="s">
        <v>15</v>
      </c>
      <c r="P7" s="79" t="s">
        <v>16</v>
      </c>
      <c r="Q7" s="79" t="s">
        <v>17</v>
      </c>
      <c r="R7" s="79" t="s">
        <v>15</v>
      </c>
      <c r="S7" s="79" t="s">
        <v>16</v>
      </c>
      <c r="T7" s="79" t="s">
        <v>17</v>
      </c>
      <c r="U7" s="79" t="s">
        <v>15</v>
      </c>
      <c r="V7" s="79" t="s">
        <v>16</v>
      </c>
      <c r="W7" s="79" t="s">
        <v>17</v>
      </c>
      <c r="X7" s="189"/>
      <c r="Y7" s="189"/>
      <c r="Z7" s="189"/>
      <c r="AA7" s="189"/>
      <c r="AB7" s="189"/>
      <c r="AL7" s="101"/>
      <c r="AM7" s="109">
        <f>IF('Master Sheet'!K9="","",'Master Sheet'!K9)</f>
        <v>10</v>
      </c>
      <c r="AN7" s="107"/>
      <c r="AO7" s="110">
        <f>IF('Master Sheet'!K5="","",'Master Sheet'!K5)</f>
        <v>8</v>
      </c>
    </row>
    <row r="8" spans="1:54" s="31" customFormat="1" ht="21" customHeight="1">
      <c r="A8" s="82">
        <f>IF(LEN(B8)&gt;=2,1,0)</f>
        <v>1</v>
      </c>
      <c r="B8" s="83">
        <f>IFERROR(IF(AP9="","",AP9),"")</f>
        <v>42736</v>
      </c>
      <c r="C8" s="84">
        <f>IFERROR(IF(AQ9="","",AQ9),"")</f>
        <v>16355</v>
      </c>
      <c r="D8" s="84">
        <f>IFERROR(IF(AR9="","",AR9),"")</f>
        <v>654</v>
      </c>
      <c r="E8" s="84">
        <f>IFERROR(IF(OR(B8=$AK$16,B8=$AK$17,B8=$AK$18,B8=$AK$19,B8=$AK$20,B8=$AK$21,B8=$AK$22,B8=$AK$23,B8=$AK$24),0,IF(AS9="","",AS9)),"")</f>
        <v>0</v>
      </c>
      <c r="F8" s="84">
        <f>IF(B8="","",SUM(C8:E8))</f>
        <v>17009</v>
      </c>
      <c r="G8" s="84">
        <f>IFERROR(IF(AU9="","",AU9),"")</f>
        <v>15871</v>
      </c>
      <c r="H8" s="84">
        <f t="shared" ref="H8" si="0">IFERROR(IF(AV9="","",AV9),"")</f>
        <v>635</v>
      </c>
      <c r="I8" s="84">
        <f>IFERROR(IF(OR(B8=$AK$16,B8=$AK$17,B8=$AK$18,B8=$AK$19,B8=$AK$20,B8=$AK$21,B8=$AK$22,B8=$AK$23,B8=$AK$24),0,IF(AW9="","",AW9)),"")</f>
        <v>0</v>
      </c>
      <c r="J8" s="84">
        <f>IF(B8="","",SUM(G8:I8))</f>
        <v>16506</v>
      </c>
      <c r="K8" s="84">
        <f>IFERROR(IF(B8="","",IF(C8="","",IF(G8="","",SUM(C8-G8)))),"")</f>
        <v>484</v>
      </c>
      <c r="L8" s="84">
        <f>IFERROR(IF(B8="","",IF(D8="","",IF(H8="","",SUM(D8-H8)))),"")</f>
        <v>19</v>
      </c>
      <c r="M8" s="84">
        <f>IFERROR(IF(B8="","",IF(E8="","",IF(I8="","",SUM(E8-I8)))),"")</f>
        <v>0</v>
      </c>
      <c r="N8" s="84">
        <f>IFERROR(IF(B8="","",IF(F8="","",IF(J8="","",SUM(F8-J8)))),"")</f>
        <v>503</v>
      </c>
      <c r="O8" s="84">
        <f>IFERROR(IF(B8="","",IF($AM$18=$AM$20,AX9,ROUND((C8+D8)*10%,0))),"")</f>
        <v>1701</v>
      </c>
      <c r="P8" s="84">
        <f>IFERROR(IF(B8="","",IF(G8="","",IF(H8="","",IF($AM$18=$AM$20,$AM$21,ROUND((G8+H8)*10%,0))))),"")</f>
        <v>1651</v>
      </c>
      <c r="Q8" s="84">
        <f>IFERROR(IF(B8="","",SUM(O8-P8)),"")</f>
        <v>50</v>
      </c>
      <c r="R8" s="85">
        <f>IFERROR(IF(B8="","",IF($AM$16=$AM$17,0,IF($AM$19=$AM$20,$AM$25,0))),"")</f>
        <v>2100</v>
      </c>
      <c r="S8" s="85">
        <f>IFERROR(IF(B8="","",IF($AM$16=$AM$17,0,IF($AM$19=$AM$20,$AM$24,0))),"")</f>
        <v>2100</v>
      </c>
      <c r="T8" s="84">
        <f>IFERROR(IF(B8="","",SUM(R8-S8)),"")</f>
        <v>0</v>
      </c>
      <c r="U8" s="84" t="str">
        <f>IF(B8="","",IF(AND($AM$2=$AM$20,B8=$AM$1),ROUND(C8/31*$AN$2,0),IF(B8=$AK$6,ROUND((F8)*1/30,0),IF(B8=$AL$6,ROUND((F8)*1/31,0),""))))</f>
        <v/>
      </c>
      <c r="V8" s="84" t="str">
        <f>IF(B8="","",IF(AND($AM$2=$AM$20,B8=$AM$1),ROUND(G8/31*$AN$2,0),IF(B8=$AK$6,ROUND((J8)*1/30,0),IF(B8=$AL$6,ROUND((J8)*1/31,0),""))))</f>
        <v/>
      </c>
      <c r="W8" s="84" t="str">
        <f>IFERROR(IF(B8="","",SUM(U8-V8)),"")</f>
        <v/>
      </c>
      <c r="X8" s="84">
        <f>IFERROR(IF(B8="","",ROUND(N8*$AM$7%,0)),"")</f>
        <v>50</v>
      </c>
      <c r="Y8" s="84">
        <f>IFERROR(IF(B8="","",SUM(Q8,T8,W8,X8)),"")</f>
        <v>100</v>
      </c>
      <c r="Z8" s="86">
        <f>IFERROR(IF(B8="","",SUM(N8-Y8)),"")</f>
        <v>403</v>
      </c>
      <c r="AA8" s="87"/>
      <c r="AB8" s="88"/>
      <c r="AD8" s="32"/>
      <c r="AE8" s="33"/>
      <c r="AF8" s="33"/>
      <c r="AG8" s="33"/>
      <c r="AH8" s="33"/>
      <c r="AI8" s="32"/>
      <c r="AJ8" s="111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</row>
    <row r="9" spans="1:54" s="35" customFormat="1" ht="21" customHeight="1">
      <c r="A9" s="82">
        <f>IF(B9="TOTAL","",IF(LEN(B9)&gt;=2,A8+1,0))</f>
        <v>2</v>
      </c>
      <c r="B9" s="83">
        <f t="shared" ref="B9:B10" si="1">IFERROR(IF(AP10="","",AP10),"")</f>
        <v>42767</v>
      </c>
      <c r="C9" s="84">
        <f>IFERROR(IF($B9="TOTAL",SUM($C$8:C8),IF(AQ10="","",AQ10)),"")</f>
        <v>33800</v>
      </c>
      <c r="D9" s="84">
        <f>IFERROR(IF($B9="TOTAL",SUM($D$8:D8),IF(AR10="","",AR10)),"")</f>
        <v>1352</v>
      </c>
      <c r="E9" s="84">
        <f>IFERROR(IF($B9="TOTAL",SUM($E$8:E8),IF(OR(B9=$AK$16,B9=$AK$17,B9=$AK$18,B9=$AK$19,B9=$AK$20,B9=$AK$21,B9=$AK$22,B9=$AK$23,B9=$AK$24),0,IF(AS10="","",AS10))),"")</f>
        <v>0</v>
      </c>
      <c r="F9" s="84">
        <f t="shared" ref="F9" si="2">IF(B9="","",SUM(C9:E9))</f>
        <v>35152</v>
      </c>
      <c r="G9" s="84">
        <f>IFERROR(IF($B9="TOTAL",SUM($G$8:G8),IF(AU10="","",AU10)),"")</f>
        <v>32800</v>
      </c>
      <c r="H9" s="84">
        <f>IFERROR(IF($B9="TOTAL",SUM($H$8:H8),IF(AV10="","",AV10)),"")</f>
        <v>1312</v>
      </c>
      <c r="I9" s="84">
        <f>IFERROR(IF($B9="TOTAL",SUM($I$8:I8),IF(OR(B9=$AK$16,B9=$AK$17,B9=$AK$18,B9=$AK$19,B9=$AK$20,B9=$AK$21,B9=$AK$22,B9=$AK$23,B9=$AK$24),0,IF(AW10="","",AW10))),"")</f>
        <v>0</v>
      </c>
      <c r="J9" s="84">
        <f t="shared" ref="J9" si="3">IF(B9="","",SUM(G9:I9))</f>
        <v>34112</v>
      </c>
      <c r="K9" s="84">
        <f>IFERROR(IF(B9="","",IF(C9="","",IF(G9="","",IF($B9="TOTAL",SUM($K$8:K8),SUM(C9-G9))))),"")</f>
        <v>1000</v>
      </c>
      <c r="L9" s="84">
        <f>IFERROR(IF(B9="","",IF(D9="","",IF(H9="","",IF($B9="TOTAL",SUM($L$8:L8),SUM(D9-H9))))),"")</f>
        <v>40</v>
      </c>
      <c r="M9" s="84">
        <f>IFERROR(IF(B9="","",IF(E9="","",IF(I9="","",IF($B9="TOTAL",SUM($M$8:M8),SUM(E9-I9))))),"")</f>
        <v>0</v>
      </c>
      <c r="N9" s="84">
        <f t="shared" ref="N9" si="4">IFERROR(IF(B9="","",IF(F9="","",IF(J9="","",SUM(F9-J9)))),"")</f>
        <v>1040</v>
      </c>
      <c r="O9" s="84">
        <f>IFERROR(IF(B9="","",IF($B9="TOTAL",SUM($O$8:O8),IF($AM$18=$AM$20,AX10,ROUND((C9+D9)*10%,0)))),"")</f>
        <v>3515</v>
      </c>
      <c r="P9" s="84">
        <f>IFERROR(IF(B9="","",IF(G9="","",IF(H9="","",IF($B9="TOTAL",SUM($P$8:P8),IF($AM$18=$AM$20,$AM$21,ROUND((G9+H9)*10%,0)))))),"")</f>
        <v>3411</v>
      </c>
      <c r="Q9" s="84">
        <f t="shared" ref="Q9" si="5">IFERROR(IF(B9="","",SUM(O9-P9)),"")</f>
        <v>104</v>
      </c>
      <c r="R9" s="85">
        <f>IFERROR(IF(B9="","",IF($AM$16=$AM$17,0,IF($B9="TOTAL",SUM($R$8:R8),IF($AM$19=$AM$31,0,IF(AND($AM$32=$AM$20,B9=$AM$33),$AM$34,R8))))),"")</f>
        <v>2100</v>
      </c>
      <c r="S9" s="85">
        <f>IFERROR(IF(B9="","",IF($AM$16=$AM$17,0,IF($B9="TOTAL",SUM($S$8:S8),IF($AM$19=$AM$20,$AM$24,0)))),"")</f>
        <v>2100</v>
      </c>
      <c r="T9" s="84">
        <f>IFERROR(IF(B9="","",SUM(R9-S9)),"")</f>
        <v>0</v>
      </c>
      <c r="U9" s="84" t="str">
        <f>IF(B9="","",IF($B9="TOTAL",SUM($U$8:U8),IF(AND($AM$2=$AM$20,B9=$AM$1),ROUND(C9/31*$AN$2,0),IF(B9=$AK$6,ROUND((F9)*1/30,0),IF(B9=$AL$6,ROUND((F9)*1/31,0),"")))))</f>
        <v/>
      </c>
      <c r="V9" s="84" t="str">
        <f>IF(B9="","",IF($B9="TOTAL",SUM($V$8:V8),IF(AND($AM$2=$AM$20,B9=$AM$1),ROUND(G9/31*$AN$2,0),IF(B9=$AK$6,ROUND((J9)*1/30,0),IF(B9=$AL$6,ROUND((J9)*1/31,0),"")))))</f>
        <v/>
      </c>
      <c r="W9" s="84" t="str">
        <f t="shared" ref="W9" si="6">IFERROR(IF(B9="","",SUM(U9-V9)),"")</f>
        <v/>
      </c>
      <c r="X9" s="84">
        <f>IFERROR(IF(B9="","",IF($B9="TOTAL",SUM($X$8:X8),ROUND(N9*$AM$7%,0))),"")</f>
        <v>104</v>
      </c>
      <c r="Y9" s="84">
        <f>IFERROR(IF(B9="","",IF($B9="TOTAL",SUM($Y$8:Y8),SUM(Q9,T9,W9,X9))),"")</f>
        <v>208</v>
      </c>
      <c r="Z9" s="86">
        <f>IFERROR(IF(B9="","",IF($B9="TOTAL",SUM($Z$8:Z8),SUM(N9-Y9))),"")</f>
        <v>832</v>
      </c>
      <c r="AA9" s="87"/>
      <c r="AB9" s="87"/>
      <c r="AD9" s="6"/>
      <c r="AE9" s="6"/>
      <c r="AF9" s="6"/>
      <c r="AG9" s="6"/>
      <c r="AH9" s="6"/>
      <c r="AI9" s="6"/>
      <c r="AJ9" s="113">
        <f>IF(OR(AP9=$AL$9,AP9=$AL$10,AP9=$AL$11,AP9=$AL$12,AP9=$AL$13,AP9=$AL$14),4,IF(OR(AP9=$AL$15,AP9=$AL$16,AP9=$AL$17,AP9=$AL$18,AP9=$AL$19,AP9=$AL$20),5,IF(OR(AP9=$AL$21,AP9=$AL$22,AP9=$AL$23,AP9=$AL$24,AP9=$AL$25,AP9=$AL$26),7,IF(OR(AP9=$AL$27,AP9=$AL$28,AP9=$AL$29,AP9=$AL$30,AP9=$AL$31,AP9=$AL$32),9,IF(OR(AP9=$AL$33,AP9=$AL$34,AP9=$AL$35,AP9=$AL$36,AP9=$AL$37,AP9=$AL$38),12,17)))))</f>
        <v>4</v>
      </c>
      <c r="AK9" s="114"/>
      <c r="AL9" s="115">
        <v>42736</v>
      </c>
      <c r="AM9" s="114">
        <f>'Master Sheet'!K13</f>
        <v>33800</v>
      </c>
      <c r="AN9" s="115">
        <f>IF(AND($AM$6&gt;$AN$6),"",DATE(YEAR(AM6),MONTH(AM6),DAY(AM6)))</f>
        <v>42736</v>
      </c>
      <c r="AO9" s="115">
        <f>IF(AND(AN9=""),"",IF(AND(AN9=$AL$9),$AL$9,IF(AND(AN9=$AL$10),$AL$10,IF(AND(AN9=$AL$11),$AL$11,IF(AND(AN9=$AL$12),$AL$12,IF(AND(AN9=$AL$13),$AL$13,IF(AND(AN9=$AL$14),$AL$14,IF(AND(AN9=$AL$15),$AL$15,IF(AND(AN9=$AL$16),$AL$16,IF(AND(AN9=$AL$17),$AL$17,IF(AND(AN9=$AL$18),$AL$18,IF(AND(AN9=$AL$19),$AL$19,IF(AND(AN9=$AL$20),$AL$20,IF(AND(AN9=$AL$21),$AL$21,IF(AND(AN9=$AL$22),$AL$22,IF(AND(AN9=$AL$23),$AL$23,IF(AND(AN9=$AL$24),$AL$24,IF(AND(AN9=$AL$25),$AL$25,IF(AND(AN9=$AL$26),$AL$26,IF(AND(AN9=$AL$27),$AL$27,IF(AND(AN9=$AL$28),$AL$28,IF(AND(AN9=$AL$29),$AL$29,IF(AND(AN9=$AL$30),$AL$30,IF(AND(AN9=$AL$31),$AL$31,IF(AND(AN9=$AL$32),$AL$32,IF(AND(AN9=$AL$33),$AL$33,IF(AND(AN9=$AL$34),$AL$34,IF(AND(AN9=$AL$35),$AL$35,IF(AND(AN9=$AL$36),$AL$36,IF(AND(AN9=$AL$37),$AL$37,IF(AND(AN9=$AL$38),$AL$38,IF(AND(AN9=$AL$39),$AL$39,IF(AND(AN9=$AL$40),$AL$40,IF(AND(AN9=$AL$41),$AL$41,IF(AND(AN9=$AL$42),$AL$42,IF(AND(AN9=$AL$43),$AL$43,IF(AND(AN9=$AL$44),$AL$44,IF(AND(AN9=$AL$45),$AL$45,IF(AND(AN9=$AL$46),$AL$46,IF(AND(AN9=$AL$47),$AL$47,IF(AND(AN9=$AL$48),$AL$48,IF(AND(AN9=$AL$49),$AL$49,IF(AND(AN9=$AL$50),$AL$50,IF(AND(AN9=$AL$51),$AL$51,IF(AND(AN9=$AL$52),$AL$52,IF(AND(AN9=$AL$53),$AL$53,IF(AND(AN9=$AL$54),$AL$54,IF(AND(AN9=$AL$55),$AL$55,IF(AND(AN9=$AL$56),$AL$56,IF(AND(AN9=$AL$57),$AL$57,IF(AND(AN9=$AL$58),$AL$58,IF(AND(AN9=$AL$59),$AL$59,IF(AND(AN9=$AL$60),$AL$60,IF(AND(AN9=$AL$61),$AL$61,IF(AND(AN9=$AL$62),$AL$62,IF(AND(AN9=$AL$63),$AL$63,IF(AND(AN9=$AL$64),$AL$64,IF(AND(AN9=$AL$65),$AL$65,IF(AND(AN9=$AL$66),$AL$66,IF(AND(AN9=$AL$67),$AL$67,IF(AND(AN9=$AL$68),$AL$68,"")))))))))))))))))))))))))))))))))))))))))))))))))))))))))))))</f>
        <v>42736</v>
      </c>
      <c r="AP9" s="115">
        <f>IFERROR(IF(AO9="","",IF(AO9&gt;$AN$6,"",AO9)),"")</f>
        <v>42736</v>
      </c>
      <c r="AQ9" s="114">
        <f>IF(AP9="","",ROUND((AM9/AQ3)*AQ6,0))</f>
        <v>16355</v>
      </c>
      <c r="AR9" s="114">
        <f>IF(AP9="","",IF(AP9="TOTAL","",ROUND(AQ9*AJ9%,0)))</f>
        <v>654</v>
      </c>
      <c r="AS9" s="114">
        <f>IF(AP9="","",IF(AP9="TOTAL","",ROUND(AQ9*$AO$7%,0)))</f>
        <v>1308</v>
      </c>
      <c r="AT9" s="114"/>
      <c r="AU9" s="114">
        <f>IF(AP9="","",IF(AND($AM$10="",$AM$14=""),"",IF(AM26=AM20,ROUND((AM27/AQ3)*AQ6,0),IF($AM$13=$AM$15,ROUND(($AM$14/AQ3)*AQ6,0),ROUND(($AM$10/AQ3)*AQ6,0)))))</f>
        <v>15871</v>
      </c>
      <c r="AV9" s="114">
        <f>IF(AP9="","",IF(AU9="","",IF($AM$16=$AM$17,0,ROUND(AU9*AJ9%,0))))</f>
        <v>635</v>
      </c>
      <c r="AW9" s="114">
        <f>IF(AP9="","",IF(AU9="","",IF($AM$16=$AM$17,0,ROUND(AU9*$AO$7%,0))))</f>
        <v>1270</v>
      </c>
      <c r="AX9" s="114">
        <f>IF(AP9="","",IF(AP9="TOTAL","",IF(AU9="","",IF($AM$16=$AM$17,0,IF(OR(B8=$AK$16,B8=$AK$17,B8=$AK$18,B8=$AK$19,B8=$AK$20,B8=$AK$21,B8=$AK$22,B8=$AK$23,B8=$AK$24),SUM(BA9+$AM$22),$AM$22)))))</f>
        <v>3453</v>
      </c>
      <c r="AY9" s="114"/>
      <c r="AZ9" s="114"/>
      <c r="BA9" s="149">
        <f>IF(AP9="","",IF(AP9="TOTAL","",IF(AU9="","",SUM(N8)-SUM(($AM$22-$AM$21)+SUM(T8,W8,X8)))))</f>
        <v>253</v>
      </c>
      <c r="BB9" s="114">
        <f>IF(AP9="","",IF(AP9="TOTAL","",IF(AND($AM$20=$AM$36,B9=$AM$37),$AM$38,$AM$22)))</f>
        <v>3200</v>
      </c>
    </row>
    <row r="10" spans="1:54" s="35" customFormat="1" ht="21" customHeight="1">
      <c r="A10" s="82">
        <f t="shared" ref="A10:A68" si="7">IF(B10="TOTAL","",IF(LEN(B10)&gt;=2,A9+1,0))</f>
        <v>3</v>
      </c>
      <c r="B10" s="83">
        <f t="shared" si="1"/>
        <v>42795</v>
      </c>
      <c r="C10" s="84">
        <f>IFERROR(IF($B9="TOTAL","अक्षरें राशि :-",IF($B10="TOTAL",SUM($C$8:C9),IF(AQ11="","",AQ11))),"")</f>
        <v>33800</v>
      </c>
      <c r="D10" s="84">
        <f>IFERROR(IF($B10="TOTAL",SUM($D$8:D9),IF(AR11="","",AR11)),"")</f>
        <v>1352</v>
      </c>
      <c r="E10" s="84">
        <f>IFERROR(IF($B10="TOTAL",SUM($E$8:E9),IF(OR(B10=$AK$16,B10=$AK$17,B10=$AK$18,B10=$AK$19,B10=$AK$20,B10=$AK$21,B10=$AK$22,B10=$AK$23,B10=$AK$24),0,IF(AS11="","",AS11))),"")</f>
        <v>0</v>
      </c>
      <c r="F10" s="84">
        <f t="shared" ref="F10" si="8">IF(B10="","",SUM(C10:E10))</f>
        <v>35152</v>
      </c>
      <c r="G10" s="84">
        <f>IFERROR(IF($B10="TOTAL",SUM($G$8:G9),IF(AU11="","",AU11)),"")</f>
        <v>32800</v>
      </c>
      <c r="H10" s="84">
        <f>IFERROR(IF($B10="TOTAL",SUM($H$8:H9),IF(AV11="","",AV11)),"")</f>
        <v>1312</v>
      </c>
      <c r="I10" s="84">
        <f>IFERROR(IF($B10="TOTAL",SUM($I$8:I9),IF(OR(B10=$AK$16,B10=$AK$17,B10=$AK$18,B10=$AK$19,B10=$AK$20,B10=$AK$21,B10=$AK$22,B10=$AK$23,B10=$AK$24),0,IF(AW11="","",AW11))),"")</f>
        <v>0</v>
      </c>
      <c r="J10" s="84">
        <f t="shared" ref="J10:J68" si="9">IF(B10="","",SUM(G10:I10))</f>
        <v>34112</v>
      </c>
      <c r="K10" s="84">
        <f>IFERROR(IF(B10="","",IF(C10="","",IF(G10="","",IF($B10="TOTAL",SUM($K$8:K9),SUM(C10-G10))))),"")</f>
        <v>1000</v>
      </c>
      <c r="L10" s="84">
        <f>IFERROR(IF(B10="","",IF(D10="","",IF(H10="","",IF($B10="TOTAL",SUM($L$8:L9),SUM(D10-H10))))),"")</f>
        <v>40</v>
      </c>
      <c r="M10" s="84">
        <f>IFERROR(IF(B10="","",IF(E10="","",IF(I10="","",IF($B10="TOTAL",SUM($M$8:M9),SUM(E10-I10))))),"")</f>
        <v>0</v>
      </c>
      <c r="N10" s="84">
        <f t="shared" ref="N10:N68" si="10">IFERROR(IF(B10="","",IF(F10="","",IF(J10="","",SUM(F10-J10)))),"")</f>
        <v>1040</v>
      </c>
      <c r="O10" s="84">
        <f>IFERROR(IF(B10="","",IF($B10="TOTAL",SUM($O$8:O9),IF($AM$18=$AM$20,AX11,ROUND((C10+D10)*10%,0)))),"")</f>
        <v>3515</v>
      </c>
      <c r="P10" s="84">
        <f>IFERROR(IF(B10="","",IF(G10="","",IF(H10="","",IF($B10="TOTAL",SUM($P$8:P9),IF($AM$18=$AM$20,$AM$21,ROUND((G10+H10)*10%,0)))))),"")</f>
        <v>3411</v>
      </c>
      <c r="Q10" s="84">
        <f t="shared" ref="Q10:Q68" si="11">IFERROR(IF(B10="","",SUM(O10-P10)),"")</f>
        <v>104</v>
      </c>
      <c r="R10" s="85">
        <f>IFERROR(IF(B10="","",IF($AM$16=$AM$17,0,IF($B10="TOTAL",SUM($R$8:R9),IF($AM$19=$AM$31,0,IF(AND($AM$32=$AM$20,B10=$AM$33),$AM$34,R9))))),"")</f>
        <v>2100</v>
      </c>
      <c r="S10" s="85">
        <f>IFERROR(IF(B10="","",IF($AM$16=$AM$17,0,IF($B10="TOTAL",SUM($S$8:S9),IF($AM$19=$AM$20,$AM$24,0)))),"")</f>
        <v>2100</v>
      </c>
      <c r="T10" s="84">
        <f t="shared" ref="T10:T68" si="12">IFERROR(IF(B10="","",SUM(R10-S10)),"")</f>
        <v>0</v>
      </c>
      <c r="U10" s="84" t="str">
        <f>IF(B10="","",IF($B10="TOTAL",SUM($U$8:U9),IF(AND($AM$2=$AM$20,B10=$AM$1),ROUND(C10/31*$AN$2,0),IF(B10=$AK$6,ROUND((F10)*1/30,0),IF(B10=$AL$6,ROUND((F10)*1/31,0),"")))))</f>
        <v/>
      </c>
      <c r="V10" s="84" t="str">
        <f>IF(B10="","",IF($B10="TOTAL",SUM($V$8:V9),IF(AND($AM$2=$AM$20,B10=$AM$1),ROUND(G10/31*$AN$2,0),IF(B10=$AK$6,ROUND((J10)*1/30,0),IF(B10=$AL$6,ROUND((J10)*1/31,0),"")))))</f>
        <v/>
      </c>
      <c r="W10" s="84" t="str">
        <f t="shared" ref="W10:W68" si="13">IFERROR(IF(B10="","",SUM(U10-V10)),"")</f>
        <v/>
      </c>
      <c r="X10" s="84">
        <f>IFERROR(IF(B10="","",IF($B10="TOTAL",SUM($X$8:X9),ROUND(N10*$AM$7%,0))),"")</f>
        <v>104</v>
      </c>
      <c r="Y10" s="84">
        <f>IFERROR(IF(B10="","",IF($B10="TOTAL",SUM($Y$8:Y9),SUM(Q10,T10,W10,X10))),"")</f>
        <v>208</v>
      </c>
      <c r="Z10" s="86">
        <f>IFERROR(IF(B10="","",IF($B10="TOTAL",SUM($Z$8:Z9),SUM(N10-Y10))),"")</f>
        <v>832</v>
      </c>
      <c r="AA10" s="87"/>
      <c r="AB10" s="87"/>
      <c r="AD10" s="6"/>
      <c r="AE10" s="6"/>
      <c r="AF10" s="6"/>
      <c r="AG10" s="6"/>
      <c r="AH10" s="6"/>
      <c r="AI10" s="6"/>
      <c r="AJ10" s="113">
        <f>IF(OR(AP10=$AL$9,AP10=$AL$10,AP10=$AL$11,AP10=$AL$12,AP10=$AL$13,AP10=$AL$14),4,IF(OR(AP10=$AL$15,AP10=$AL$16,AP10=$AL$17,AP10=$AL$18,AP10=$AL$19,AP10=$AL$20),5,IF(OR(AP10=$AL$21,AP10=$AL$22,AP10=$AL$23,AP10=$AL$24,AP10=$AL$25,AP10=$AL$26),7,IF(OR(AP10=$AL$27,AP10=$AL$28,AP10=$AL$29,AP10=$AL$30,AP10=$AL$31,AP10=$AL$32),9,IF(OR(AP10=$AL$33,AP10=$AL$34,AP10=$AL$35,AP10=$AL$36,AP10=$AL$37,AP10=$AL$38),12,17)))))</f>
        <v>4</v>
      </c>
      <c r="AK10" s="114"/>
      <c r="AL10" s="115">
        <v>42767</v>
      </c>
      <c r="AM10" s="114">
        <f>'Master Sheet'!G11</f>
        <v>23700</v>
      </c>
      <c r="AN10" s="115">
        <f t="shared" ref="AN10:AN19" si="14">IF(AND($AM$6&gt;$AN$6),"",DATE(YEAR(AN9),MONTH(AN9)+1,DAY(AN9)))</f>
        <v>42767</v>
      </c>
      <c r="AO10" s="115">
        <f t="shared" ref="AO10:AO70" si="15">IF(AND(AN10=""),"",IF(AND(AN10=$AL$9),$AL$9,IF(AND(AN10=$AL$10),$AL$10,IF(AND(AN10=$AL$11),$AL$11,IF(AND(AN10=$AL$12),$AL$12,IF(AND(AN10=$AL$13),$AL$13,IF(AND(AN10=$AL$14),$AL$14,IF(AND(AN10=$AL$15),$AL$15,IF(AND(AN10=$AL$16),$AL$16,IF(AND(AN10=$AL$17),$AL$17,IF(AND(AN10=$AL$18),$AL$18,IF(AND(AN10=$AL$19),$AL$19,IF(AND(AN10=$AL$20),$AL$20,IF(AND(AN10=$AL$21),$AL$21,IF(AND(AN10=$AL$22),$AL$22,IF(AND(AN10=$AL$23),$AL$23,IF(AND(AN10=$AL$24),$AL$24,IF(AND(AN10=$AL$25),$AL$25,IF(AND(AN10=$AL$26),$AL$26,IF(AND(AN10=$AL$27),$AL$27,IF(AND(AN10=$AL$28),$AL$28,IF(AND(AN10=$AL$29),$AL$29,IF(AND(AN10=$AL$30),$AL$30,IF(AND(AN10=$AL$31),$AL$31,IF(AND(AN10=$AL$32),$AL$32,IF(AND(AN10=$AL$33),$AL$33,IF(AND(AN10=$AL$34),$AL$34,IF(AND(AN10=$AL$35),$AL$35,IF(AND(AN10=$AL$36),$AL$36,IF(AND(AN10=$AL$37),$AL$37,IF(AND(AN10=$AL$38),$AL$38,IF(AND(AN10=$AL$39),$AL$39,IF(AND(AN10=$AL$40),$AL$40,IF(AND(AN10=$AL$41),$AL$41,IF(AND(AN10=$AL$42),$AL$42,IF(AND(AN10=$AL$43),$AL$43,IF(AND(AN10=$AL$44),$AL$44,IF(AND(AN10=$AL$45),$AL$45,IF(AND(AN10=$AL$46),$AL$46,IF(AND(AN10=$AL$47),$AL$47,IF(AND(AN10=$AL$48),$AL$48,IF(AND(AN10=$AL$49),$AL$49,IF(AND(AN10=$AL$50),$AL$50,IF(AND(AN10=$AL$51),$AL$51,IF(AND(AN10=$AL$52),$AL$52,IF(AND(AN10=$AL$53),$AL$53,IF(AND(AN10=$AL$54),$AL$54,IF(AND(AN10=$AL$55),$AL$55,IF(AND(AN10=$AL$56),$AL$56,IF(AND(AN10=$AL$57),$AL$57,IF(AND(AN10=$AL$58),$AL$58,IF(AND(AN10=$AL$59),$AL$59,IF(AND(AN10=$AL$60),$AL$60,IF(AND(AN10=$AL$61),$AL$61,IF(AND(AN10=$AL$62),$AL$62,IF(AND(AN10=$AL$63),$AL$63,IF(AND(AN10=$AL$64),$AL$64,IF(AND(AN10=$AL$65),$AL$65,IF(AND(AN10=$AL$66),$AL$66,IF(AND(AN10=$AL$67),$AL$67,IF(AND(AN10=$AL$68),$AL$68,"")))))))))))))))))))))))))))))))))))))))))))))))))))))))))))))</f>
        <v>42767</v>
      </c>
      <c r="AP10" s="115">
        <f>IFERROR(IF(AO10="","",IF(DATE(YEAR(AO10),MONTH(AO10),DAY(AO10))=DATE(YEAR($AN$6),MONTH($AN$6)+1,DAY($AN$6)),"TOTAL",IF(AO10&gt;$AN$6,"",AO10))),"")</f>
        <v>42767</v>
      </c>
      <c r="AQ10" s="114">
        <f>IFERROR(IF(AP10="","",IF(AND($AM$20=$AM$28,$AM$30=AP10),$AM$29,IF(OR(AP10=$AS$2,AP10=$AS$3,AP10=$AS$4,AP10=$AS$5,AP10=$AS$6),MROUND(AM9*1.03,100),AM9))),"")</f>
        <v>33800</v>
      </c>
      <c r="AR10" s="114">
        <f>IF(AP10="","",IF(AP10="TOTAL","",ROUND(AQ10*AJ10%,0)))</f>
        <v>1352</v>
      </c>
      <c r="AS10" s="114">
        <f>IF(AP10="","",IF(AP10="TOTAL","",ROUND(AQ10*$AO$7%,0)))</f>
        <v>2704</v>
      </c>
      <c r="AT10" s="114"/>
      <c r="AU10" s="114">
        <f>IFERROR(IF(AP10="","",IF(AP10="TOTAL","",IF($AM$16=$AM$17,$AM$10,IF($AM$20=$AM$26,AY10,AZ10)))),"")</f>
        <v>32800</v>
      </c>
      <c r="AV10" s="114">
        <f>IF(AP10="","",IF(AP10="TOTAL","",IF(AU10="","",IF($AM$16=$AM$17,0,ROUND(AU10*AJ10%,0)))))</f>
        <v>1312</v>
      </c>
      <c r="AW10" s="114">
        <f>IF(AP10="","",IF(AP10="TOTAL","",IF(AU10="","",IF($AM$16=$AM$17,0,ROUND(AU10*$AO$7%,0)))))</f>
        <v>2624</v>
      </c>
      <c r="AX10" s="114">
        <f>IF(AP10="","",IF(AP10="TOTAL","",IF(AU10="","",IF($AM$16=$AM$17,0,IF(OR(B9=$AK$16,B9=$AK$17,B9=$AK$18,B9=$AK$19,B9=$AK$20,B9=$AK$21,B9=$AK$22,B9=$AK$23,B9=$AK$24),SUM(BA10+BB10),BB10)))))</f>
        <v>3936</v>
      </c>
      <c r="AY10" s="114">
        <f>IF(OR(AP10=$AS$2,AP10=$AS$3,AP10=$AS$4,AP10=$AS$5,AP10=$AS$6),MROUND(AM27*1.03,100),AM27)</f>
        <v>30500</v>
      </c>
      <c r="AZ10" s="114">
        <f>IF(OR(AP10=$AS$2,AP10=$AS$3,AP10=$AS$4,AP10=$AS$5,AP10=$AS$6),MROUND(AM14*1.03,100),AM14)</f>
        <v>32800</v>
      </c>
      <c r="BA10" s="149">
        <f>IF(AP10="","",IF(AP10="TOTAL","",IF(AU10="","",SUM(N9)-SUM((BB10-$AM$21)+SUM(T9,W9,X9)))))</f>
        <v>736</v>
      </c>
      <c r="BB10" s="114">
        <f>IF(AP9="","",IF(AP9="TOTAL","",IF(AND($AM$20=$AM$36,B10=$AM$37),$AM$38,BB9)))</f>
        <v>3200</v>
      </c>
    </row>
    <row r="11" spans="1:54" s="35" customFormat="1" ht="21" customHeight="1">
      <c r="A11" s="82">
        <f t="shared" si="7"/>
        <v>4</v>
      </c>
      <c r="B11" s="83">
        <f t="shared" ref="B11:B65" si="16">IFERROR(IF(AP12="","",AP12),"")</f>
        <v>42826</v>
      </c>
      <c r="C11" s="84">
        <f>IFERROR(IF($B10="TOTAL","अक्षरें राशि :-",IF($B11="TOTAL",SUM($C$8:C10),IF(AQ12="","",AQ12))),"")</f>
        <v>33800</v>
      </c>
      <c r="D11" s="84">
        <f>IFERROR(IF($B11="TOTAL",SUM($D$8:D10),IF(AR12="","",AR12)),"")</f>
        <v>1352</v>
      </c>
      <c r="E11" s="84">
        <f>IFERROR(IF($B11="TOTAL",SUM($E$8:E10),IF(OR(B11=$AK$16,B11=$AK$17,B11=$AK$18,B11=$AK$19,B11=$AK$20,B11=$AK$21,B11=$AK$22,B11=$AK$23,B11=$AK$24),0,IF(AS12="","",AS12))),"")</f>
        <v>0</v>
      </c>
      <c r="F11" s="84">
        <f t="shared" ref="F11:F65" si="17">IF(B11="","",SUM(C11:E11))</f>
        <v>35152</v>
      </c>
      <c r="G11" s="84">
        <f>IFERROR(IF($B11="TOTAL",SUM($G$8:G10),IF(AU12="","",AU12)),"")</f>
        <v>32800</v>
      </c>
      <c r="H11" s="84">
        <f>IFERROR(IF($B11="TOTAL",SUM($H$8:H10),IF(AV12="","",AV12)),"")</f>
        <v>1312</v>
      </c>
      <c r="I11" s="84">
        <f>IFERROR(IF($B11="TOTAL",SUM($I$8:I10),IF(OR(B11=$AK$16,B11=$AK$17,B11=$AK$18,B11=$AK$19,B11=$AK$20,B11=$AK$21,B11=$AK$22,B11=$AK$23,B11=$AK$24),0,IF(AW12="","",AW12))),"")</f>
        <v>0</v>
      </c>
      <c r="J11" s="84">
        <f t="shared" si="9"/>
        <v>34112</v>
      </c>
      <c r="K11" s="84">
        <f>IFERROR(IF(B11="","",IF(C11="","",IF(G11="","",IF($B11="TOTAL",SUM($K$8:K10),SUM(C11-G11))))),"")</f>
        <v>1000</v>
      </c>
      <c r="L11" s="84">
        <f>IFERROR(IF(B11="","",IF(D11="","",IF(H11="","",IF($B11="TOTAL",SUM($L$8:L10),SUM(D11-H11))))),"")</f>
        <v>40</v>
      </c>
      <c r="M11" s="84">
        <f>IFERROR(IF(B11="","",IF(E11="","",IF(I11="","",IF($B11="TOTAL",SUM($M$8:M10),SUM(E11-I11))))),"")</f>
        <v>0</v>
      </c>
      <c r="N11" s="84">
        <f t="shared" si="10"/>
        <v>1040</v>
      </c>
      <c r="O11" s="84">
        <f>IFERROR(IF(B11="","",IF($B11="TOTAL",SUM($O$8:O10),IF($AM$18=$AM$20,AX12,ROUND((C11+D11)*10%,0)))),"")</f>
        <v>3515</v>
      </c>
      <c r="P11" s="84">
        <f>IFERROR(IF(B11="","",IF(G11="","",IF(H11="","",IF($B11="TOTAL",SUM($P$8:P10),IF($AM$18=$AM$20,$AM$21,ROUND((G11+H11)*10%,0)))))),"")</f>
        <v>3411</v>
      </c>
      <c r="Q11" s="84">
        <f t="shared" si="11"/>
        <v>104</v>
      </c>
      <c r="R11" s="85">
        <f>IFERROR(IF(B11="","",IF($AM$16=$AM$17,0,IF($B11="TOTAL",SUM($R$8:R10),IF($AM$19=$AM$31,0,IF(AND($AM$32=$AM$20,B11=$AM$33),$AM$34,R10))))),"")</f>
        <v>2100</v>
      </c>
      <c r="S11" s="85">
        <f>IFERROR(IF(B11="","",IF($AM$16=$AM$17,0,IF($B11="TOTAL",SUM($S$8:S10),IF($AM$19=$AM$20,$AM$24,0)))),"")</f>
        <v>2100</v>
      </c>
      <c r="T11" s="84">
        <f t="shared" si="12"/>
        <v>0</v>
      </c>
      <c r="U11" s="84" t="str">
        <f>IF(B11="","",IF($B11="TOTAL",SUM($U$8:U10),IF(AND($AM$2=$AM$20,B11=$AM$1),ROUND(C11/31*$AN$2,0),IF(B11=$AK$6,ROUND((F11)*1/30,0),IF(B11=$AL$6,ROUND((F11)*1/31,0),"")))))</f>
        <v/>
      </c>
      <c r="V11" s="84" t="str">
        <f>IF(B11="","",IF($B11="TOTAL",SUM($V$8:V10),IF(AND($AM$2=$AM$20,B11=$AM$1),ROUND(G11/31*$AN$2,0),IF(B11=$AK$6,ROUND((J11)*1/30,0),IF(B11=$AL$6,ROUND((J11)*1/31,0),"")))))</f>
        <v/>
      </c>
      <c r="W11" s="84" t="str">
        <f t="shared" si="13"/>
        <v/>
      </c>
      <c r="X11" s="84">
        <f>IFERROR(IF(B11="","",IF($B11="TOTAL",SUM($X$8:X10),ROUND(N11*$AM$7%,0))),"")</f>
        <v>104</v>
      </c>
      <c r="Y11" s="84">
        <f>IFERROR(IF(B11="","",IF($B11="TOTAL",SUM($Y$8:Y10),SUM(Q11,T11,W11,X11))),"")</f>
        <v>208</v>
      </c>
      <c r="Z11" s="86">
        <f>IFERROR(IF(B11="","",IF($B11="TOTAL",SUM($Z$8:Z10),SUM(N11-Y11))),"")</f>
        <v>832</v>
      </c>
      <c r="AA11" s="87"/>
      <c r="AB11" s="87"/>
      <c r="AD11" s="6"/>
      <c r="AE11" s="6"/>
      <c r="AF11" s="6"/>
      <c r="AG11" s="6"/>
      <c r="AH11" s="6"/>
      <c r="AI11" s="90"/>
      <c r="AJ11" s="113">
        <f t="shared" ref="AJ11:AJ68" si="18">IF(OR(AP11=$AL$9,AP11=$AL$10,AP11=$AL$11,AP11=$AL$12,AP11=$AL$13,AP11=$AL$14),4,IF(OR(AP11=$AL$15,AP11=$AL$16,AP11=$AL$17,AP11=$AL$18,AP11=$AL$19,AP11=$AL$20),5,IF(OR(AP11=$AL$21,AP11=$AL$22,AP11=$AL$23,AP11=$AL$24,AP11=$AL$25,AP11=$AL$26),7,IF(OR(AP11=$AL$27,AP11=$AL$28,AP11=$AL$29,AP11=$AL$30,AP11=$AL$31,AP11=$AL$32),9,IF(OR(AP11=$AL$33,AP11=$AL$34,AP11=$AL$35,AP11=$AL$36,AP11=$AL$37,AP11=$AL$38),12,17)))))</f>
        <v>4</v>
      </c>
      <c r="AK11" s="114">
        <f>IF(AR9="","",ROUND((AM11+AR9)*10%,0))</f>
        <v>1701</v>
      </c>
      <c r="AL11" s="115">
        <v>42795</v>
      </c>
      <c r="AM11" s="114">
        <f>IFERROR(ROUND((AM9/AQ3)*AQ6,0),"")</f>
        <v>16355</v>
      </c>
      <c r="AN11" s="115">
        <f t="shared" si="14"/>
        <v>42795</v>
      </c>
      <c r="AO11" s="115">
        <f t="shared" si="15"/>
        <v>42795</v>
      </c>
      <c r="AP11" s="115">
        <f t="shared" ref="AP11:AP70" si="19">IFERROR(IF(AO11="","",IF(DATE(YEAR(AO11),MONTH(AO11),DAY(AO11))=DATE(YEAR($AN$6),MONTH($AN$6)+1,DAY($AN$6)),"TOTAL",IF(AO11&gt;$AN$6,"",AO11))),"")</f>
        <v>42795</v>
      </c>
      <c r="AQ11" s="114">
        <f>IFERROR(IF(AP11="","",IF(AND($AM$20=$AM$28,$AM$30=AP11),$AM$29,IF(OR(AP11=$AS$2,AP11=$AS$3,AP11=$AS$4,AP11=$AS$5,AP11=$AS$6),MROUND(AQ10*1.03,100),AQ10))),"")</f>
        <v>33800</v>
      </c>
      <c r="AR11" s="114">
        <f t="shared" ref="AR11:AR68" si="20">IF(AP11="","",IF(AP11="TOTAL","",ROUND(AQ11*AJ11%,0)))</f>
        <v>1352</v>
      </c>
      <c r="AS11" s="114">
        <f t="shared" ref="AS11:AS68" si="21">IF(AP11="","",IF(AP11="TOTAL","",ROUND(AQ11*$AO$7%,0)))</f>
        <v>2704</v>
      </c>
      <c r="AT11" s="114"/>
      <c r="AU11" s="114">
        <f>IFERROR(IF(AP11="","",IF(AP11="TOTAL","",IF($AM$16=$AM$17,$AM$10,IF(OR(AP11=$AS$2,AP11=$AS$3,AP11=$AS$4,AP11=$AS$5,AP11=$AS$6),MROUND(AU10*1.03,100),AU10)))),"")</f>
        <v>32800</v>
      </c>
      <c r="AV11" s="114">
        <f t="shared" ref="AV11:AV68" si="22">IF(AP11="","",IF(AP11="TOTAL","",IF(AU11="","",IF($AM$16=$AM$17,0,ROUND(AU11*AJ11%,0)))))</f>
        <v>1312</v>
      </c>
      <c r="AW11" s="114">
        <f t="shared" ref="AW11:AW68" si="23">IF(AP11="","",IF(AP11="TOTAL","",IF(AU11="","",IF($AM$16=$AM$17,0,ROUND(AU11*$AO$7%,0)))))</f>
        <v>2624</v>
      </c>
      <c r="AX11" s="114">
        <f t="shared" ref="AX11:AX74" si="24">IF(AP11="","",IF(AP11="TOTAL","",IF(AU11="","",IF($AM$16=$AM$17,0,IF(OR(B10=$AK$16,B10=$AK$17,B10=$AK$18,B10=$AK$19,B10=$AK$20,B10=$AK$21,B10=$AK$22,B10=$AK$23,B10=$AK$24),SUM(BA11+BB11),BB11)))))</f>
        <v>3936</v>
      </c>
      <c r="AY11" s="114">
        <f>IF(OR(AP11=$AS$2,AP11=$AS$3,AP11=$AS$4,AP11=$AS$5,AP11=$AS$6),MROUND(AY10*1.03,100),AY10)</f>
        <v>30500</v>
      </c>
      <c r="AZ11" s="114">
        <f>IF(OR(AP11=$AS$2,AP11=$AS$3,AP11=$AS$4,AP11=$AS$5,AP11=$AS$6),MROUND(AZ10*1.03,100),AZ10)</f>
        <v>32800</v>
      </c>
      <c r="BA11" s="149">
        <f t="shared" ref="BA11:BA71" si="25">IF(AP11="","",IF(AP11="TOTAL","",IF(AU11="","",SUM(N10)-SUM((BB11-$AM$21)+SUM(T10,W10,X10)))))</f>
        <v>736</v>
      </c>
      <c r="BB11" s="114">
        <f t="shared" ref="BB11:BB72" si="26">IF(AP10="","",IF(AP10="TOTAL","",IF(AND($AM$20=$AM$36,B11=$AM$37),$AM$38,BB10)))</f>
        <v>3200</v>
      </c>
    </row>
    <row r="12" spans="1:54" s="35" customFormat="1" ht="21" customHeight="1">
      <c r="A12" s="82">
        <f t="shared" si="7"/>
        <v>5</v>
      </c>
      <c r="B12" s="83">
        <f t="shared" si="16"/>
        <v>42856</v>
      </c>
      <c r="C12" s="84">
        <f>IFERROR(IF($B11="TOTAL","अक्षरें राशि :-",IF($B12="TOTAL",SUM($C$8:C11),IF(AQ13="","",AQ13))),"")</f>
        <v>33800</v>
      </c>
      <c r="D12" s="84">
        <f>IFERROR(IF($B12="TOTAL",SUM($D$8:D11),IF(AR13="","",AR13)),"")</f>
        <v>1352</v>
      </c>
      <c r="E12" s="84">
        <f>IFERROR(IF($B12="TOTAL",SUM($E$8:E11),IF(OR(B12=$AK$16,B12=$AK$17,B12=$AK$18,B12=$AK$19,B12=$AK$20,B12=$AK$21,B12=$AK$22,B12=$AK$23,B12=$AK$24),0,IF(AS13="","",AS13))),"")</f>
        <v>0</v>
      </c>
      <c r="F12" s="84">
        <f t="shared" si="17"/>
        <v>35152</v>
      </c>
      <c r="G12" s="84">
        <f>IFERROR(IF($B12="TOTAL",SUM($G$8:G11),IF(AU13="","",AU13)),"")</f>
        <v>32800</v>
      </c>
      <c r="H12" s="84">
        <f>IFERROR(IF($B12="TOTAL",SUM($H$8:H11),IF(AV13="","",AV13)),"")</f>
        <v>1312</v>
      </c>
      <c r="I12" s="84">
        <f>IFERROR(IF($B12="TOTAL",SUM($I$8:I11),IF(OR(B12=$AK$16,B12=$AK$17,B12=$AK$18,B12=$AK$19,B12=$AK$20,B12=$AK$21,B12=$AK$22,B12=$AK$23,B12=$AK$24),0,IF(AW13="","",AW13))),"")</f>
        <v>0</v>
      </c>
      <c r="J12" s="84">
        <f t="shared" si="9"/>
        <v>34112</v>
      </c>
      <c r="K12" s="84">
        <f>IFERROR(IF(B12="","",IF(C12="","",IF(G12="","",IF($B12="TOTAL",SUM($K$8:K11),SUM(C12-G12))))),"")</f>
        <v>1000</v>
      </c>
      <c r="L12" s="84">
        <f>IFERROR(IF(B12="","",IF(D12="","",IF(H12="","",IF($B12="TOTAL",SUM($L$8:L11),SUM(D12-H12))))),"")</f>
        <v>40</v>
      </c>
      <c r="M12" s="84">
        <f>IFERROR(IF(B12="","",IF(E12="","",IF(I12="","",IF($B12="TOTAL",SUM($M$8:M11),SUM(E12-I12))))),"")</f>
        <v>0</v>
      </c>
      <c r="N12" s="84">
        <f t="shared" si="10"/>
        <v>1040</v>
      </c>
      <c r="O12" s="84">
        <f>IFERROR(IF(B12="","",IF($B12="TOTAL",SUM($O$8:O11),IF($AM$18=$AM$20,AX13,ROUND((C12+D12)*10%,0)))),"")</f>
        <v>3515</v>
      </c>
      <c r="P12" s="84">
        <f>IFERROR(IF(B12="","",IF(G12="","",IF(H12="","",IF($B12="TOTAL",SUM($P$8:P11),IF($AM$18=$AM$20,$AM$21,ROUND((G12+H12)*10%,0)))))),"")</f>
        <v>3411</v>
      </c>
      <c r="Q12" s="84">
        <f t="shared" si="11"/>
        <v>104</v>
      </c>
      <c r="R12" s="85">
        <f>IFERROR(IF(B12="","",IF($AM$16=$AM$17,0,IF($B12="TOTAL",SUM($R$8:R11),IF($AM$19=$AM$31,0,IF(AND($AM$32=$AM$20,B12=$AM$33),$AM$34,R11))))),"")</f>
        <v>2100</v>
      </c>
      <c r="S12" s="85">
        <f>IFERROR(IF(B12="","",IF($AM$16=$AM$17,0,IF($B12="TOTAL",SUM($S$8:S11),IF($AM$19=$AM$20,$AM$24,0)))),"")</f>
        <v>2100</v>
      </c>
      <c r="T12" s="84">
        <f t="shared" si="12"/>
        <v>0</v>
      </c>
      <c r="U12" s="84" t="str">
        <f>IF(B12="","",IF($B12="TOTAL",SUM($U$8:U11),IF(AND($AM$2=$AM$20,B12=$AM$1),ROUND(C12/31*$AN$2,0),IF(B12=$AK$6,ROUND((F12)*1/30,0),IF(B12=$AL$6,ROUND((F12)*1/31,0),"")))))</f>
        <v/>
      </c>
      <c r="V12" s="84" t="str">
        <f>IF(B12="","",IF($B12="TOTAL",SUM($V$8:V11),IF(AND($AM$2=$AM$20,B12=$AM$1),ROUND(G12/31*$AN$2,0),IF(B12=$AK$6,ROUND((J12)*1/30,0),IF(B12=$AL$6,ROUND((J12)*1/31,0),"")))))</f>
        <v/>
      </c>
      <c r="W12" s="84" t="str">
        <f t="shared" si="13"/>
        <v/>
      </c>
      <c r="X12" s="84">
        <f>IFERROR(IF(B12="","",IF($B12="TOTAL",SUM($X$8:X11),ROUND(N12*$AM$7%,0))),"")</f>
        <v>104</v>
      </c>
      <c r="Y12" s="84">
        <f>IFERROR(IF(B12="","",IF($B12="TOTAL",SUM($Y$8:Y11),SUM(Q12,T12,W12,X12))),"")</f>
        <v>208</v>
      </c>
      <c r="Z12" s="86">
        <f>IFERROR(IF(B12="","",IF($B12="TOTAL",SUM($Z$8:Z11),SUM(N12-Y12))),"")</f>
        <v>832</v>
      </c>
      <c r="AA12" s="87"/>
      <c r="AB12" s="87"/>
      <c r="AD12" s="6"/>
      <c r="AE12" s="6"/>
      <c r="AF12" s="6"/>
      <c r="AG12" s="6"/>
      <c r="AH12" s="6"/>
      <c r="AI12" s="6"/>
      <c r="AJ12" s="113">
        <f t="shared" si="18"/>
        <v>4</v>
      </c>
      <c r="AK12" s="114">
        <f>ROUND((AM12)*10%,0)</f>
        <v>1693</v>
      </c>
      <c r="AL12" s="115">
        <v>42826</v>
      </c>
      <c r="AM12" s="114">
        <f>IFERROR(IF($AM$13=$AM$15,ROUND((AM14/AQ3)*AO6,0),ROUND((AM10/AQ3)*AO6,0)),"")</f>
        <v>16929</v>
      </c>
      <c r="AN12" s="115">
        <f t="shared" si="14"/>
        <v>42826</v>
      </c>
      <c r="AO12" s="115">
        <f t="shared" si="15"/>
        <v>42826</v>
      </c>
      <c r="AP12" s="115">
        <f t="shared" si="19"/>
        <v>42826</v>
      </c>
      <c r="AQ12" s="114">
        <f t="shared" ref="AQ12:AQ73" si="27">IFERROR(IF(AP12="","",IF(AND($AM$20=$AM$28,$AM$30=AP12),$AM$29,IF(OR(AP12=$AS$2,AP12=$AS$3,AP12=$AS$4,AP12=$AS$5,AP12=$AS$6),MROUND(AQ11*1.03,100),AQ11))),"")</f>
        <v>33800</v>
      </c>
      <c r="AR12" s="114">
        <f t="shared" si="20"/>
        <v>1352</v>
      </c>
      <c r="AS12" s="114">
        <f t="shared" si="21"/>
        <v>2704</v>
      </c>
      <c r="AT12" s="114"/>
      <c r="AU12" s="114">
        <f t="shared" ref="AU12:AU69" si="28">IFERROR(IF(AP12="","",IF(AP12="TOTAL","",IF($AM$16=$AM$17,$AM$10,IF(OR(AP12=$AS$2,AP12=$AS$3,AP12=$AS$4,AP12=$AS$5,AP12=$AS$6),MROUND(AU11*1.03,100),AU11)))),"")</f>
        <v>32800</v>
      </c>
      <c r="AV12" s="114">
        <f t="shared" si="22"/>
        <v>1312</v>
      </c>
      <c r="AW12" s="114">
        <f t="shared" si="23"/>
        <v>2624</v>
      </c>
      <c r="AX12" s="114">
        <f t="shared" si="24"/>
        <v>3936</v>
      </c>
      <c r="AY12" s="114"/>
      <c r="AZ12" s="114"/>
      <c r="BA12" s="149">
        <f t="shared" si="25"/>
        <v>736</v>
      </c>
      <c r="BB12" s="114">
        <f t="shared" si="26"/>
        <v>3200</v>
      </c>
    </row>
    <row r="13" spans="1:54" s="35" customFormat="1" ht="21" customHeight="1">
      <c r="A13" s="82">
        <f t="shared" si="7"/>
        <v>6</v>
      </c>
      <c r="B13" s="83">
        <f t="shared" si="16"/>
        <v>42887</v>
      </c>
      <c r="C13" s="84">
        <f>IFERROR(IF($B12="TOTAL","अक्षरें राशि :-",IF($B13="TOTAL",SUM($C$8:C12),IF(AQ14="","",AQ14))),"")</f>
        <v>33800</v>
      </c>
      <c r="D13" s="84">
        <f>IFERROR(IF($B13="TOTAL",SUM($D$8:D12),IF(AR14="","",AR14)),"")</f>
        <v>1352</v>
      </c>
      <c r="E13" s="84">
        <f>IFERROR(IF($B13="TOTAL",SUM($E$8:E12),IF(OR(B13=$AK$16,B13=$AK$17,B13=$AK$18,B13=$AK$19,B13=$AK$20,B13=$AK$21,B13=$AK$22,B13=$AK$23,B13=$AK$24),0,IF(AS14="","",AS14))),"")</f>
        <v>0</v>
      </c>
      <c r="F13" s="84">
        <f t="shared" si="17"/>
        <v>35152</v>
      </c>
      <c r="G13" s="84">
        <f>IFERROR(IF($B13="TOTAL",SUM($G$8:G12),IF(AU14="","",AU14)),"")</f>
        <v>32800</v>
      </c>
      <c r="H13" s="84">
        <f>IFERROR(IF($B13="TOTAL",SUM($H$8:H12),IF(AV14="","",AV14)),"")</f>
        <v>1312</v>
      </c>
      <c r="I13" s="84">
        <f>IFERROR(IF($B13="TOTAL",SUM($I$8:I12),IF(OR(B13=$AK$16,B13=$AK$17,B13=$AK$18,B13=$AK$19,B13=$AK$20,B13=$AK$21,B13=$AK$22,B13=$AK$23,B13=$AK$24),0,IF(AW14="","",AW14))),"")</f>
        <v>0</v>
      </c>
      <c r="J13" s="84">
        <f t="shared" si="9"/>
        <v>34112</v>
      </c>
      <c r="K13" s="84">
        <f>IFERROR(IF(B13="","",IF(C13="","",IF(G13="","",IF($B13="TOTAL",SUM($K$8:K12),SUM(C13-G13))))),"")</f>
        <v>1000</v>
      </c>
      <c r="L13" s="84">
        <f>IFERROR(IF(B13="","",IF(D13="","",IF(H13="","",IF($B13="TOTAL",SUM($L$8:L12),SUM(D13-H13))))),"")</f>
        <v>40</v>
      </c>
      <c r="M13" s="84">
        <f>IFERROR(IF(B13="","",IF(E13="","",IF(I13="","",IF($B13="TOTAL",SUM($M$8:M12),SUM(E13-I13))))),"")</f>
        <v>0</v>
      </c>
      <c r="N13" s="84">
        <f t="shared" si="10"/>
        <v>1040</v>
      </c>
      <c r="O13" s="84">
        <f>IFERROR(IF(B13="","",IF($B13="TOTAL",SUM($O$8:O12),IF($AM$18=$AM$20,AX14,ROUND((C13+D13)*10%,0)))),"")</f>
        <v>3515</v>
      </c>
      <c r="P13" s="84">
        <f>IFERROR(IF(B13="","",IF(G13="","",IF(H13="","",IF($B13="TOTAL",SUM($P$8:P12),IF($AM$18=$AM$20,$AM$21,ROUND((G13+H13)*10%,0)))))),"")</f>
        <v>3411</v>
      </c>
      <c r="Q13" s="84">
        <f t="shared" si="11"/>
        <v>104</v>
      </c>
      <c r="R13" s="85">
        <f>IFERROR(IF(B13="","",IF($AM$16=$AM$17,0,IF($B13="TOTAL",SUM($R$8:R12),IF($AM$19=$AM$31,0,IF(AND($AM$32=$AM$20,B13=$AM$33),$AM$34,R12))))),"")</f>
        <v>2100</v>
      </c>
      <c r="S13" s="85">
        <f>IFERROR(IF(B13="","",IF($AM$16=$AM$17,0,IF($B13="TOTAL",SUM($S$8:S12),IF($AM$19=$AM$20,$AM$24,0)))),"")</f>
        <v>2100</v>
      </c>
      <c r="T13" s="84">
        <f t="shared" si="12"/>
        <v>0</v>
      </c>
      <c r="U13" s="84" t="str">
        <f>IF(B13="","",IF($B13="TOTAL",SUM($U$8:U12),IF(AND($AM$2=$AM$20,B13=$AM$1),ROUND(C13/31*$AN$2,0),IF(B13=$AK$6,ROUND((F13)*1/30,0),IF(B13=$AL$6,ROUND((F13)*1/31,0),"")))))</f>
        <v/>
      </c>
      <c r="V13" s="84" t="str">
        <f>IF(B13="","",IF($B13="TOTAL",SUM($V$8:V12),IF(AND($AM$2=$AM$20,B13=$AM$1),ROUND(G13/31*$AN$2,0),IF(B13=$AK$6,ROUND((J13)*1/30,0),IF(B13=$AL$6,ROUND((J13)*1/31,0),"")))))</f>
        <v/>
      </c>
      <c r="W13" s="84" t="str">
        <f t="shared" si="13"/>
        <v/>
      </c>
      <c r="X13" s="84">
        <f>IFERROR(IF(B13="","",IF($B13="TOTAL",SUM($X$8:X12),ROUND(N13*$AM$7%,0))),"")</f>
        <v>104</v>
      </c>
      <c r="Y13" s="84">
        <f>IFERROR(IF(B13="","",IF($B13="TOTAL",SUM($Y$8:Y12),SUM(Q13,T13,W13,X13))),"")</f>
        <v>208</v>
      </c>
      <c r="Z13" s="86">
        <f>IFERROR(IF(B13="","",IF($B13="TOTAL",SUM($Z$8:Z12),SUM(N13-Y13))),"")</f>
        <v>832</v>
      </c>
      <c r="AA13" s="87"/>
      <c r="AB13" s="87"/>
      <c r="AD13" s="6"/>
      <c r="AE13" s="6"/>
      <c r="AF13" s="6"/>
      <c r="AG13" s="6"/>
      <c r="AH13" s="6"/>
      <c r="AI13" s="6"/>
      <c r="AJ13" s="113">
        <f t="shared" si="18"/>
        <v>4</v>
      </c>
      <c r="AK13" s="114"/>
      <c r="AL13" s="115">
        <v>42856</v>
      </c>
      <c r="AM13" s="116" t="str">
        <f>'Master Sheet'!D11</f>
        <v>Regular Pay</v>
      </c>
      <c r="AN13" s="115">
        <f t="shared" si="14"/>
        <v>42856</v>
      </c>
      <c r="AO13" s="115">
        <f t="shared" si="15"/>
        <v>42856</v>
      </c>
      <c r="AP13" s="115">
        <f t="shared" si="19"/>
        <v>42856</v>
      </c>
      <c r="AQ13" s="114">
        <f t="shared" si="27"/>
        <v>33800</v>
      </c>
      <c r="AR13" s="114">
        <f t="shared" si="20"/>
        <v>1352</v>
      </c>
      <c r="AS13" s="114">
        <f t="shared" si="21"/>
        <v>2704</v>
      </c>
      <c r="AT13" s="114"/>
      <c r="AU13" s="114">
        <f t="shared" si="28"/>
        <v>32800</v>
      </c>
      <c r="AV13" s="114">
        <f t="shared" si="22"/>
        <v>1312</v>
      </c>
      <c r="AW13" s="114">
        <f t="shared" si="23"/>
        <v>2624</v>
      </c>
      <c r="AX13" s="114">
        <f t="shared" si="24"/>
        <v>3936</v>
      </c>
      <c r="AY13" s="114"/>
      <c r="AZ13" s="114"/>
      <c r="BA13" s="149">
        <f t="shared" si="25"/>
        <v>736</v>
      </c>
      <c r="BB13" s="114">
        <f t="shared" si="26"/>
        <v>3200</v>
      </c>
    </row>
    <row r="14" spans="1:54" s="35" customFormat="1" ht="21" customHeight="1">
      <c r="A14" s="82">
        <f t="shared" si="7"/>
        <v>7</v>
      </c>
      <c r="B14" s="83">
        <f t="shared" si="16"/>
        <v>42917</v>
      </c>
      <c r="C14" s="84">
        <f>IFERROR(IF($B13="TOTAL","अक्षरें राशि :-",IF($B14="TOTAL",SUM($C$8:C13),IF(AQ15="","",AQ15))),"")</f>
        <v>34800</v>
      </c>
      <c r="D14" s="84">
        <f>IFERROR(IF($B14="TOTAL",SUM($D$8:D13),IF(AR15="","",AR15)),"")</f>
        <v>1740</v>
      </c>
      <c r="E14" s="84">
        <f>IFERROR(IF($B14="TOTAL",SUM($E$8:E13),IF(OR(B14=$AK$16,B14=$AK$17,B14=$AK$18,B14=$AK$19,B14=$AK$20,B14=$AK$21,B14=$AK$22,B14=$AK$23,B14=$AK$24),0,IF(AS15="","",AS15))),"")</f>
        <v>0</v>
      </c>
      <c r="F14" s="84">
        <f t="shared" si="17"/>
        <v>36540</v>
      </c>
      <c r="G14" s="84">
        <f>IFERROR(IF($B14="TOTAL",SUM($G$8:G13),IF(AU15="","",AU15)),"")</f>
        <v>33800</v>
      </c>
      <c r="H14" s="84">
        <f>IFERROR(IF($B14="TOTAL",SUM($H$8:H13),IF(AV15="","",AV15)),"")</f>
        <v>1690</v>
      </c>
      <c r="I14" s="84">
        <f>IFERROR(IF($B14="TOTAL",SUM($I$8:I13),IF(OR(B14=$AK$16,B14=$AK$17,B14=$AK$18,B14=$AK$19,B14=$AK$20,B14=$AK$21,B14=$AK$22,B14=$AK$23,B14=$AK$24),0,IF(AW15="","",AW15))),"")</f>
        <v>0</v>
      </c>
      <c r="J14" s="84">
        <f t="shared" si="9"/>
        <v>35490</v>
      </c>
      <c r="K14" s="84">
        <f>IFERROR(IF(B14="","",IF(C14="","",IF(G14="","",IF($B14="TOTAL",SUM($K$8:K13),SUM(C14-G14))))),"")</f>
        <v>1000</v>
      </c>
      <c r="L14" s="84">
        <f>IFERROR(IF(B14="","",IF(D14="","",IF(H14="","",IF($B14="TOTAL",SUM($L$8:L13),SUM(D14-H14))))),"")</f>
        <v>50</v>
      </c>
      <c r="M14" s="84">
        <f>IFERROR(IF(B14="","",IF(E14="","",IF(I14="","",IF($B14="TOTAL",SUM($M$8:M13),SUM(E14-I14))))),"")</f>
        <v>0</v>
      </c>
      <c r="N14" s="84">
        <f t="shared" si="10"/>
        <v>1050</v>
      </c>
      <c r="O14" s="84">
        <f>IFERROR(IF(B14="","",IF($B14="TOTAL",SUM($O$8:O13),IF($AM$18=$AM$20,AX15,ROUND((C14+D14)*10%,0)))),"")</f>
        <v>3654</v>
      </c>
      <c r="P14" s="84">
        <f>IFERROR(IF(B14="","",IF(G14="","",IF(H14="","",IF($B14="TOTAL",SUM($P$8:P13),IF($AM$18=$AM$20,$AM$21,ROUND((G14+H14)*10%,0)))))),"")</f>
        <v>3549</v>
      </c>
      <c r="Q14" s="84">
        <f t="shared" si="11"/>
        <v>105</v>
      </c>
      <c r="R14" s="85">
        <f>IFERROR(IF(B14="","",IF($AM$16=$AM$17,0,IF($B14="TOTAL",SUM($R$8:R13),IF($AM$19=$AM$31,0,IF(AND($AM$32=$AM$20,B14=$AM$33),$AM$34,R13))))),"")</f>
        <v>2100</v>
      </c>
      <c r="S14" s="85">
        <f>IFERROR(IF(B14="","",IF($AM$16=$AM$17,0,IF($B14="TOTAL",SUM($S$8:S13),IF($AM$19=$AM$20,$AM$24,0)))),"")</f>
        <v>2100</v>
      </c>
      <c r="T14" s="84">
        <f t="shared" si="12"/>
        <v>0</v>
      </c>
      <c r="U14" s="84" t="str">
        <f>IF(B14="","",IF($B14="TOTAL",SUM($U$8:U13),IF(AND($AM$2=$AM$20,B14=$AM$1),ROUND(C14/31*$AN$2,0),IF(B14=$AK$6,ROUND((F14)*1/30,0),IF(B14=$AL$6,ROUND((F14)*1/31,0),"")))))</f>
        <v/>
      </c>
      <c r="V14" s="84" t="str">
        <f>IF(B14="","",IF($B14="TOTAL",SUM($V$8:V13),IF(AND($AM$2=$AM$20,B14=$AM$1),ROUND(G14/31*$AN$2,0),IF(B14=$AK$6,ROUND((J14)*1/30,0),IF(B14=$AL$6,ROUND((J14)*1/31,0),"")))))</f>
        <v/>
      </c>
      <c r="W14" s="84" t="str">
        <f t="shared" si="13"/>
        <v/>
      </c>
      <c r="X14" s="84">
        <f>IFERROR(IF(B14="","",IF($B14="TOTAL",SUM($X$8:X13),ROUND(N14*$AM$7%,0))),"")</f>
        <v>105</v>
      </c>
      <c r="Y14" s="84">
        <f>IFERROR(IF(B14="","",IF($B14="TOTAL",SUM($Y$8:Y13),SUM(Q14,T14,W14,X14))),"")</f>
        <v>210</v>
      </c>
      <c r="Z14" s="86">
        <f>IFERROR(IF(B14="","",IF($B14="TOTAL",SUM($Z$8:Z13),SUM(N14-Y14))),"")</f>
        <v>840</v>
      </c>
      <c r="AA14" s="87"/>
      <c r="AB14" s="87"/>
      <c r="AD14" s="6"/>
      <c r="AE14" s="6"/>
      <c r="AF14" s="6"/>
      <c r="AG14" s="6"/>
      <c r="AH14" s="6"/>
      <c r="AI14" s="6"/>
      <c r="AJ14" s="113">
        <f t="shared" si="18"/>
        <v>4</v>
      </c>
      <c r="AK14" s="114"/>
      <c r="AL14" s="115">
        <v>42887</v>
      </c>
      <c r="AM14" s="114">
        <f>'Master Sheet'!K11</f>
        <v>32800</v>
      </c>
      <c r="AN14" s="115">
        <f t="shared" si="14"/>
        <v>42887</v>
      </c>
      <c r="AO14" s="115">
        <f t="shared" si="15"/>
        <v>42887</v>
      </c>
      <c r="AP14" s="115">
        <f t="shared" si="19"/>
        <v>42887</v>
      </c>
      <c r="AQ14" s="114">
        <f t="shared" si="27"/>
        <v>33800</v>
      </c>
      <c r="AR14" s="114">
        <f t="shared" si="20"/>
        <v>1352</v>
      </c>
      <c r="AS14" s="114">
        <f t="shared" si="21"/>
        <v>2704</v>
      </c>
      <c r="AT14" s="114"/>
      <c r="AU14" s="114">
        <f t="shared" si="28"/>
        <v>32800</v>
      </c>
      <c r="AV14" s="114">
        <f t="shared" si="22"/>
        <v>1312</v>
      </c>
      <c r="AW14" s="114">
        <f t="shared" si="23"/>
        <v>2624</v>
      </c>
      <c r="AX14" s="114">
        <f t="shared" si="24"/>
        <v>3936</v>
      </c>
      <c r="AY14" s="114"/>
      <c r="AZ14" s="114"/>
      <c r="BA14" s="149">
        <f t="shared" si="25"/>
        <v>736</v>
      </c>
      <c r="BB14" s="114">
        <f t="shared" si="26"/>
        <v>3200</v>
      </c>
    </row>
    <row r="15" spans="1:54" s="35" customFormat="1" ht="21" customHeight="1">
      <c r="A15" s="82">
        <f t="shared" si="7"/>
        <v>8</v>
      </c>
      <c r="B15" s="83">
        <f t="shared" si="16"/>
        <v>42948</v>
      </c>
      <c r="C15" s="84">
        <f>IFERROR(IF($B14="TOTAL","अक्षरें राशि :-",IF($B15="TOTAL",SUM($C$8:C14),IF(AQ16="","",AQ16))),"")</f>
        <v>34800</v>
      </c>
      <c r="D15" s="84">
        <f>IFERROR(IF($B15="TOTAL",SUM($D$8:D14),IF(AR16="","",AR16)),"")</f>
        <v>1740</v>
      </c>
      <c r="E15" s="84">
        <f>IFERROR(IF($B15="TOTAL",SUM($E$8:E14),IF(OR(B15=$AK$16,B15=$AK$17,B15=$AK$18,B15=$AK$19,B15=$AK$20,B15=$AK$21,B15=$AK$22,B15=$AK$23,B15=$AK$24),0,IF(AS16="","",AS16))),"")</f>
        <v>0</v>
      </c>
      <c r="F15" s="84">
        <f t="shared" si="17"/>
        <v>36540</v>
      </c>
      <c r="G15" s="84">
        <f>IFERROR(IF($B15="TOTAL",SUM($G$8:G14),IF(AU16="","",AU16)),"")</f>
        <v>33800</v>
      </c>
      <c r="H15" s="84">
        <f>IFERROR(IF($B15="TOTAL",SUM($H$8:H14),IF(AV16="","",AV16)),"")</f>
        <v>1690</v>
      </c>
      <c r="I15" s="84">
        <f>IFERROR(IF($B15="TOTAL",SUM($I$8:I14),IF(OR(B15=$AK$16,B15=$AK$17,B15=$AK$18,B15=$AK$19,B15=$AK$20,B15=$AK$21,B15=$AK$22,B15=$AK$23,B15=$AK$24),0,IF(AW16="","",AW16))),"")</f>
        <v>0</v>
      </c>
      <c r="J15" s="84">
        <f t="shared" si="9"/>
        <v>35490</v>
      </c>
      <c r="K15" s="84">
        <f>IFERROR(IF(B15="","",IF(C15="","",IF(G15="","",IF($B15="TOTAL",SUM($K$8:K14),SUM(C15-G15))))),"")</f>
        <v>1000</v>
      </c>
      <c r="L15" s="84">
        <f>IFERROR(IF(B15="","",IF(D15="","",IF(H15="","",IF($B15="TOTAL",SUM($L$8:L14),SUM(D15-H15))))),"")</f>
        <v>50</v>
      </c>
      <c r="M15" s="84">
        <f>IFERROR(IF(B15="","",IF(E15="","",IF(I15="","",IF($B15="TOTAL",SUM($M$8:M14),SUM(E15-I15))))),"")</f>
        <v>0</v>
      </c>
      <c r="N15" s="84">
        <f t="shared" si="10"/>
        <v>1050</v>
      </c>
      <c r="O15" s="84">
        <f>IFERROR(IF(B15="","",IF($B15="TOTAL",SUM($O$8:O14),IF($AM$18=$AM$20,AX16,ROUND((C15+D15)*10%,0)))),"")</f>
        <v>3654</v>
      </c>
      <c r="P15" s="84">
        <f>IFERROR(IF(B15="","",IF(G15="","",IF(H15="","",IF($B15="TOTAL",SUM($P$8:P14),IF($AM$18=$AM$20,$AM$21,ROUND((G15+H15)*10%,0)))))),"")</f>
        <v>3549</v>
      </c>
      <c r="Q15" s="84">
        <f t="shared" si="11"/>
        <v>105</v>
      </c>
      <c r="R15" s="85">
        <f>IFERROR(IF(B15="","",IF($AM$16=$AM$17,0,IF($B15="TOTAL",SUM($R$8:R14),IF($AM$19=$AM$31,0,IF(AND($AM$32=$AM$20,B15=$AM$33),$AM$34,R14))))),"")</f>
        <v>2100</v>
      </c>
      <c r="S15" s="85">
        <f>IFERROR(IF(B15="","",IF($AM$16=$AM$17,0,IF($B15="TOTAL",SUM($S$8:S14),IF($AM$19=$AM$20,$AM$24,0)))),"")</f>
        <v>2100</v>
      </c>
      <c r="T15" s="84">
        <f t="shared" si="12"/>
        <v>0</v>
      </c>
      <c r="U15" s="84" t="str">
        <f>IF(B15="","",IF($B15="TOTAL",SUM($U$8:U14),IF(AND($AM$2=$AM$20,B15=$AM$1),ROUND(C15/31*$AN$2,0),IF(B15=$AK$6,ROUND((F15)*1/30,0),IF(B15=$AL$6,ROUND((F15)*1/31,0),"")))))</f>
        <v/>
      </c>
      <c r="V15" s="84" t="str">
        <f>IF(B15="","",IF($B15="TOTAL",SUM($V$8:V14),IF(AND($AM$2=$AM$20,B15=$AM$1),ROUND(G15/31*$AN$2,0),IF(B15=$AK$6,ROUND((J15)*1/30,0),IF(B15=$AL$6,ROUND((J15)*1/31,0),"")))))</f>
        <v/>
      </c>
      <c r="W15" s="84" t="str">
        <f t="shared" si="13"/>
        <v/>
      </c>
      <c r="X15" s="84">
        <f>IFERROR(IF(B15="","",IF($B15="TOTAL",SUM($X$8:X14),ROUND(N15*$AM$7%,0))),"")</f>
        <v>105</v>
      </c>
      <c r="Y15" s="84">
        <f>IFERROR(IF(B15="","",IF($B15="TOTAL",SUM($Y$8:Y14),SUM(Q15,T15,W15,X15))),"")</f>
        <v>210</v>
      </c>
      <c r="Z15" s="86">
        <f>IFERROR(IF(B15="","",IF($B15="TOTAL",SUM($Z$8:Z14),SUM(N15-Y15))),"")</f>
        <v>840</v>
      </c>
      <c r="AA15" s="87"/>
      <c r="AB15" s="87"/>
      <c r="AD15" s="6"/>
      <c r="AE15" s="6"/>
      <c r="AF15" s="6"/>
      <c r="AG15" s="6"/>
      <c r="AH15" s="6"/>
      <c r="AI15" s="6"/>
      <c r="AJ15" s="113">
        <f t="shared" si="18"/>
        <v>5</v>
      </c>
      <c r="AK15" s="114"/>
      <c r="AL15" s="115">
        <v>42917</v>
      </c>
      <c r="AM15" s="116" t="s">
        <v>82</v>
      </c>
      <c r="AN15" s="115">
        <f t="shared" si="14"/>
        <v>42917</v>
      </c>
      <c r="AO15" s="115">
        <f t="shared" si="15"/>
        <v>42917</v>
      </c>
      <c r="AP15" s="115">
        <f t="shared" si="19"/>
        <v>42917</v>
      </c>
      <c r="AQ15" s="114">
        <f t="shared" si="27"/>
        <v>34800</v>
      </c>
      <c r="AR15" s="114">
        <f t="shared" si="20"/>
        <v>1740</v>
      </c>
      <c r="AS15" s="114">
        <f t="shared" si="21"/>
        <v>2784</v>
      </c>
      <c r="AT15" s="114"/>
      <c r="AU15" s="114">
        <f t="shared" si="28"/>
        <v>33800</v>
      </c>
      <c r="AV15" s="114">
        <f t="shared" si="22"/>
        <v>1690</v>
      </c>
      <c r="AW15" s="114">
        <f t="shared" si="23"/>
        <v>2704</v>
      </c>
      <c r="AX15" s="114">
        <f t="shared" si="24"/>
        <v>3945</v>
      </c>
      <c r="AY15" s="114"/>
      <c r="AZ15" s="114"/>
      <c r="BA15" s="149">
        <f t="shared" si="25"/>
        <v>745</v>
      </c>
      <c r="BB15" s="114">
        <f t="shared" si="26"/>
        <v>3200</v>
      </c>
    </row>
    <row r="16" spans="1:54" s="35" customFormat="1" ht="21" customHeight="1">
      <c r="A16" s="82">
        <f t="shared" si="7"/>
        <v>9</v>
      </c>
      <c r="B16" s="83">
        <f t="shared" si="16"/>
        <v>42979</v>
      </c>
      <c r="C16" s="84">
        <f>IFERROR(IF($B15="TOTAL","अक्षरें राशि :-",IF($B16="TOTAL",SUM($C$8:C15),IF(AQ17="","",AQ17))),"")</f>
        <v>34800</v>
      </c>
      <c r="D16" s="84">
        <f>IFERROR(IF($B16="TOTAL",SUM($D$8:D15),IF(AR17="","",AR17)),"")</f>
        <v>1740</v>
      </c>
      <c r="E16" s="84">
        <f>IFERROR(IF($B16="TOTAL",SUM($E$8:E15),IF(OR(B16=$AK$16,B16=$AK$17,B16=$AK$18,B16=$AK$19,B16=$AK$20,B16=$AK$21,B16=$AK$22,B16=$AK$23,B16=$AK$24),0,IF(AS17="","",AS17))),"")</f>
        <v>0</v>
      </c>
      <c r="F16" s="84">
        <f t="shared" si="17"/>
        <v>36540</v>
      </c>
      <c r="G16" s="84">
        <f>IFERROR(IF($B16="TOTAL",SUM($G$8:G15),IF(AU17="","",AU17)),"")</f>
        <v>33800</v>
      </c>
      <c r="H16" s="84">
        <f>IFERROR(IF($B16="TOTAL",SUM($H$8:H15),IF(AV17="","",AV17)),"")</f>
        <v>1690</v>
      </c>
      <c r="I16" s="84">
        <f>IFERROR(IF($B16="TOTAL",SUM($I$8:I15),IF(OR(B16=$AK$16,B16=$AK$17,B16=$AK$18,B16=$AK$19,B16=$AK$20,B16=$AK$21,B16=$AK$22,B16=$AK$23,B16=$AK$24),0,IF(AW17="","",AW17))),"")</f>
        <v>0</v>
      </c>
      <c r="J16" s="84">
        <f t="shared" si="9"/>
        <v>35490</v>
      </c>
      <c r="K16" s="84">
        <f>IFERROR(IF(B16="","",IF(C16="","",IF(G16="","",IF($B16="TOTAL",SUM($K$8:K15),SUM(C16-G16))))),"")</f>
        <v>1000</v>
      </c>
      <c r="L16" s="84">
        <f>IFERROR(IF(B16="","",IF(D16="","",IF(H16="","",IF($B16="TOTAL",SUM($L$8:L15),SUM(D16-H16))))),"")</f>
        <v>50</v>
      </c>
      <c r="M16" s="84">
        <f>IFERROR(IF(B16="","",IF(E16="","",IF(I16="","",IF($B16="TOTAL",SUM($M$8:M15),SUM(E16-I16))))),"")</f>
        <v>0</v>
      </c>
      <c r="N16" s="84">
        <f t="shared" si="10"/>
        <v>1050</v>
      </c>
      <c r="O16" s="84">
        <f>IFERROR(IF(B16="","",IF($B16="TOTAL",SUM($O$8:O15),IF($AM$18=$AM$20,AX17,ROUND((C16+D16)*10%,0)))),"")</f>
        <v>3654</v>
      </c>
      <c r="P16" s="84">
        <f>IFERROR(IF(B16="","",IF(G16="","",IF(H16="","",IF($B16="TOTAL",SUM($P$8:P15),IF($AM$18=$AM$20,$AM$21,ROUND((G16+H16)*10%,0)))))),"")</f>
        <v>3549</v>
      </c>
      <c r="Q16" s="84">
        <f t="shared" si="11"/>
        <v>105</v>
      </c>
      <c r="R16" s="85">
        <f>IFERROR(IF(B16="","",IF($AM$16=$AM$17,0,IF($B16="TOTAL",SUM($R$8:R15),IF($AM$19=$AM$31,0,IF(AND($AM$32=$AM$20,B16=$AM$33),$AM$34,R15))))),"")</f>
        <v>2100</v>
      </c>
      <c r="S16" s="85">
        <f>IFERROR(IF(B16="","",IF($AM$16=$AM$17,0,IF($B16="TOTAL",SUM($S$8:S15),IF($AM$19=$AM$20,$AM$24,0)))),"")</f>
        <v>2100</v>
      </c>
      <c r="T16" s="84">
        <f t="shared" si="12"/>
        <v>0</v>
      </c>
      <c r="U16" s="84" t="str">
        <f>IF(B16="","",IF($B16="TOTAL",SUM($U$8:U15),IF(AND($AM$2=$AM$20,B16=$AM$1),ROUND(C16/31*$AN$2,0),IF(B16=$AK$6,ROUND((F16)*1/30,0),IF(B16=$AL$6,ROUND((F16)*1/31,0),"")))))</f>
        <v/>
      </c>
      <c r="V16" s="84" t="str">
        <f>IF(B16="","",IF($B16="TOTAL",SUM($V$8:V15),IF(AND($AM$2=$AM$20,B16=$AM$1),ROUND(G16/31*$AN$2,0),IF(B16=$AK$6,ROUND((J16)*1/30,0),IF(B16=$AL$6,ROUND((J16)*1/31,0),"")))))</f>
        <v/>
      </c>
      <c r="W16" s="84" t="str">
        <f t="shared" si="13"/>
        <v/>
      </c>
      <c r="X16" s="84">
        <f>IFERROR(IF(B16="","",IF($B16="TOTAL",SUM($X$8:X15),ROUND(N16*$AM$7%,0))),"")</f>
        <v>105</v>
      </c>
      <c r="Y16" s="84">
        <f>IFERROR(IF(B16="","",IF($B16="TOTAL",SUM($Y$8:Y15),SUM(Q16,T16,W16,X16))),"")</f>
        <v>210</v>
      </c>
      <c r="Z16" s="86">
        <f>IFERROR(IF(B16="","",IF($B16="TOTAL",SUM($Z$8:Z15),SUM(N16-Y16))),"")</f>
        <v>840</v>
      </c>
      <c r="AA16" s="87"/>
      <c r="AB16" s="87"/>
      <c r="AD16" s="6"/>
      <c r="AE16" s="6"/>
      <c r="AF16" s="6"/>
      <c r="AG16" s="6"/>
      <c r="AH16" s="6"/>
      <c r="AI16" s="6"/>
      <c r="AJ16" s="113">
        <f t="shared" si="18"/>
        <v>5</v>
      </c>
      <c r="AK16" s="115">
        <v>42736</v>
      </c>
      <c r="AL16" s="115">
        <v>42948</v>
      </c>
      <c r="AM16" s="114" t="str">
        <f>'Master Sheet'!D11</f>
        <v>Regular Pay</v>
      </c>
      <c r="AN16" s="115">
        <f t="shared" si="14"/>
        <v>42948</v>
      </c>
      <c r="AO16" s="115">
        <f t="shared" si="15"/>
        <v>42948</v>
      </c>
      <c r="AP16" s="115">
        <f t="shared" si="19"/>
        <v>42948</v>
      </c>
      <c r="AQ16" s="114">
        <f t="shared" si="27"/>
        <v>34800</v>
      </c>
      <c r="AR16" s="114">
        <f t="shared" si="20"/>
        <v>1740</v>
      </c>
      <c r="AS16" s="114">
        <f t="shared" si="21"/>
        <v>2784</v>
      </c>
      <c r="AT16" s="114"/>
      <c r="AU16" s="114">
        <f t="shared" si="28"/>
        <v>33800</v>
      </c>
      <c r="AV16" s="114">
        <f t="shared" si="22"/>
        <v>1690</v>
      </c>
      <c r="AW16" s="114">
        <f t="shared" si="23"/>
        <v>2704</v>
      </c>
      <c r="AX16" s="114">
        <f t="shared" si="24"/>
        <v>3945</v>
      </c>
      <c r="AY16" s="114"/>
      <c r="AZ16" s="114"/>
      <c r="BA16" s="149">
        <f t="shared" si="25"/>
        <v>745</v>
      </c>
      <c r="BB16" s="114">
        <f t="shared" si="26"/>
        <v>3200</v>
      </c>
    </row>
    <row r="17" spans="1:54" s="35" customFormat="1" ht="21" customHeight="1">
      <c r="A17" s="82">
        <f t="shared" si="7"/>
        <v>10</v>
      </c>
      <c r="B17" s="83">
        <f t="shared" si="16"/>
        <v>43009</v>
      </c>
      <c r="C17" s="84">
        <f>IFERROR(IF($B16="TOTAL","अक्षरें राशि :-",IF($B17="TOTAL",SUM($C$8:C16),IF(AQ18="","",AQ18))),"")</f>
        <v>34800</v>
      </c>
      <c r="D17" s="84">
        <f>IFERROR(IF($B17="TOTAL",SUM($D$8:D16),IF(AR18="","",AR18)),"")</f>
        <v>1740</v>
      </c>
      <c r="E17" s="84">
        <f>IFERROR(IF($B17="TOTAL",SUM($E$8:E16),IF(OR(B17=$AK$16,B17=$AK$17,B17=$AK$18,B17=$AK$19,B17=$AK$20,B17=$AK$21,B17=$AK$22,B17=$AK$23,B17=$AK$24),0,IF(AS18="","",AS18))),"")</f>
        <v>2784</v>
      </c>
      <c r="F17" s="84">
        <f t="shared" si="17"/>
        <v>39324</v>
      </c>
      <c r="G17" s="84">
        <f>IFERROR(IF($B17="TOTAL",SUM($G$8:G16),IF(AU18="","",AU18)),"")</f>
        <v>33800</v>
      </c>
      <c r="H17" s="84">
        <f>IFERROR(IF($B17="TOTAL",SUM($H$8:H16),IF(AV18="","",AV18)),"")</f>
        <v>1690</v>
      </c>
      <c r="I17" s="84">
        <f>IFERROR(IF($B17="TOTAL",SUM($I$8:I16),IF(OR(B17=$AK$16,B17=$AK$17,B17=$AK$18,B17=$AK$19,B17=$AK$20,B17=$AK$21,B17=$AK$22,B17=$AK$23,B17=$AK$24),0,IF(AW18="","",AW18))),"")</f>
        <v>2704</v>
      </c>
      <c r="J17" s="84">
        <f t="shared" si="9"/>
        <v>38194</v>
      </c>
      <c r="K17" s="84">
        <f>IFERROR(IF(B17="","",IF(C17="","",IF(G17="","",IF($B17="TOTAL",SUM($K$8:K16),SUM(C17-G17))))),"")</f>
        <v>1000</v>
      </c>
      <c r="L17" s="84">
        <f>IFERROR(IF(B17="","",IF(D17="","",IF(H17="","",IF($B17="TOTAL",SUM($L$8:L16),SUM(D17-H17))))),"")</f>
        <v>50</v>
      </c>
      <c r="M17" s="84">
        <f>IFERROR(IF(B17="","",IF(E17="","",IF(I17="","",IF($B17="TOTAL",SUM($M$8:M16),SUM(E17-I17))))),"")</f>
        <v>80</v>
      </c>
      <c r="N17" s="84">
        <f t="shared" si="10"/>
        <v>1130</v>
      </c>
      <c r="O17" s="84">
        <f>IFERROR(IF(B17="","",IF($B17="TOTAL",SUM($O$8:O16),IF($AM$18=$AM$20,AX18,ROUND((C17+D17)*10%,0)))),"")</f>
        <v>3654</v>
      </c>
      <c r="P17" s="84">
        <f>IFERROR(IF(B17="","",IF(G17="","",IF(H17="","",IF($B17="TOTAL",SUM($P$8:P16),IF($AM$18=$AM$20,$AM$21,ROUND((G17+H17)*10%,0)))))),"")</f>
        <v>3549</v>
      </c>
      <c r="Q17" s="84">
        <f t="shared" si="11"/>
        <v>105</v>
      </c>
      <c r="R17" s="85">
        <f>IFERROR(IF(B17="","",IF($AM$16=$AM$17,0,IF($B17="TOTAL",SUM($R$8:R16),IF($AM$19=$AM$31,0,IF(AND($AM$32=$AM$20,B17=$AM$33),$AM$34,R16))))),"")</f>
        <v>2100</v>
      </c>
      <c r="S17" s="85">
        <f>IFERROR(IF(B17="","",IF($AM$16=$AM$17,0,IF($B17="TOTAL",SUM($S$8:S16),IF($AM$19=$AM$20,$AM$24,0)))),"")</f>
        <v>2100</v>
      </c>
      <c r="T17" s="84">
        <f t="shared" si="12"/>
        <v>0</v>
      </c>
      <c r="U17" s="84" t="str">
        <f>IF(B17="","",IF($B17="TOTAL",SUM($U$8:U16),IF(AND($AM$2=$AM$20,B17=$AM$1),ROUND(C17/31*$AN$2,0),IF(B17=$AK$6,ROUND((F17)*1/30,0),IF(B17=$AL$6,ROUND((F17)*1/31,0),"")))))</f>
        <v/>
      </c>
      <c r="V17" s="84" t="str">
        <f>IF(B17="","",IF($B17="TOTAL",SUM($V$8:V16),IF(AND($AM$2=$AM$20,B17=$AM$1),ROUND(G17/31*$AN$2,0),IF(B17=$AK$6,ROUND((J17)*1/30,0),IF(B17=$AL$6,ROUND((J17)*1/31,0),"")))))</f>
        <v/>
      </c>
      <c r="W17" s="84" t="str">
        <f t="shared" si="13"/>
        <v/>
      </c>
      <c r="X17" s="84">
        <f>IFERROR(IF(B17="","",IF($B17="TOTAL",SUM($X$8:X16),ROUND(N17*$AM$7%,0))),"")</f>
        <v>113</v>
      </c>
      <c r="Y17" s="84">
        <f>IFERROR(IF(B17="","",IF($B17="TOTAL",SUM($Y$8:Y16),SUM(Q17,T17,W17,X17))),"")</f>
        <v>218</v>
      </c>
      <c r="Z17" s="86">
        <f>IFERROR(IF(B17="","",IF($B17="TOTAL",SUM($Z$8:Z16),SUM(N17-Y17))),"")</f>
        <v>912</v>
      </c>
      <c r="AA17" s="87"/>
      <c r="AB17" s="87"/>
      <c r="AD17" s="6"/>
      <c r="AE17" s="6"/>
      <c r="AF17" s="6"/>
      <c r="AG17" s="6"/>
      <c r="AH17" s="6"/>
      <c r="AI17" s="6"/>
      <c r="AJ17" s="113">
        <f t="shared" si="18"/>
        <v>5</v>
      </c>
      <c r="AK17" s="115">
        <v>42767</v>
      </c>
      <c r="AL17" s="115">
        <v>42979</v>
      </c>
      <c r="AM17" s="114" t="s">
        <v>86</v>
      </c>
      <c r="AN17" s="115">
        <f t="shared" si="14"/>
        <v>42979</v>
      </c>
      <c r="AO17" s="115">
        <f t="shared" si="15"/>
        <v>42979</v>
      </c>
      <c r="AP17" s="115">
        <f t="shared" si="19"/>
        <v>42979</v>
      </c>
      <c r="AQ17" s="114">
        <f t="shared" si="27"/>
        <v>34800</v>
      </c>
      <c r="AR17" s="114">
        <f t="shared" si="20"/>
        <v>1740</v>
      </c>
      <c r="AS17" s="114">
        <f t="shared" si="21"/>
        <v>2784</v>
      </c>
      <c r="AT17" s="114"/>
      <c r="AU17" s="114">
        <f t="shared" si="28"/>
        <v>33800</v>
      </c>
      <c r="AV17" s="114">
        <f t="shared" si="22"/>
        <v>1690</v>
      </c>
      <c r="AW17" s="114">
        <f t="shared" si="23"/>
        <v>2704</v>
      </c>
      <c r="AX17" s="114">
        <f t="shared" si="24"/>
        <v>3945</v>
      </c>
      <c r="AY17" s="114"/>
      <c r="AZ17" s="114"/>
      <c r="BA17" s="149">
        <f t="shared" si="25"/>
        <v>745</v>
      </c>
      <c r="BB17" s="114">
        <f t="shared" si="26"/>
        <v>3200</v>
      </c>
    </row>
    <row r="18" spans="1:54" s="35" customFormat="1" ht="21" customHeight="1">
      <c r="A18" s="82">
        <f t="shared" si="7"/>
        <v>11</v>
      </c>
      <c r="B18" s="83">
        <f t="shared" si="16"/>
        <v>43040</v>
      </c>
      <c r="C18" s="84">
        <f>IFERROR(IF($B17="TOTAL","अक्षरें राशि :-",IF($B18="TOTAL",SUM($C$8:C17),IF(AQ19="","",AQ19))),"")</f>
        <v>34800</v>
      </c>
      <c r="D18" s="84">
        <f>IFERROR(IF($B18="TOTAL",SUM($D$8:D17),IF(AR19="","",AR19)),"")</f>
        <v>1740</v>
      </c>
      <c r="E18" s="84">
        <f>IFERROR(IF($B18="TOTAL",SUM($E$8:E17),IF(OR(B18=$AK$16,B18=$AK$17,B18=$AK$18,B18=$AK$19,B18=$AK$20,B18=$AK$21,B18=$AK$22,B18=$AK$23,B18=$AK$24),0,IF(AS19="","",AS19))),"")</f>
        <v>2784</v>
      </c>
      <c r="F18" s="84">
        <f t="shared" si="17"/>
        <v>39324</v>
      </c>
      <c r="G18" s="84">
        <f>IFERROR(IF($B18="TOTAL",SUM($G$8:G17),IF(AU19="","",AU19)),"")</f>
        <v>33800</v>
      </c>
      <c r="H18" s="84">
        <f>IFERROR(IF($B18="TOTAL",SUM($H$8:H17),IF(AV19="","",AV19)),"")</f>
        <v>1690</v>
      </c>
      <c r="I18" s="84">
        <f>IFERROR(IF($B18="TOTAL",SUM($I$8:I17),IF(OR(B18=$AK$16,B18=$AK$17,B18=$AK$18,B18=$AK$19,B18=$AK$20,B18=$AK$21,B18=$AK$22,B18=$AK$23,B18=$AK$24),0,IF(AW19="","",AW19))),"")</f>
        <v>2704</v>
      </c>
      <c r="J18" s="84">
        <f t="shared" si="9"/>
        <v>38194</v>
      </c>
      <c r="K18" s="84">
        <f>IFERROR(IF(B18="","",IF(C18="","",IF(G18="","",IF($B18="TOTAL",SUM($K$8:K17),SUM(C18-G18))))),"")</f>
        <v>1000</v>
      </c>
      <c r="L18" s="84">
        <f>IFERROR(IF(B18="","",IF(D18="","",IF(H18="","",IF($B18="TOTAL",SUM($L$8:L17),SUM(D18-H18))))),"")</f>
        <v>50</v>
      </c>
      <c r="M18" s="84">
        <f>IFERROR(IF(B18="","",IF(E18="","",IF(I18="","",IF($B18="TOTAL",SUM($M$8:M17),SUM(E18-I18))))),"")</f>
        <v>80</v>
      </c>
      <c r="N18" s="84">
        <f t="shared" si="10"/>
        <v>1130</v>
      </c>
      <c r="O18" s="84">
        <f>IFERROR(IF(B18="","",IF($B18="TOTAL",SUM($O$8:O17),IF($AM$18=$AM$20,AX19,ROUND((C18+D18)*10%,0)))),"")</f>
        <v>3654</v>
      </c>
      <c r="P18" s="84">
        <f>IFERROR(IF(B18="","",IF(G18="","",IF(H18="","",IF($B18="TOTAL",SUM($P$8:P17),IF($AM$18=$AM$20,$AM$21,ROUND((G18+H18)*10%,0)))))),"")</f>
        <v>3549</v>
      </c>
      <c r="Q18" s="84">
        <f t="shared" si="11"/>
        <v>105</v>
      </c>
      <c r="R18" s="85">
        <f>IFERROR(IF(B18="","",IF($AM$16=$AM$17,0,IF($B18="TOTAL",SUM($R$8:R17),IF($AM$19=$AM$31,0,IF(AND($AM$32=$AM$20,B18=$AM$33),$AM$34,R17))))),"")</f>
        <v>2100</v>
      </c>
      <c r="S18" s="85">
        <f>IFERROR(IF(B18="","",IF($AM$16=$AM$17,0,IF($B18="TOTAL",SUM($S$8:S17),IF($AM$19=$AM$20,$AM$24,0)))),"")</f>
        <v>2100</v>
      </c>
      <c r="T18" s="84">
        <f t="shared" si="12"/>
        <v>0</v>
      </c>
      <c r="U18" s="84" t="str">
        <f>IF(B18="","",IF($B18="TOTAL",SUM($U$8:U17),IF(AND($AM$2=$AM$20,B18=$AM$1),ROUND(C18/31*$AN$2,0),IF(B18=$AK$6,ROUND((F18)*1/30,0),IF(B18=$AL$6,ROUND((F18)*1/31,0),"")))))</f>
        <v/>
      </c>
      <c r="V18" s="84" t="str">
        <f>IF(B18="","",IF($B18="TOTAL",SUM($V$8:V17),IF(AND($AM$2=$AM$20,B18=$AM$1),ROUND(G18/31*$AN$2,0),IF(B18=$AK$6,ROUND((J18)*1/30,0),IF(B18=$AL$6,ROUND((J18)*1/31,0),"")))))</f>
        <v/>
      </c>
      <c r="W18" s="84" t="str">
        <f t="shared" si="13"/>
        <v/>
      </c>
      <c r="X18" s="84">
        <f>IFERROR(IF(B18="","",IF($B18="TOTAL",SUM($X$8:X17),ROUND(N18*$AM$7%,0))),"")</f>
        <v>113</v>
      </c>
      <c r="Y18" s="84">
        <f>IFERROR(IF(B18="","",IF($B18="TOTAL",SUM($Y$8:Y17),SUM(Q18,T18,W18,X18))),"")</f>
        <v>218</v>
      </c>
      <c r="Z18" s="86">
        <f>IFERROR(IF(B18="","",IF($B18="TOTAL",SUM($Z$8:Z17),SUM(N18-Y18))),"")</f>
        <v>912</v>
      </c>
      <c r="AA18" s="40"/>
      <c r="AB18" s="40"/>
      <c r="AD18" s="32"/>
      <c r="AE18" s="33"/>
      <c r="AF18" s="33"/>
      <c r="AG18" s="33"/>
      <c r="AH18" s="33"/>
      <c r="AI18" s="196"/>
      <c r="AJ18" s="113">
        <f t="shared" si="18"/>
        <v>5</v>
      </c>
      <c r="AK18" s="115">
        <v>42795</v>
      </c>
      <c r="AL18" s="115">
        <v>43009</v>
      </c>
      <c r="AM18" s="114" t="str">
        <f>'Master Sheet'!D21</f>
        <v>NO</v>
      </c>
      <c r="AN18" s="115">
        <f t="shared" si="14"/>
        <v>43009</v>
      </c>
      <c r="AO18" s="115">
        <f t="shared" si="15"/>
        <v>43009</v>
      </c>
      <c r="AP18" s="115">
        <f t="shared" si="19"/>
        <v>43009</v>
      </c>
      <c r="AQ18" s="114">
        <f t="shared" si="27"/>
        <v>34800</v>
      </c>
      <c r="AR18" s="114">
        <f t="shared" si="20"/>
        <v>1740</v>
      </c>
      <c r="AS18" s="114">
        <f t="shared" si="21"/>
        <v>2784</v>
      </c>
      <c r="AT18" s="114"/>
      <c r="AU18" s="114">
        <f t="shared" si="28"/>
        <v>33800</v>
      </c>
      <c r="AV18" s="114">
        <f t="shared" si="22"/>
        <v>1690</v>
      </c>
      <c r="AW18" s="114">
        <f t="shared" si="23"/>
        <v>2704</v>
      </c>
      <c r="AX18" s="114">
        <f t="shared" si="24"/>
        <v>3200</v>
      </c>
      <c r="AY18" s="114"/>
      <c r="AZ18" s="114"/>
      <c r="BA18" s="149">
        <f t="shared" si="25"/>
        <v>817</v>
      </c>
      <c r="BB18" s="114">
        <f t="shared" si="26"/>
        <v>3200</v>
      </c>
    </row>
    <row r="19" spans="1:54" s="35" customFormat="1" ht="21" customHeight="1">
      <c r="A19" s="82">
        <f t="shared" si="7"/>
        <v>12</v>
      </c>
      <c r="B19" s="83">
        <f t="shared" si="16"/>
        <v>43070</v>
      </c>
      <c r="C19" s="84">
        <f>IFERROR(IF($B18="TOTAL","अक्षरें राशि :-",IF($B19="TOTAL",SUM($C$8:C18),IF(AQ20="","",AQ20))),"")</f>
        <v>34800</v>
      </c>
      <c r="D19" s="84">
        <f>IFERROR(IF($B19="TOTAL",SUM($D$8:D18),IF(AR20="","",AR20)),"")</f>
        <v>1740</v>
      </c>
      <c r="E19" s="84">
        <f>IFERROR(IF($B19="TOTAL",SUM($E$8:E18),IF(OR(B19=$AK$16,B19=$AK$17,B19=$AK$18,B19=$AK$19,B19=$AK$20,B19=$AK$21,B19=$AK$22,B19=$AK$23,B19=$AK$24),0,IF(AS20="","",AS20))),"")</f>
        <v>2784</v>
      </c>
      <c r="F19" s="84">
        <f t="shared" si="17"/>
        <v>39324</v>
      </c>
      <c r="G19" s="84">
        <f>IFERROR(IF($B19="TOTAL",SUM($G$8:G18),IF(AU20="","",AU20)),"")</f>
        <v>33800</v>
      </c>
      <c r="H19" s="84">
        <f>IFERROR(IF($B19="TOTAL",SUM($H$8:H18),IF(AV20="","",AV20)),"")</f>
        <v>1690</v>
      </c>
      <c r="I19" s="84">
        <f>IFERROR(IF($B19="TOTAL",SUM($I$8:I18),IF(OR(B19=$AK$16,B19=$AK$17,B19=$AK$18,B19=$AK$19,B19=$AK$20,B19=$AK$21,B19=$AK$22,B19=$AK$23,B19=$AK$24),0,IF(AW20="","",AW20))),"")</f>
        <v>2704</v>
      </c>
      <c r="J19" s="84">
        <f t="shared" si="9"/>
        <v>38194</v>
      </c>
      <c r="K19" s="84">
        <f>IFERROR(IF(B19="","",IF(C19="","",IF(G19="","",IF($B19="TOTAL",SUM($K$8:K18),SUM(C19-G19))))),"")</f>
        <v>1000</v>
      </c>
      <c r="L19" s="84">
        <f>IFERROR(IF(B19="","",IF(D19="","",IF(H19="","",IF($B19="TOTAL",SUM($L$8:L18),SUM(D19-H19))))),"")</f>
        <v>50</v>
      </c>
      <c r="M19" s="84">
        <f>IFERROR(IF(B19="","",IF(E19="","",IF(I19="","",IF($B19="TOTAL",SUM($M$8:M18),SUM(E19-I19))))),"")</f>
        <v>80</v>
      </c>
      <c r="N19" s="84">
        <f t="shared" si="10"/>
        <v>1130</v>
      </c>
      <c r="O19" s="84">
        <f>IFERROR(IF(B19="","",IF($B19="TOTAL",SUM($O$8:O18),IF($AM$18=$AM$20,AX20,ROUND((C19+D19)*10%,0)))),"")</f>
        <v>3654</v>
      </c>
      <c r="P19" s="84">
        <f>IFERROR(IF(B19="","",IF(G19="","",IF(H19="","",IF($B19="TOTAL",SUM($P$8:P18),IF($AM$18=$AM$20,$AM$21,ROUND((G19+H19)*10%,0)))))),"")</f>
        <v>3549</v>
      </c>
      <c r="Q19" s="84">
        <f t="shared" si="11"/>
        <v>105</v>
      </c>
      <c r="R19" s="85">
        <f>IFERROR(IF(B19="","",IF($AM$16=$AM$17,0,IF($B19="TOTAL",SUM($R$8:R18),IF($AM$19=$AM$31,0,IF(AND($AM$32=$AM$20,B19=$AM$33),$AM$34,R18))))),"")</f>
        <v>2100</v>
      </c>
      <c r="S19" s="85">
        <f>IFERROR(IF(B19="","",IF($AM$16=$AM$17,0,IF($B19="TOTAL",SUM($S$8:S18),IF($AM$19=$AM$20,$AM$24,0)))),"")</f>
        <v>2100</v>
      </c>
      <c r="T19" s="84">
        <f t="shared" si="12"/>
        <v>0</v>
      </c>
      <c r="U19" s="84" t="str">
        <f>IF(B19="","",IF($B19="TOTAL",SUM($U$8:U18),IF(AND($AM$2=$AM$20,B19=$AM$1),ROUND(C19/31*$AN$2,0),IF(B19=$AK$6,ROUND((F19)*1/30,0),IF(B19=$AL$6,ROUND((F19)*1/31,0),"")))))</f>
        <v/>
      </c>
      <c r="V19" s="84" t="str">
        <f>IF(B19="","",IF($B19="TOTAL",SUM($V$8:V18),IF(AND($AM$2=$AM$20,B19=$AM$1),ROUND(G19/31*$AN$2,0),IF(B19=$AK$6,ROUND((J19)*1/30,0),IF(B19=$AL$6,ROUND((J19)*1/31,0),"")))))</f>
        <v/>
      </c>
      <c r="W19" s="84" t="str">
        <f t="shared" si="13"/>
        <v/>
      </c>
      <c r="X19" s="84">
        <f>IFERROR(IF(B19="","",IF($B19="TOTAL",SUM($X$8:X18),ROUND(N19*$AM$7%,0))),"")</f>
        <v>113</v>
      </c>
      <c r="Y19" s="84">
        <f>IFERROR(IF(B19="","",IF($B19="TOTAL",SUM($Y$8:Y18),SUM(Q19,T19,W19,X19))),"")</f>
        <v>218</v>
      </c>
      <c r="Z19" s="86">
        <f>IFERROR(IF(B19="","",IF($B19="TOTAL",SUM($Z$8:Z18),SUM(N19-Y19))),"")</f>
        <v>912</v>
      </c>
      <c r="AA19" s="89"/>
      <c r="AB19" s="40"/>
      <c r="AD19" s="32"/>
      <c r="AE19" s="33"/>
      <c r="AF19" s="33"/>
      <c r="AG19" s="33"/>
      <c r="AH19" s="33"/>
      <c r="AI19" s="196"/>
      <c r="AJ19" s="113">
        <f t="shared" si="18"/>
        <v>5</v>
      </c>
      <c r="AK19" s="115">
        <v>42826</v>
      </c>
      <c r="AL19" s="115">
        <v>43040</v>
      </c>
      <c r="AM19" s="114" t="str">
        <f>'Master Sheet'!D17</f>
        <v>YES</v>
      </c>
      <c r="AN19" s="115">
        <f t="shared" si="14"/>
        <v>43040</v>
      </c>
      <c r="AO19" s="115">
        <f t="shared" si="15"/>
        <v>43040</v>
      </c>
      <c r="AP19" s="115">
        <f t="shared" si="19"/>
        <v>43040</v>
      </c>
      <c r="AQ19" s="114">
        <f t="shared" si="27"/>
        <v>34800</v>
      </c>
      <c r="AR19" s="114">
        <f t="shared" si="20"/>
        <v>1740</v>
      </c>
      <c r="AS19" s="114">
        <f t="shared" si="21"/>
        <v>2784</v>
      </c>
      <c r="AT19" s="114"/>
      <c r="AU19" s="114">
        <f t="shared" si="28"/>
        <v>33800</v>
      </c>
      <c r="AV19" s="114">
        <f t="shared" si="22"/>
        <v>1690</v>
      </c>
      <c r="AW19" s="114">
        <f t="shared" si="23"/>
        <v>2704</v>
      </c>
      <c r="AX19" s="114">
        <f t="shared" si="24"/>
        <v>3200</v>
      </c>
      <c r="AY19" s="114"/>
      <c r="AZ19" s="114"/>
      <c r="BA19" s="149">
        <f t="shared" si="25"/>
        <v>817</v>
      </c>
      <c r="BB19" s="114">
        <f t="shared" si="26"/>
        <v>3200</v>
      </c>
    </row>
    <row r="20" spans="1:54" s="35" customFormat="1" ht="21" customHeight="1">
      <c r="A20" s="82">
        <f t="shared" si="7"/>
        <v>13</v>
      </c>
      <c r="B20" s="83">
        <f t="shared" si="16"/>
        <v>43101</v>
      </c>
      <c r="C20" s="84">
        <f>IFERROR(IF($B19="TOTAL","अक्षरें राशि :-",IF($B20="TOTAL",SUM($C$8:C19),IF(AQ21="","",AQ21))),"")</f>
        <v>34800</v>
      </c>
      <c r="D20" s="84">
        <f>IFERROR(IF($B20="TOTAL",SUM($D$8:D19),IF(AR21="","",AR21)),"")</f>
        <v>2436</v>
      </c>
      <c r="E20" s="84">
        <f>IFERROR(IF($B20="TOTAL",SUM($E$8:E19),IF(OR(B20=$AK$16,B20=$AK$17,B20=$AK$18,B20=$AK$19,B20=$AK$20,B20=$AK$21,B20=$AK$22,B20=$AK$23,B20=$AK$24),0,IF(AS21="","",AS21))),"")</f>
        <v>2784</v>
      </c>
      <c r="F20" s="84">
        <f t="shared" si="17"/>
        <v>40020</v>
      </c>
      <c r="G20" s="84">
        <f>IFERROR(IF($B20="TOTAL",SUM($G$8:G19),IF(AU21="","",AU21)),"")</f>
        <v>33800</v>
      </c>
      <c r="H20" s="84">
        <f>IFERROR(IF($B20="TOTAL",SUM($H$8:H19),IF(AV21="","",AV21)),"")</f>
        <v>2366</v>
      </c>
      <c r="I20" s="84">
        <f>IFERROR(IF($B20="TOTAL",SUM($I$8:I19),IF(OR(B20=$AK$16,B20=$AK$17,B20=$AK$18,B20=$AK$19,B20=$AK$20,B20=$AK$21,B20=$AK$22,B20=$AK$23,B20=$AK$24),0,IF(AW21="","",AW21))),"")</f>
        <v>2704</v>
      </c>
      <c r="J20" s="84">
        <f t="shared" si="9"/>
        <v>38870</v>
      </c>
      <c r="K20" s="84">
        <f>IFERROR(IF(B20="","",IF(C20="","",IF(G20="","",IF($B20="TOTAL",SUM($K$8:K19),SUM(C20-G20))))),"")</f>
        <v>1000</v>
      </c>
      <c r="L20" s="84">
        <f>IFERROR(IF(B20="","",IF(D20="","",IF(H20="","",IF($B20="TOTAL",SUM($L$8:L19),SUM(D20-H20))))),"")</f>
        <v>70</v>
      </c>
      <c r="M20" s="84">
        <f>IFERROR(IF(B20="","",IF(E20="","",IF(I20="","",IF($B20="TOTAL",SUM($M$8:M19),SUM(E20-I20))))),"")</f>
        <v>80</v>
      </c>
      <c r="N20" s="84">
        <f t="shared" si="10"/>
        <v>1150</v>
      </c>
      <c r="O20" s="84">
        <f>IFERROR(IF(B20="","",IF($B20="TOTAL",SUM($O$8:O19),IF($AM$18=$AM$20,AX21,ROUND((C20+D20)*10%,0)))),"")</f>
        <v>3724</v>
      </c>
      <c r="P20" s="84">
        <f>IFERROR(IF(B20="","",IF(G20="","",IF(H20="","",IF($B20="TOTAL",SUM($P$8:P19),IF($AM$18=$AM$20,$AM$21,ROUND((G20+H20)*10%,0)))))),"")</f>
        <v>3617</v>
      </c>
      <c r="Q20" s="84">
        <f t="shared" si="11"/>
        <v>107</v>
      </c>
      <c r="R20" s="85">
        <f>IFERROR(IF(B20="","",IF($AM$16=$AM$17,0,IF($B20="TOTAL",SUM($R$8:R19),IF($AM$19=$AM$31,0,IF(AND($AM$32=$AM$20,B20=$AM$33),$AM$34,R19))))),"")</f>
        <v>2100</v>
      </c>
      <c r="S20" s="85">
        <f>IFERROR(IF(B20="","",IF($AM$16=$AM$17,0,IF($B20="TOTAL",SUM($S$8:S19),IF($AM$19=$AM$20,$AM$24,0)))),"")</f>
        <v>2100</v>
      </c>
      <c r="T20" s="84">
        <f t="shared" si="12"/>
        <v>0</v>
      </c>
      <c r="U20" s="84" t="str">
        <f>IF(B20="","",IF($B20="TOTAL",SUM($U$8:U19),IF(AND($AM$2=$AM$20,B20=$AM$1),ROUND(C20/31*$AN$2,0),IF(B20=$AK$6,ROUND((F20)*1/30,0),IF(B20=$AL$6,ROUND((F20)*1/31,0),"")))))</f>
        <v/>
      </c>
      <c r="V20" s="84" t="str">
        <f>IF(B20="","",IF($B20="TOTAL",SUM($V$8:V19),IF(AND($AM$2=$AM$20,B20=$AM$1),ROUND(G20/31*$AN$2,0),IF(B20=$AK$6,ROUND((J20)*1/30,0),IF(B20=$AL$6,ROUND((J20)*1/31,0),"")))))</f>
        <v/>
      </c>
      <c r="W20" s="84" t="str">
        <f t="shared" si="13"/>
        <v/>
      </c>
      <c r="X20" s="84">
        <f>IFERROR(IF(B20="","",IF($B20="TOTAL",SUM($X$8:X19),ROUND(N20*$AM$7%,0))),"")</f>
        <v>115</v>
      </c>
      <c r="Y20" s="84">
        <f>IFERROR(IF(B20="","",IF($B20="TOTAL",SUM($Y$8:Y19),SUM(Q20,T20,W20,X20))),"")</f>
        <v>222</v>
      </c>
      <c r="Z20" s="86">
        <f>IFERROR(IF(B20="","",IF($B20="TOTAL",SUM($Z$8:Z19),SUM(N20-Y20))),"")</f>
        <v>928</v>
      </c>
      <c r="AA20" s="80"/>
      <c r="AB20" s="40"/>
      <c r="AD20" s="32"/>
      <c r="AE20" s="33"/>
      <c r="AF20" s="33"/>
      <c r="AG20" s="33"/>
      <c r="AH20" s="33"/>
      <c r="AI20" s="196"/>
      <c r="AJ20" s="113">
        <f t="shared" si="18"/>
        <v>5</v>
      </c>
      <c r="AK20" s="115">
        <v>42856</v>
      </c>
      <c r="AL20" s="115">
        <v>43070</v>
      </c>
      <c r="AM20" s="114" t="s">
        <v>88</v>
      </c>
      <c r="AN20" s="115">
        <f t="shared" ref="AN20:AN70" si="29">IF(AND($AM$6&gt;$AN$6),"",DATE(YEAR(AN19),MONTH(AN19)+1,DAY(AN19)))</f>
        <v>43070</v>
      </c>
      <c r="AO20" s="115">
        <f t="shared" si="15"/>
        <v>43070</v>
      </c>
      <c r="AP20" s="115">
        <f t="shared" si="19"/>
        <v>43070</v>
      </c>
      <c r="AQ20" s="114">
        <f t="shared" si="27"/>
        <v>34800</v>
      </c>
      <c r="AR20" s="114">
        <f t="shared" si="20"/>
        <v>1740</v>
      </c>
      <c r="AS20" s="114">
        <f t="shared" si="21"/>
        <v>2784</v>
      </c>
      <c r="AT20" s="114"/>
      <c r="AU20" s="114">
        <f t="shared" si="28"/>
        <v>33800</v>
      </c>
      <c r="AV20" s="114">
        <f t="shared" si="22"/>
        <v>1690</v>
      </c>
      <c r="AW20" s="114">
        <f t="shared" si="23"/>
        <v>2704</v>
      </c>
      <c r="AX20" s="114">
        <f t="shared" si="24"/>
        <v>3200</v>
      </c>
      <c r="AY20" s="114"/>
      <c r="AZ20" s="114"/>
      <c r="BA20" s="149">
        <f t="shared" si="25"/>
        <v>817</v>
      </c>
      <c r="BB20" s="114">
        <f t="shared" si="26"/>
        <v>3200</v>
      </c>
    </row>
    <row r="21" spans="1:54" s="35" customFormat="1" ht="21" customHeight="1">
      <c r="A21" s="82">
        <f t="shared" si="7"/>
        <v>14</v>
      </c>
      <c r="B21" s="83">
        <f t="shared" si="16"/>
        <v>43132</v>
      </c>
      <c r="C21" s="84">
        <f>IFERROR(IF($B20="TOTAL","अक्षरें राशि :-",IF($B21="TOTAL",SUM($C$8:C20),IF(AQ22="","",AQ22))),"")</f>
        <v>34800</v>
      </c>
      <c r="D21" s="84">
        <f>IFERROR(IF($B21="TOTAL",SUM($D$8:D20),IF(AR22="","",AR22)),"")</f>
        <v>2436</v>
      </c>
      <c r="E21" s="84">
        <f>IFERROR(IF($B21="TOTAL",SUM($E$8:E20),IF(OR(B21=$AK$16,B21=$AK$17,B21=$AK$18,B21=$AK$19,B21=$AK$20,B21=$AK$21,B21=$AK$22,B21=$AK$23,B21=$AK$24),0,IF(AS22="","",AS22))),"")</f>
        <v>2784</v>
      </c>
      <c r="F21" s="84">
        <f t="shared" si="17"/>
        <v>40020</v>
      </c>
      <c r="G21" s="84">
        <f>IFERROR(IF($B21="TOTAL",SUM($G$8:G20),IF(AU22="","",AU22)),"")</f>
        <v>33800</v>
      </c>
      <c r="H21" s="84">
        <f>IFERROR(IF($B21="TOTAL",SUM($H$8:H20),IF(AV22="","",AV22)),"")</f>
        <v>2366</v>
      </c>
      <c r="I21" s="84">
        <f>IFERROR(IF($B21="TOTAL",SUM($I$8:I20),IF(OR(B21=$AK$16,B21=$AK$17,B21=$AK$18,B21=$AK$19,B21=$AK$20,B21=$AK$21,B21=$AK$22,B21=$AK$23,B21=$AK$24),0,IF(AW22="","",AW22))),"")</f>
        <v>2704</v>
      </c>
      <c r="J21" s="84">
        <f t="shared" si="9"/>
        <v>38870</v>
      </c>
      <c r="K21" s="84">
        <f>IFERROR(IF(B21="","",IF(C21="","",IF(G21="","",IF($B21="TOTAL",SUM($K$8:K20),SUM(C21-G21))))),"")</f>
        <v>1000</v>
      </c>
      <c r="L21" s="84">
        <f>IFERROR(IF(B21="","",IF(D21="","",IF(H21="","",IF($B21="TOTAL",SUM($L$8:L20),SUM(D21-H21))))),"")</f>
        <v>70</v>
      </c>
      <c r="M21" s="84">
        <f>IFERROR(IF(B21="","",IF(E21="","",IF(I21="","",IF($B21="TOTAL",SUM($M$8:M20),SUM(E21-I21))))),"")</f>
        <v>80</v>
      </c>
      <c r="N21" s="84">
        <f t="shared" si="10"/>
        <v>1150</v>
      </c>
      <c r="O21" s="84">
        <f>IFERROR(IF(B21="","",IF($B21="TOTAL",SUM($O$8:O20),IF($AM$18=$AM$20,AX22,ROUND((C21+D21)*10%,0)))),"")</f>
        <v>3724</v>
      </c>
      <c r="P21" s="84">
        <f>IFERROR(IF(B21="","",IF(G21="","",IF(H21="","",IF($B21="TOTAL",SUM($P$8:P20),IF($AM$18=$AM$20,$AM$21,ROUND((G21+H21)*10%,0)))))),"")</f>
        <v>3617</v>
      </c>
      <c r="Q21" s="84">
        <f t="shared" si="11"/>
        <v>107</v>
      </c>
      <c r="R21" s="85">
        <f>IFERROR(IF(B21="","",IF($AM$16=$AM$17,0,IF($B21="TOTAL",SUM($R$8:R20),IF($AM$19=$AM$31,0,IF(AND($AM$32=$AM$20,B21=$AM$33),$AM$34,R20))))),"")</f>
        <v>2100</v>
      </c>
      <c r="S21" s="85">
        <f>IFERROR(IF(B21="","",IF($AM$16=$AM$17,0,IF($B21="TOTAL",SUM($S$8:S20),IF($AM$19=$AM$20,$AM$24,0)))),"")</f>
        <v>2100</v>
      </c>
      <c r="T21" s="84">
        <f t="shared" si="12"/>
        <v>0</v>
      </c>
      <c r="U21" s="84" t="str">
        <f>IF(B21="","",IF($B21="TOTAL",SUM($U$8:U20),IF(AND($AM$2=$AM$20,B21=$AM$1),ROUND(C21/31*$AN$2,0),IF(B21=$AK$6,ROUND((F21)*1/30,0),IF(B21=$AL$6,ROUND((F21)*1/31,0),"")))))</f>
        <v/>
      </c>
      <c r="V21" s="84" t="str">
        <f>IF(B21="","",IF($B21="TOTAL",SUM($V$8:V20),IF(AND($AM$2=$AM$20,B21=$AM$1),ROUND(G21/31*$AN$2,0),IF(B21=$AK$6,ROUND((J21)*1/30,0),IF(B21=$AL$6,ROUND((J21)*1/31,0),"")))))</f>
        <v/>
      </c>
      <c r="W21" s="84" t="str">
        <f t="shared" si="13"/>
        <v/>
      </c>
      <c r="X21" s="84">
        <f>IFERROR(IF(B21="","",IF($B21="TOTAL",SUM($X$8:X20),ROUND(N21*$AM$7%,0))),"")</f>
        <v>115</v>
      </c>
      <c r="Y21" s="84">
        <f>IFERROR(IF(B21="","",IF($B21="TOTAL",SUM($Y$8:Y20),SUM(Q21,T21,W21,X21))),"")</f>
        <v>222</v>
      </c>
      <c r="Z21" s="86">
        <f>IFERROR(IF(B21="","",IF($B21="TOTAL",SUM($Z$8:Z20),SUM(N21-Y21))),"")</f>
        <v>928</v>
      </c>
      <c r="AA21" s="1"/>
      <c r="AB21" s="40"/>
      <c r="AD21" s="32"/>
      <c r="AE21" s="33"/>
      <c r="AF21" s="33"/>
      <c r="AG21" s="33"/>
      <c r="AH21" s="33"/>
      <c r="AI21" s="196"/>
      <c r="AJ21" s="113">
        <f t="shared" si="18"/>
        <v>7</v>
      </c>
      <c r="AK21" s="115">
        <v>42887</v>
      </c>
      <c r="AL21" s="115">
        <v>43101</v>
      </c>
      <c r="AM21" s="117">
        <f>'Master Sheet'!G21</f>
        <v>3000</v>
      </c>
      <c r="AN21" s="115">
        <f t="shared" si="29"/>
        <v>43101</v>
      </c>
      <c r="AO21" s="115">
        <f t="shared" si="15"/>
        <v>43101</v>
      </c>
      <c r="AP21" s="115">
        <f t="shared" si="19"/>
        <v>43101</v>
      </c>
      <c r="AQ21" s="114">
        <f t="shared" si="27"/>
        <v>34800</v>
      </c>
      <c r="AR21" s="114">
        <f t="shared" si="20"/>
        <v>2436</v>
      </c>
      <c r="AS21" s="114">
        <f t="shared" si="21"/>
        <v>2784</v>
      </c>
      <c r="AT21" s="114"/>
      <c r="AU21" s="114">
        <f t="shared" si="28"/>
        <v>33800</v>
      </c>
      <c r="AV21" s="114">
        <f t="shared" si="22"/>
        <v>2366</v>
      </c>
      <c r="AW21" s="114">
        <f t="shared" si="23"/>
        <v>2704</v>
      </c>
      <c r="AX21" s="114">
        <f t="shared" si="24"/>
        <v>3200</v>
      </c>
      <c r="AY21" s="114"/>
      <c r="AZ21" s="114"/>
      <c r="BA21" s="149">
        <f t="shared" si="25"/>
        <v>835</v>
      </c>
      <c r="BB21" s="114">
        <f t="shared" si="26"/>
        <v>3200</v>
      </c>
    </row>
    <row r="22" spans="1:54" s="35" customFormat="1" ht="21" customHeight="1">
      <c r="A22" s="82">
        <f t="shared" si="7"/>
        <v>15</v>
      </c>
      <c r="B22" s="83">
        <f t="shared" si="16"/>
        <v>43160</v>
      </c>
      <c r="C22" s="84">
        <f>IFERROR(IF($B21="TOTAL","अक्षरें राशि :-",IF($B22="TOTAL",SUM($C$8:C21),IF(AQ23="","",AQ23))),"")</f>
        <v>34800</v>
      </c>
      <c r="D22" s="84">
        <f>IFERROR(IF($B22="TOTAL",SUM($D$8:D21),IF(AR23="","",AR23)),"")</f>
        <v>2436</v>
      </c>
      <c r="E22" s="84">
        <f>IFERROR(IF($B22="TOTAL",SUM($E$8:E21),IF(OR(B22=$AK$16,B22=$AK$17,B22=$AK$18,B22=$AK$19,B22=$AK$20,B22=$AK$21,B22=$AK$22,B22=$AK$23,B22=$AK$24),0,IF(AS23="","",AS23))),"")</f>
        <v>2784</v>
      </c>
      <c r="F22" s="84">
        <f t="shared" si="17"/>
        <v>40020</v>
      </c>
      <c r="G22" s="84">
        <f>IFERROR(IF($B22="TOTAL",SUM($G$8:G21),IF(AU23="","",AU23)),"")</f>
        <v>33800</v>
      </c>
      <c r="H22" s="84">
        <f>IFERROR(IF($B22="TOTAL",SUM($H$8:H21),IF(AV23="","",AV23)),"")</f>
        <v>2366</v>
      </c>
      <c r="I22" s="84">
        <f>IFERROR(IF($B22="TOTAL",SUM($I$8:I21),IF(OR(B22=$AK$16,B22=$AK$17,B22=$AK$18,B22=$AK$19,B22=$AK$20,B22=$AK$21,B22=$AK$22,B22=$AK$23,B22=$AK$24),0,IF(AW23="","",AW23))),"")</f>
        <v>2704</v>
      </c>
      <c r="J22" s="84">
        <f t="shared" si="9"/>
        <v>38870</v>
      </c>
      <c r="K22" s="84">
        <f>IFERROR(IF(B22="","",IF(C22="","",IF(G22="","",IF($B22="TOTAL",SUM($K$8:K21),SUM(C22-G22))))),"")</f>
        <v>1000</v>
      </c>
      <c r="L22" s="84">
        <f>IFERROR(IF(B22="","",IF(D22="","",IF(H22="","",IF($B22="TOTAL",SUM($L$8:L21),SUM(D22-H22))))),"")</f>
        <v>70</v>
      </c>
      <c r="M22" s="84">
        <f>IFERROR(IF(B22="","",IF(E22="","",IF(I22="","",IF($B22="TOTAL",SUM($M$8:M21),SUM(E22-I22))))),"")</f>
        <v>80</v>
      </c>
      <c r="N22" s="84">
        <f t="shared" si="10"/>
        <v>1150</v>
      </c>
      <c r="O22" s="84">
        <f>IFERROR(IF(B22="","",IF($B22="TOTAL",SUM($O$8:O21),IF($AM$18=$AM$20,AX23,ROUND((C22+D22)*10%,0)))),"")</f>
        <v>3724</v>
      </c>
      <c r="P22" s="84">
        <f>IFERROR(IF(B22="","",IF(G22="","",IF(H22="","",IF($B22="TOTAL",SUM($P$8:P21),IF($AM$18=$AM$20,$AM$21,ROUND((G22+H22)*10%,0)))))),"")</f>
        <v>3617</v>
      </c>
      <c r="Q22" s="84">
        <f t="shared" si="11"/>
        <v>107</v>
      </c>
      <c r="R22" s="85">
        <f>IFERROR(IF(B22="","",IF($AM$16=$AM$17,0,IF($B22="TOTAL",SUM($R$8:R21),IF($AM$19=$AM$31,0,IF(AND($AM$32=$AM$20,B22=$AM$33),$AM$34,R21))))),"")</f>
        <v>2100</v>
      </c>
      <c r="S22" s="85">
        <f>IFERROR(IF(B22="","",IF($AM$16=$AM$17,0,IF($B22="TOTAL",SUM($S$8:S21),IF($AM$19=$AM$20,$AM$24,0)))),"")</f>
        <v>2100</v>
      </c>
      <c r="T22" s="84">
        <f t="shared" si="12"/>
        <v>0</v>
      </c>
      <c r="U22" s="84" t="str">
        <f>IF(B22="","",IF($B22="TOTAL",SUM($U$8:U21),IF(AND($AM$2=$AM$20,B22=$AM$1),ROUND(C22/31*$AN$2,0),IF(B22=$AK$6,ROUND((F22)*1/30,0),IF(B22=$AL$6,ROUND((F22)*1/31,0),"")))))</f>
        <v/>
      </c>
      <c r="V22" s="84" t="str">
        <f>IF(B22="","",IF($B22="TOTAL",SUM($V$8:V21),IF(AND($AM$2=$AM$20,B22=$AM$1),ROUND(G22/31*$AN$2,0),IF(B22=$AK$6,ROUND((J22)*1/30,0),IF(B22=$AL$6,ROUND((J22)*1/31,0),"")))))</f>
        <v/>
      </c>
      <c r="W22" s="84" t="str">
        <f t="shared" si="13"/>
        <v/>
      </c>
      <c r="X22" s="84">
        <f>IFERROR(IF(B22="","",IF($B22="TOTAL",SUM($X$8:X21),ROUND(N22*$AM$7%,0))),"")</f>
        <v>115</v>
      </c>
      <c r="Y22" s="84">
        <f>IFERROR(IF(B22="","",IF($B22="TOTAL",SUM($Y$8:Y21),SUM(Q22,T22,W22,X22))),"")</f>
        <v>222</v>
      </c>
      <c r="Z22" s="86">
        <f>IFERROR(IF(B22="","",IF($B22="TOTAL",SUM($Z$8:Z21),SUM(N22-Y22))),"")</f>
        <v>928</v>
      </c>
      <c r="AA22" s="40"/>
      <c r="AB22" s="40"/>
      <c r="AD22" s="32"/>
      <c r="AE22" s="33"/>
      <c r="AF22" s="33"/>
      <c r="AG22" s="33"/>
      <c r="AH22" s="33"/>
      <c r="AI22" s="196"/>
      <c r="AJ22" s="113">
        <f t="shared" si="18"/>
        <v>7</v>
      </c>
      <c r="AK22" s="115">
        <v>42917</v>
      </c>
      <c r="AL22" s="115">
        <v>43132</v>
      </c>
      <c r="AM22" s="118">
        <f>'Master Sheet'!K21</f>
        <v>3200</v>
      </c>
      <c r="AN22" s="115">
        <f t="shared" si="29"/>
        <v>43132</v>
      </c>
      <c r="AO22" s="115">
        <f t="shared" si="15"/>
        <v>43132</v>
      </c>
      <c r="AP22" s="115">
        <f t="shared" si="19"/>
        <v>43132</v>
      </c>
      <c r="AQ22" s="114">
        <f t="shared" si="27"/>
        <v>34800</v>
      </c>
      <c r="AR22" s="114">
        <f t="shared" si="20"/>
        <v>2436</v>
      </c>
      <c r="AS22" s="114">
        <f t="shared" si="21"/>
        <v>2784</v>
      </c>
      <c r="AT22" s="114"/>
      <c r="AU22" s="114">
        <f t="shared" si="28"/>
        <v>33800</v>
      </c>
      <c r="AV22" s="114">
        <f t="shared" si="22"/>
        <v>2366</v>
      </c>
      <c r="AW22" s="114">
        <f t="shared" si="23"/>
        <v>2704</v>
      </c>
      <c r="AX22" s="114">
        <f t="shared" si="24"/>
        <v>3200</v>
      </c>
      <c r="AY22" s="114"/>
      <c r="AZ22" s="114"/>
      <c r="BA22" s="149">
        <f t="shared" si="25"/>
        <v>835</v>
      </c>
      <c r="BB22" s="114">
        <f t="shared" si="26"/>
        <v>3200</v>
      </c>
    </row>
    <row r="23" spans="1:54" s="35" customFormat="1" ht="21" customHeight="1">
      <c r="A23" s="82">
        <f t="shared" si="7"/>
        <v>16</v>
      </c>
      <c r="B23" s="83">
        <f t="shared" si="16"/>
        <v>43191</v>
      </c>
      <c r="C23" s="84">
        <f>IFERROR(IF($B22="TOTAL","अक्षरें राशि :-",IF($B23="TOTAL",SUM($C$8:C22),IF(AQ24="","",AQ24))),"")</f>
        <v>34800</v>
      </c>
      <c r="D23" s="84">
        <f>IFERROR(IF($B23="TOTAL",SUM($D$8:D22),IF(AR24="","",AR24)),"")</f>
        <v>2436</v>
      </c>
      <c r="E23" s="84">
        <f>IFERROR(IF($B23="TOTAL",SUM($E$8:E22),IF(OR(B23=$AK$16,B23=$AK$17,B23=$AK$18,B23=$AK$19,B23=$AK$20,B23=$AK$21,B23=$AK$22,B23=$AK$23,B23=$AK$24),0,IF(AS24="","",AS24))),"")</f>
        <v>2784</v>
      </c>
      <c r="F23" s="84">
        <f t="shared" si="17"/>
        <v>40020</v>
      </c>
      <c r="G23" s="84">
        <f>IFERROR(IF($B23="TOTAL",SUM($G$8:G22),IF(AU24="","",AU24)),"")</f>
        <v>33800</v>
      </c>
      <c r="H23" s="84">
        <f>IFERROR(IF($B23="TOTAL",SUM($H$8:H22),IF(AV24="","",AV24)),"")</f>
        <v>2366</v>
      </c>
      <c r="I23" s="84">
        <f>IFERROR(IF($B23="TOTAL",SUM($I$8:I22),IF(OR(B23=$AK$16,B23=$AK$17,B23=$AK$18,B23=$AK$19,B23=$AK$20,B23=$AK$21,B23=$AK$22,B23=$AK$23,B23=$AK$24),0,IF(AW24="","",AW24))),"")</f>
        <v>2704</v>
      </c>
      <c r="J23" s="84">
        <f t="shared" si="9"/>
        <v>38870</v>
      </c>
      <c r="K23" s="84">
        <f>IFERROR(IF(B23="","",IF(C23="","",IF(G23="","",IF($B23="TOTAL",SUM($K$8:K22),SUM(C23-G23))))),"")</f>
        <v>1000</v>
      </c>
      <c r="L23" s="84">
        <f>IFERROR(IF(B23="","",IF(D23="","",IF(H23="","",IF($B23="TOTAL",SUM($L$8:L22),SUM(D23-H23))))),"")</f>
        <v>70</v>
      </c>
      <c r="M23" s="84">
        <f>IFERROR(IF(B23="","",IF(E23="","",IF(I23="","",IF($B23="TOTAL",SUM($M$8:M22),SUM(E23-I23))))),"")</f>
        <v>80</v>
      </c>
      <c r="N23" s="84">
        <f t="shared" si="10"/>
        <v>1150</v>
      </c>
      <c r="O23" s="84">
        <f>IFERROR(IF(B23="","",IF($B23="TOTAL",SUM($O$8:O22),IF($AM$18=$AM$20,AX24,ROUND((C23+D23)*10%,0)))),"")</f>
        <v>3724</v>
      </c>
      <c r="P23" s="84">
        <f>IFERROR(IF(B23="","",IF(G23="","",IF(H23="","",IF($B23="TOTAL",SUM($P$8:P22),IF($AM$18=$AM$20,$AM$21,ROUND((G23+H23)*10%,0)))))),"")</f>
        <v>3617</v>
      </c>
      <c r="Q23" s="84">
        <f t="shared" si="11"/>
        <v>107</v>
      </c>
      <c r="R23" s="85">
        <f>IFERROR(IF(B23="","",IF($AM$16=$AM$17,0,IF($B23="TOTAL",SUM($R$8:R22),IF($AM$19=$AM$31,0,IF(AND($AM$32=$AM$20,B23=$AM$33),$AM$34,R22))))),"")</f>
        <v>2100</v>
      </c>
      <c r="S23" s="85">
        <f>IFERROR(IF(B23="","",IF($AM$16=$AM$17,0,IF($B23="TOTAL",SUM($S$8:S22),IF($AM$19=$AM$20,$AM$24,0)))),"")</f>
        <v>2100</v>
      </c>
      <c r="T23" s="84">
        <f t="shared" si="12"/>
        <v>0</v>
      </c>
      <c r="U23" s="84" t="str">
        <f>IF(B23="","",IF($B23="TOTAL",SUM($U$8:U22),IF(AND($AM$2=$AM$20,B23=$AM$1),ROUND(C23/31*$AN$2,0),IF(B23=$AK$6,ROUND((F23)*1/30,0),IF(B23=$AL$6,ROUND((F23)*1/31,0),"")))))</f>
        <v/>
      </c>
      <c r="V23" s="84" t="str">
        <f>IF(B23="","",IF($B23="TOTAL",SUM($V$8:V22),IF(AND($AM$2=$AM$20,B23=$AM$1),ROUND(G23/31*$AN$2,0),IF(B23=$AK$6,ROUND((J23)*1/30,0),IF(B23=$AL$6,ROUND((J23)*1/31,0),"")))))</f>
        <v/>
      </c>
      <c r="W23" s="84" t="str">
        <f t="shared" si="13"/>
        <v/>
      </c>
      <c r="X23" s="84">
        <f>IFERROR(IF(B23="","",IF($B23="TOTAL",SUM($X$8:X22),ROUND(N23*$AM$7%,0))),"")</f>
        <v>115</v>
      </c>
      <c r="Y23" s="84">
        <f>IFERROR(IF(B23="","",IF($B23="TOTAL",SUM($Y$8:Y22),SUM(Q23,T23,W23,X23))),"")</f>
        <v>222</v>
      </c>
      <c r="Z23" s="86">
        <f>IFERROR(IF(B23="","",IF($B23="TOTAL",SUM($Z$8:Z22),SUM(N23-Y23))),"")</f>
        <v>928</v>
      </c>
      <c r="AA23" s="80"/>
      <c r="AB23" s="40"/>
      <c r="AD23" s="32"/>
      <c r="AE23" s="33"/>
      <c r="AF23" s="33"/>
      <c r="AG23" s="33"/>
      <c r="AH23" s="33"/>
      <c r="AI23" s="196"/>
      <c r="AJ23" s="113">
        <f t="shared" si="18"/>
        <v>7</v>
      </c>
      <c r="AK23" s="115">
        <v>42948</v>
      </c>
      <c r="AL23" s="115">
        <v>43160</v>
      </c>
      <c r="AM23" s="114"/>
      <c r="AN23" s="115">
        <f t="shared" si="29"/>
        <v>43160</v>
      </c>
      <c r="AO23" s="115">
        <f t="shared" si="15"/>
        <v>43160</v>
      </c>
      <c r="AP23" s="115">
        <f t="shared" si="19"/>
        <v>43160</v>
      </c>
      <c r="AQ23" s="114">
        <f t="shared" si="27"/>
        <v>34800</v>
      </c>
      <c r="AR23" s="114">
        <f t="shared" si="20"/>
        <v>2436</v>
      </c>
      <c r="AS23" s="114">
        <f t="shared" si="21"/>
        <v>2784</v>
      </c>
      <c r="AT23" s="114"/>
      <c r="AU23" s="114">
        <f t="shared" si="28"/>
        <v>33800</v>
      </c>
      <c r="AV23" s="114">
        <f t="shared" si="22"/>
        <v>2366</v>
      </c>
      <c r="AW23" s="114">
        <f t="shared" si="23"/>
        <v>2704</v>
      </c>
      <c r="AX23" s="114">
        <f t="shared" si="24"/>
        <v>3200</v>
      </c>
      <c r="AY23" s="114"/>
      <c r="AZ23" s="114"/>
      <c r="BA23" s="149">
        <f t="shared" si="25"/>
        <v>835</v>
      </c>
      <c r="BB23" s="114">
        <f t="shared" si="26"/>
        <v>3200</v>
      </c>
    </row>
    <row r="24" spans="1:54" s="35" customFormat="1" ht="21" customHeight="1">
      <c r="A24" s="82">
        <f t="shared" si="7"/>
        <v>17</v>
      </c>
      <c r="B24" s="83">
        <f t="shared" si="16"/>
        <v>43221</v>
      </c>
      <c r="C24" s="84">
        <f>IFERROR(IF($B23="TOTAL","अक्षरें राशि :-",IF($B24="TOTAL",SUM($C$8:C23),IF(AQ25="","",AQ25))),"")</f>
        <v>34800</v>
      </c>
      <c r="D24" s="84">
        <f>IFERROR(IF($B24="TOTAL",SUM($D$8:D23),IF(AR25="","",AR25)),"")</f>
        <v>2436</v>
      </c>
      <c r="E24" s="84">
        <f>IFERROR(IF($B24="TOTAL",SUM($E$8:E23),IF(OR(B24=$AK$16,B24=$AK$17,B24=$AK$18,B24=$AK$19,B24=$AK$20,B24=$AK$21,B24=$AK$22,B24=$AK$23,B24=$AK$24),0,IF(AS25="","",AS25))),"")</f>
        <v>2784</v>
      </c>
      <c r="F24" s="84">
        <f t="shared" si="17"/>
        <v>40020</v>
      </c>
      <c r="G24" s="84">
        <f>IFERROR(IF($B24="TOTAL",SUM($G$8:G23),IF(AU25="","",AU25)),"")</f>
        <v>33800</v>
      </c>
      <c r="H24" s="84">
        <f>IFERROR(IF($B24="TOTAL",SUM($H$8:H23),IF(AV25="","",AV25)),"")</f>
        <v>2366</v>
      </c>
      <c r="I24" s="84">
        <f>IFERROR(IF($B24="TOTAL",SUM($I$8:I23),IF(OR(B24=$AK$16,B24=$AK$17,B24=$AK$18,B24=$AK$19,B24=$AK$20,B24=$AK$21,B24=$AK$22,B24=$AK$23,B24=$AK$24),0,IF(AW25="","",AW25))),"")</f>
        <v>2704</v>
      </c>
      <c r="J24" s="84">
        <f t="shared" si="9"/>
        <v>38870</v>
      </c>
      <c r="K24" s="84">
        <f>IFERROR(IF(B24="","",IF(C24="","",IF(G24="","",IF($B24="TOTAL",SUM($K$8:K23),SUM(C24-G24))))),"")</f>
        <v>1000</v>
      </c>
      <c r="L24" s="84">
        <f>IFERROR(IF(B24="","",IF(D24="","",IF(H24="","",IF($B24="TOTAL",SUM($L$8:L23),SUM(D24-H24))))),"")</f>
        <v>70</v>
      </c>
      <c r="M24" s="84">
        <f>IFERROR(IF(B24="","",IF(E24="","",IF(I24="","",IF($B24="TOTAL",SUM($M$8:M23),SUM(E24-I24))))),"")</f>
        <v>80</v>
      </c>
      <c r="N24" s="84">
        <f t="shared" si="10"/>
        <v>1150</v>
      </c>
      <c r="O24" s="84">
        <f>IFERROR(IF(B24="","",IF($B24="TOTAL",SUM($O$8:O23),IF($AM$18=$AM$20,AX25,ROUND((C24+D24)*10%,0)))),"")</f>
        <v>3724</v>
      </c>
      <c r="P24" s="84">
        <f>IFERROR(IF(B24="","",IF(G24="","",IF(H24="","",IF($B24="TOTAL",SUM($P$8:P23),IF($AM$18=$AM$20,$AM$21,ROUND((G24+H24)*10%,0)))))),"")</f>
        <v>3617</v>
      </c>
      <c r="Q24" s="84">
        <f t="shared" si="11"/>
        <v>107</v>
      </c>
      <c r="R24" s="85">
        <f>IFERROR(IF(B24="","",IF($AM$16=$AM$17,0,IF($B24="TOTAL",SUM($R$8:R23),IF($AM$19=$AM$31,0,IF(AND($AM$32=$AM$20,B24=$AM$33),$AM$34,R23))))),"")</f>
        <v>2100</v>
      </c>
      <c r="S24" s="85">
        <f>IFERROR(IF(B24="","",IF($AM$16=$AM$17,0,IF($B24="TOTAL",SUM($S$8:S23),IF($AM$19=$AM$20,$AM$24,0)))),"")</f>
        <v>2100</v>
      </c>
      <c r="T24" s="84">
        <f t="shared" si="12"/>
        <v>0</v>
      </c>
      <c r="U24" s="84" t="str">
        <f>IF(B24="","",IF($B24="TOTAL",SUM($U$8:U23),IF(AND($AM$2=$AM$20,B24=$AM$1),ROUND(C24/31*$AN$2,0),IF(B24=$AK$6,ROUND((F24)*1/30,0),IF(B24=$AL$6,ROUND((F24)*1/31,0),"")))))</f>
        <v/>
      </c>
      <c r="V24" s="84" t="str">
        <f>IF(B24="","",IF($B24="TOTAL",SUM($V$8:V23),IF(AND($AM$2=$AM$20,B24=$AM$1),ROUND(G24/31*$AN$2,0),IF(B24=$AK$6,ROUND((J24)*1/30,0),IF(B24=$AL$6,ROUND((J24)*1/31,0),"")))))</f>
        <v/>
      </c>
      <c r="W24" s="84" t="str">
        <f t="shared" si="13"/>
        <v/>
      </c>
      <c r="X24" s="84">
        <f>IFERROR(IF(B24="","",IF($B24="TOTAL",SUM($X$8:X23),ROUND(N24*$AM$7%,0))),"")</f>
        <v>115</v>
      </c>
      <c r="Y24" s="84">
        <f>IFERROR(IF(B24="","",IF($B24="TOTAL",SUM($Y$8:Y23),SUM(Q24,T24,W24,X24))),"")</f>
        <v>222</v>
      </c>
      <c r="Z24" s="86">
        <f>IFERROR(IF(B24="","",IF($B24="TOTAL",SUM($Z$8:Z23),SUM(N24-Y24))),"")</f>
        <v>928</v>
      </c>
      <c r="AA24" s="1"/>
      <c r="AB24" s="40"/>
      <c r="AD24" s="32"/>
      <c r="AE24" s="33"/>
      <c r="AF24" s="33"/>
      <c r="AG24" s="33"/>
      <c r="AH24" s="33"/>
      <c r="AI24" s="196"/>
      <c r="AJ24" s="113">
        <f t="shared" si="18"/>
        <v>7</v>
      </c>
      <c r="AK24" s="115">
        <v>42979</v>
      </c>
      <c r="AL24" s="115">
        <v>43191</v>
      </c>
      <c r="AM24" s="117">
        <f>'Master Sheet'!G17</f>
        <v>2100</v>
      </c>
      <c r="AN24" s="115">
        <f t="shared" si="29"/>
        <v>43191</v>
      </c>
      <c r="AO24" s="115">
        <f t="shared" si="15"/>
        <v>43191</v>
      </c>
      <c r="AP24" s="115">
        <f t="shared" si="19"/>
        <v>43191</v>
      </c>
      <c r="AQ24" s="114">
        <f t="shared" si="27"/>
        <v>34800</v>
      </c>
      <c r="AR24" s="114">
        <f t="shared" si="20"/>
        <v>2436</v>
      </c>
      <c r="AS24" s="114">
        <f t="shared" si="21"/>
        <v>2784</v>
      </c>
      <c r="AT24" s="114"/>
      <c r="AU24" s="114">
        <f t="shared" si="28"/>
        <v>33800</v>
      </c>
      <c r="AV24" s="114">
        <f t="shared" si="22"/>
        <v>2366</v>
      </c>
      <c r="AW24" s="114">
        <f t="shared" si="23"/>
        <v>2704</v>
      </c>
      <c r="AX24" s="114">
        <f t="shared" si="24"/>
        <v>3200</v>
      </c>
      <c r="AY24" s="114"/>
      <c r="AZ24" s="114"/>
      <c r="BA24" s="149">
        <f t="shared" si="25"/>
        <v>835</v>
      </c>
      <c r="BB24" s="114">
        <f t="shared" si="26"/>
        <v>3200</v>
      </c>
    </row>
    <row r="25" spans="1:54" s="35" customFormat="1" ht="21" customHeight="1">
      <c r="A25" s="82">
        <f t="shared" si="7"/>
        <v>18</v>
      </c>
      <c r="B25" s="83">
        <f t="shared" si="16"/>
        <v>43252</v>
      </c>
      <c r="C25" s="84">
        <f>IFERROR(IF($B24="TOTAL","अक्षरें राशि :-",IF($B25="TOTAL",SUM($C$8:C24),IF(AQ26="","",AQ26))),"")</f>
        <v>34800</v>
      </c>
      <c r="D25" s="84">
        <f>IFERROR(IF($B25="TOTAL",SUM($D$8:D24),IF(AR26="","",AR26)),"")</f>
        <v>2436</v>
      </c>
      <c r="E25" s="84">
        <f>IFERROR(IF($B25="TOTAL",SUM($E$8:E24),IF(OR(B25=$AK$16,B25=$AK$17,B25=$AK$18,B25=$AK$19,B25=$AK$20,B25=$AK$21,B25=$AK$22,B25=$AK$23,B25=$AK$24),0,IF(AS26="","",AS26))),"")</f>
        <v>2784</v>
      </c>
      <c r="F25" s="84">
        <f t="shared" si="17"/>
        <v>40020</v>
      </c>
      <c r="G25" s="84">
        <f>IFERROR(IF($B25="TOTAL",SUM($G$8:G24),IF(AU26="","",AU26)),"")</f>
        <v>33800</v>
      </c>
      <c r="H25" s="84">
        <f>IFERROR(IF($B25="TOTAL",SUM($H$8:H24),IF(AV26="","",AV26)),"")</f>
        <v>2366</v>
      </c>
      <c r="I25" s="84">
        <f>IFERROR(IF($B25="TOTAL",SUM($I$8:I24),IF(OR(B25=$AK$16,B25=$AK$17,B25=$AK$18,B25=$AK$19,B25=$AK$20,B25=$AK$21,B25=$AK$22,B25=$AK$23,B25=$AK$24),0,IF(AW26="","",AW26))),"")</f>
        <v>2704</v>
      </c>
      <c r="J25" s="84">
        <f t="shared" si="9"/>
        <v>38870</v>
      </c>
      <c r="K25" s="84">
        <f>IFERROR(IF(B25="","",IF(C25="","",IF(G25="","",IF($B25="TOTAL",SUM($K$8:K24),SUM(C25-G25))))),"")</f>
        <v>1000</v>
      </c>
      <c r="L25" s="84">
        <f>IFERROR(IF(B25="","",IF(D25="","",IF(H25="","",IF($B25="TOTAL",SUM($L$8:L24),SUM(D25-H25))))),"")</f>
        <v>70</v>
      </c>
      <c r="M25" s="84">
        <f>IFERROR(IF(B25="","",IF(E25="","",IF(I25="","",IF($B25="TOTAL",SUM($M$8:M24),SUM(E25-I25))))),"")</f>
        <v>80</v>
      </c>
      <c r="N25" s="84">
        <f t="shared" si="10"/>
        <v>1150</v>
      </c>
      <c r="O25" s="84">
        <f>IFERROR(IF(B25="","",IF($B25="TOTAL",SUM($O$8:O24),IF($AM$18=$AM$20,AX26,ROUND((C25+D25)*10%,0)))),"")</f>
        <v>3724</v>
      </c>
      <c r="P25" s="84">
        <f>IFERROR(IF(B25="","",IF(G25="","",IF(H25="","",IF($B25="TOTAL",SUM($P$8:P24),IF($AM$18=$AM$20,$AM$21,ROUND((G25+H25)*10%,0)))))),"")</f>
        <v>3617</v>
      </c>
      <c r="Q25" s="84">
        <f t="shared" si="11"/>
        <v>107</v>
      </c>
      <c r="R25" s="85">
        <f>IFERROR(IF(B25="","",IF($AM$16=$AM$17,0,IF($B25="TOTAL",SUM($R$8:R24),IF($AM$19=$AM$31,0,IF(AND($AM$32=$AM$20,B25=$AM$33),$AM$34,R24))))),"")</f>
        <v>2100</v>
      </c>
      <c r="S25" s="85">
        <f>IFERROR(IF(B25="","",IF($AM$16=$AM$17,0,IF($B25="TOTAL",SUM($S$8:S24),IF($AM$19=$AM$20,$AM$24,0)))),"")</f>
        <v>2100</v>
      </c>
      <c r="T25" s="84">
        <f t="shared" si="12"/>
        <v>0</v>
      </c>
      <c r="U25" s="84" t="str">
        <f>IF(B25="","",IF($B25="TOTAL",SUM($U$8:U24),IF(AND($AM$2=$AM$20,B25=$AM$1),ROUND(C25/31*$AN$2,0),IF(B25=$AK$6,ROUND((F25)*1/30,0),IF(B25=$AL$6,ROUND((F25)*1/31,0),"")))))</f>
        <v/>
      </c>
      <c r="V25" s="84" t="str">
        <f>IF(B25="","",IF($B25="TOTAL",SUM($V$8:V24),IF(AND($AM$2=$AM$20,B25=$AM$1),ROUND(G25/31*$AN$2,0),IF(B25=$AK$6,ROUND((J25)*1/30,0),IF(B25=$AL$6,ROUND((J25)*1/31,0),"")))))</f>
        <v/>
      </c>
      <c r="W25" s="84" t="str">
        <f t="shared" si="13"/>
        <v/>
      </c>
      <c r="X25" s="84">
        <f>IFERROR(IF(B25="","",IF($B25="TOTAL",SUM($X$8:X24),ROUND(N25*$AM$7%,0))),"")</f>
        <v>115</v>
      </c>
      <c r="Y25" s="84">
        <f>IFERROR(IF(B25="","",IF($B25="TOTAL",SUM($Y$8:Y24),SUM(Q25,T25,W25,X25))),"")</f>
        <v>222</v>
      </c>
      <c r="Z25" s="86">
        <f>IFERROR(IF(B25="","",IF($B25="TOTAL",SUM($Z$8:Z24),SUM(N25-Y25))),"")</f>
        <v>928</v>
      </c>
      <c r="AA25" s="81"/>
      <c r="AB25" s="40"/>
      <c r="AD25" s="32"/>
      <c r="AE25" s="33"/>
      <c r="AF25" s="33"/>
      <c r="AG25" s="33"/>
      <c r="AH25" s="33"/>
      <c r="AI25" s="196"/>
      <c r="AJ25" s="113">
        <f t="shared" si="18"/>
        <v>7</v>
      </c>
      <c r="AK25" s="114"/>
      <c r="AL25" s="115">
        <v>43221</v>
      </c>
      <c r="AM25" s="118">
        <f>'Master Sheet'!K17</f>
        <v>2100</v>
      </c>
      <c r="AN25" s="115">
        <f t="shared" si="29"/>
        <v>43221</v>
      </c>
      <c r="AO25" s="115">
        <f t="shared" si="15"/>
        <v>43221</v>
      </c>
      <c r="AP25" s="115">
        <f t="shared" si="19"/>
        <v>43221</v>
      </c>
      <c r="AQ25" s="114">
        <f t="shared" si="27"/>
        <v>34800</v>
      </c>
      <c r="AR25" s="114">
        <f t="shared" si="20"/>
        <v>2436</v>
      </c>
      <c r="AS25" s="114">
        <f t="shared" si="21"/>
        <v>2784</v>
      </c>
      <c r="AT25" s="114"/>
      <c r="AU25" s="114">
        <f t="shared" si="28"/>
        <v>33800</v>
      </c>
      <c r="AV25" s="114">
        <f t="shared" si="22"/>
        <v>2366</v>
      </c>
      <c r="AW25" s="114">
        <f t="shared" si="23"/>
        <v>2704</v>
      </c>
      <c r="AX25" s="114">
        <f t="shared" si="24"/>
        <v>3200</v>
      </c>
      <c r="AY25" s="114"/>
      <c r="AZ25" s="114"/>
      <c r="BA25" s="149">
        <f t="shared" si="25"/>
        <v>835</v>
      </c>
      <c r="BB25" s="114">
        <f t="shared" si="26"/>
        <v>3200</v>
      </c>
    </row>
    <row r="26" spans="1:54" s="35" customFormat="1" ht="21" customHeight="1">
      <c r="A26" s="82">
        <f t="shared" si="7"/>
        <v>19</v>
      </c>
      <c r="B26" s="83">
        <f t="shared" si="16"/>
        <v>43282</v>
      </c>
      <c r="C26" s="84">
        <f>IFERROR(IF($B25="TOTAL","अक्षरें राशि :-",IF($B26="TOTAL",SUM($C$8:C25),IF(AQ27="","",AQ27))),"")</f>
        <v>35800</v>
      </c>
      <c r="D26" s="84">
        <f>IFERROR(IF($B26="TOTAL",SUM($D$8:D25),IF(AR27="","",AR27)),"")</f>
        <v>3222</v>
      </c>
      <c r="E26" s="84">
        <f>IFERROR(IF($B26="TOTAL",SUM($E$8:E25),IF(OR(B26=$AK$16,B26=$AK$17,B26=$AK$18,B26=$AK$19,B26=$AK$20,B26=$AK$21,B26=$AK$22,B26=$AK$23,B26=$AK$24),0,IF(AS27="","",AS27))),"")</f>
        <v>2864</v>
      </c>
      <c r="F26" s="84">
        <f t="shared" si="17"/>
        <v>41886</v>
      </c>
      <c r="G26" s="84">
        <f>IFERROR(IF($B26="TOTAL",SUM($G$8:G25),IF(AU27="","",AU27)),"")</f>
        <v>34800</v>
      </c>
      <c r="H26" s="84">
        <f>IFERROR(IF($B26="TOTAL",SUM($H$8:H25),IF(AV27="","",AV27)),"")</f>
        <v>3132</v>
      </c>
      <c r="I26" s="84">
        <f>IFERROR(IF($B26="TOTAL",SUM($I$8:I25),IF(OR(B26=$AK$16,B26=$AK$17,B26=$AK$18,B26=$AK$19,B26=$AK$20,B26=$AK$21,B26=$AK$22,B26=$AK$23,B26=$AK$24),0,IF(AW27="","",AW27))),"")</f>
        <v>2784</v>
      </c>
      <c r="J26" s="84">
        <f t="shared" si="9"/>
        <v>40716</v>
      </c>
      <c r="K26" s="84">
        <f>IFERROR(IF(B26="","",IF(C26="","",IF(G26="","",IF($B26="TOTAL",SUM($K$8:K25),SUM(C26-G26))))),"")</f>
        <v>1000</v>
      </c>
      <c r="L26" s="84">
        <f>IFERROR(IF(B26="","",IF(D26="","",IF(H26="","",IF($B26="TOTAL",SUM($L$8:L25),SUM(D26-H26))))),"")</f>
        <v>90</v>
      </c>
      <c r="M26" s="84">
        <f>IFERROR(IF(B26="","",IF(E26="","",IF(I26="","",IF($B26="TOTAL",SUM($M$8:M25),SUM(E26-I26))))),"")</f>
        <v>80</v>
      </c>
      <c r="N26" s="84">
        <f t="shared" si="10"/>
        <v>1170</v>
      </c>
      <c r="O26" s="84">
        <f>IFERROR(IF(B26="","",IF($B26="TOTAL",SUM($O$8:O25),IF($AM$18=$AM$20,AX27,ROUND((C26+D26)*10%,0)))),"")</f>
        <v>3902</v>
      </c>
      <c r="P26" s="84">
        <f>IFERROR(IF(B26="","",IF(G26="","",IF(H26="","",IF($B26="TOTAL",SUM($P$8:P25),IF($AM$18=$AM$20,$AM$21,ROUND((G26+H26)*10%,0)))))),"")</f>
        <v>3793</v>
      </c>
      <c r="Q26" s="84">
        <f t="shared" si="11"/>
        <v>109</v>
      </c>
      <c r="R26" s="85">
        <f>IFERROR(IF(B26="","",IF($AM$16=$AM$17,0,IF($B26="TOTAL",SUM($R$8:R25),IF($AM$19=$AM$31,0,IF(AND($AM$32=$AM$20,B26=$AM$33),$AM$34,R25))))),"")</f>
        <v>2100</v>
      </c>
      <c r="S26" s="85">
        <f>IFERROR(IF(B26="","",IF($AM$16=$AM$17,0,IF($B26="TOTAL",SUM($S$8:S25),IF($AM$19=$AM$20,$AM$24,0)))),"")</f>
        <v>2100</v>
      </c>
      <c r="T26" s="84">
        <f t="shared" si="12"/>
        <v>0</v>
      </c>
      <c r="U26" s="84" t="str">
        <f>IF(B26="","",IF($B26="TOTAL",SUM($U$8:U25),IF(AND($AM$2=$AM$20,B26=$AM$1),ROUND(C26/31*$AN$2,0),IF(B26=$AK$6,ROUND((F26)*1/30,0),IF(B26=$AL$6,ROUND((F26)*1/31,0),"")))))</f>
        <v/>
      </c>
      <c r="V26" s="84" t="str">
        <f>IF(B26="","",IF($B26="TOTAL",SUM($V$8:V25),IF(AND($AM$2=$AM$20,B26=$AM$1),ROUND(G26/31*$AN$2,0),IF(B26=$AK$6,ROUND((J26)*1/30,0),IF(B26=$AL$6,ROUND((J26)*1/31,0),"")))))</f>
        <v/>
      </c>
      <c r="W26" s="84" t="str">
        <f t="shared" si="13"/>
        <v/>
      </c>
      <c r="X26" s="84">
        <f>IFERROR(IF(B26="","",IF($B26="TOTAL",SUM($X$8:X25),ROUND(N26*$AM$7%,0))),"")</f>
        <v>117</v>
      </c>
      <c r="Y26" s="84">
        <f>IFERROR(IF(B26="","",IF($B26="TOTAL",SUM($Y$8:Y25),SUM(Q26,T26,W26,X26))),"")</f>
        <v>226</v>
      </c>
      <c r="Z26" s="86">
        <f>IFERROR(IF(B26="","",IF($B26="TOTAL",SUM($Z$8:Z25),SUM(N26-Y26))),"")</f>
        <v>944</v>
      </c>
      <c r="AA26" s="81"/>
      <c r="AB26" s="40"/>
      <c r="AD26" s="32"/>
      <c r="AE26" s="33"/>
      <c r="AF26" s="33"/>
      <c r="AG26" s="33"/>
      <c r="AH26" s="33"/>
      <c r="AI26" s="196"/>
      <c r="AJ26" s="113">
        <f t="shared" si="18"/>
        <v>7</v>
      </c>
      <c r="AK26" s="114"/>
      <c r="AL26" s="115">
        <v>43252</v>
      </c>
      <c r="AM26" s="114" t="str">
        <f>'Master Sheet'!G15</f>
        <v>NO</v>
      </c>
      <c r="AN26" s="115">
        <f t="shared" si="29"/>
        <v>43252</v>
      </c>
      <c r="AO26" s="115">
        <f t="shared" si="15"/>
        <v>43252</v>
      </c>
      <c r="AP26" s="115">
        <f t="shared" si="19"/>
        <v>43252</v>
      </c>
      <c r="AQ26" s="114">
        <f t="shared" si="27"/>
        <v>34800</v>
      </c>
      <c r="AR26" s="114">
        <f t="shared" si="20"/>
        <v>2436</v>
      </c>
      <c r="AS26" s="114">
        <f t="shared" si="21"/>
        <v>2784</v>
      </c>
      <c r="AT26" s="114"/>
      <c r="AU26" s="114">
        <f t="shared" si="28"/>
        <v>33800</v>
      </c>
      <c r="AV26" s="114">
        <f t="shared" si="22"/>
        <v>2366</v>
      </c>
      <c r="AW26" s="114">
        <f t="shared" si="23"/>
        <v>2704</v>
      </c>
      <c r="AX26" s="114">
        <f t="shared" si="24"/>
        <v>3200</v>
      </c>
      <c r="AY26" s="114"/>
      <c r="AZ26" s="114"/>
      <c r="BA26" s="149">
        <f t="shared" si="25"/>
        <v>835</v>
      </c>
      <c r="BB26" s="114">
        <f t="shared" si="26"/>
        <v>3200</v>
      </c>
    </row>
    <row r="27" spans="1:54" s="35" customFormat="1" ht="21" customHeight="1">
      <c r="A27" s="82">
        <f t="shared" si="7"/>
        <v>20</v>
      </c>
      <c r="B27" s="83">
        <f t="shared" si="16"/>
        <v>43313</v>
      </c>
      <c r="C27" s="84">
        <f>IFERROR(IF($B26="TOTAL","अक्षरें राशि :-",IF($B27="TOTAL",SUM($C$8:C26),IF(AQ28="","",AQ28))),"")</f>
        <v>35800</v>
      </c>
      <c r="D27" s="84">
        <f>IFERROR(IF($B27="TOTAL",SUM($D$8:D26),IF(AR28="","",AR28)),"")</f>
        <v>3222</v>
      </c>
      <c r="E27" s="84">
        <f>IFERROR(IF($B27="TOTAL",SUM($E$8:E26),IF(OR(B27=$AK$16,B27=$AK$17,B27=$AK$18,B27=$AK$19,B27=$AK$20,B27=$AK$21,B27=$AK$22,B27=$AK$23,B27=$AK$24),0,IF(AS28="","",AS28))),"")</f>
        <v>2864</v>
      </c>
      <c r="F27" s="84">
        <f t="shared" si="17"/>
        <v>41886</v>
      </c>
      <c r="G27" s="84">
        <f>IFERROR(IF($B27="TOTAL",SUM($G$8:G26),IF(AU28="","",AU28)),"")</f>
        <v>34800</v>
      </c>
      <c r="H27" s="84">
        <f>IFERROR(IF($B27="TOTAL",SUM($H$8:H26),IF(AV28="","",AV28)),"")</f>
        <v>3132</v>
      </c>
      <c r="I27" s="84">
        <f>IFERROR(IF($B27="TOTAL",SUM($I$8:I26),IF(OR(B27=$AK$16,B27=$AK$17,B27=$AK$18,B27=$AK$19,B27=$AK$20,B27=$AK$21,B27=$AK$22,B27=$AK$23,B27=$AK$24),0,IF(AW28="","",AW28))),"")</f>
        <v>2784</v>
      </c>
      <c r="J27" s="84">
        <f t="shared" si="9"/>
        <v>40716</v>
      </c>
      <c r="K27" s="84">
        <f>IFERROR(IF(B27="","",IF(C27="","",IF(G27="","",IF($B27="TOTAL",SUM($K$8:K26),SUM(C27-G27))))),"")</f>
        <v>1000</v>
      </c>
      <c r="L27" s="84">
        <f>IFERROR(IF(B27="","",IF(D27="","",IF(H27="","",IF($B27="TOTAL",SUM($L$8:L26),SUM(D27-H27))))),"")</f>
        <v>90</v>
      </c>
      <c r="M27" s="84">
        <f>IFERROR(IF(B27="","",IF(E27="","",IF(I27="","",IF($B27="TOTAL",SUM($M$8:M26),SUM(E27-I27))))),"")</f>
        <v>80</v>
      </c>
      <c r="N27" s="84">
        <f t="shared" si="10"/>
        <v>1170</v>
      </c>
      <c r="O27" s="84">
        <f>IFERROR(IF(B27="","",IF($B27="TOTAL",SUM($O$8:O26),IF($AM$18=$AM$20,AX28,ROUND((C27+D27)*10%,0)))),"")</f>
        <v>3902</v>
      </c>
      <c r="P27" s="84">
        <f>IFERROR(IF(B27="","",IF(G27="","",IF(H27="","",IF($B27="TOTAL",SUM($P$8:P26),IF($AM$18=$AM$20,$AM$21,ROUND((G27+H27)*10%,0)))))),"")</f>
        <v>3793</v>
      </c>
      <c r="Q27" s="84">
        <f t="shared" si="11"/>
        <v>109</v>
      </c>
      <c r="R27" s="85">
        <f>IFERROR(IF(B27="","",IF($AM$16=$AM$17,0,IF($B27="TOTAL",SUM($R$8:R26),IF($AM$19=$AM$31,0,IF(AND($AM$32=$AM$20,B27=$AM$33),$AM$34,R26))))),"")</f>
        <v>2100</v>
      </c>
      <c r="S27" s="85">
        <f>IFERROR(IF(B27="","",IF($AM$16=$AM$17,0,IF($B27="TOTAL",SUM($S$8:S26),IF($AM$19=$AM$20,$AM$24,0)))),"")</f>
        <v>2100</v>
      </c>
      <c r="T27" s="84">
        <f t="shared" si="12"/>
        <v>0</v>
      </c>
      <c r="U27" s="84" t="str">
        <f>IF(B27="","",IF($B27="TOTAL",SUM($U$8:U26),IF(AND($AM$2=$AM$20,B27=$AM$1),ROUND(C27/31*$AN$2,0),IF(B27=$AK$6,ROUND((F27)*1/30,0),IF(B27=$AL$6,ROUND((F27)*1/31,0),"")))))</f>
        <v/>
      </c>
      <c r="V27" s="84" t="str">
        <f>IF(B27="","",IF($B27="TOTAL",SUM($V$8:V26),IF(AND($AM$2=$AM$20,B27=$AM$1),ROUND(G27/31*$AN$2,0),IF(B27=$AK$6,ROUND((J27)*1/30,0),IF(B27=$AL$6,ROUND((J27)*1/31,0),"")))))</f>
        <v/>
      </c>
      <c r="W27" s="84" t="str">
        <f t="shared" si="13"/>
        <v/>
      </c>
      <c r="X27" s="84">
        <f>IFERROR(IF(B27="","",IF($B27="TOTAL",SUM($X$8:X26),ROUND(N27*$AM$7%,0))),"")</f>
        <v>117</v>
      </c>
      <c r="Y27" s="84">
        <f>IFERROR(IF(B27="","",IF($B27="TOTAL",SUM($Y$8:Y26),SUM(Q27,T27,W27,X27))),"")</f>
        <v>226</v>
      </c>
      <c r="Z27" s="86">
        <f>IFERROR(IF(B27="","",IF($B27="TOTAL",SUM($Z$8:Z26),SUM(N27-Y27))),"")</f>
        <v>944</v>
      </c>
      <c r="AA27" s="43"/>
      <c r="AB27" s="43"/>
      <c r="AD27" s="33"/>
      <c r="AE27" s="33"/>
      <c r="AF27" s="33"/>
      <c r="AG27" s="33"/>
      <c r="AH27" s="33"/>
      <c r="AI27" s="197"/>
      <c r="AJ27" s="113">
        <f t="shared" si="18"/>
        <v>9</v>
      </c>
      <c r="AK27" s="114"/>
      <c r="AL27" s="115">
        <v>43282</v>
      </c>
      <c r="AM27" s="114">
        <f>'Master Sheet'!K15</f>
        <v>30500</v>
      </c>
      <c r="AN27" s="115">
        <f t="shared" si="29"/>
        <v>43282</v>
      </c>
      <c r="AO27" s="115">
        <f t="shared" si="15"/>
        <v>43282</v>
      </c>
      <c r="AP27" s="115">
        <f t="shared" si="19"/>
        <v>43282</v>
      </c>
      <c r="AQ27" s="114">
        <f t="shared" si="27"/>
        <v>35800</v>
      </c>
      <c r="AR27" s="114">
        <f t="shared" si="20"/>
        <v>3222</v>
      </c>
      <c r="AS27" s="114">
        <f t="shared" si="21"/>
        <v>2864</v>
      </c>
      <c r="AT27" s="114"/>
      <c r="AU27" s="114">
        <f t="shared" si="28"/>
        <v>34800</v>
      </c>
      <c r="AV27" s="114">
        <f t="shared" si="22"/>
        <v>3132</v>
      </c>
      <c r="AW27" s="114">
        <f t="shared" si="23"/>
        <v>2784</v>
      </c>
      <c r="AX27" s="114">
        <f t="shared" si="24"/>
        <v>3200</v>
      </c>
      <c r="AY27" s="114"/>
      <c r="AZ27" s="114"/>
      <c r="BA27" s="149">
        <f t="shared" si="25"/>
        <v>853</v>
      </c>
      <c r="BB27" s="114">
        <f t="shared" si="26"/>
        <v>3200</v>
      </c>
    </row>
    <row r="28" spans="1:54" s="35" customFormat="1" ht="21" customHeight="1">
      <c r="A28" s="82">
        <f t="shared" si="7"/>
        <v>21</v>
      </c>
      <c r="B28" s="83">
        <f t="shared" si="16"/>
        <v>43344</v>
      </c>
      <c r="C28" s="84">
        <f>IFERROR(IF($B27="TOTAL","अक्षरें राशि :-",IF($B28="TOTAL",SUM($C$8:C27),IF(AQ29="","",AQ29))),"")</f>
        <v>35800</v>
      </c>
      <c r="D28" s="84">
        <f>IFERROR(IF($B28="TOTAL",SUM($D$8:D27),IF(AR29="","",AR29)),"")</f>
        <v>3222</v>
      </c>
      <c r="E28" s="84">
        <f>IFERROR(IF($B28="TOTAL",SUM($E$8:E27),IF(OR(B28=$AK$16,B28=$AK$17,B28=$AK$18,B28=$AK$19,B28=$AK$20,B28=$AK$21,B28=$AK$22,B28=$AK$23,B28=$AK$24),0,IF(AS29="","",AS29))),"")</f>
        <v>2864</v>
      </c>
      <c r="F28" s="84">
        <f t="shared" si="17"/>
        <v>41886</v>
      </c>
      <c r="G28" s="84">
        <f>IFERROR(IF($B28="TOTAL",SUM($G$8:G27),IF(AU29="","",AU29)),"")</f>
        <v>34800</v>
      </c>
      <c r="H28" s="84">
        <f>IFERROR(IF($B28="TOTAL",SUM($H$8:H27),IF(AV29="","",AV29)),"")</f>
        <v>3132</v>
      </c>
      <c r="I28" s="84">
        <f>IFERROR(IF($B28="TOTAL",SUM($I$8:I27),IF(OR(B28=$AK$16,B28=$AK$17,B28=$AK$18,B28=$AK$19,B28=$AK$20,B28=$AK$21,B28=$AK$22,B28=$AK$23,B28=$AK$24),0,IF(AW29="","",AW29))),"")</f>
        <v>2784</v>
      </c>
      <c r="J28" s="84">
        <f t="shared" si="9"/>
        <v>40716</v>
      </c>
      <c r="K28" s="84">
        <f>IFERROR(IF(B28="","",IF(C28="","",IF(G28="","",IF($B28="TOTAL",SUM($K$8:K27),SUM(C28-G28))))),"")</f>
        <v>1000</v>
      </c>
      <c r="L28" s="84">
        <f>IFERROR(IF(B28="","",IF(D28="","",IF(H28="","",IF($B28="TOTAL",SUM($L$8:L27),SUM(D28-H28))))),"")</f>
        <v>90</v>
      </c>
      <c r="M28" s="84">
        <f>IFERROR(IF(B28="","",IF(E28="","",IF(I28="","",IF($B28="TOTAL",SUM($M$8:M27),SUM(E28-I28))))),"")</f>
        <v>80</v>
      </c>
      <c r="N28" s="84">
        <f t="shared" si="10"/>
        <v>1170</v>
      </c>
      <c r="O28" s="84">
        <f>IFERROR(IF(B28="","",IF($B28="TOTAL",SUM($O$8:O27),IF($AM$18=$AM$20,AX29,ROUND((C28+D28)*10%,0)))),"")</f>
        <v>3902</v>
      </c>
      <c r="P28" s="84">
        <f>IFERROR(IF(B28="","",IF(G28="","",IF(H28="","",IF($B28="TOTAL",SUM($P$8:P27),IF($AM$18=$AM$20,$AM$21,ROUND((G28+H28)*10%,0)))))),"")</f>
        <v>3793</v>
      </c>
      <c r="Q28" s="84">
        <f t="shared" si="11"/>
        <v>109</v>
      </c>
      <c r="R28" s="85">
        <f>IFERROR(IF(B28="","",IF($AM$16=$AM$17,0,IF($B28="TOTAL",SUM($R$8:R27),IF($AM$19=$AM$31,0,IF(AND($AM$32=$AM$20,B28=$AM$33),$AM$34,R27))))),"")</f>
        <v>2100</v>
      </c>
      <c r="S28" s="85">
        <f>IFERROR(IF(B28="","",IF($AM$16=$AM$17,0,IF($B28="TOTAL",SUM($S$8:S27),IF($AM$19=$AM$20,$AM$24,0)))),"")</f>
        <v>2100</v>
      </c>
      <c r="T28" s="84">
        <f t="shared" si="12"/>
        <v>0</v>
      </c>
      <c r="U28" s="84" t="str">
        <f>IF(B28="","",IF($B28="TOTAL",SUM($U$8:U27),IF(AND($AM$2=$AM$20,B28=$AM$1),ROUND(C28/31*$AN$2,0),IF(B28=$AK$6,ROUND((F28)*1/30,0),IF(B28=$AL$6,ROUND((F28)*1/31,0),"")))))</f>
        <v/>
      </c>
      <c r="V28" s="84" t="str">
        <f>IF(B28="","",IF($B28="TOTAL",SUM($V$8:V27),IF(AND($AM$2=$AM$20,B28=$AM$1),ROUND(G28/31*$AN$2,0),IF(B28=$AK$6,ROUND((J28)*1/30,0),IF(B28=$AL$6,ROUND((J28)*1/31,0),"")))))</f>
        <v/>
      </c>
      <c r="W28" s="84" t="str">
        <f t="shared" si="13"/>
        <v/>
      </c>
      <c r="X28" s="84">
        <f>IFERROR(IF(B28="","",IF($B28="TOTAL",SUM($X$8:X27),ROUND(N28*$AM$7%,0))),"")</f>
        <v>117</v>
      </c>
      <c r="Y28" s="84">
        <f>IFERROR(IF(B28="","",IF($B28="TOTAL",SUM($Y$8:Y27),SUM(Q28,T28,W28,X28))),"")</f>
        <v>226</v>
      </c>
      <c r="Z28" s="86">
        <f>IFERROR(IF(B28="","",IF($B28="TOTAL",SUM($Z$8:Z27),SUM(N28-Y28))),"")</f>
        <v>944</v>
      </c>
      <c r="AA28" s="16"/>
      <c r="AB28" s="16"/>
      <c r="AJ28" s="113">
        <f t="shared" si="18"/>
        <v>9</v>
      </c>
      <c r="AK28" s="114"/>
      <c r="AL28" s="115">
        <v>43313</v>
      </c>
      <c r="AM28" s="114" t="str">
        <f>'Master Sheet'!D25</f>
        <v>NO</v>
      </c>
      <c r="AN28" s="115">
        <f t="shared" si="29"/>
        <v>43313</v>
      </c>
      <c r="AO28" s="115">
        <f t="shared" si="15"/>
        <v>43313</v>
      </c>
      <c r="AP28" s="115">
        <f t="shared" si="19"/>
        <v>43313</v>
      </c>
      <c r="AQ28" s="114">
        <f t="shared" si="27"/>
        <v>35800</v>
      </c>
      <c r="AR28" s="114">
        <f t="shared" si="20"/>
        <v>3222</v>
      </c>
      <c r="AS28" s="114">
        <f t="shared" si="21"/>
        <v>2864</v>
      </c>
      <c r="AT28" s="114"/>
      <c r="AU28" s="114">
        <f t="shared" si="28"/>
        <v>34800</v>
      </c>
      <c r="AV28" s="114">
        <f t="shared" si="22"/>
        <v>3132</v>
      </c>
      <c r="AW28" s="114">
        <f t="shared" si="23"/>
        <v>2784</v>
      </c>
      <c r="AX28" s="114">
        <f t="shared" si="24"/>
        <v>3200</v>
      </c>
      <c r="AY28" s="114"/>
      <c r="AZ28" s="114"/>
      <c r="BA28" s="149">
        <f t="shared" si="25"/>
        <v>853</v>
      </c>
      <c r="BB28" s="114">
        <f t="shared" si="26"/>
        <v>3200</v>
      </c>
    </row>
    <row r="29" spans="1:54" s="35" customFormat="1" ht="21" customHeight="1">
      <c r="A29" s="82">
        <f t="shared" si="7"/>
        <v>22</v>
      </c>
      <c r="B29" s="83">
        <f t="shared" si="16"/>
        <v>43374</v>
      </c>
      <c r="C29" s="84">
        <f>IFERROR(IF($B28="TOTAL","अक्षरें राशि :-",IF($B29="TOTAL",SUM($C$8:C28),IF(AQ30="","",AQ30))),"")</f>
        <v>35800</v>
      </c>
      <c r="D29" s="84">
        <f>IFERROR(IF($B29="TOTAL",SUM($D$8:D28),IF(AR30="","",AR30)),"")</f>
        <v>3222</v>
      </c>
      <c r="E29" s="84">
        <f>IFERROR(IF($B29="TOTAL",SUM($E$8:E28),IF(OR(B29=$AK$16,B29=$AK$17,B29=$AK$18,B29=$AK$19,B29=$AK$20,B29=$AK$21,B29=$AK$22,B29=$AK$23,B29=$AK$24),0,IF(AS30="","",AS30))),"")</f>
        <v>2864</v>
      </c>
      <c r="F29" s="84">
        <f t="shared" si="17"/>
        <v>41886</v>
      </c>
      <c r="G29" s="84">
        <f>IFERROR(IF($B29="TOTAL",SUM($G$8:G28),IF(AU30="","",AU30)),"")</f>
        <v>34800</v>
      </c>
      <c r="H29" s="84">
        <f>IFERROR(IF($B29="TOTAL",SUM($H$8:H28),IF(AV30="","",AV30)),"")</f>
        <v>3132</v>
      </c>
      <c r="I29" s="84">
        <f>IFERROR(IF($B29="TOTAL",SUM($I$8:I28),IF(OR(B29=$AK$16,B29=$AK$17,B29=$AK$18,B29=$AK$19,B29=$AK$20,B29=$AK$21,B29=$AK$22,B29=$AK$23,B29=$AK$24),0,IF(AW30="","",AW30))),"")</f>
        <v>2784</v>
      </c>
      <c r="J29" s="84">
        <f t="shared" si="9"/>
        <v>40716</v>
      </c>
      <c r="K29" s="84">
        <f>IFERROR(IF(B29="","",IF(C29="","",IF(G29="","",IF($B29="TOTAL",SUM($K$8:K28),SUM(C29-G29))))),"")</f>
        <v>1000</v>
      </c>
      <c r="L29" s="84">
        <f>IFERROR(IF(B29="","",IF(D29="","",IF(H29="","",IF($B29="TOTAL",SUM($L$8:L28),SUM(D29-H29))))),"")</f>
        <v>90</v>
      </c>
      <c r="M29" s="84">
        <f>IFERROR(IF(B29="","",IF(E29="","",IF(I29="","",IF($B29="TOTAL",SUM($M$8:M28),SUM(E29-I29))))),"")</f>
        <v>80</v>
      </c>
      <c r="N29" s="84">
        <f t="shared" si="10"/>
        <v>1170</v>
      </c>
      <c r="O29" s="84">
        <f>IFERROR(IF(B29="","",IF($B29="TOTAL",SUM($O$8:O28),IF($AM$18=$AM$20,AX30,ROUND((C29+D29)*10%,0)))),"")</f>
        <v>3902</v>
      </c>
      <c r="P29" s="84">
        <f>IFERROR(IF(B29="","",IF(G29="","",IF(H29="","",IF($B29="TOTAL",SUM($P$8:P28),IF($AM$18=$AM$20,$AM$21,ROUND((G29+H29)*10%,0)))))),"")</f>
        <v>3793</v>
      </c>
      <c r="Q29" s="84">
        <f t="shared" si="11"/>
        <v>109</v>
      </c>
      <c r="R29" s="85">
        <f>IFERROR(IF(B29="","",IF($AM$16=$AM$17,0,IF($B29="TOTAL",SUM($R$8:R28),IF($AM$19=$AM$31,0,IF(AND($AM$32=$AM$20,B29=$AM$33),$AM$34,R28))))),"")</f>
        <v>2100</v>
      </c>
      <c r="S29" s="85">
        <f>IFERROR(IF(B29="","",IF($AM$16=$AM$17,0,IF($B29="TOTAL",SUM($S$8:S28),IF($AM$19=$AM$20,$AM$24,0)))),"")</f>
        <v>2100</v>
      </c>
      <c r="T29" s="84">
        <f t="shared" si="12"/>
        <v>0</v>
      </c>
      <c r="U29" s="84" t="str">
        <f>IF(B29="","",IF($B29="TOTAL",SUM($U$8:U28),IF(AND($AM$2=$AM$20,B29=$AM$1),ROUND(C29/31*$AN$2,0),IF(B29=$AK$6,ROUND((F29)*1/30,0),IF(B29=$AL$6,ROUND((F29)*1/31,0),"")))))</f>
        <v/>
      </c>
      <c r="V29" s="84" t="str">
        <f>IF(B29="","",IF($B29="TOTAL",SUM($V$8:V28),IF(AND($AM$2=$AM$20,B29=$AM$1),ROUND(G29/31*$AN$2,0),IF(B29=$AK$6,ROUND((J29)*1/30,0),IF(B29=$AL$6,ROUND((J29)*1/31,0),"")))))</f>
        <v/>
      </c>
      <c r="W29" s="84" t="str">
        <f t="shared" si="13"/>
        <v/>
      </c>
      <c r="X29" s="84">
        <f>IFERROR(IF(B29="","",IF($B29="TOTAL",SUM($X$8:X28),ROUND(N29*$AM$7%,0))),"")</f>
        <v>117</v>
      </c>
      <c r="Y29" s="84">
        <f>IFERROR(IF(B29="","",IF($B29="TOTAL",SUM($Y$8:Y28),SUM(Q29,T29,W29,X29))),"")</f>
        <v>226</v>
      </c>
      <c r="Z29" s="86">
        <f>IFERROR(IF(B29="","",IF($B29="TOTAL",SUM($Z$8:Z28),SUM(N29-Y29))),"")</f>
        <v>944</v>
      </c>
      <c r="AA29" s="16"/>
      <c r="AB29" s="16"/>
      <c r="AJ29" s="113">
        <f t="shared" si="18"/>
        <v>9</v>
      </c>
      <c r="AK29" s="114"/>
      <c r="AL29" s="115">
        <v>43344</v>
      </c>
      <c r="AM29" s="114">
        <f>'Master Sheet'!K25</f>
        <v>41100</v>
      </c>
      <c r="AN29" s="115">
        <f t="shared" si="29"/>
        <v>43344</v>
      </c>
      <c r="AO29" s="115">
        <f t="shared" si="15"/>
        <v>43344</v>
      </c>
      <c r="AP29" s="115">
        <f t="shared" si="19"/>
        <v>43344</v>
      </c>
      <c r="AQ29" s="114">
        <f t="shared" si="27"/>
        <v>35800</v>
      </c>
      <c r="AR29" s="114">
        <f t="shared" si="20"/>
        <v>3222</v>
      </c>
      <c r="AS29" s="114">
        <f t="shared" si="21"/>
        <v>2864</v>
      </c>
      <c r="AT29" s="114"/>
      <c r="AU29" s="114">
        <f t="shared" si="28"/>
        <v>34800</v>
      </c>
      <c r="AV29" s="114">
        <f t="shared" si="22"/>
        <v>3132</v>
      </c>
      <c r="AW29" s="114">
        <f t="shared" si="23"/>
        <v>2784</v>
      </c>
      <c r="AX29" s="114">
        <f t="shared" si="24"/>
        <v>3200</v>
      </c>
      <c r="AY29" s="114"/>
      <c r="AZ29" s="114"/>
      <c r="BA29" s="149">
        <f t="shared" si="25"/>
        <v>853</v>
      </c>
      <c r="BB29" s="114">
        <f t="shared" si="26"/>
        <v>3200</v>
      </c>
    </row>
    <row r="30" spans="1:54" s="35" customFormat="1" ht="21" customHeight="1">
      <c r="A30" s="82">
        <f t="shared" si="7"/>
        <v>23</v>
      </c>
      <c r="B30" s="83">
        <f t="shared" si="16"/>
        <v>43405</v>
      </c>
      <c r="C30" s="84">
        <f>IFERROR(IF($B29="TOTAL","अक्षरें राशि :-",IF($B30="TOTAL",SUM($C$8:C29),IF(AQ31="","",AQ31))),"")</f>
        <v>35800</v>
      </c>
      <c r="D30" s="84">
        <f>IFERROR(IF($B30="TOTAL",SUM($D$8:D29),IF(AR31="","",AR31)),"")</f>
        <v>3222</v>
      </c>
      <c r="E30" s="84">
        <f>IFERROR(IF($B30="TOTAL",SUM($E$8:E29),IF(OR(B30=$AK$16,B30=$AK$17,B30=$AK$18,B30=$AK$19,B30=$AK$20,B30=$AK$21,B30=$AK$22,B30=$AK$23,B30=$AK$24),0,IF(AS31="","",AS31))),"")</f>
        <v>2864</v>
      </c>
      <c r="F30" s="84">
        <f t="shared" si="17"/>
        <v>41886</v>
      </c>
      <c r="G30" s="84">
        <f>IFERROR(IF($B30="TOTAL",SUM($G$8:G29),IF(AU31="","",AU31)),"")</f>
        <v>34800</v>
      </c>
      <c r="H30" s="84">
        <f>IFERROR(IF($B30="TOTAL",SUM($H$8:H29),IF(AV31="","",AV31)),"")</f>
        <v>3132</v>
      </c>
      <c r="I30" s="84">
        <f>IFERROR(IF($B30="TOTAL",SUM($I$8:I29),IF(OR(B30=$AK$16,B30=$AK$17,B30=$AK$18,B30=$AK$19,B30=$AK$20,B30=$AK$21,B30=$AK$22,B30=$AK$23,B30=$AK$24),0,IF(AW31="","",AW31))),"")</f>
        <v>2784</v>
      </c>
      <c r="J30" s="84">
        <f t="shared" si="9"/>
        <v>40716</v>
      </c>
      <c r="K30" s="84">
        <f>IFERROR(IF(B30="","",IF(C30="","",IF(G30="","",IF($B30="TOTAL",SUM($K$8:K29),SUM(C30-G30))))),"")</f>
        <v>1000</v>
      </c>
      <c r="L30" s="84">
        <f>IFERROR(IF(B30="","",IF(D30="","",IF(H30="","",IF($B30="TOTAL",SUM($L$8:L29),SUM(D30-H30))))),"")</f>
        <v>90</v>
      </c>
      <c r="M30" s="84">
        <f>IFERROR(IF(B30="","",IF(E30="","",IF(I30="","",IF($B30="TOTAL",SUM($M$8:M29),SUM(E30-I30))))),"")</f>
        <v>80</v>
      </c>
      <c r="N30" s="84">
        <f t="shared" si="10"/>
        <v>1170</v>
      </c>
      <c r="O30" s="84">
        <f>IFERROR(IF(B30="","",IF($B30="TOTAL",SUM($O$8:O29),IF($AM$18=$AM$20,AX31,ROUND((C30+D30)*10%,0)))),"")</f>
        <v>3902</v>
      </c>
      <c r="P30" s="84">
        <f>IFERROR(IF(B30="","",IF(G30="","",IF(H30="","",IF($B30="TOTAL",SUM($P$8:P29),IF($AM$18=$AM$20,$AM$21,ROUND((G30+H30)*10%,0)))))),"")</f>
        <v>3793</v>
      </c>
      <c r="Q30" s="84">
        <f t="shared" si="11"/>
        <v>109</v>
      </c>
      <c r="R30" s="85">
        <f>IFERROR(IF(B30="","",IF($AM$16=$AM$17,0,IF($B30="TOTAL",SUM($R$8:R29),IF($AM$19=$AM$31,0,IF(AND($AM$32=$AM$20,B30=$AM$33),$AM$34,R29))))),"")</f>
        <v>2100</v>
      </c>
      <c r="S30" s="85">
        <f>IFERROR(IF(B30="","",IF($AM$16=$AM$17,0,IF($B30="TOTAL",SUM($S$8:S29),IF($AM$19=$AM$20,$AM$24,0)))),"")</f>
        <v>2100</v>
      </c>
      <c r="T30" s="84">
        <f t="shared" si="12"/>
        <v>0</v>
      </c>
      <c r="U30" s="84" t="str">
        <f>IF(B30="","",IF($B30="TOTAL",SUM($U$8:U29),IF(AND($AM$2=$AM$20,B30=$AM$1),ROUND(C30/31*$AN$2,0),IF(B30=$AK$6,ROUND((F30)*1/30,0),IF(B30=$AL$6,ROUND((F30)*1/31,0),"")))))</f>
        <v/>
      </c>
      <c r="V30" s="84" t="str">
        <f>IF(B30="","",IF($B30="TOTAL",SUM($V$8:V29),IF(AND($AM$2=$AM$20,B30=$AM$1),ROUND(G30/31*$AN$2,0),IF(B30=$AK$6,ROUND((J30)*1/30,0),IF(B30=$AL$6,ROUND((J30)*1/31,0),"")))))</f>
        <v/>
      </c>
      <c r="W30" s="84" t="str">
        <f t="shared" si="13"/>
        <v/>
      </c>
      <c r="X30" s="84">
        <f>IFERROR(IF(B30="","",IF($B30="TOTAL",SUM($X$8:X29),ROUND(N30*$AM$7%,0))),"")</f>
        <v>117</v>
      </c>
      <c r="Y30" s="84">
        <f>IFERROR(IF(B30="","",IF($B30="TOTAL",SUM($Y$8:Y29),SUM(Q30,T30,W30,X30))),"")</f>
        <v>226</v>
      </c>
      <c r="Z30" s="86">
        <f>IFERROR(IF(B30="","",IF($B30="TOTAL",SUM($Z$8:Z29),SUM(N30-Y30))),"")</f>
        <v>944</v>
      </c>
      <c r="AA30" s="16"/>
      <c r="AB30" s="16"/>
      <c r="AJ30" s="113">
        <f t="shared" si="18"/>
        <v>9</v>
      </c>
      <c r="AK30" s="114"/>
      <c r="AL30" s="115">
        <v>43374</v>
      </c>
      <c r="AM30" s="115">
        <f>'Master Sheet'!G25</f>
        <v>44287</v>
      </c>
      <c r="AN30" s="115">
        <f t="shared" si="29"/>
        <v>43374</v>
      </c>
      <c r="AO30" s="115">
        <f t="shared" si="15"/>
        <v>43374</v>
      </c>
      <c r="AP30" s="115">
        <f t="shared" si="19"/>
        <v>43374</v>
      </c>
      <c r="AQ30" s="114">
        <f t="shared" si="27"/>
        <v>35800</v>
      </c>
      <c r="AR30" s="114">
        <f t="shared" si="20"/>
        <v>3222</v>
      </c>
      <c r="AS30" s="114">
        <f t="shared" si="21"/>
        <v>2864</v>
      </c>
      <c r="AT30" s="114"/>
      <c r="AU30" s="114">
        <f t="shared" si="28"/>
        <v>34800</v>
      </c>
      <c r="AV30" s="114">
        <f t="shared" si="22"/>
        <v>3132</v>
      </c>
      <c r="AW30" s="114">
        <f t="shared" si="23"/>
        <v>2784</v>
      </c>
      <c r="AX30" s="114">
        <f t="shared" si="24"/>
        <v>3200</v>
      </c>
      <c r="AY30" s="114"/>
      <c r="AZ30" s="114"/>
      <c r="BA30" s="149">
        <f t="shared" si="25"/>
        <v>853</v>
      </c>
      <c r="BB30" s="114">
        <f t="shared" si="26"/>
        <v>3200</v>
      </c>
    </row>
    <row r="31" spans="1:54" s="35" customFormat="1" ht="21" customHeight="1">
      <c r="A31" s="82">
        <f t="shared" si="7"/>
        <v>24</v>
      </c>
      <c r="B31" s="83">
        <f t="shared" si="16"/>
        <v>43435</v>
      </c>
      <c r="C31" s="84">
        <f>IFERROR(IF($B30="TOTAL","अक्षरें राशि :-",IF($B31="TOTAL",SUM($C$8:C30),IF(AQ32="","",AQ32))),"")</f>
        <v>35800</v>
      </c>
      <c r="D31" s="84">
        <f>IFERROR(IF($B31="TOTAL",SUM($D$8:D30),IF(AR32="","",AR32)),"")</f>
        <v>3222</v>
      </c>
      <c r="E31" s="84">
        <f>IFERROR(IF($B31="TOTAL",SUM($E$8:E30),IF(OR(B31=$AK$16,B31=$AK$17,B31=$AK$18,B31=$AK$19,B31=$AK$20,B31=$AK$21,B31=$AK$22,B31=$AK$23,B31=$AK$24),0,IF(AS32="","",AS32))),"")</f>
        <v>2864</v>
      </c>
      <c r="F31" s="84">
        <f t="shared" si="17"/>
        <v>41886</v>
      </c>
      <c r="G31" s="84">
        <f>IFERROR(IF($B31="TOTAL",SUM($G$8:G30),IF(AU32="","",AU32)),"")</f>
        <v>34800</v>
      </c>
      <c r="H31" s="84">
        <f>IFERROR(IF($B31="TOTAL",SUM($H$8:H30),IF(AV32="","",AV32)),"")</f>
        <v>3132</v>
      </c>
      <c r="I31" s="84">
        <f>IFERROR(IF($B31="TOTAL",SUM($I$8:I30),IF(OR(B31=$AK$16,B31=$AK$17,B31=$AK$18,B31=$AK$19,B31=$AK$20,B31=$AK$21,B31=$AK$22,B31=$AK$23,B31=$AK$24),0,IF(AW32="","",AW32))),"")</f>
        <v>2784</v>
      </c>
      <c r="J31" s="84">
        <f t="shared" si="9"/>
        <v>40716</v>
      </c>
      <c r="K31" s="84">
        <f>IFERROR(IF(B31="","",IF(C31="","",IF(G31="","",IF($B31="TOTAL",SUM($K$8:K30),SUM(C31-G31))))),"")</f>
        <v>1000</v>
      </c>
      <c r="L31" s="84">
        <f>IFERROR(IF(B31="","",IF(D31="","",IF(H31="","",IF($B31="TOTAL",SUM($L$8:L30),SUM(D31-H31))))),"")</f>
        <v>90</v>
      </c>
      <c r="M31" s="84">
        <f>IFERROR(IF(B31="","",IF(E31="","",IF(I31="","",IF($B31="TOTAL",SUM($M$8:M30),SUM(E31-I31))))),"")</f>
        <v>80</v>
      </c>
      <c r="N31" s="84">
        <f t="shared" si="10"/>
        <v>1170</v>
      </c>
      <c r="O31" s="84">
        <f>IFERROR(IF(B31="","",IF($B31="TOTAL",SUM($O$8:O30),IF($AM$18=$AM$20,AX32,ROUND((C31+D31)*10%,0)))),"")</f>
        <v>3902</v>
      </c>
      <c r="P31" s="84">
        <f>IFERROR(IF(B31="","",IF(G31="","",IF(H31="","",IF($B31="TOTAL",SUM($P$8:P30),IF($AM$18=$AM$20,$AM$21,ROUND((G31+H31)*10%,0)))))),"")</f>
        <v>3793</v>
      </c>
      <c r="Q31" s="84">
        <f t="shared" si="11"/>
        <v>109</v>
      </c>
      <c r="R31" s="85">
        <f>IFERROR(IF(B31="","",IF($AM$16=$AM$17,0,IF($B31="TOTAL",SUM($R$8:R30),IF($AM$19=$AM$31,0,IF(AND($AM$32=$AM$20,B31=$AM$33),$AM$34,R30))))),"")</f>
        <v>2100</v>
      </c>
      <c r="S31" s="85">
        <f>IFERROR(IF(B31="","",IF($AM$16=$AM$17,0,IF($B31="TOTAL",SUM($S$8:S30),IF($AM$19=$AM$20,$AM$24,0)))),"")</f>
        <v>2100</v>
      </c>
      <c r="T31" s="84">
        <f t="shared" si="12"/>
        <v>0</v>
      </c>
      <c r="U31" s="84" t="str">
        <f>IF(B31="","",IF($B31="TOTAL",SUM($U$8:U30),IF(AND($AM$2=$AM$20,B31=$AM$1),ROUND(C31/31*$AN$2,0),IF(B31=$AK$6,ROUND((F31)*1/30,0),IF(B31=$AL$6,ROUND((F31)*1/31,0),"")))))</f>
        <v/>
      </c>
      <c r="V31" s="84" t="str">
        <f>IF(B31="","",IF($B31="TOTAL",SUM($V$8:V30),IF(AND($AM$2=$AM$20,B31=$AM$1),ROUND(G31/31*$AN$2,0),IF(B31=$AK$6,ROUND((J31)*1/30,0),IF(B31=$AL$6,ROUND((J31)*1/31,0),"")))))</f>
        <v/>
      </c>
      <c r="W31" s="84" t="str">
        <f t="shared" si="13"/>
        <v/>
      </c>
      <c r="X31" s="84">
        <f>IFERROR(IF(B31="","",IF($B31="TOTAL",SUM($X$8:X30),ROUND(N31*$AM$7%,0))),"")</f>
        <v>117</v>
      </c>
      <c r="Y31" s="84">
        <f>IFERROR(IF(B31="","",IF($B31="TOTAL",SUM($Y$8:Y30),SUM(Q31,T31,W31,X31))),"")</f>
        <v>226</v>
      </c>
      <c r="Z31" s="86">
        <f>IFERROR(IF(B31="","",IF($B31="TOTAL",SUM($Z$8:Z30),SUM(N31-Y31))),"")</f>
        <v>944</v>
      </c>
      <c r="AA31" s="16"/>
      <c r="AB31" s="16"/>
      <c r="AJ31" s="113">
        <f t="shared" si="18"/>
        <v>9</v>
      </c>
      <c r="AK31" s="114"/>
      <c r="AL31" s="115">
        <v>43405</v>
      </c>
      <c r="AM31" s="114" t="s">
        <v>55</v>
      </c>
      <c r="AN31" s="115">
        <f t="shared" si="29"/>
        <v>43405</v>
      </c>
      <c r="AO31" s="115">
        <f t="shared" si="15"/>
        <v>43405</v>
      </c>
      <c r="AP31" s="115">
        <f t="shared" si="19"/>
        <v>43405</v>
      </c>
      <c r="AQ31" s="114">
        <f t="shared" si="27"/>
        <v>35800</v>
      </c>
      <c r="AR31" s="114">
        <f t="shared" si="20"/>
        <v>3222</v>
      </c>
      <c r="AS31" s="114">
        <f t="shared" si="21"/>
        <v>2864</v>
      </c>
      <c r="AT31" s="114"/>
      <c r="AU31" s="114">
        <f t="shared" si="28"/>
        <v>34800</v>
      </c>
      <c r="AV31" s="114">
        <f t="shared" si="22"/>
        <v>3132</v>
      </c>
      <c r="AW31" s="114">
        <f t="shared" si="23"/>
        <v>2784</v>
      </c>
      <c r="AX31" s="114">
        <f t="shared" si="24"/>
        <v>3200</v>
      </c>
      <c r="AY31" s="114"/>
      <c r="AZ31" s="114"/>
      <c r="BA31" s="149">
        <f t="shared" si="25"/>
        <v>853</v>
      </c>
      <c r="BB31" s="114">
        <f t="shared" si="26"/>
        <v>3200</v>
      </c>
    </row>
    <row r="32" spans="1:54" s="35" customFormat="1" ht="21" customHeight="1">
      <c r="A32" s="82">
        <f t="shared" si="7"/>
        <v>25</v>
      </c>
      <c r="B32" s="83">
        <f t="shared" si="16"/>
        <v>43466</v>
      </c>
      <c r="C32" s="84">
        <f>IFERROR(IF($B31="TOTAL","अक्षरें राशि :-",IF($B32="TOTAL",SUM($C$8:C31),IF(AQ33="","",AQ33))),"")</f>
        <v>35800</v>
      </c>
      <c r="D32" s="84">
        <f>IFERROR(IF($B32="TOTAL",SUM($D$8:D31),IF(AR33="","",AR33)),"")</f>
        <v>4296</v>
      </c>
      <c r="E32" s="84">
        <f>IFERROR(IF($B32="TOTAL",SUM($E$8:E31),IF(OR(B32=$AK$16,B32=$AK$17,B32=$AK$18,B32=$AK$19,B32=$AK$20,B32=$AK$21,B32=$AK$22,B32=$AK$23,B32=$AK$24),0,IF(AS33="","",AS33))),"")</f>
        <v>2864</v>
      </c>
      <c r="F32" s="84">
        <f t="shared" si="17"/>
        <v>42960</v>
      </c>
      <c r="G32" s="84">
        <f>IFERROR(IF($B32="TOTAL",SUM($G$8:G31),IF(AU33="","",AU33)),"")</f>
        <v>34800</v>
      </c>
      <c r="H32" s="84">
        <f>IFERROR(IF($B32="TOTAL",SUM($H$8:H31),IF(AV33="","",AV33)),"")</f>
        <v>4176</v>
      </c>
      <c r="I32" s="84">
        <f>IFERROR(IF($B32="TOTAL",SUM($I$8:I31),IF(OR(B32=$AK$16,B32=$AK$17,B32=$AK$18,B32=$AK$19,B32=$AK$20,B32=$AK$21,B32=$AK$22,B32=$AK$23,B32=$AK$24),0,IF(AW33="","",AW33))),"")</f>
        <v>2784</v>
      </c>
      <c r="J32" s="84">
        <f t="shared" si="9"/>
        <v>41760</v>
      </c>
      <c r="K32" s="84">
        <f>IFERROR(IF(B32="","",IF(C32="","",IF(G32="","",IF($B32="TOTAL",SUM($K$8:K31),SUM(C32-G32))))),"")</f>
        <v>1000</v>
      </c>
      <c r="L32" s="84">
        <f>IFERROR(IF(B32="","",IF(D32="","",IF(H32="","",IF($B32="TOTAL",SUM($L$8:L31),SUM(D32-H32))))),"")</f>
        <v>120</v>
      </c>
      <c r="M32" s="84">
        <f>IFERROR(IF(B32="","",IF(E32="","",IF(I32="","",IF($B32="TOTAL",SUM($M$8:M31),SUM(E32-I32))))),"")</f>
        <v>80</v>
      </c>
      <c r="N32" s="84">
        <f t="shared" si="10"/>
        <v>1200</v>
      </c>
      <c r="O32" s="84">
        <f>IFERROR(IF(B32="","",IF($B32="TOTAL",SUM($O$8:O31),IF($AM$18=$AM$20,AX33,ROUND((C32+D32)*10%,0)))),"")</f>
        <v>4010</v>
      </c>
      <c r="P32" s="84">
        <f>IFERROR(IF(B32="","",IF(G32="","",IF(H32="","",IF($B32="TOTAL",SUM($P$8:P31),IF($AM$18=$AM$20,$AM$21,ROUND((G32+H32)*10%,0)))))),"")</f>
        <v>3898</v>
      </c>
      <c r="Q32" s="84">
        <f t="shared" si="11"/>
        <v>112</v>
      </c>
      <c r="R32" s="85">
        <f>IFERROR(IF(B32="","",IF($AM$16=$AM$17,0,IF($B32="TOTAL",SUM($R$8:R31),IF($AM$19=$AM$31,0,IF(AND($AM$32=$AM$20,B32=$AM$33),$AM$34,R31))))),"")</f>
        <v>2100</v>
      </c>
      <c r="S32" s="85">
        <f>IFERROR(IF(B32="","",IF($AM$16=$AM$17,0,IF($B32="TOTAL",SUM($S$8:S31),IF($AM$19=$AM$20,$AM$24,0)))),"")</f>
        <v>2100</v>
      </c>
      <c r="T32" s="84">
        <f t="shared" si="12"/>
        <v>0</v>
      </c>
      <c r="U32" s="84" t="str">
        <f>IF(B32="","",IF($B32="TOTAL",SUM($U$8:U31),IF(AND($AM$2=$AM$20,B32=$AM$1),ROUND(C32/31*$AN$2,0),IF(B32=$AK$6,ROUND((F32)*1/30,0),IF(B32=$AL$6,ROUND((F32)*1/31,0),"")))))</f>
        <v/>
      </c>
      <c r="V32" s="84" t="str">
        <f>IF(B32="","",IF($B32="TOTAL",SUM($V$8:V31),IF(AND($AM$2=$AM$20,B32=$AM$1),ROUND(G32/31*$AN$2,0),IF(B32=$AK$6,ROUND((J32)*1/30,0),IF(B32=$AL$6,ROUND((J32)*1/31,0),"")))))</f>
        <v/>
      </c>
      <c r="W32" s="84" t="str">
        <f t="shared" si="13"/>
        <v/>
      </c>
      <c r="X32" s="84">
        <f>IFERROR(IF(B32="","",IF($B32="TOTAL",SUM($X$8:X31),ROUND(N32*$AM$7%,0))),"")</f>
        <v>120</v>
      </c>
      <c r="Y32" s="84">
        <f>IFERROR(IF(B32="","",IF($B32="TOTAL",SUM($Y$8:Y31),SUM(Q32,T32,W32,X32))),"")</f>
        <v>232</v>
      </c>
      <c r="Z32" s="86">
        <f>IFERROR(IF(B32="","",IF($B32="TOTAL",SUM($Z$8:Z31),SUM(N32-Y32))),"")</f>
        <v>968</v>
      </c>
      <c r="AA32" s="16"/>
      <c r="AB32" s="16"/>
      <c r="AJ32" s="113">
        <f t="shared" si="18"/>
        <v>9</v>
      </c>
      <c r="AK32" s="114"/>
      <c r="AL32" s="115">
        <v>43435</v>
      </c>
      <c r="AM32" s="114" t="str">
        <f>'Master Sheet'!D19</f>
        <v>NO</v>
      </c>
      <c r="AN32" s="115">
        <f t="shared" si="29"/>
        <v>43435</v>
      </c>
      <c r="AO32" s="115">
        <f t="shared" si="15"/>
        <v>43435</v>
      </c>
      <c r="AP32" s="115">
        <f t="shared" si="19"/>
        <v>43435</v>
      </c>
      <c r="AQ32" s="114">
        <f t="shared" si="27"/>
        <v>35800</v>
      </c>
      <c r="AR32" s="114">
        <f t="shared" si="20"/>
        <v>3222</v>
      </c>
      <c r="AS32" s="114">
        <f t="shared" si="21"/>
        <v>2864</v>
      </c>
      <c r="AT32" s="114"/>
      <c r="AU32" s="114">
        <f t="shared" si="28"/>
        <v>34800</v>
      </c>
      <c r="AV32" s="114">
        <f t="shared" si="22"/>
        <v>3132</v>
      </c>
      <c r="AW32" s="114">
        <f t="shared" si="23"/>
        <v>2784</v>
      </c>
      <c r="AX32" s="114">
        <f t="shared" si="24"/>
        <v>3200</v>
      </c>
      <c r="AY32" s="114"/>
      <c r="AZ32" s="114"/>
      <c r="BA32" s="149">
        <f t="shared" si="25"/>
        <v>853</v>
      </c>
      <c r="BB32" s="114">
        <f t="shared" si="26"/>
        <v>3200</v>
      </c>
    </row>
    <row r="33" spans="1:54" s="35" customFormat="1" ht="21" customHeight="1">
      <c r="A33" s="82">
        <f t="shared" si="7"/>
        <v>26</v>
      </c>
      <c r="B33" s="83">
        <f t="shared" si="16"/>
        <v>43497</v>
      </c>
      <c r="C33" s="84">
        <f>IFERROR(IF($B32="TOTAL","अक्षरें राशि :-",IF($B33="TOTAL",SUM($C$8:C32),IF(AQ34="","",AQ34))),"")</f>
        <v>35800</v>
      </c>
      <c r="D33" s="84">
        <f>IFERROR(IF($B33="TOTAL",SUM($D$8:D32),IF(AR34="","",AR34)),"")</f>
        <v>4296</v>
      </c>
      <c r="E33" s="84">
        <f>IFERROR(IF($B33="TOTAL",SUM($E$8:E32),IF(OR(B33=$AK$16,B33=$AK$17,B33=$AK$18,B33=$AK$19,B33=$AK$20,B33=$AK$21,B33=$AK$22,B33=$AK$23,B33=$AK$24),0,IF(AS34="","",AS34))),"")</f>
        <v>2864</v>
      </c>
      <c r="F33" s="84">
        <f t="shared" si="17"/>
        <v>42960</v>
      </c>
      <c r="G33" s="84">
        <f>IFERROR(IF($B33="TOTAL",SUM($G$8:G32),IF(AU34="","",AU34)),"")</f>
        <v>34800</v>
      </c>
      <c r="H33" s="84">
        <f>IFERROR(IF($B33="TOTAL",SUM($H$8:H32),IF(AV34="","",AV34)),"")</f>
        <v>4176</v>
      </c>
      <c r="I33" s="84">
        <f>IFERROR(IF($B33="TOTAL",SUM($I$8:I32),IF(OR(B33=$AK$16,B33=$AK$17,B33=$AK$18,B33=$AK$19,B33=$AK$20,B33=$AK$21,B33=$AK$22,B33=$AK$23,B33=$AK$24),0,IF(AW34="","",AW34))),"")</f>
        <v>2784</v>
      </c>
      <c r="J33" s="84">
        <f t="shared" si="9"/>
        <v>41760</v>
      </c>
      <c r="K33" s="84">
        <f>IFERROR(IF(B33="","",IF(C33="","",IF(G33="","",IF($B33="TOTAL",SUM($K$8:K32),SUM(C33-G33))))),"")</f>
        <v>1000</v>
      </c>
      <c r="L33" s="84">
        <f>IFERROR(IF(B33="","",IF(D33="","",IF(H33="","",IF($B33="TOTAL",SUM($L$8:L32),SUM(D33-H33))))),"")</f>
        <v>120</v>
      </c>
      <c r="M33" s="84">
        <f>IFERROR(IF(B33="","",IF(E33="","",IF(I33="","",IF($B33="TOTAL",SUM($M$8:M32),SUM(E33-I33))))),"")</f>
        <v>80</v>
      </c>
      <c r="N33" s="84">
        <f t="shared" si="10"/>
        <v>1200</v>
      </c>
      <c r="O33" s="84">
        <f>IFERROR(IF(B33="","",IF($B33="TOTAL",SUM($O$8:O32),IF($AM$18=$AM$20,AX34,ROUND((C33+D33)*10%,0)))),"")</f>
        <v>4010</v>
      </c>
      <c r="P33" s="84">
        <f>IFERROR(IF(B33="","",IF(G33="","",IF(H33="","",IF($B33="TOTAL",SUM($P$8:P32),IF($AM$18=$AM$20,$AM$21,ROUND((G33+H33)*10%,0)))))),"")</f>
        <v>3898</v>
      </c>
      <c r="Q33" s="84">
        <f t="shared" si="11"/>
        <v>112</v>
      </c>
      <c r="R33" s="85">
        <f>IFERROR(IF(B33="","",IF($AM$16=$AM$17,0,IF($B33="TOTAL",SUM($R$8:R32),IF($AM$19=$AM$31,0,IF(AND($AM$32=$AM$20,B33=$AM$33),$AM$34,R32))))),"")</f>
        <v>2100</v>
      </c>
      <c r="S33" s="85">
        <f>IFERROR(IF(B33="","",IF($AM$16=$AM$17,0,IF($B33="TOTAL",SUM($S$8:S32),IF($AM$19=$AM$20,$AM$24,0)))),"")</f>
        <v>2100</v>
      </c>
      <c r="T33" s="84">
        <f t="shared" si="12"/>
        <v>0</v>
      </c>
      <c r="U33" s="84" t="str">
        <f>IF(B33="","",IF($B33="TOTAL",SUM($U$8:U32),IF(AND($AM$2=$AM$20,B33=$AM$1),ROUND(C33/31*$AN$2,0),IF(B33=$AK$6,ROUND((F33)*1/30,0),IF(B33=$AL$6,ROUND((F33)*1/31,0),"")))))</f>
        <v/>
      </c>
      <c r="V33" s="84" t="str">
        <f>IF(B33="","",IF($B33="TOTAL",SUM($V$8:V32),IF(AND($AM$2=$AM$20,B33=$AM$1),ROUND(G33/31*$AN$2,0),IF(B33=$AK$6,ROUND((J33)*1/30,0),IF(B33=$AL$6,ROUND((J33)*1/31,0),"")))))</f>
        <v/>
      </c>
      <c r="W33" s="84" t="str">
        <f t="shared" si="13"/>
        <v/>
      </c>
      <c r="X33" s="84">
        <f>IFERROR(IF(B33="","",IF($B33="TOTAL",SUM($X$8:X32),ROUND(N33*$AM$7%,0))),"")</f>
        <v>120</v>
      </c>
      <c r="Y33" s="84">
        <f>IFERROR(IF(B33="","",IF($B33="TOTAL",SUM($Y$8:Y32),SUM(Q33,T33,W33,X33))),"")</f>
        <v>232</v>
      </c>
      <c r="Z33" s="86">
        <f>IFERROR(IF(B33="","",IF($B33="TOTAL",SUM($Z$8:Z32),SUM(N33-Y33))),"")</f>
        <v>968</v>
      </c>
      <c r="AA33" s="16"/>
      <c r="AB33" s="16"/>
      <c r="AJ33" s="113">
        <f t="shared" si="18"/>
        <v>12</v>
      </c>
      <c r="AK33" s="114"/>
      <c r="AL33" s="115">
        <v>43466</v>
      </c>
      <c r="AM33" s="114">
        <f>'Master Sheet'!G19</f>
        <v>43435</v>
      </c>
      <c r="AN33" s="115">
        <f t="shared" si="29"/>
        <v>43466</v>
      </c>
      <c r="AO33" s="115">
        <f t="shared" si="15"/>
        <v>43466</v>
      </c>
      <c r="AP33" s="115">
        <f t="shared" si="19"/>
        <v>43466</v>
      </c>
      <c r="AQ33" s="114">
        <f t="shared" si="27"/>
        <v>35800</v>
      </c>
      <c r="AR33" s="114">
        <f t="shared" si="20"/>
        <v>4296</v>
      </c>
      <c r="AS33" s="114">
        <f t="shared" si="21"/>
        <v>2864</v>
      </c>
      <c r="AT33" s="114"/>
      <c r="AU33" s="114">
        <f t="shared" si="28"/>
        <v>34800</v>
      </c>
      <c r="AV33" s="114">
        <f t="shared" si="22"/>
        <v>4176</v>
      </c>
      <c r="AW33" s="114">
        <f t="shared" si="23"/>
        <v>2784</v>
      </c>
      <c r="AX33" s="114">
        <f t="shared" si="24"/>
        <v>3200</v>
      </c>
      <c r="AY33" s="114"/>
      <c r="AZ33" s="114"/>
      <c r="BA33" s="149">
        <f t="shared" si="25"/>
        <v>880</v>
      </c>
      <c r="BB33" s="114">
        <f t="shared" si="26"/>
        <v>3200</v>
      </c>
    </row>
    <row r="34" spans="1:54" s="35" customFormat="1" ht="21" customHeight="1">
      <c r="A34" s="82">
        <f t="shared" si="7"/>
        <v>27</v>
      </c>
      <c r="B34" s="83">
        <f t="shared" si="16"/>
        <v>43525</v>
      </c>
      <c r="C34" s="84">
        <f>IFERROR(IF($B33="TOTAL","अक्षरें राशि :-",IF($B34="TOTAL",SUM($C$8:C33),IF(AQ35="","",AQ35))),"")</f>
        <v>35800</v>
      </c>
      <c r="D34" s="84">
        <f>IFERROR(IF($B34="TOTAL",SUM($D$8:D33),IF(AR35="","",AR35)),"")</f>
        <v>4296</v>
      </c>
      <c r="E34" s="84">
        <f>IFERROR(IF($B34="TOTAL",SUM($E$8:E33),IF(OR(B34=$AK$16,B34=$AK$17,B34=$AK$18,B34=$AK$19,B34=$AK$20,B34=$AK$21,B34=$AK$22,B34=$AK$23,B34=$AK$24),0,IF(AS35="","",AS35))),"")</f>
        <v>2864</v>
      </c>
      <c r="F34" s="84">
        <f t="shared" si="17"/>
        <v>42960</v>
      </c>
      <c r="G34" s="84">
        <f>IFERROR(IF($B34="TOTAL",SUM($G$8:G33),IF(AU35="","",AU35)),"")</f>
        <v>34800</v>
      </c>
      <c r="H34" s="84">
        <f>IFERROR(IF($B34="TOTAL",SUM($H$8:H33),IF(AV35="","",AV35)),"")</f>
        <v>4176</v>
      </c>
      <c r="I34" s="84">
        <f>IFERROR(IF($B34="TOTAL",SUM($I$8:I33),IF(OR(B34=$AK$16,B34=$AK$17,B34=$AK$18,B34=$AK$19,B34=$AK$20,B34=$AK$21,B34=$AK$22,B34=$AK$23,B34=$AK$24),0,IF(AW35="","",AW35))),"")</f>
        <v>2784</v>
      </c>
      <c r="J34" s="84">
        <f t="shared" si="9"/>
        <v>41760</v>
      </c>
      <c r="K34" s="84">
        <f>IFERROR(IF(B34="","",IF(C34="","",IF(G34="","",IF($B34="TOTAL",SUM($K$8:K33),SUM(C34-G34))))),"")</f>
        <v>1000</v>
      </c>
      <c r="L34" s="84">
        <f>IFERROR(IF(B34="","",IF(D34="","",IF(H34="","",IF($B34="TOTAL",SUM($L$8:L33),SUM(D34-H34))))),"")</f>
        <v>120</v>
      </c>
      <c r="M34" s="84">
        <f>IFERROR(IF(B34="","",IF(E34="","",IF(I34="","",IF($B34="TOTAL",SUM($M$8:M33),SUM(E34-I34))))),"")</f>
        <v>80</v>
      </c>
      <c r="N34" s="84">
        <f t="shared" si="10"/>
        <v>1200</v>
      </c>
      <c r="O34" s="84">
        <f>IFERROR(IF(B34="","",IF($B34="TOTAL",SUM($O$8:O33),IF($AM$18=$AM$20,AX35,ROUND((C34+D34)*10%,0)))),"")</f>
        <v>4010</v>
      </c>
      <c r="P34" s="84">
        <f>IFERROR(IF(B34="","",IF(G34="","",IF(H34="","",IF($B34="TOTAL",SUM($P$8:P33),IF($AM$18=$AM$20,$AM$21,ROUND((G34+H34)*10%,0)))))),"")</f>
        <v>3898</v>
      </c>
      <c r="Q34" s="84">
        <f t="shared" si="11"/>
        <v>112</v>
      </c>
      <c r="R34" s="85">
        <f>IFERROR(IF(B34="","",IF($AM$16=$AM$17,0,IF($B34="TOTAL",SUM($R$8:R33),IF($AM$19=$AM$31,0,IF(AND($AM$32=$AM$20,B34=$AM$33),$AM$34,R33))))),"")</f>
        <v>2100</v>
      </c>
      <c r="S34" s="85">
        <f>IFERROR(IF(B34="","",IF($AM$16=$AM$17,0,IF($B34="TOTAL",SUM($S$8:S33),IF($AM$19=$AM$20,$AM$24,0)))),"")</f>
        <v>2100</v>
      </c>
      <c r="T34" s="84">
        <f t="shared" si="12"/>
        <v>0</v>
      </c>
      <c r="U34" s="84" t="str">
        <f>IF(B34="","",IF($B34="TOTAL",SUM($U$8:U33),IF(AND($AM$2=$AM$20,B34=$AM$1),ROUND(C34/31*$AN$2,0),IF(B34=$AK$6,ROUND((F34)*1/30,0),IF(B34=$AL$6,ROUND((F34)*1/31,0),"")))))</f>
        <v/>
      </c>
      <c r="V34" s="84" t="str">
        <f>IF(B34="","",IF($B34="TOTAL",SUM($V$8:V33),IF(AND($AM$2=$AM$20,B34=$AM$1),ROUND(G34/31*$AN$2,0),IF(B34=$AK$6,ROUND((J34)*1/30,0),IF(B34=$AL$6,ROUND((J34)*1/31,0),"")))))</f>
        <v/>
      </c>
      <c r="W34" s="84" t="str">
        <f t="shared" si="13"/>
        <v/>
      </c>
      <c r="X34" s="84">
        <f>IFERROR(IF(B34="","",IF($B34="TOTAL",SUM($X$8:X33),ROUND(N34*$AM$7%,0))),"")</f>
        <v>120</v>
      </c>
      <c r="Y34" s="84">
        <f>IFERROR(IF(B34="","",IF($B34="TOTAL",SUM($Y$8:Y33),SUM(Q34,T34,W34,X34))),"")</f>
        <v>232</v>
      </c>
      <c r="Z34" s="86">
        <f>IFERROR(IF(B34="","",IF($B34="TOTAL",SUM($Z$8:Z33),SUM(N34-Y34))),"")</f>
        <v>968</v>
      </c>
      <c r="AA34" s="16"/>
      <c r="AB34" s="16"/>
      <c r="AJ34" s="113">
        <f t="shared" si="18"/>
        <v>12</v>
      </c>
      <c r="AK34" s="114"/>
      <c r="AL34" s="115">
        <v>43497</v>
      </c>
      <c r="AM34" s="114">
        <f>'Master Sheet'!K19</f>
        <v>3000</v>
      </c>
      <c r="AN34" s="115">
        <f t="shared" si="29"/>
        <v>43497</v>
      </c>
      <c r="AO34" s="115">
        <f t="shared" si="15"/>
        <v>43497</v>
      </c>
      <c r="AP34" s="115">
        <f t="shared" si="19"/>
        <v>43497</v>
      </c>
      <c r="AQ34" s="114">
        <f t="shared" si="27"/>
        <v>35800</v>
      </c>
      <c r="AR34" s="114">
        <f t="shared" si="20"/>
        <v>4296</v>
      </c>
      <c r="AS34" s="114">
        <f t="shared" si="21"/>
        <v>2864</v>
      </c>
      <c r="AT34" s="114"/>
      <c r="AU34" s="114">
        <f t="shared" si="28"/>
        <v>34800</v>
      </c>
      <c r="AV34" s="114">
        <f t="shared" si="22"/>
        <v>4176</v>
      </c>
      <c r="AW34" s="114">
        <f t="shared" si="23"/>
        <v>2784</v>
      </c>
      <c r="AX34" s="114">
        <f t="shared" si="24"/>
        <v>3200</v>
      </c>
      <c r="AY34" s="114"/>
      <c r="AZ34" s="114"/>
      <c r="BA34" s="149">
        <f t="shared" si="25"/>
        <v>880</v>
      </c>
      <c r="BB34" s="114">
        <f t="shared" si="26"/>
        <v>3200</v>
      </c>
    </row>
    <row r="35" spans="1:54" s="35" customFormat="1" ht="21" customHeight="1">
      <c r="A35" s="82">
        <f t="shared" si="7"/>
        <v>28</v>
      </c>
      <c r="B35" s="83">
        <f t="shared" si="16"/>
        <v>43556</v>
      </c>
      <c r="C35" s="84">
        <f>IFERROR(IF($B34="TOTAL","अक्षरें राशि :-",IF($B35="TOTAL",SUM($C$8:C34),IF(AQ36="","",AQ36))),"")</f>
        <v>35800</v>
      </c>
      <c r="D35" s="84">
        <f>IFERROR(IF($B35="TOTAL",SUM($D$8:D34),IF(AR36="","",AR36)),"")</f>
        <v>4296</v>
      </c>
      <c r="E35" s="84">
        <f>IFERROR(IF($B35="TOTAL",SUM($E$8:E34),IF(OR(B35=$AK$16,B35=$AK$17,B35=$AK$18,B35=$AK$19,B35=$AK$20,B35=$AK$21,B35=$AK$22,B35=$AK$23,B35=$AK$24),0,IF(AS36="","",AS36))),"")</f>
        <v>2864</v>
      </c>
      <c r="F35" s="84">
        <f t="shared" si="17"/>
        <v>42960</v>
      </c>
      <c r="G35" s="84">
        <f>IFERROR(IF($B35="TOTAL",SUM($G$8:G34),IF(AU36="","",AU36)),"")</f>
        <v>34800</v>
      </c>
      <c r="H35" s="84">
        <f>IFERROR(IF($B35="TOTAL",SUM($H$8:H34),IF(AV36="","",AV36)),"")</f>
        <v>4176</v>
      </c>
      <c r="I35" s="84">
        <f>IFERROR(IF($B35="TOTAL",SUM($I$8:I34),IF(OR(B35=$AK$16,B35=$AK$17,B35=$AK$18,B35=$AK$19,B35=$AK$20,B35=$AK$21,B35=$AK$22,B35=$AK$23,B35=$AK$24),0,IF(AW36="","",AW36))),"")</f>
        <v>2784</v>
      </c>
      <c r="J35" s="84">
        <f t="shared" si="9"/>
        <v>41760</v>
      </c>
      <c r="K35" s="84">
        <f>IFERROR(IF(B35="","",IF(C35="","",IF(G35="","",IF($B35="TOTAL",SUM($K$8:K34),SUM(C35-G35))))),"")</f>
        <v>1000</v>
      </c>
      <c r="L35" s="84">
        <f>IFERROR(IF(B35="","",IF(D35="","",IF(H35="","",IF($B35="TOTAL",SUM($L$8:L34),SUM(D35-H35))))),"")</f>
        <v>120</v>
      </c>
      <c r="M35" s="84">
        <f>IFERROR(IF(B35="","",IF(E35="","",IF(I35="","",IF($B35="TOTAL",SUM($M$8:M34),SUM(E35-I35))))),"")</f>
        <v>80</v>
      </c>
      <c r="N35" s="84">
        <f t="shared" si="10"/>
        <v>1200</v>
      </c>
      <c r="O35" s="84">
        <f>IFERROR(IF(B35="","",IF($B35="TOTAL",SUM($O$8:O34),IF($AM$18=$AM$20,AX36,ROUND((C35+D35)*10%,0)))),"")</f>
        <v>4010</v>
      </c>
      <c r="P35" s="84">
        <f>IFERROR(IF(B35="","",IF(G35="","",IF(H35="","",IF($B35="TOTAL",SUM($P$8:P34),IF($AM$18=$AM$20,$AM$21,ROUND((G35+H35)*10%,0)))))),"")</f>
        <v>3898</v>
      </c>
      <c r="Q35" s="84">
        <f t="shared" si="11"/>
        <v>112</v>
      </c>
      <c r="R35" s="85">
        <f>IFERROR(IF(B35="","",IF($AM$16=$AM$17,0,IF($B35="TOTAL",SUM($R$8:R34),IF($AM$19=$AM$31,0,IF(AND($AM$32=$AM$20,B35=$AM$33),$AM$34,R34))))),"")</f>
        <v>2100</v>
      </c>
      <c r="S35" s="85">
        <f>IFERROR(IF(B35="","",IF($AM$16=$AM$17,0,IF($B35="TOTAL",SUM($S$8:S34),IF($AM$19=$AM$20,$AM$24,0)))),"")</f>
        <v>2100</v>
      </c>
      <c r="T35" s="84">
        <f t="shared" si="12"/>
        <v>0</v>
      </c>
      <c r="U35" s="84" t="str">
        <f>IF(B35="","",IF($B35="TOTAL",SUM($U$8:U34),IF(AND($AM$2=$AM$20,B35=$AM$1),ROUND(C35/31*$AN$2,0),IF(B35=$AK$6,ROUND((F35)*1/30,0),IF(B35=$AL$6,ROUND((F35)*1/31,0),"")))))</f>
        <v/>
      </c>
      <c r="V35" s="84" t="str">
        <f>IF(B35="","",IF($B35="TOTAL",SUM($V$8:V34),IF(AND($AM$2=$AM$20,B35=$AM$1),ROUND(G35/31*$AN$2,0),IF(B35=$AK$6,ROUND((J35)*1/30,0),IF(B35=$AL$6,ROUND((J35)*1/31,0),"")))))</f>
        <v/>
      </c>
      <c r="W35" s="84" t="str">
        <f t="shared" si="13"/>
        <v/>
      </c>
      <c r="X35" s="84">
        <f>IFERROR(IF(B35="","",IF($B35="TOTAL",SUM($X$8:X34),ROUND(N35*$AM$7%,0))),"")</f>
        <v>120</v>
      </c>
      <c r="Y35" s="84">
        <f>IFERROR(IF(B35="","",IF($B35="TOTAL",SUM($Y$8:Y34),SUM(Q35,T35,W35,X35))),"")</f>
        <v>232</v>
      </c>
      <c r="Z35" s="86">
        <f>IFERROR(IF(B35="","",IF($B35="TOTAL",SUM($Z$8:Z34),SUM(N35-Y35))),"")</f>
        <v>968</v>
      </c>
      <c r="AA35" s="16"/>
      <c r="AB35" s="16"/>
      <c r="AJ35" s="113">
        <f t="shared" si="18"/>
        <v>12</v>
      </c>
      <c r="AK35" s="114"/>
      <c r="AL35" s="115">
        <v>43525</v>
      </c>
      <c r="AM35" s="114"/>
      <c r="AN35" s="115">
        <f t="shared" si="29"/>
        <v>43525</v>
      </c>
      <c r="AO35" s="115">
        <f t="shared" si="15"/>
        <v>43525</v>
      </c>
      <c r="AP35" s="115">
        <f t="shared" si="19"/>
        <v>43525</v>
      </c>
      <c r="AQ35" s="114">
        <f t="shared" si="27"/>
        <v>35800</v>
      </c>
      <c r="AR35" s="114">
        <f t="shared" si="20"/>
        <v>4296</v>
      </c>
      <c r="AS35" s="114">
        <f t="shared" si="21"/>
        <v>2864</v>
      </c>
      <c r="AT35" s="114"/>
      <c r="AU35" s="114">
        <f t="shared" si="28"/>
        <v>34800</v>
      </c>
      <c r="AV35" s="114">
        <f t="shared" si="22"/>
        <v>4176</v>
      </c>
      <c r="AW35" s="114">
        <f t="shared" si="23"/>
        <v>2784</v>
      </c>
      <c r="AX35" s="114">
        <f t="shared" si="24"/>
        <v>3200</v>
      </c>
      <c r="AY35" s="114"/>
      <c r="AZ35" s="114"/>
      <c r="BA35" s="149">
        <f t="shared" si="25"/>
        <v>880</v>
      </c>
      <c r="BB35" s="114">
        <f t="shared" si="26"/>
        <v>3200</v>
      </c>
    </row>
    <row r="36" spans="1:54" s="35" customFormat="1" ht="21" customHeight="1">
      <c r="A36" s="82">
        <f t="shared" si="7"/>
        <v>29</v>
      </c>
      <c r="B36" s="83">
        <f t="shared" si="16"/>
        <v>43586</v>
      </c>
      <c r="C36" s="84">
        <f>IFERROR(IF($B35="TOTAL","अक्षरें राशि :-",IF($B36="TOTAL",SUM($C$8:C35),IF(AQ37="","",AQ37))),"")</f>
        <v>35800</v>
      </c>
      <c r="D36" s="84">
        <f>IFERROR(IF($B36="TOTAL",SUM($D$8:D35),IF(AR37="","",AR37)),"")</f>
        <v>4296</v>
      </c>
      <c r="E36" s="84">
        <f>IFERROR(IF($B36="TOTAL",SUM($E$8:E35),IF(OR(B36=$AK$16,B36=$AK$17,B36=$AK$18,B36=$AK$19,B36=$AK$20,B36=$AK$21,B36=$AK$22,B36=$AK$23,B36=$AK$24),0,IF(AS37="","",AS37))),"")</f>
        <v>2864</v>
      </c>
      <c r="F36" s="84">
        <f t="shared" si="17"/>
        <v>42960</v>
      </c>
      <c r="G36" s="84">
        <f>IFERROR(IF($B36="TOTAL",SUM($G$8:G35),IF(AU37="","",AU37)),"")</f>
        <v>34800</v>
      </c>
      <c r="H36" s="84">
        <f>IFERROR(IF($B36="TOTAL",SUM($H$8:H35),IF(AV37="","",AV37)),"")</f>
        <v>4176</v>
      </c>
      <c r="I36" s="84">
        <f>IFERROR(IF($B36="TOTAL",SUM($I$8:I35),IF(OR(B36=$AK$16,B36=$AK$17,B36=$AK$18,B36=$AK$19,B36=$AK$20,B36=$AK$21,B36=$AK$22,B36=$AK$23,B36=$AK$24),0,IF(AW37="","",AW37))),"")</f>
        <v>2784</v>
      </c>
      <c r="J36" s="84">
        <f t="shared" si="9"/>
        <v>41760</v>
      </c>
      <c r="K36" s="84">
        <f>IFERROR(IF(B36="","",IF(C36="","",IF(G36="","",IF($B36="TOTAL",SUM($K$8:K35),SUM(C36-G36))))),"")</f>
        <v>1000</v>
      </c>
      <c r="L36" s="84">
        <f>IFERROR(IF(B36="","",IF(D36="","",IF(H36="","",IF($B36="TOTAL",SUM($L$8:L35),SUM(D36-H36))))),"")</f>
        <v>120</v>
      </c>
      <c r="M36" s="84">
        <f>IFERROR(IF(B36="","",IF(E36="","",IF(I36="","",IF($B36="TOTAL",SUM($M$8:M35),SUM(E36-I36))))),"")</f>
        <v>80</v>
      </c>
      <c r="N36" s="84">
        <f t="shared" si="10"/>
        <v>1200</v>
      </c>
      <c r="O36" s="84">
        <f>IFERROR(IF(B36="","",IF($B36="TOTAL",SUM($O$8:O35),IF($AM$18=$AM$20,AX37,ROUND((C36+D36)*10%,0)))),"")</f>
        <v>4010</v>
      </c>
      <c r="P36" s="84">
        <f>IFERROR(IF(B36="","",IF(G36="","",IF(H36="","",IF($B36="TOTAL",SUM($P$8:P35),IF($AM$18=$AM$20,$AM$21,ROUND((G36+H36)*10%,0)))))),"")</f>
        <v>3898</v>
      </c>
      <c r="Q36" s="84">
        <f t="shared" si="11"/>
        <v>112</v>
      </c>
      <c r="R36" s="85">
        <f>IFERROR(IF(B36="","",IF($AM$16=$AM$17,0,IF($B36="TOTAL",SUM($R$8:R35),IF($AM$19=$AM$31,0,IF(AND($AM$32=$AM$20,B36=$AM$33),$AM$34,R35))))),"")</f>
        <v>2100</v>
      </c>
      <c r="S36" s="85">
        <f>IFERROR(IF(B36="","",IF($AM$16=$AM$17,0,IF($B36="TOTAL",SUM($S$8:S35),IF($AM$19=$AM$20,$AM$24,0)))),"")</f>
        <v>2100</v>
      </c>
      <c r="T36" s="84">
        <f t="shared" si="12"/>
        <v>0</v>
      </c>
      <c r="U36" s="84" t="str">
        <f>IF(B36="","",IF($B36="TOTAL",SUM($U$8:U35),IF(AND($AM$2=$AM$20,B36=$AM$1),ROUND(C36/31*$AN$2,0),IF(B36=$AK$6,ROUND((F36)*1/30,0),IF(B36=$AL$6,ROUND((F36)*1/31,0),"")))))</f>
        <v/>
      </c>
      <c r="V36" s="84" t="str">
        <f>IF(B36="","",IF($B36="TOTAL",SUM($V$8:V35),IF(AND($AM$2=$AM$20,B36=$AM$1),ROUND(G36/31*$AN$2,0),IF(B36=$AK$6,ROUND((J36)*1/30,0),IF(B36=$AL$6,ROUND((J36)*1/31,0),"")))))</f>
        <v/>
      </c>
      <c r="W36" s="84" t="str">
        <f t="shared" si="13"/>
        <v/>
      </c>
      <c r="X36" s="84">
        <f>IFERROR(IF(B36="","",IF($B36="TOTAL",SUM($X$8:X35),ROUND(N36*$AM$7%,0))),"")</f>
        <v>120</v>
      </c>
      <c r="Y36" s="84">
        <f>IFERROR(IF(B36="","",IF($B36="TOTAL",SUM($Y$8:Y35),SUM(Q36,T36,W36,X36))),"")</f>
        <v>232</v>
      </c>
      <c r="Z36" s="86">
        <f>IFERROR(IF(B36="","",IF($B36="TOTAL",SUM($Z$8:Z35),SUM(N36-Y36))),"")</f>
        <v>968</v>
      </c>
      <c r="AA36" s="16"/>
      <c r="AB36" s="16"/>
      <c r="AJ36" s="113">
        <f t="shared" si="18"/>
        <v>12</v>
      </c>
      <c r="AK36" s="114"/>
      <c r="AL36" s="115">
        <v>43556</v>
      </c>
      <c r="AM36" s="114" t="str">
        <f>'Master Sheet'!D23</f>
        <v>NO</v>
      </c>
      <c r="AN36" s="115">
        <f t="shared" si="29"/>
        <v>43556</v>
      </c>
      <c r="AO36" s="115">
        <f t="shared" si="15"/>
        <v>43556</v>
      </c>
      <c r="AP36" s="115">
        <f t="shared" si="19"/>
        <v>43556</v>
      </c>
      <c r="AQ36" s="114">
        <f t="shared" si="27"/>
        <v>35800</v>
      </c>
      <c r="AR36" s="114">
        <f t="shared" si="20"/>
        <v>4296</v>
      </c>
      <c r="AS36" s="114">
        <f t="shared" si="21"/>
        <v>2864</v>
      </c>
      <c r="AT36" s="114"/>
      <c r="AU36" s="114">
        <f t="shared" si="28"/>
        <v>34800</v>
      </c>
      <c r="AV36" s="114">
        <f t="shared" si="22"/>
        <v>4176</v>
      </c>
      <c r="AW36" s="114">
        <f t="shared" si="23"/>
        <v>2784</v>
      </c>
      <c r="AX36" s="114">
        <f t="shared" si="24"/>
        <v>3200</v>
      </c>
      <c r="AY36" s="114"/>
      <c r="AZ36" s="114"/>
      <c r="BA36" s="149">
        <f t="shared" si="25"/>
        <v>880</v>
      </c>
      <c r="BB36" s="114">
        <f t="shared" si="26"/>
        <v>3200</v>
      </c>
    </row>
    <row r="37" spans="1:54" s="35" customFormat="1" ht="21" customHeight="1">
      <c r="A37" s="82">
        <f t="shared" si="7"/>
        <v>30</v>
      </c>
      <c r="B37" s="83">
        <f t="shared" si="16"/>
        <v>43617</v>
      </c>
      <c r="C37" s="84">
        <f>IFERROR(IF($B36="TOTAL","अक्षरें राशि :-",IF($B37="TOTAL",SUM($C$8:C36),IF(AQ38="","",AQ38))),"")</f>
        <v>35800</v>
      </c>
      <c r="D37" s="84">
        <f>IFERROR(IF($B37="TOTAL",SUM($D$8:D36),IF(AR38="","",AR38)),"")</f>
        <v>4296</v>
      </c>
      <c r="E37" s="84">
        <f>IFERROR(IF($B37="TOTAL",SUM($E$8:E36),IF(OR(B37=$AK$16,B37=$AK$17,B37=$AK$18,B37=$AK$19,B37=$AK$20,B37=$AK$21,B37=$AK$22,B37=$AK$23,B37=$AK$24),0,IF(AS38="","",AS38))),"")</f>
        <v>2864</v>
      </c>
      <c r="F37" s="84">
        <f t="shared" si="17"/>
        <v>42960</v>
      </c>
      <c r="G37" s="84">
        <f>IFERROR(IF($B37="TOTAL",SUM($G$8:G36),IF(AU38="","",AU38)),"")</f>
        <v>34800</v>
      </c>
      <c r="H37" s="84">
        <f>IFERROR(IF($B37="TOTAL",SUM($H$8:H36),IF(AV38="","",AV38)),"")</f>
        <v>4176</v>
      </c>
      <c r="I37" s="84">
        <f>IFERROR(IF($B37="TOTAL",SUM($I$8:I36),IF(OR(B37=$AK$16,B37=$AK$17,B37=$AK$18,B37=$AK$19,B37=$AK$20,B37=$AK$21,B37=$AK$22,B37=$AK$23,B37=$AK$24),0,IF(AW38="","",AW38))),"")</f>
        <v>2784</v>
      </c>
      <c r="J37" s="84">
        <f t="shared" si="9"/>
        <v>41760</v>
      </c>
      <c r="K37" s="84">
        <f>IFERROR(IF(B37="","",IF(C37="","",IF(G37="","",IF($B37="TOTAL",SUM($K$8:K36),SUM(C37-G37))))),"")</f>
        <v>1000</v>
      </c>
      <c r="L37" s="84">
        <f>IFERROR(IF(B37="","",IF(D37="","",IF(H37="","",IF($B37="TOTAL",SUM($L$8:L36),SUM(D37-H37))))),"")</f>
        <v>120</v>
      </c>
      <c r="M37" s="84">
        <f>IFERROR(IF(B37="","",IF(E37="","",IF(I37="","",IF($B37="TOTAL",SUM($M$8:M36),SUM(E37-I37))))),"")</f>
        <v>80</v>
      </c>
      <c r="N37" s="84">
        <f t="shared" si="10"/>
        <v>1200</v>
      </c>
      <c r="O37" s="84">
        <f>IFERROR(IF(B37="","",IF($B37="TOTAL",SUM($O$8:O36),IF($AM$18=$AM$20,AX38,ROUND((C37+D37)*10%,0)))),"")</f>
        <v>4010</v>
      </c>
      <c r="P37" s="84">
        <f>IFERROR(IF(B37="","",IF(G37="","",IF(H37="","",IF($B37="TOTAL",SUM($P$8:P36),IF($AM$18=$AM$20,$AM$21,ROUND((G37+H37)*10%,0)))))),"")</f>
        <v>3898</v>
      </c>
      <c r="Q37" s="84">
        <f t="shared" si="11"/>
        <v>112</v>
      </c>
      <c r="R37" s="85">
        <f>IFERROR(IF(B37="","",IF($AM$16=$AM$17,0,IF($B37="TOTAL",SUM($R$8:R36),IF($AM$19=$AM$31,0,IF(AND($AM$32=$AM$20,B37=$AM$33),$AM$34,R36))))),"")</f>
        <v>2100</v>
      </c>
      <c r="S37" s="85">
        <f>IFERROR(IF(B37="","",IF($AM$16=$AM$17,0,IF($B37="TOTAL",SUM($S$8:S36),IF($AM$19=$AM$20,$AM$24,0)))),"")</f>
        <v>2100</v>
      </c>
      <c r="T37" s="84">
        <f t="shared" si="12"/>
        <v>0</v>
      </c>
      <c r="U37" s="84" t="str">
        <f>IF(B37="","",IF($B37="TOTAL",SUM($U$8:U36),IF(AND($AM$2=$AM$20,B37=$AM$1),ROUND(C37/31*$AN$2,0),IF(B37=$AK$6,ROUND((F37)*1/30,0),IF(B37=$AL$6,ROUND((F37)*1/31,0),"")))))</f>
        <v/>
      </c>
      <c r="V37" s="84" t="str">
        <f>IF(B37="","",IF($B37="TOTAL",SUM($V$8:V36),IF(AND($AM$2=$AM$20,B37=$AM$1),ROUND(G37/31*$AN$2,0),IF(B37=$AK$6,ROUND((J37)*1/30,0),IF(B37=$AL$6,ROUND((J37)*1/31,0),"")))))</f>
        <v/>
      </c>
      <c r="W37" s="84" t="str">
        <f t="shared" si="13"/>
        <v/>
      </c>
      <c r="X37" s="84">
        <f>IFERROR(IF(B37="","",IF($B37="TOTAL",SUM($X$8:X36),ROUND(N37*$AM$7%,0))),"")</f>
        <v>120</v>
      </c>
      <c r="Y37" s="84">
        <f>IFERROR(IF(B37="","",IF($B37="TOTAL",SUM($Y$8:Y36),SUM(Q37,T37,W37,X37))),"")</f>
        <v>232</v>
      </c>
      <c r="Z37" s="86">
        <f>IFERROR(IF(B37="","",IF($B37="TOTAL",SUM($Z$8:Z36),SUM(N37-Y37))),"")</f>
        <v>968</v>
      </c>
      <c r="AA37" s="16"/>
      <c r="AB37" s="16"/>
      <c r="AJ37" s="113">
        <f t="shared" si="18"/>
        <v>12</v>
      </c>
      <c r="AK37" s="114"/>
      <c r="AL37" s="115">
        <v>43586</v>
      </c>
      <c r="AM37" s="114">
        <f>'Master Sheet'!G23</f>
        <v>44287</v>
      </c>
      <c r="AN37" s="115">
        <f t="shared" si="29"/>
        <v>43586</v>
      </c>
      <c r="AO37" s="115">
        <f t="shared" si="15"/>
        <v>43586</v>
      </c>
      <c r="AP37" s="115">
        <f t="shared" si="19"/>
        <v>43586</v>
      </c>
      <c r="AQ37" s="114">
        <f t="shared" si="27"/>
        <v>35800</v>
      </c>
      <c r="AR37" s="114">
        <f t="shared" si="20"/>
        <v>4296</v>
      </c>
      <c r="AS37" s="114">
        <f t="shared" si="21"/>
        <v>2864</v>
      </c>
      <c r="AT37" s="114"/>
      <c r="AU37" s="114">
        <f t="shared" si="28"/>
        <v>34800</v>
      </c>
      <c r="AV37" s="114">
        <f t="shared" si="22"/>
        <v>4176</v>
      </c>
      <c r="AW37" s="114">
        <f t="shared" si="23"/>
        <v>2784</v>
      </c>
      <c r="AX37" s="114">
        <f t="shared" si="24"/>
        <v>3200</v>
      </c>
      <c r="AY37" s="114"/>
      <c r="AZ37" s="114"/>
      <c r="BA37" s="149">
        <f t="shared" si="25"/>
        <v>880</v>
      </c>
      <c r="BB37" s="114">
        <f t="shared" si="26"/>
        <v>3200</v>
      </c>
    </row>
    <row r="38" spans="1:54" s="35" customFormat="1" ht="21" customHeight="1">
      <c r="A38" s="82">
        <f t="shared" si="7"/>
        <v>31</v>
      </c>
      <c r="B38" s="83">
        <f t="shared" si="16"/>
        <v>43647</v>
      </c>
      <c r="C38" s="84">
        <f>IFERROR(IF($B37="TOTAL","अक्षरें राशि :-",IF($B38="TOTAL",SUM($C$8:C37),IF(AQ39="","",AQ39))),"")</f>
        <v>36900</v>
      </c>
      <c r="D38" s="84">
        <f>IFERROR(IF($B38="TOTAL",SUM($D$8:D37),IF(AR39="","",AR39)),"")</f>
        <v>6273</v>
      </c>
      <c r="E38" s="84">
        <f>IFERROR(IF($B38="TOTAL",SUM($E$8:E37),IF(OR(B38=$AK$16,B38=$AK$17,B38=$AK$18,B38=$AK$19,B38=$AK$20,B38=$AK$21,B38=$AK$22,B38=$AK$23,B38=$AK$24),0,IF(AS39="","",AS39))),"")</f>
        <v>2952</v>
      </c>
      <c r="F38" s="84">
        <f t="shared" si="17"/>
        <v>46125</v>
      </c>
      <c r="G38" s="84">
        <f>IFERROR(IF($B38="TOTAL",SUM($G$8:G37),IF(AU39="","",AU39)),"")</f>
        <v>35800</v>
      </c>
      <c r="H38" s="84">
        <f>IFERROR(IF($B38="TOTAL",SUM($H$8:H37),IF(AV39="","",AV39)),"")</f>
        <v>6086</v>
      </c>
      <c r="I38" s="84">
        <f>IFERROR(IF($B38="TOTAL",SUM($I$8:I37),IF(OR(B38=$AK$16,B38=$AK$17,B38=$AK$18,B38=$AK$19,B38=$AK$20,B38=$AK$21,B38=$AK$22,B38=$AK$23,B38=$AK$24),0,IF(AW39="","",AW39))),"")</f>
        <v>2864</v>
      </c>
      <c r="J38" s="84">
        <f t="shared" si="9"/>
        <v>44750</v>
      </c>
      <c r="K38" s="84">
        <f>IFERROR(IF(B38="","",IF(C38="","",IF(G38="","",IF($B38="TOTAL",SUM($K$8:K37),SUM(C38-G38))))),"")</f>
        <v>1100</v>
      </c>
      <c r="L38" s="84">
        <f>IFERROR(IF(B38="","",IF(D38="","",IF(H38="","",IF($B38="TOTAL",SUM($L$8:L37),SUM(D38-H38))))),"")</f>
        <v>187</v>
      </c>
      <c r="M38" s="84">
        <f>IFERROR(IF(B38="","",IF(E38="","",IF(I38="","",IF($B38="TOTAL",SUM($M$8:M37),SUM(E38-I38))))),"")</f>
        <v>88</v>
      </c>
      <c r="N38" s="84">
        <f t="shared" si="10"/>
        <v>1375</v>
      </c>
      <c r="O38" s="84">
        <f>IFERROR(IF(B38="","",IF($B38="TOTAL",SUM($O$8:O37),IF($AM$18=$AM$20,AX39,ROUND((C38+D38)*10%,0)))),"")</f>
        <v>4317</v>
      </c>
      <c r="P38" s="84">
        <f>IFERROR(IF(B38="","",IF(G38="","",IF(H38="","",IF($B38="TOTAL",SUM($P$8:P37),IF($AM$18=$AM$20,$AM$21,ROUND((G38+H38)*10%,0)))))),"")</f>
        <v>4189</v>
      </c>
      <c r="Q38" s="84">
        <f t="shared" si="11"/>
        <v>128</v>
      </c>
      <c r="R38" s="85">
        <f>IFERROR(IF(B38="","",IF($AM$16=$AM$17,0,IF($B38="TOTAL",SUM($R$8:R37),IF($AM$19=$AM$31,0,IF(AND($AM$32=$AM$20,B38=$AM$33),$AM$34,R37))))),"")</f>
        <v>2100</v>
      </c>
      <c r="S38" s="85">
        <f>IFERROR(IF(B38="","",IF($AM$16=$AM$17,0,IF($B38="TOTAL",SUM($S$8:S37),IF($AM$19=$AM$20,$AM$24,0)))),"")</f>
        <v>2100</v>
      </c>
      <c r="T38" s="84">
        <f t="shared" si="12"/>
        <v>0</v>
      </c>
      <c r="U38" s="84" t="str">
        <f>IF(B38="","",IF($B38="TOTAL",SUM($U$8:U37),IF(AND($AM$2=$AM$20,B38=$AM$1),ROUND(C38/31*$AN$2,0),IF(B38=$AK$6,ROUND((F38)*1/30,0),IF(B38=$AL$6,ROUND((F38)*1/31,0),"")))))</f>
        <v/>
      </c>
      <c r="V38" s="84" t="str">
        <f>IF(B38="","",IF($B38="TOTAL",SUM($V$8:V37),IF(AND($AM$2=$AM$20,B38=$AM$1),ROUND(G38/31*$AN$2,0),IF(B38=$AK$6,ROUND((J38)*1/30,0),IF(B38=$AL$6,ROUND((J38)*1/31,0),"")))))</f>
        <v/>
      </c>
      <c r="W38" s="84" t="str">
        <f t="shared" si="13"/>
        <v/>
      </c>
      <c r="X38" s="84">
        <f>IFERROR(IF(B38="","",IF($B38="TOTAL",SUM($X$8:X37),ROUND(N38*$AM$7%,0))),"")</f>
        <v>138</v>
      </c>
      <c r="Y38" s="84">
        <f>IFERROR(IF(B38="","",IF($B38="TOTAL",SUM($Y$8:Y37),SUM(Q38,T38,W38,X38))),"")</f>
        <v>266</v>
      </c>
      <c r="Z38" s="86">
        <f>IFERROR(IF(B38="","",IF($B38="TOTAL",SUM($Z$8:Z37),SUM(N38-Y38))),"")</f>
        <v>1109</v>
      </c>
      <c r="AA38" s="16"/>
      <c r="AB38" s="16"/>
      <c r="AJ38" s="113">
        <f t="shared" si="18"/>
        <v>12</v>
      </c>
      <c r="AK38" s="114"/>
      <c r="AL38" s="115">
        <v>43617</v>
      </c>
      <c r="AM38" s="114">
        <f>'Master Sheet'!K23</f>
        <v>5000</v>
      </c>
      <c r="AN38" s="115">
        <f t="shared" si="29"/>
        <v>43617</v>
      </c>
      <c r="AO38" s="115">
        <f t="shared" si="15"/>
        <v>43617</v>
      </c>
      <c r="AP38" s="115">
        <f t="shared" si="19"/>
        <v>43617</v>
      </c>
      <c r="AQ38" s="114">
        <f t="shared" si="27"/>
        <v>35800</v>
      </c>
      <c r="AR38" s="114">
        <f t="shared" si="20"/>
        <v>4296</v>
      </c>
      <c r="AS38" s="114">
        <f t="shared" si="21"/>
        <v>2864</v>
      </c>
      <c r="AT38" s="114"/>
      <c r="AU38" s="114">
        <f t="shared" si="28"/>
        <v>34800</v>
      </c>
      <c r="AV38" s="114">
        <f t="shared" si="22"/>
        <v>4176</v>
      </c>
      <c r="AW38" s="114">
        <f t="shared" si="23"/>
        <v>2784</v>
      </c>
      <c r="AX38" s="114">
        <f t="shared" si="24"/>
        <v>3200</v>
      </c>
      <c r="AY38" s="114"/>
      <c r="AZ38" s="114"/>
      <c r="BA38" s="149">
        <f t="shared" si="25"/>
        <v>880</v>
      </c>
      <c r="BB38" s="114">
        <f t="shared" si="26"/>
        <v>3200</v>
      </c>
    </row>
    <row r="39" spans="1:54" s="35" customFormat="1" ht="21" customHeight="1">
      <c r="A39" s="82">
        <f t="shared" si="7"/>
        <v>32</v>
      </c>
      <c r="B39" s="83">
        <f t="shared" si="16"/>
        <v>43678</v>
      </c>
      <c r="C39" s="84">
        <f>IFERROR(IF($B38="TOTAL","अक्षरें राशि :-",IF($B39="TOTAL",SUM($C$8:C38),IF(AQ40="","",AQ40))),"")</f>
        <v>36900</v>
      </c>
      <c r="D39" s="84">
        <f>IFERROR(IF($B39="TOTAL",SUM($D$8:D38),IF(AR40="","",AR40)),"")</f>
        <v>6273</v>
      </c>
      <c r="E39" s="84">
        <f>IFERROR(IF($B39="TOTAL",SUM($E$8:E38),IF(OR(B39=$AK$16,B39=$AK$17,B39=$AK$18,B39=$AK$19,B39=$AK$20,B39=$AK$21,B39=$AK$22,B39=$AK$23,B39=$AK$24),0,IF(AS40="","",AS40))),"")</f>
        <v>2952</v>
      </c>
      <c r="F39" s="84">
        <f t="shared" si="17"/>
        <v>46125</v>
      </c>
      <c r="G39" s="84">
        <f>IFERROR(IF($B39="TOTAL",SUM($G$8:G38),IF(AU40="","",AU40)),"")</f>
        <v>35800</v>
      </c>
      <c r="H39" s="84">
        <f>IFERROR(IF($B39="TOTAL",SUM($H$8:H38),IF(AV40="","",AV40)),"")</f>
        <v>6086</v>
      </c>
      <c r="I39" s="84">
        <f>IFERROR(IF($B39="TOTAL",SUM($I$8:I38),IF(OR(B39=$AK$16,B39=$AK$17,B39=$AK$18,B39=$AK$19,B39=$AK$20,B39=$AK$21,B39=$AK$22,B39=$AK$23,B39=$AK$24),0,IF(AW40="","",AW40))),"")</f>
        <v>2864</v>
      </c>
      <c r="J39" s="84">
        <f t="shared" si="9"/>
        <v>44750</v>
      </c>
      <c r="K39" s="84">
        <f>IFERROR(IF(B39="","",IF(C39="","",IF(G39="","",IF($B39="TOTAL",SUM($K$8:K38),SUM(C39-G39))))),"")</f>
        <v>1100</v>
      </c>
      <c r="L39" s="84">
        <f>IFERROR(IF(B39="","",IF(D39="","",IF(H39="","",IF($B39="TOTAL",SUM($L$8:L38),SUM(D39-H39))))),"")</f>
        <v>187</v>
      </c>
      <c r="M39" s="84">
        <f>IFERROR(IF(B39="","",IF(E39="","",IF(I39="","",IF($B39="TOTAL",SUM($M$8:M38),SUM(E39-I39))))),"")</f>
        <v>88</v>
      </c>
      <c r="N39" s="84">
        <f t="shared" si="10"/>
        <v>1375</v>
      </c>
      <c r="O39" s="84">
        <f>IFERROR(IF(B39="","",IF($B39="TOTAL",SUM($O$8:O38),IF($AM$18=$AM$20,AX40,ROUND((C39+D39)*10%,0)))),"")</f>
        <v>4317</v>
      </c>
      <c r="P39" s="84">
        <f>IFERROR(IF(B39="","",IF(G39="","",IF(H39="","",IF($B39="TOTAL",SUM($P$8:P38),IF($AM$18=$AM$20,$AM$21,ROUND((G39+H39)*10%,0)))))),"")</f>
        <v>4189</v>
      </c>
      <c r="Q39" s="84">
        <f t="shared" si="11"/>
        <v>128</v>
      </c>
      <c r="R39" s="85">
        <f>IFERROR(IF(B39="","",IF($AM$16=$AM$17,0,IF($B39="TOTAL",SUM($R$8:R38),IF($AM$19=$AM$31,0,IF(AND($AM$32=$AM$20,B39=$AM$33),$AM$34,R38))))),"")</f>
        <v>2100</v>
      </c>
      <c r="S39" s="85">
        <f>IFERROR(IF(B39="","",IF($AM$16=$AM$17,0,IF($B39="TOTAL",SUM($S$8:S38),IF($AM$19=$AM$20,$AM$24,0)))),"")</f>
        <v>2100</v>
      </c>
      <c r="T39" s="84">
        <f t="shared" si="12"/>
        <v>0</v>
      </c>
      <c r="U39" s="84" t="str">
        <f>IF(B39="","",IF($B39="TOTAL",SUM($U$8:U38),IF(AND($AM$2=$AM$20,B39=$AM$1),ROUND(C39/31*$AN$2,0),IF(B39=$AK$6,ROUND((F39)*1/30,0),IF(B39=$AL$6,ROUND((F39)*1/31,0),"")))))</f>
        <v/>
      </c>
      <c r="V39" s="84" t="str">
        <f>IF(B39="","",IF($B39="TOTAL",SUM($V$8:V38),IF(AND($AM$2=$AM$20,B39=$AM$1),ROUND(G39/31*$AN$2,0),IF(B39=$AK$6,ROUND((J39)*1/30,0),IF(B39=$AL$6,ROUND((J39)*1/31,0),"")))))</f>
        <v/>
      </c>
      <c r="W39" s="84" t="str">
        <f t="shared" si="13"/>
        <v/>
      </c>
      <c r="X39" s="84">
        <f>IFERROR(IF(B39="","",IF($B39="TOTAL",SUM($X$8:X38),ROUND(N39*$AM$7%,0))),"")</f>
        <v>138</v>
      </c>
      <c r="Y39" s="84">
        <f>IFERROR(IF(B39="","",IF($B39="TOTAL",SUM($Y$8:Y38),SUM(Q39,T39,W39,X39))),"")</f>
        <v>266</v>
      </c>
      <c r="Z39" s="86">
        <f>IFERROR(IF(B39="","",IF($B39="TOTAL",SUM($Z$8:Z38),SUM(N39-Y39))),"")</f>
        <v>1109</v>
      </c>
      <c r="AA39" s="16"/>
      <c r="AB39" s="16"/>
      <c r="AJ39" s="113">
        <f t="shared" si="18"/>
        <v>17</v>
      </c>
      <c r="AK39" s="114"/>
      <c r="AL39" s="115">
        <v>43647</v>
      </c>
      <c r="AM39" s="114"/>
      <c r="AN39" s="115">
        <f t="shared" si="29"/>
        <v>43647</v>
      </c>
      <c r="AO39" s="115">
        <f t="shared" si="15"/>
        <v>43647</v>
      </c>
      <c r="AP39" s="115">
        <f t="shared" si="19"/>
        <v>43647</v>
      </c>
      <c r="AQ39" s="114">
        <f t="shared" si="27"/>
        <v>36900</v>
      </c>
      <c r="AR39" s="114">
        <f t="shared" si="20"/>
        <v>6273</v>
      </c>
      <c r="AS39" s="114">
        <f t="shared" si="21"/>
        <v>2952</v>
      </c>
      <c r="AT39" s="114"/>
      <c r="AU39" s="114">
        <f t="shared" si="28"/>
        <v>35800</v>
      </c>
      <c r="AV39" s="114">
        <f t="shared" si="22"/>
        <v>6086</v>
      </c>
      <c r="AW39" s="114">
        <f t="shared" si="23"/>
        <v>2864</v>
      </c>
      <c r="AX39" s="114">
        <f t="shared" si="24"/>
        <v>3200</v>
      </c>
      <c r="AY39" s="114"/>
      <c r="AZ39" s="114"/>
      <c r="BA39" s="149">
        <f t="shared" si="25"/>
        <v>1037</v>
      </c>
      <c r="BB39" s="114">
        <f t="shared" si="26"/>
        <v>3200</v>
      </c>
    </row>
    <row r="40" spans="1:54" s="35" customFormat="1" ht="21" customHeight="1">
      <c r="A40" s="82">
        <f t="shared" si="7"/>
        <v>33</v>
      </c>
      <c r="B40" s="83">
        <f t="shared" si="16"/>
        <v>43709</v>
      </c>
      <c r="C40" s="84">
        <f>IFERROR(IF($B39="TOTAL","अक्षरें राशि :-",IF($B40="TOTAL",SUM($C$8:C39),IF(AQ41="","",AQ41))),"")</f>
        <v>36900</v>
      </c>
      <c r="D40" s="84">
        <f>IFERROR(IF($B40="TOTAL",SUM($D$8:D39),IF(AR41="","",AR41)),"")</f>
        <v>6273</v>
      </c>
      <c r="E40" s="84">
        <f>IFERROR(IF($B40="TOTAL",SUM($E$8:E39),IF(OR(B40=$AK$16,B40=$AK$17,B40=$AK$18,B40=$AK$19,B40=$AK$20,B40=$AK$21,B40=$AK$22,B40=$AK$23,B40=$AK$24),0,IF(AS41="","",AS41))),"")</f>
        <v>2952</v>
      </c>
      <c r="F40" s="84">
        <f t="shared" si="17"/>
        <v>46125</v>
      </c>
      <c r="G40" s="84">
        <f>IFERROR(IF($B40="TOTAL",SUM($G$8:G39),IF(AU41="","",AU41)),"")</f>
        <v>35800</v>
      </c>
      <c r="H40" s="84">
        <f>IFERROR(IF($B40="TOTAL",SUM($H$8:H39),IF(AV41="","",AV41)),"")</f>
        <v>6086</v>
      </c>
      <c r="I40" s="84">
        <f>IFERROR(IF($B40="TOTAL",SUM($I$8:I39),IF(OR(B40=$AK$16,B40=$AK$17,B40=$AK$18,B40=$AK$19,B40=$AK$20,B40=$AK$21,B40=$AK$22,B40=$AK$23,B40=$AK$24),0,IF(AW41="","",AW41))),"")</f>
        <v>2864</v>
      </c>
      <c r="J40" s="84">
        <f t="shared" si="9"/>
        <v>44750</v>
      </c>
      <c r="K40" s="84">
        <f>IFERROR(IF(B40="","",IF(C40="","",IF(G40="","",IF($B40="TOTAL",SUM($K$8:K39),SUM(C40-G40))))),"")</f>
        <v>1100</v>
      </c>
      <c r="L40" s="84">
        <f>IFERROR(IF(B40="","",IF(D40="","",IF(H40="","",IF($B40="TOTAL",SUM($L$8:L39),SUM(D40-H40))))),"")</f>
        <v>187</v>
      </c>
      <c r="M40" s="84">
        <f>IFERROR(IF(B40="","",IF(E40="","",IF(I40="","",IF($B40="TOTAL",SUM($M$8:M39),SUM(E40-I40))))),"")</f>
        <v>88</v>
      </c>
      <c r="N40" s="84">
        <f t="shared" si="10"/>
        <v>1375</v>
      </c>
      <c r="O40" s="84">
        <f>IFERROR(IF(B40="","",IF($B40="TOTAL",SUM($O$8:O39),IF($AM$18=$AM$20,AX41,ROUND((C40+D40)*10%,0)))),"")</f>
        <v>4317</v>
      </c>
      <c r="P40" s="84">
        <f>IFERROR(IF(B40="","",IF(G40="","",IF(H40="","",IF($B40="TOTAL",SUM($P$8:P39),IF($AM$18=$AM$20,$AM$21,ROUND((G40+H40)*10%,0)))))),"")</f>
        <v>4189</v>
      </c>
      <c r="Q40" s="84">
        <f t="shared" si="11"/>
        <v>128</v>
      </c>
      <c r="R40" s="85">
        <f>IFERROR(IF(B40="","",IF($AM$16=$AM$17,0,IF($B40="TOTAL",SUM($R$8:R39),IF($AM$19=$AM$31,0,IF(AND($AM$32=$AM$20,B40=$AM$33),$AM$34,R39))))),"")</f>
        <v>2100</v>
      </c>
      <c r="S40" s="85">
        <f>IFERROR(IF(B40="","",IF($AM$16=$AM$17,0,IF($B40="TOTAL",SUM($S$8:S39),IF($AM$19=$AM$20,$AM$24,0)))),"")</f>
        <v>2100</v>
      </c>
      <c r="T40" s="84">
        <f t="shared" si="12"/>
        <v>0</v>
      </c>
      <c r="U40" s="84" t="str">
        <f>IF(B40="","",IF($B40="TOTAL",SUM($U$8:U39),IF(AND($AM$2=$AM$20,B40=$AM$1),ROUND(C40/31*$AN$2,0),IF(B40=$AK$6,ROUND((F40)*1/30,0),IF(B40=$AL$6,ROUND((F40)*1/31,0),"")))))</f>
        <v/>
      </c>
      <c r="V40" s="84" t="str">
        <f>IF(B40="","",IF($B40="TOTAL",SUM($V$8:V39),IF(AND($AM$2=$AM$20,B40=$AM$1),ROUND(G40/31*$AN$2,0),IF(B40=$AK$6,ROUND((J40)*1/30,0),IF(B40=$AL$6,ROUND((J40)*1/31,0),"")))))</f>
        <v/>
      </c>
      <c r="W40" s="84" t="str">
        <f t="shared" si="13"/>
        <v/>
      </c>
      <c r="X40" s="84">
        <f>IFERROR(IF(B40="","",IF($B40="TOTAL",SUM($X$8:X39),ROUND(N40*$AM$7%,0))),"")</f>
        <v>138</v>
      </c>
      <c r="Y40" s="84">
        <f>IFERROR(IF(B40="","",IF($B40="TOTAL",SUM($Y$8:Y39),SUM(Q40,T40,W40,X40))),"")</f>
        <v>266</v>
      </c>
      <c r="Z40" s="86">
        <f>IFERROR(IF(B40="","",IF($B40="TOTAL",SUM($Z$8:Z39),SUM(N40-Y40))),"")</f>
        <v>1109</v>
      </c>
      <c r="AA40" s="16"/>
      <c r="AB40" s="16"/>
      <c r="AJ40" s="113">
        <f t="shared" si="18"/>
        <v>17</v>
      </c>
      <c r="AK40" s="114"/>
      <c r="AL40" s="115">
        <v>43678</v>
      </c>
      <c r="AM40" s="114"/>
      <c r="AN40" s="115">
        <f t="shared" si="29"/>
        <v>43678</v>
      </c>
      <c r="AO40" s="115">
        <f t="shared" si="15"/>
        <v>43678</v>
      </c>
      <c r="AP40" s="115">
        <f t="shared" si="19"/>
        <v>43678</v>
      </c>
      <c r="AQ40" s="114">
        <f t="shared" si="27"/>
        <v>36900</v>
      </c>
      <c r="AR40" s="114">
        <f t="shared" si="20"/>
        <v>6273</v>
      </c>
      <c r="AS40" s="114">
        <f t="shared" si="21"/>
        <v>2952</v>
      </c>
      <c r="AT40" s="114"/>
      <c r="AU40" s="114">
        <f t="shared" si="28"/>
        <v>35800</v>
      </c>
      <c r="AV40" s="114">
        <f t="shared" si="22"/>
        <v>6086</v>
      </c>
      <c r="AW40" s="114">
        <f t="shared" si="23"/>
        <v>2864</v>
      </c>
      <c r="AX40" s="114">
        <f t="shared" si="24"/>
        <v>3200</v>
      </c>
      <c r="AY40" s="114"/>
      <c r="AZ40" s="114"/>
      <c r="BA40" s="149">
        <f t="shared" si="25"/>
        <v>1037</v>
      </c>
      <c r="BB40" s="114">
        <f t="shared" si="26"/>
        <v>3200</v>
      </c>
    </row>
    <row r="41" spans="1:54" s="35" customFormat="1" ht="21" customHeight="1">
      <c r="A41" s="82">
        <f t="shared" si="7"/>
        <v>34</v>
      </c>
      <c r="B41" s="83">
        <f t="shared" si="16"/>
        <v>43739</v>
      </c>
      <c r="C41" s="84">
        <f>IFERROR(IF($B40="TOTAL","अक्षरें राशि :-",IF($B41="TOTAL",SUM($C$8:C40),IF(AQ42="","",AQ42))),"")</f>
        <v>36900</v>
      </c>
      <c r="D41" s="84">
        <f>IFERROR(IF($B41="TOTAL",SUM($D$8:D40),IF(AR42="","",AR42)),"")</f>
        <v>6273</v>
      </c>
      <c r="E41" s="84">
        <f>IFERROR(IF($B41="TOTAL",SUM($E$8:E40),IF(OR(B41=$AK$16,B41=$AK$17,B41=$AK$18,B41=$AK$19,B41=$AK$20,B41=$AK$21,B41=$AK$22,B41=$AK$23,B41=$AK$24),0,IF(AS42="","",AS42))),"")</f>
        <v>2952</v>
      </c>
      <c r="F41" s="84">
        <f t="shared" si="17"/>
        <v>46125</v>
      </c>
      <c r="G41" s="84">
        <f>IFERROR(IF($B41="TOTAL",SUM($G$8:G40),IF(AU42="","",AU42)),"")</f>
        <v>35800</v>
      </c>
      <c r="H41" s="84">
        <f>IFERROR(IF($B41="TOTAL",SUM($H$8:H40),IF(AV42="","",AV42)),"")</f>
        <v>6086</v>
      </c>
      <c r="I41" s="84">
        <f>IFERROR(IF($B41="TOTAL",SUM($I$8:I40),IF(OR(B41=$AK$16,B41=$AK$17,B41=$AK$18,B41=$AK$19,B41=$AK$20,B41=$AK$21,B41=$AK$22,B41=$AK$23,B41=$AK$24),0,IF(AW42="","",AW42))),"")</f>
        <v>2864</v>
      </c>
      <c r="J41" s="84">
        <f t="shared" si="9"/>
        <v>44750</v>
      </c>
      <c r="K41" s="84">
        <f>IFERROR(IF(B41="","",IF(C41="","",IF(G41="","",IF($B41="TOTAL",SUM($K$8:K40),SUM(C41-G41))))),"")</f>
        <v>1100</v>
      </c>
      <c r="L41" s="84">
        <f>IFERROR(IF(B41="","",IF(D41="","",IF(H41="","",IF($B41="TOTAL",SUM($L$8:L40),SUM(D41-H41))))),"")</f>
        <v>187</v>
      </c>
      <c r="M41" s="84">
        <f>IFERROR(IF(B41="","",IF(E41="","",IF(I41="","",IF($B41="TOTAL",SUM($M$8:M40),SUM(E41-I41))))),"")</f>
        <v>88</v>
      </c>
      <c r="N41" s="84">
        <f t="shared" si="10"/>
        <v>1375</v>
      </c>
      <c r="O41" s="84">
        <f>IFERROR(IF(B41="","",IF($B41="TOTAL",SUM($O$8:O40),IF($AM$18=$AM$20,AX42,ROUND((C41+D41)*10%,0)))),"")</f>
        <v>4317</v>
      </c>
      <c r="P41" s="84">
        <f>IFERROR(IF(B41="","",IF(G41="","",IF(H41="","",IF($B41="TOTAL",SUM($P$8:P40),IF($AM$18=$AM$20,$AM$21,ROUND((G41+H41)*10%,0)))))),"")</f>
        <v>4189</v>
      </c>
      <c r="Q41" s="84">
        <f t="shared" si="11"/>
        <v>128</v>
      </c>
      <c r="R41" s="85">
        <f>IFERROR(IF(B41="","",IF($AM$16=$AM$17,0,IF($B41="TOTAL",SUM($R$8:R40),IF($AM$19=$AM$31,0,IF(AND($AM$32=$AM$20,B41=$AM$33),$AM$34,R40))))),"")</f>
        <v>2100</v>
      </c>
      <c r="S41" s="85">
        <f>IFERROR(IF(B41="","",IF($AM$16=$AM$17,0,IF($B41="TOTAL",SUM($S$8:S40),IF($AM$19=$AM$20,$AM$24,0)))),"")</f>
        <v>2100</v>
      </c>
      <c r="T41" s="84">
        <f t="shared" si="12"/>
        <v>0</v>
      </c>
      <c r="U41" s="84" t="str">
        <f>IF(B41="","",IF($B41="TOTAL",SUM($U$8:U40),IF(AND($AM$2=$AM$20,B41=$AM$1),ROUND(C41/31*$AN$2,0),IF(B41=$AK$6,ROUND((F41)*1/30,0),IF(B41=$AL$6,ROUND((F41)*1/31,0),"")))))</f>
        <v/>
      </c>
      <c r="V41" s="84" t="str">
        <f>IF(B41="","",IF($B41="TOTAL",SUM($V$8:V40),IF(AND($AM$2=$AM$20,B41=$AM$1),ROUND(G41/31*$AN$2,0),IF(B41=$AK$6,ROUND((J41)*1/30,0),IF(B41=$AL$6,ROUND((J41)*1/31,0),"")))))</f>
        <v/>
      </c>
      <c r="W41" s="84" t="str">
        <f t="shared" si="13"/>
        <v/>
      </c>
      <c r="X41" s="84">
        <f>IFERROR(IF(B41="","",IF($B41="TOTAL",SUM($X$8:X40),ROUND(N41*$AM$7%,0))),"")</f>
        <v>138</v>
      </c>
      <c r="Y41" s="84">
        <f>IFERROR(IF(B41="","",IF($B41="TOTAL",SUM($Y$8:Y40),SUM(Q41,T41,W41,X41))),"")</f>
        <v>266</v>
      </c>
      <c r="Z41" s="86">
        <f>IFERROR(IF(B41="","",IF($B41="TOTAL",SUM($Z$8:Z40),SUM(N41-Y41))),"")</f>
        <v>1109</v>
      </c>
      <c r="AA41" s="16"/>
      <c r="AB41" s="16"/>
      <c r="AJ41" s="113">
        <f t="shared" si="18"/>
        <v>17</v>
      </c>
      <c r="AK41" s="114"/>
      <c r="AL41" s="115">
        <v>43709</v>
      </c>
      <c r="AM41" s="114"/>
      <c r="AN41" s="115">
        <f t="shared" si="29"/>
        <v>43709</v>
      </c>
      <c r="AO41" s="115">
        <f t="shared" si="15"/>
        <v>43709</v>
      </c>
      <c r="AP41" s="115">
        <f t="shared" si="19"/>
        <v>43709</v>
      </c>
      <c r="AQ41" s="114">
        <f t="shared" si="27"/>
        <v>36900</v>
      </c>
      <c r="AR41" s="114">
        <f t="shared" si="20"/>
        <v>6273</v>
      </c>
      <c r="AS41" s="114">
        <f t="shared" si="21"/>
        <v>2952</v>
      </c>
      <c r="AT41" s="114"/>
      <c r="AU41" s="114">
        <f t="shared" si="28"/>
        <v>35800</v>
      </c>
      <c r="AV41" s="114">
        <f t="shared" si="22"/>
        <v>6086</v>
      </c>
      <c r="AW41" s="114">
        <f t="shared" si="23"/>
        <v>2864</v>
      </c>
      <c r="AX41" s="114">
        <f t="shared" si="24"/>
        <v>3200</v>
      </c>
      <c r="AY41" s="114"/>
      <c r="AZ41" s="114"/>
      <c r="BA41" s="149">
        <f t="shared" si="25"/>
        <v>1037</v>
      </c>
      <c r="BB41" s="114">
        <f t="shared" si="26"/>
        <v>3200</v>
      </c>
    </row>
    <row r="42" spans="1:54" s="35" customFormat="1" ht="21" customHeight="1">
      <c r="A42" s="82">
        <f t="shared" si="7"/>
        <v>35</v>
      </c>
      <c r="B42" s="83">
        <f t="shared" si="16"/>
        <v>43770</v>
      </c>
      <c r="C42" s="84">
        <f>IFERROR(IF($B41="TOTAL","अक्षरें राशि :-",IF($B42="TOTAL",SUM($C$8:C41),IF(AQ43="","",AQ43))),"")</f>
        <v>36900</v>
      </c>
      <c r="D42" s="84">
        <f>IFERROR(IF($B42="TOTAL",SUM($D$8:D41),IF(AR43="","",AR43)),"")</f>
        <v>6273</v>
      </c>
      <c r="E42" s="84">
        <f>IFERROR(IF($B42="TOTAL",SUM($E$8:E41),IF(OR(B42=$AK$16,B42=$AK$17,B42=$AK$18,B42=$AK$19,B42=$AK$20,B42=$AK$21,B42=$AK$22,B42=$AK$23,B42=$AK$24),0,IF(AS43="","",AS43))),"")</f>
        <v>2952</v>
      </c>
      <c r="F42" s="84">
        <f t="shared" si="17"/>
        <v>46125</v>
      </c>
      <c r="G42" s="84">
        <f>IFERROR(IF($B42="TOTAL",SUM($G$8:G41),IF(AU43="","",AU43)),"")</f>
        <v>35800</v>
      </c>
      <c r="H42" s="84">
        <f>IFERROR(IF($B42="TOTAL",SUM($H$8:H41),IF(AV43="","",AV43)),"")</f>
        <v>6086</v>
      </c>
      <c r="I42" s="84">
        <f>IFERROR(IF($B42="TOTAL",SUM($I$8:I41),IF(OR(B42=$AK$16,B42=$AK$17,B42=$AK$18,B42=$AK$19,B42=$AK$20,B42=$AK$21,B42=$AK$22,B42=$AK$23,B42=$AK$24),0,IF(AW43="","",AW43))),"")</f>
        <v>2864</v>
      </c>
      <c r="J42" s="84">
        <f t="shared" si="9"/>
        <v>44750</v>
      </c>
      <c r="K42" s="84">
        <f>IFERROR(IF(B42="","",IF(C42="","",IF(G42="","",IF($B42="TOTAL",SUM($K$8:K41),SUM(C42-G42))))),"")</f>
        <v>1100</v>
      </c>
      <c r="L42" s="84">
        <f>IFERROR(IF(B42="","",IF(D42="","",IF(H42="","",IF($B42="TOTAL",SUM($L$8:L41),SUM(D42-H42))))),"")</f>
        <v>187</v>
      </c>
      <c r="M42" s="84">
        <f>IFERROR(IF(B42="","",IF(E42="","",IF(I42="","",IF($B42="TOTAL",SUM($M$8:M41),SUM(E42-I42))))),"")</f>
        <v>88</v>
      </c>
      <c r="N42" s="84">
        <f t="shared" si="10"/>
        <v>1375</v>
      </c>
      <c r="O42" s="84">
        <f>IFERROR(IF(B42="","",IF($B42="TOTAL",SUM($O$8:O41),IF($AM$18=$AM$20,AX43,ROUND((C42+D42)*10%,0)))),"")</f>
        <v>4317</v>
      </c>
      <c r="P42" s="84">
        <f>IFERROR(IF(B42="","",IF(G42="","",IF(H42="","",IF($B42="TOTAL",SUM($P$8:P41),IF($AM$18=$AM$20,$AM$21,ROUND((G42+H42)*10%,0)))))),"")</f>
        <v>4189</v>
      </c>
      <c r="Q42" s="84">
        <f t="shared" si="11"/>
        <v>128</v>
      </c>
      <c r="R42" s="85">
        <f>IFERROR(IF(B42="","",IF($AM$16=$AM$17,0,IF($B42="TOTAL",SUM($R$8:R41),IF($AM$19=$AM$31,0,IF(AND($AM$32=$AM$20,B42=$AM$33),$AM$34,R41))))),"")</f>
        <v>2100</v>
      </c>
      <c r="S42" s="85">
        <f>IFERROR(IF(B42="","",IF($AM$16=$AM$17,0,IF($B42="TOTAL",SUM($S$8:S41),IF($AM$19=$AM$20,$AM$24,0)))),"")</f>
        <v>2100</v>
      </c>
      <c r="T42" s="84">
        <f t="shared" si="12"/>
        <v>0</v>
      </c>
      <c r="U42" s="84" t="str">
        <f>IF(B42="","",IF($B42="TOTAL",SUM($U$8:U41),IF(AND($AM$2=$AM$20,B42=$AM$1),ROUND(C42/31*$AN$2,0),IF(B42=$AK$6,ROUND((F42)*1/30,0),IF(B42=$AL$6,ROUND((F42)*1/31,0),"")))))</f>
        <v/>
      </c>
      <c r="V42" s="84" t="str">
        <f>IF(B42="","",IF($B42="TOTAL",SUM($V$8:V41),IF(AND($AM$2=$AM$20,B42=$AM$1),ROUND(G42/31*$AN$2,0),IF(B42=$AK$6,ROUND((J42)*1/30,0),IF(B42=$AL$6,ROUND((J42)*1/31,0),"")))))</f>
        <v/>
      </c>
      <c r="W42" s="84" t="str">
        <f t="shared" si="13"/>
        <v/>
      </c>
      <c r="X42" s="84">
        <f>IFERROR(IF(B42="","",IF($B42="TOTAL",SUM($X$8:X41),ROUND(N42*$AM$7%,0))),"")</f>
        <v>138</v>
      </c>
      <c r="Y42" s="84">
        <f>IFERROR(IF(B42="","",IF($B42="TOTAL",SUM($Y$8:Y41),SUM(Q42,T42,W42,X42))),"")</f>
        <v>266</v>
      </c>
      <c r="Z42" s="86">
        <f>IFERROR(IF(B42="","",IF($B42="TOTAL",SUM($Z$8:Z41),SUM(N42-Y42))),"")</f>
        <v>1109</v>
      </c>
      <c r="AA42" s="16"/>
      <c r="AB42" s="16"/>
      <c r="AJ42" s="113">
        <f t="shared" si="18"/>
        <v>17</v>
      </c>
      <c r="AK42" s="114"/>
      <c r="AL42" s="115">
        <v>43739</v>
      </c>
      <c r="AM42" s="114"/>
      <c r="AN42" s="115">
        <f t="shared" si="29"/>
        <v>43739</v>
      </c>
      <c r="AO42" s="115">
        <f t="shared" si="15"/>
        <v>43739</v>
      </c>
      <c r="AP42" s="115">
        <f t="shared" si="19"/>
        <v>43739</v>
      </c>
      <c r="AQ42" s="114">
        <f t="shared" si="27"/>
        <v>36900</v>
      </c>
      <c r="AR42" s="114">
        <f t="shared" si="20"/>
        <v>6273</v>
      </c>
      <c r="AS42" s="114">
        <f t="shared" si="21"/>
        <v>2952</v>
      </c>
      <c r="AT42" s="114"/>
      <c r="AU42" s="114">
        <f t="shared" si="28"/>
        <v>35800</v>
      </c>
      <c r="AV42" s="114">
        <f t="shared" si="22"/>
        <v>6086</v>
      </c>
      <c r="AW42" s="114">
        <f t="shared" si="23"/>
        <v>2864</v>
      </c>
      <c r="AX42" s="114">
        <f t="shared" si="24"/>
        <v>3200</v>
      </c>
      <c r="AY42" s="114"/>
      <c r="AZ42" s="114"/>
      <c r="BA42" s="149">
        <f t="shared" si="25"/>
        <v>1037</v>
      </c>
      <c r="BB42" s="114">
        <f t="shared" si="26"/>
        <v>3200</v>
      </c>
    </row>
    <row r="43" spans="1:54" s="35" customFormat="1" ht="21" customHeight="1">
      <c r="A43" s="82">
        <f t="shared" si="7"/>
        <v>36</v>
      </c>
      <c r="B43" s="83">
        <f t="shared" si="16"/>
        <v>43800</v>
      </c>
      <c r="C43" s="84">
        <f>IFERROR(IF($B42="TOTAL","अक्षरें राशि :-",IF($B43="TOTAL",SUM($C$8:C42),IF(AQ44="","",AQ44))),"")</f>
        <v>36900</v>
      </c>
      <c r="D43" s="84">
        <f>IFERROR(IF($B43="TOTAL",SUM($D$8:D42),IF(AR44="","",AR44)),"")</f>
        <v>6273</v>
      </c>
      <c r="E43" s="84">
        <f>IFERROR(IF($B43="TOTAL",SUM($E$8:E42),IF(OR(B43=$AK$16,B43=$AK$17,B43=$AK$18,B43=$AK$19,B43=$AK$20,B43=$AK$21,B43=$AK$22,B43=$AK$23,B43=$AK$24),0,IF(AS44="","",AS44))),"")</f>
        <v>2952</v>
      </c>
      <c r="F43" s="84">
        <f t="shared" si="17"/>
        <v>46125</v>
      </c>
      <c r="G43" s="84">
        <f>IFERROR(IF($B43="TOTAL",SUM($G$8:G42),IF(AU44="","",AU44)),"")</f>
        <v>35800</v>
      </c>
      <c r="H43" s="84">
        <f>IFERROR(IF($B43="TOTAL",SUM($H$8:H42),IF(AV44="","",AV44)),"")</f>
        <v>6086</v>
      </c>
      <c r="I43" s="84">
        <f>IFERROR(IF($B43="TOTAL",SUM($I$8:I42),IF(OR(B43=$AK$16,B43=$AK$17,B43=$AK$18,B43=$AK$19,B43=$AK$20,B43=$AK$21,B43=$AK$22,B43=$AK$23,B43=$AK$24),0,IF(AW44="","",AW44))),"")</f>
        <v>2864</v>
      </c>
      <c r="J43" s="84">
        <f t="shared" si="9"/>
        <v>44750</v>
      </c>
      <c r="K43" s="84">
        <f>IFERROR(IF(B43="","",IF(C43="","",IF(G43="","",IF($B43="TOTAL",SUM($K$8:K42),SUM(C43-G43))))),"")</f>
        <v>1100</v>
      </c>
      <c r="L43" s="84">
        <f>IFERROR(IF(B43="","",IF(D43="","",IF(H43="","",IF($B43="TOTAL",SUM($L$8:L42),SUM(D43-H43))))),"")</f>
        <v>187</v>
      </c>
      <c r="M43" s="84">
        <f>IFERROR(IF(B43="","",IF(E43="","",IF(I43="","",IF($B43="TOTAL",SUM($M$8:M42),SUM(E43-I43))))),"")</f>
        <v>88</v>
      </c>
      <c r="N43" s="84">
        <f t="shared" si="10"/>
        <v>1375</v>
      </c>
      <c r="O43" s="84">
        <f>IFERROR(IF(B43="","",IF($B43="TOTAL",SUM($O$8:O42),IF($AM$18=$AM$20,AX44,ROUND((C43+D43)*10%,0)))),"")</f>
        <v>4317</v>
      </c>
      <c r="P43" s="84">
        <f>IFERROR(IF(B43="","",IF(G43="","",IF(H43="","",IF($B43="TOTAL",SUM($P$8:P42),IF($AM$18=$AM$20,$AM$21,ROUND((G43+H43)*10%,0)))))),"")</f>
        <v>4189</v>
      </c>
      <c r="Q43" s="84">
        <f t="shared" si="11"/>
        <v>128</v>
      </c>
      <c r="R43" s="85">
        <f>IFERROR(IF(B43="","",IF($AM$16=$AM$17,0,IF($B43="TOTAL",SUM($R$8:R42),IF($AM$19=$AM$31,0,IF(AND($AM$32=$AM$20,B43=$AM$33),$AM$34,R42))))),"")</f>
        <v>2100</v>
      </c>
      <c r="S43" s="85">
        <f>IFERROR(IF(B43="","",IF($AM$16=$AM$17,0,IF($B43="TOTAL",SUM($S$8:S42),IF($AM$19=$AM$20,$AM$24,0)))),"")</f>
        <v>2100</v>
      </c>
      <c r="T43" s="84">
        <f t="shared" si="12"/>
        <v>0</v>
      </c>
      <c r="U43" s="84" t="str">
        <f>IF(B43="","",IF($B43="TOTAL",SUM($U$8:U42),IF(AND($AM$2=$AM$20,B43=$AM$1),ROUND(C43/31*$AN$2,0),IF(B43=$AK$6,ROUND((F43)*1/30,0),IF(B43=$AL$6,ROUND((F43)*1/31,0),"")))))</f>
        <v/>
      </c>
      <c r="V43" s="84" t="str">
        <f>IF(B43="","",IF($B43="TOTAL",SUM($V$8:V42),IF(AND($AM$2=$AM$20,B43=$AM$1),ROUND(G43/31*$AN$2,0),IF(B43=$AK$6,ROUND((J43)*1/30,0),IF(B43=$AL$6,ROUND((J43)*1/31,0),"")))))</f>
        <v/>
      </c>
      <c r="W43" s="84" t="str">
        <f t="shared" si="13"/>
        <v/>
      </c>
      <c r="X43" s="84">
        <f>IFERROR(IF(B43="","",IF($B43="TOTAL",SUM($X$8:X42),ROUND(N43*$AM$7%,0))),"")</f>
        <v>138</v>
      </c>
      <c r="Y43" s="84">
        <f>IFERROR(IF(B43="","",IF($B43="TOTAL",SUM($Y$8:Y42),SUM(Q43,T43,W43,X43))),"")</f>
        <v>266</v>
      </c>
      <c r="Z43" s="86">
        <f>IFERROR(IF(B43="","",IF($B43="TOTAL",SUM($Z$8:Z42),SUM(N43-Y43))),"")</f>
        <v>1109</v>
      </c>
      <c r="AA43" s="16"/>
      <c r="AB43" s="16"/>
      <c r="AJ43" s="113">
        <f t="shared" si="18"/>
        <v>17</v>
      </c>
      <c r="AK43" s="114"/>
      <c r="AL43" s="115">
        <v>43770</v>
      </c>
      <c r="AM43" s="114"/>
      <c r="AN43" s="115">
        <f t="shared" si="29"/>
        <v>43770</v>
      </c>
      <c r="AO43" s="115">
        <f t="shared" si="15"/>
        <v>43770</v>
      </c>
      <c r="AP43" s="115">
        <f t="shared" si="19"/>
        <v>43770</v>
      </c>
      <c r="AQ43" s="114">
        <f t="shared" si="27"/>
        <v>36900</v>
      </c>
      <c r="AR43" s="114">
        <f t="shared" si="20"/>
        <v>6273</v>
      </c>
      <c r="AS43" s="114">
        <f t="shared" si="21"/>
        <v>2952</v>
      </c>
      <c r="AT43" s="114"/>
      <c r="AU43" s="114">
        <f t="shared" si="28"/>
        <v>35800</v>
      </c>
      <c r="AV43" s="114">
        <f t="shared" si="22"/>
        <v>6086</v>
      </c>
      <c r="AW43" s="114">
        <f t="shared" si="23"/>
        <v>2864</v>
      </c>
      <c r="AX43" s="114">
        <f t="shared" si="24"/>
        <v>3200</v>
      </c>
      <c r="AY43" s="114"/>
      <c r="AZ43" s="114"/>
      <c r="BA43" s="149">
        <f t="shared" si="25"/>
        <v>1037</v>
      </c>
      <c r="BB43" s="114">
        <f t="shared" si="26"/>
        <v>3200</v>
      </c>
    </row>
    <row r="44" spans="1:54" s="35" customFormat="1" ht="21" customHeight="1">
      <c r="A44" s="82">
        <f t="shared" si="7"/>
        <v>37</v>
      </c>
      <c r="B44" s="83">
        <f t="shared" si="16"/>
        <v>43831</v>
      </c>
      <c r="C44" s="84">
        <f>IFERROR(IF($B43="TOTAL","अक्षरें राशि :-",IF($B44="TOTAL",SUM($C$8:C43),IF(AQ45="","",AQ45))),"")</f>
        <v>36900</v>
      </c>
      <c r="D44" s="84">
        <f>IFERROR(IF($B44="TOTAL",SUM($D$8:D43),IF(AR45="","",AR45)),"")</f>
        <v>6273</v>
      </c>
      <c r="E44" s="84">
        <f>IFERROR(IF($B44="TOTAL",SUM($E$8:E43),IF(OR(B44=$AK$16,B44=$AK$17,B44=$AK$18,B44=$AK$19,B44=$AK$20,B44=$AK$21,B44=$AK$22,B44=$AK$23,B44=$AK$24),0,IF(AS45="","",AS45))),"")</f>
        <v>2952</v>
      </c>
      <c r="F44" s="84">
        <f t="shared" si="17"/>
        <v>46125</v>
      </c>
      <c r="G44" s="84">
        <f>IFERROR(IF($B44="TOTAL",SUM($G$8:G43),IF(AU45="","",AU45)),"")</f>
        <v>35800</v>
      </c>
      <c r="H44" s="84">
        <f>IFERROR(IF($B44="TOTAL",SUM($H$8:H43),IF(AV45="","",AV45)),"")</f>
        <v>6086</v>
      </c>
      <c r="I44" s="84">
        <f>IFERROR(IF($B44="TOTAL",SUM($I$8:I43),IF(OR(B44=$AK$16,B44=$AK$17,B44=$AK$18,B44=$AK$19,B44=$AK$20,B44=$AK$21,B44=$AK$22,B44=$AK$23,B44=$AK$24),0,IF(AW45="","",AW45))),"")</f>
        <v>2864</v>
      </c>
      <c r="J44" s="84">
        <f t="shared" si="9"/>
        <v>44750</v>
      </c>
      <c r="K44" s="84">
        <f>IFERROR(IF(B44="","",IF(C44="","",IF(G44="","",IF($B44="TOTAL",SUM($K$8:K43),SUM(C44-G44))))),"")</f>
        <v>1100</v>
      </c>
      <c r="L44" s="84">
        <f>IFERROR(IF(B44="","",IF(D44="","",IF(H44="","",IF($B44="TOTAL",SUM($L$8:L43),SUM(D44-H44))))),"")</f>
        <v>187</v>
      </c>
      <c r="M44" s="84">
        <f>IFERROR(IF(B44="","",IF(E44="","",IF(I44="","",IF($B44="TOTAL",SUM($M$8:M43),SUM(E44-I44))))),"")</f>
        <v>88</v>
      </c>
      <c r="N44" s="84">
        <f t="shared" si="10"/>
        <v>1375</v>
      </c>
      <c r="O44" s="84">
        <f>IFERROR(IF(B44="","",IF($B44="TOTAL",SUM($O$8:O43),IF($AM$18=$AM$20,AX45,ROUND((C44+D44)*10%,0)))),"")</f>
        <v>4317</v>
      </c>
      <c r="P44" s="84">
        <f>IFERROR(IF(B44="","",IF(G44="","",IF(H44="","",IF($B44="TOTAL",SUM($P$8:P43),IF($AM$18=$AM$20,$AM$21,ROUND((G44+H44)*10%,0)))))),"")</f>
        <v>4189</v>
      </c>
      <c r="Q44" s="84">
        <f t="shared" si="11"/>
        <v>128</v>
      </c>
      <c r="R44" s="85">
        <f>IFERROR(IF(B44="","",IF($AM$16=$AM$17,0,IF($B44="TOTAL",SUM($R$8:R43),IF($AM$19=$AM$31,0,IF(AND($AM$32=$AM$20,B44=$AM$33),$AM$34,R43))))),"")</f>
        <v>2100</v>
      </c>
      <c r="S44" s="85">
        <f>IFERROR(IF(B44="","",IF($AM$16=$AM$17,0,IF($B44="TOTAL",SUM($S$8:S43),IF($AM$19=$AM$20,$AM$24,0)))),"")</f>
        <v>2100</v>
      </c>
      <c r="T44" s="84">
        <f t="shared" si="12"/>
        <v>0</v>
      </c>
      <c r="U44" s="84" t="str">
        <f>IF(B44="","",IF($B44="TOTAL",SUM($U$8:U43),IF(AND($AM$2=$AM$20,B44=$AM$1),ROUND(C44/31*$AN$2,0),IF(B44=$AK$6,ROUND((F44)*1/30,0),IF(B44=$AL$6,ROUND((F44)*1/31,0),"")))))</f>
        <v/>
      </c>
      <c r="V44" s="84" t="str">
        <f>IF(B44="","",IF($B44="TOTAL",SUM($V$8:V43),IF(AND($AM$2=$AM$20,B44=$AM$1),ROUND(G44/31*$AN$2,0),IF(B44=$AK$6,ROUND((J44)*1/30,0),IF(B44=$AL$6,ROUND((J44)*1/31,0),"")))))</f>
        <v/>
      </c>
      <c r="W44" s="84" t="str">
        <f t="shared" si="13"/>
        <v/>
      </c>
      <c r="X44" s="84">
        <f>IFERROR(IF(B44="","",IF($B44="TOTAL",SUM($X$8:X43),ROUND(N44*$AM$7%,0))),"")</f>
        <v>138</v>
      </c>
      <c r="Y44" s="84">
        <f>IFERROR(IF(B44="","",IF($B44="TOTAL",SUM($Y$8:Y43),SUM(Q44,T44,W44,X44))),"")</f>
        <v>266</v>
      </c>
      <c r="Z44" s="86">
        <f>IFERROR(IF(B44="","",IF($B44="TOTAL",SUM($Z$8:Z43),SUM(N44-Y44))),"")</f>
        <v>1109</v>
      </c>
      <c r="AA44" s="16"/>
      <c r="AB44" s="16"/>
      <c r="AJ44" s="113">
        <f t="shared" si="18"/>
        <v>17</v>
      </c>
      <c r="AK44" s="114"/>
      <c r="AL44" s="115">
        <v>43800</v>
      </c>
      <c r="AM44" s="114"/>
      <c r="AN44" s="115">
        <f t="shared" si="29"/>
        <v>43800</v>
      </c>
      <c r="AO44" s="115">
        <f t="shared" si="15"/>
        <v>43800</v>
      </c>
      <c r="AP44" s="115">
        <f t="shared" si="19"/>
        <v>43800</v>
      </c>
      <c r="AQ44" s="114">
        <f t="shared" si="27"/>
        <v>36900</v>
      </c>
      <c r="AR44" s="114">
        <f t="shared" si="20"/>
        <v>6273</v>
      </c>
      <c r="AS44" s="114">
        <f t="shared" si="21"/>
        <v>2952</v>
      </c>
      <c r="AT44" s="114"/>
      <c r="AU44" s="114">
        <f t="shared" si="28"/>
        <v>35800</v>
      </c>
      <c r="AV44" s="114">
        <f t="shared" si="22"/>
        <v>6086</v>
      </c>
      <c r="AW44" s="114">
        <f t="shared" si="23"/>
        <v>2864</v>
      </c>
      <c r="AX44" s="114">
        <f t="shared" si="24"/>
        <v>3200</v>
      </c>
      <c r="AY44" s="114"/>
      <c r="AZ44" s="114"/>
      <c r="BA44" s="149">
        <f t="shared" si="25"/>
        <v>1037</v>
      </c>
      <c r="BB44" s="114">
        <f t="shared" si="26"/>
        <v>3200</v>
      </c>
    </row>
    <row r="45" spans="1:54" s="35" customFormat="1" ht="21" customHeight="1">
      <c r="A45" s="82">
        <f t="shared" si="7"/>
        <v>38</v>
      </c>
      <c r="B45" s="83">
        <f t="shared" si="16"/>
        <v>43862</v>
      </c>
      <c r="C45" s="84">
        <f>IFERROR(IF($B44="TOTAL","अक्षरें राशि :-",IF($B45="TOTAL",SUM($C$8:C44),IF(AQ46="","",AQ46))),"")</f>
        <v>36900</v>
      </c>
      <c r="D45" s="84">
        <f>IFERROR(IF($B45="TOTAL",SUM($D$8:D44),IF(AR46="","",AR46)),"")</f>
        <v>6273</v>
      </c>
      <c r="E45" s="84">
        <f>IFERROR(IF($B45="TOTAL",SUM($E$8:E44),IF(OR(B45=$AK$16,B45=$AK$17,B45=$AK$18,B45=$AK$19,B45=$AK$20,B45=$AK$21,B45=$AK$22,B45=$AK$23,B45=$AK$24),0,IF(AS46="","",AS46))),"")</f>
        <v>2952</v>
      </c>
      <c r="F45" s="84">
        <f t="shared" si="17"/>
        <v>46125</v>
      </c>
      <c r="G45" s="84">
        <f>IFERROR(IF($B45="TOTAL",SUM($G$8:G44),IF(AU46="","",AU46)),"")</f>
        <v>35800</v>
      </c>
      <c r="H45" s="84">
        <f>IFERROR(IF($B45="TOTAL",SUM($H$8:H44),IF(AV46="","",AV46)),"")</f>
        <v>6086</v>
      </c>
      <c r="I45" s="84">
        <f>IFERROR(IF($B45="TOTAL",SUM($I$8:I44),IF(OR(B45=$AK$16,B45=$AK$17,B45=$AK$18,B45=$AK$19,B45=$AK$20,B45=$AK$21,B45=$AK$22,B45=$AK$23,B45=$AK$24),0,IF(AW46="","",AW46))),"")</f>
        <v>2864</v>
      </c>
      <c r="J45" s="84">
        <f t="shared" si="9"/>
        <v>44750</v>
      </c>
      <c r="K45" s="84">
        <f>IFERROR(IF(B45="","",IF(C45="","",IF(G45="","",IF($B45="TOTAL",SUM($K$8:K44),SUM(C45-G45))))),"")</f>
        <v>1100</v>
      </c>
      <c r="L45" s="84">
        <f>IFERROR(IF(B45="","",IF(D45="","",IF(H45="","",IF($B45="TOTAL",SUM($L$8:L44),SUM(D45-H45))))),"")</f>
        <v>187</v>
      </c>
      <c r="M45" s="84">
        <f>IFERROR(IF(B45="","",IF(E45="","",IF(I45="","",IF($B45="TOTAL",SUM($M$8:M44),SUM(E45-I45))))),"")</f>
        <v>88</v>
      </c>
      <c r="N45" s="84">
        <f t="shared" si="10"/>
        <v>1375</v>
      </c>
      <c r="O45" s="84">
        <f>IFERROR(IF(B45="","",IF($B45="TOTAL",SUM($O$8:O44),IF($AM$18=$AM$20,AX46,ROUND((C45+D45)*10%,0)))),"")</f>
        <v>4317</v>
      </c>
      <c r="P45" s="84">
        <f>IFERROR(IF(B45="","",IF(G45="","",IF(H45="","",IF($B45="TOTAL",SUM($P$8:P44),IF($AM$18=$AM$20,$AM$21,ROUND((G45+H45)*10%,0)))))),"")</f>
        <v>4189</v>
      </c>
      <c r="Q45" s="84">
        <f t="shared" si="11"/>
        <v>128</v>
      </c>
      <c r="R45" s="85">
        <f>IFERROR(IF(B45="","",IF($AM$16=$AM$17,0,IF($B45="TOTAL",SUM($R$8:R44),IF($AM$19=$AM$31,0,IF(AND($AM$32=$AM$20,B45=$AM$33),$AM$34,R44))))),"")</f>
        <v>2100</v>
      </c>
      <c r="S45" s="85">
        <f>IFERROR(IF(B45="","",IF($AM$16=$AM$17,0,IF($B45="TOTAL",SUM($S$8:S44),IF($AM$19=$AM$20,$AM$24,0)))),"")</f>
        <v>2100</v>
      </c>
      <c r="T45" s="84">
        <f t="shared" si="12"/>
        <v>0</v>
      </c>
      <c r="U45" s="84" t="str">
        <f>IF(B45="","",IF($B45="TOTAL",SUM($U$8:U44),IF(AND($AM$2=$AM$20,B45=$AM$1),ROUND(C45/31*$AN$2,0),IF(B45=$AK$6,ROUND((F45)*1/30,0),IF(B45=$AL$6,ROUND((F45)*1/31,0),"")))))</f>
        <v/>
      </c>
      <c r="V45" s="84" t="str">
        <f>IF(B45="","",IF($B45="TOTAL",SUM($V$8:V44),IF(AND($AM$2=$AM$20,B45=$AM$1),ROUND(G45/31*$AN$2,0),IF(B45=$AK$6,ROUND((J45)*1/30,0),IF(B45=$AL$6,ROUND((J45)*1/31,0),"")))))</f>
        <v/>
      </c>
      <c r="W45" s="84" t="str">
        <f t="shared" si="13"/>
        <v/>
      </c>
      <c r="X45" s="84">
        <f>IFERROR(IF(B45="","",IF($B45="TOTAL",SUM($X$8:X44),ROUND(N45*$AM$7%,0))),"")</f>
        <v>138</v>
      </c>
      <c r="Y45" s="84">
        <f>IFERROR(IF(B45="","",IF($B45="TOTAL",SUM($Y$8:Y44),SUM(Q45,T45,W45,X45))),"")</f>
        <v>266</v>
      </c>
      <c r="Z45" s="86">
        <f>IFERROR(IF(B45="","",IF($B45="TOTAL",SUM($Z$8:Z44),SUM(N45-Y45))),"")</f>
        <v>1109</v>
      </c>
      <c r="AA45" s="16"/>
      <c r="AB45" s="16"/>
      <c r="AJ45" s="113">
        <f t="shared" si="18"/>
        <v>17</v>
      </c>
      <c r="AK45" s="114"/>
      <c r="AL45" s="115">
        <v>43831</v>
      </c>
      <c r="AM45" s="114"/>
      <c r="AN45" s="115">
        <f t="shared" si="29"/>
        <v>43831</v>
      </c>
      <c r="AO45" s="115">
        <f t="shared" si="15"/>
        <v>43831</v>
      </c>
      <c r="AP45" s="115">
        <f t="shared" si="19"/>
        <v>43831</v>
      </c>
      <c r="AQ45" s="114">
        <f t="shared" si="27"/>
        <v>36900</v>
      </c>
      <c r="AR45" s="114">
        <f t="shared" si="20"/>
        <v>6273</v>
      </c>
      <c r="AS45" s="114">
        <f t="shared" si="21"/>
        <v>2952</v>
      </c>
      <c r="AT45" s="114"/>
      <c r="AU45" s="114">
        <f t="shared" si="28"/>
        <v>35800</v>
      </c>
      <c r="AV45" s="114">
        <f t="shared" si="22"/>
        <v>6086</v>
      </c>
      <c r="AW45" s="114">
        <f t="shared" si="23"/>
        <v>2864</v>
      </c>
      <c r="AX45" s="114">
        <f t="shared" si="24"/>
        <v>3200</v>
      </c>
      <c r="AY45" s="114"/>
      <c r="AZ45" s="114"/>
      <c r="BA45" s="149">
        <f t="shared" si="25"/>
        <v>1037</v>
      </c>
      <c r="BB45" s="114">
        <f t="shared" si="26"/>
        <v>3200</v>
      </c>
    </row>
    <row r="46" spans="1:54" s="35" customFormat="1" ht="21" customHeight="1">
      <c r="A46" s="82">
        <f t="shared" si="7"/>
        <v>39</v>
      </c>
      <c r="B46" s="83">
        <f t="shared" si="16"/>
        <v>43891</v>
      </c>
      <c r="C46" s="84">
        <f>IFERROR(IF($B45="TOTAL","अक्षरें राशि :-",IF($B46="TOTAL",SUM($C$8:C45),IF(AQ47="","",AQ47))),"")</f>
        <v>36900</v>
      </c>
      <c r="D46" s="84">
        <f>IFERROR(IF($B46="TOTAL",SUM($D$8:D45),IF(AR47="","",AR47)),"")</f>
        <v>6273</v>
      </c>
      <c r="E46" s="84">
        <f>IFERROR(IF($B46="TOTAL",SUM($E$8:E45),IF(OR(B46=$AK$16,B46=$AK$17,B46=$AK$18,B46=$AK$19,B46=$AK$20,B46=$AK$21,B46=$AK$22,B46=$AK$23,B46=$AK$24),0,IF(AS47="","",AS47))),"")</f>
        <v>2952</v>
      </c>
      <c r="F46" s="84">
        <f t="shared" si="17"/>
        <v>46125</v>
      </c>
      <c r="G46" s="84">
        <f>IFERROR(IF($B46="TOTAL",SUM($G$8:G45),IF(AU47="","",AU47)),"")</f>
        <v>35800</v>
      </c>
      <c r="H46" s="84">
        <f>IFERROR(IF($B46="TOTAL",SUM($H$8:H45),IF(AV47="","",AV47)),"")</f>
        <v>6086</v>
      </c>
      <c r="I46" s="84">
        <f>IFERROR(IF($B46="TOTAL",SUM($I$8:I45),IF(OR(B46=$AK$16,B46=$AK$17,B46=$AK$18,B46=$AK$19,B46=$AK$20,B46=$AK$21,B46=$AK$22,B46=$AK$23,B46=$AK$24),0,IF(AW47="","",AW47))),"")</f>
        <v>2864</v>
      </c>
      <c r="J46" s="84">
        <f t="shared" si="9"/>
        <v>44750</v>
      </c>
      <c r="K46" s="84">
        <f>IFERROR(IF(B46="","",IF(C46="","",IF(G46="","",IF($B46="TOTAL",SUM($K$8:K45),SUM(C46-G46))))),"")</f>
        <v>1100</v>
      </c>
      <c r="L46" s="84">
        <f>IFERROR(IF(B46="","",IF(D46="","",IF(H46="","",IF($B46="TOTAL",SUM($L$8:L45),SUM(D46-H46))))),"")</f>
        <v>187</v>
      </c>
      <c r="M46" s="84">
        <f>IFERROR(IF(B46="","",IF(E46="","",IF(I46="","",IF($B46="TOTAL",SUM($M$8:M45),SUM(E46-I46))))),"")</f>
        <v>88</v>
      </c>
      <c r="N46" s="84">
        <f t="shared" si="10"/>
        <v>1375</v>
      </c>
      <c r="O46" s="84">
        <f>IFERROR(IF(B46="","",IF($B46="TOTAL",SUM($O$8:O45),IF($AM$18=$AM$20,AX47,ROUND((C46+D46)*10%,0)))),"")</f>
        <v>4317</v>
      </c>
      <c r="P46" s="84">
        <f>IFERROR(IF(B46="","",IF(G46="","",IF(H46="","",IF($B46="TOTAL",SUM($P$8:P45),IF($AM$18=$AM$20,$AM$21,ROUND((G46+H46)*10%,0)))))),"")</f>
        <v>4189</v>
      </c>
      <c r="Q46" s="84">
        <f t="shared" si="11"/>
        <v>128</v>
      </c>
      <c r="R46" s="85">
        <f>IFERROR(IF(B46="","",IF($AM$16=$AM$17,0,IF($B46="TOTAL",SUM($R$8:R45),IF($AM$19=$AM$31,0,IF(AND($AM$32=$AM$20,B46=$AM$33),$AM$34,R45))))),"")</f>
        <v>2100</v>
      </c>
      <c r="S46" s="85">
        <f>IFERROR(IF(B46="","",IF($AM$16=$AM$17,0,IF($B46="TOTAL",SUM($S$8:S45),IF($AM$19=$AM$20,$AM$24,0)))),"")</f>
        <v>2100</v>
      </c>
      <c r="T46" s="84">
        <f t="shared" si="12"/>
        <v>0</v>
      </c>
      <c r="U46" s="84" t="str">
        <f>IF(B46="","",IF($B46="TOTAL",SUM($U$8:U45),IF(AND($AM$2=$AM$20,B46=$AM$1),ROUND(C46/31*$AN$2,0),IF(B46=$AK$6,ROUND((F46)*1/30,0),IF(B46=$AL$6,ROUND((F46)*1/31,0),"")))))</f>
        <v/>
      </c>
      <c r="V46" s="84" t="str">
        <f>IF(B46="","",IF($B46="TOTAL",SUM($V$8:V45),IF(AND($AM$2=$AM$20,B46=$AM$1),ROUND(G46/31*$AN$2,0),IF(B46=$AK$6,ROUND((J46)*1/30,0),IF(B46=$AL$6,ROUND((J46)*1/31,0),"")))))</f>
        <v/>
      </c>
      <c r="W46" s="84" t="str">
        <f t="shared" si="13"/>
        <v/>
      </c>
      <c r="X46" s="84">
        <f>IFERROR(IF(B46="","",IF($B46="TOTAL",SUM($X$8:X45),ROUND(N46*$AM$7%,0))),"")</f>
        <v>138</v>
      </c>
      <c r="Y46" s="84">
        <f>IFERROR(IF(B46="","",IF($B46="TOTAL",SUM($Y$8:Y45),SUM(Q46,T46,W46,X46))),"")</f>
        <v>266</v>
      </c>
      <c r="Z46" s="86">
        <f>IFERROR(IF(B46="","",IF($B46="TOTAL",SUM($Z$8:Z45),SUM(N46-Y46))),"")</f>
        <v>1109</v>
      </c>
      <c r="AA46" s="16"/>
      <c r="AB46" s="16"/>
      <c r="AJ46" s="113">
        <f t="shared" si="18"/>
        <v>17</v>
      </c>
      <c r="AK46" s="114"/>
      <c r="AL46" s="115">
        <v>43862</v>
      </c>
      <c r="AM46" s="114"/>
      <c r="AN46" s="115">
        <f t="shared" si="29"/>
        <v>43862</v>
      </c>
      <c r="AO46" s="115">
        <f t="shared" si="15"/>
        <v>43862</v>
      </c>
      <c r="AP46" s="115">
        <f t="shared" si="19"/>
        <v>43862</v>
      </c>
      <c r="AQ46" s="114">
        <f t="shared" si="27"/>
        <v>36900</v>
      </c>
      <c r="AR46" s="114">
        <f t="shared" si="20"/>
        <v>6273</v>
      </c>
      <c r="AS46" s="114">
        <f t="shared" si="21"/>
        <v>2952</v>
      </c>
      <c r="AT46" s="114"/>
      <c r="AU46" s="114">
        <f t="shared" si="28"/>
        <v>35800</v>
      </c>
      <c r="AV46" s="114">
        <f t="shared" si="22"/>
        <v>6086</v>
      </c>
      <c r="AW46" s="114">
        <f t="shared" si="23"/>
        <v>2864</v>
      </c>
      <c r="AX46" s="114">
        <f t="shared" si="24"/>
        <v>3200</v>
      </c>
      <c r="AY46" s="114"/>
      <c r="AZ46" s="114"/>
      <c r="BA46" s="149">
        <f t="shared" si="25"/>
        <v>1037</v>
      </c>
      <c r="BB46" s="114">
        <f t="shared" si="26"/>
        <v>3200</v>
      </c>
    </row>
    <row r="47" spans="1:54" s="35" customFormat="1" ht="21" customHeight="1">
      <c r="A47" s="82">
        <f t="shared" si="7"/>
        <v>40</v>
      </c>
      <c r="B47" s="83">
        <f t="shared" si="16"/>
        <v>43922</v>
      </c>
      <c r="C47" s="84">
        <f>IFERROR(IF($B46="TOTAL","अक्षरें राशि :-",IF($B47="TOTAL",SUM($C$8:C46),IF(AQ48="","",AQ48))),"")</f>
        <v>36900</v>
      </c>
      <c r="D47" s="84">
        <f>IFERROR(IF($B47="TOTAL",SUM($D$8:D46),IF(AR48="","",AR48)),"")</f>
        <v>6273</v>
      </c>
      <c r="E47" s="84">
        <f>IFERROR(IF($B47="TOTAL",SUM($E$8:E46),IF(OR(B47=$AK$16,B47=$AK$17,B47=$AK$18,B47=$AK$19,B47=$AK$20,B47=$AK$21,B47=$AK$22,B47=$AK$23,B47=$AK$24),0,IF(AS48="","",AS48))),"")</f>
        <v>2952</v>
      </c>
      <c r="F47" s="84">
        <f t="shared" si="17"/>
        <v>46125</v>
      </c>
      <c r="G47" s="84">
        <f>IFERROR(IF($B47="TOTAL",SUM($G$8:G46),IF(AU48="","",AU48)),"")</f>
        <v>35800</v>
      </c>
      <c r="H47" s="84">
        <f>IFERROR(IF($B47="TOTAL",SUM($H$8:H46),IF(AV48="","",AV48)),"")</f>
        <v>6086</v>
      </c>
      <c r="I47" s="84">
        <f>IFERROR(IF($B47="TOTAL",SUM($I$8:I46),IF(OR(B47=$AK$16,B47=$AK$17,B47=$AK$18,B47=$AK$19,B47=$AK$20,B47=$AK$21,B47=$AK$22,B47=$AK$23,B47=$AK$24),0,IF(AW48="","",AW48))),"")</f>
        <v>2864</v>
      </c>
      <c r="J47" s="84">
        <f t="shared" si="9"/>
        <v>44750</v>
      </c>
      <c r="K47" s="84">
        <f>IFERROR(IF(B47="","",IF(C47="","",IF(G47="","",IF($B47="TOTAL",SUM($K$8:K46),SUM(C47-G47))))),"")</f>
        <v>1100</v>
      </c>
      <c r="L47" s="84">
        <f>IFERROR(IF(B47="","",IF(D47="","",IF(H47="","",IF($B47="TOTAL",SUM($L$8:L46),SUM(D47-H47))))),"")</f>
        <v>187</v>
      </c>
      <c r="M47" s="84">
        <f>IFERROR(IF(B47="","",IF(E47="","",IF(I47="","",IF($B47="TOTAL",SUM($M$8:M46),SUM(E47-I47))))),"")</f>
        <v>88</v>
      </c>
      <c r="N47" s="84">
        <f t="shared" si="10"/>
        <v>1375</v>
      </c>
      <c r="O47" s="84">
        <f>IFERROR(IF(B47="","",IF($B47="TOTAL",SUM($O$8:O46),IF($AM$18=$AM$20,AX48,ROUND((C47+D47)*10%,0)))),"")</f>
        <v>4317</v>
      </c>
      <c r="P47" s="84">
        <f>IFERROR(IF(B47="","",IF(G47="","",IF(H47="","",IF($B47="TOTAL",SUM($P$8:P46),IF($AM$18=$AM$20,$AM$21,ROUND((G47+H47)*10%,0)))))),"")</f>
        <v>4189</v>
      </c>
      <c r="Q47" s="84">
        <f t="shared" si="11"/>
        <v>128</v>
      </c>
      <c r="R47" s="85">
        <f>IFERROR(IF(B47="","",IF($AM$16=$AM$17,0,IF($B47="TOTAL",SUM($R$8:R46),IF($AM$19=$AM$31,0,IF(AND($AM$32=$AM$20,B47=$AM$33),$AM$34,R46))))),"")</f>
        <v>2100</v>
      </c>
      <c r="S47" s="85">
        <f>IFERROR(IF(B47="","",IF($AM$16=$AM$17,0,IF($B47="TOTAL",SUM($S$8:S46),IF($AM$19=$AM$20,$AM$24,0)))),"")</f>
        <v>2100</v>
      </c>
      <c r="T47" s="84">
        <f t="shared" si="12"/>
        <v>0</v>
      </c>
      <c r="U47" s="84" t="str">
        <f>IF(B47="","",IF($B47="TOTAL",SUM($U$8:U46),IF(AND($AM$2=$AM$20,B47=$AM$1),ROUND(C47/31*$AN$2,0),IF(B47=$AK$6,ROUND((F47)*1/30,0),IF(B47=$AL$6,ROUND((F47)*1/31,0),"")))))</f>
        <v/>
      </c>
      <c r="V47" s="84" t="str">
        <f>IF(B47="","",IF($B47="TOTAL",SUM($V$8:V46),IF(AND($AM$2=$AM$20,B47=$AM$1),ROUND(G47/31*$AN$2,0),IF(B47=$AK$6,ROUND((J47)*1/30,0),IF(B47=$AL$6,ROUND((J47)*1/31,0),"")))))</f>
        <v/>
      </c>
      <c r="W47" s="84" t="str">
        <f t="shared" si="13"/>
        <v/>
      </c>
      <c r="X47" s="84">
        <f>IFERROR(IF(B47="","",IF($B47="TOTAL",SUM($X$8:X46),ROUND(N47*$AM$7%,0))),"")</f>
        <v>138</v>
      </c>
      <c r="Y47" s="84">
        <f>IFERROR(IF(B47="","",IF($B47="TOTAL",SUM($Y$8:Y46),SUM(Q47,T47,W47,X47))),"")</f>
        <v>266</v>
      </c>
      <c r="Z47" s="86">
        <f>IFERROR(IF(B47="","",IF($B47="TOTAL",SUM($Z$8:Z46),SUM(N47-Y47))),"")</f>
        <v>1109</v>
      </c>
      <c r="AA47" s="16"/>
      <c r="AB47" s="16"/>
      <c r="AJ47" s="113">
        <f t="shared" si="18"/>
        <v>17</v>
      </c>
      <c r="AK47" s="114"/>
      <c r="AL47" s="115">
        <v>43891</v>
      </c>
      <c r="AM47" s="114"/>
      <c r="AN47" s="115">
        <f t="shared" si="29"/>
        <v>43891</v>
      </c>
      <c r="AO47" s="115">
        <f t="shared" si="15"/>
        <v>43891</v>
      </c>
      <c r="AP47" s="115">
        <f t="shared" si="19"/>
        <v>43891</v>
      </c>
      <c r="AQ47" s="114">
        <f t="shared" si="27"/>
        <v>36900</v>
      </c>
      <c r="AR47" s="114">
        <f t="shared" si="20"/>
        <v>6273</v>
      </c>
      <c r="AS47" s="114">
        <f t="shared" si="21"/>
        <v>2952</v>
      </c>
      <c r="AT47" s="114"/>
      <c r="AU47" s="114">
        <f t="shared" si="28"/>
        <v>35800</v>
      </c>
      <c r="AV47" s="114">
        <f t="shared" si="22"/>
        <v>6086</v>
      </c>
      <c r="AW47" s="114">
        <f t="shared" si="23"/>
        <v>2864</v>
      </c>
      <c r="AX47" s="114">
        <f t="shared" si="24"/>
        <v>3200</v>
      </c>
      <c r="AY47" s="114"/>
      <c r="AZ47" s="114"/>
      <c r="BA47" s="149">
        <f t="shared" si="25"/>
        <v>1037</v>
      </c>
      <c r="BB47" s="114">
        <f t="shared" si="26"/>
        <v>3200</v>
      </c>
    </row>
    <row r="48" spans="1:54" s="35" customFormat="1" ht="21" customHeight="1">
      <c r="A48" s="82">
        <f t="shared" si="7"/>
        <v>41</v>
      </c>
      <c r="B48" s="83">
        <f t="shared" si="16"/>
        <v>43952</v>
      </c>
      <c r="C48" s="84">
        <f>IFERROR(IF($B47="TOTAL","अक्षरें राशि :-",IF($B48="TOTAL",SUM($C$8:C47),IF(AQ49="","",AQ49))),"")</f>
        <v>36900</v>
      </c>
      <c r="D48" s="84">
        <f>IFERROR(IF($B48="TOTAL",SUM($D$8:D47),IF(AR49="","",AR49)),"")</f>
        <v>6273</v>
      </c>
      <c r="E48" s="84">
        <f>IFERROR(IF($B48="TOTAL",SUM($E$8:E47),IF(OR(B48=$AK$16,B48=$AK$17,B48=$AK$18,B48=$AK$19,B48=$AK$20,B48=$AK$21,B48=$AK$22,B48=$AK$23,B48=$AK$24),0,IF(AS49="","",AS49))),"")</f>
        <v>2952</v>
      </c>
      <c r="F48" s="84">
        <f t="shared" si="17"/>
        <v>46125</v>
      </c>
      <c r="G48" s="84">
        <f>IFERROR(IF($B48="TOTAL",SUM($G$8:G47),IF(AU49="","",AU49)),"")</f>
        <v>35800</v>
      </c>
      <c r="H48" s="84">
        <f>IFERROR(IF($B48="TOTAL",SUM($H$8:H47),IF(AV49="","",AV49)),"")</f>
        <v>6086</v>
      </c>
      <c r="I48" s="84">
        <f>IFERROR(IF($B48="TOTAL",SUM($I$8:I47),IF(OR(B48=$AK$16,B48=$AK$17,B48=$AK$18,B48=$AK$19,B48=$AK$20,B48=$AK$21,B48=$AK$22,B48=$AK$23,B48=$AK$24),0,IF(AW49="","",AW49))),"")</f>
        <v>2864</v>
      </c>
      <c r="J48" s="84">
        <f t="shared" si="9"/>
        <v>44750</v>
      </c>
      <c r="K48" s="84">
        <f>IFERROR(IF(B48="","",IF(C48="","",IF(G48="","",IF($B48="TOTAL",SUM($K$8:K47),SUM(C48-G48))))),"")</f>
        <v>1100</v>
      </c>
      <c r="L48" s="84">
        <f>IFERROR(IF(B48="","",IF(D48="","",IF(H48="","",IF($B48="TOTAL",SUM($L$8:L47),SUM(D48-H48))))),"")</f>
        <v>187</v>
      </c>
      <c r="M48" s="84">
        <f>IFERROR(IF(B48="","",IF(E48="","",IF(I48="","",IF($B48="TOTAL",SUM($M$8:M47),SUM(E48-I48))))),"")</f>
        <v>88</v>
      </c>
      <c r="N48" s="84">
        <f t="shared" si="10"/>
        <v>1375</v>
      </c>
      <c r="O48" s="84">
        <f>IFERROR(IF(B48="","",IF($B48="TOTAL",SUM($O$8:O47),IF($AM$18=$AM$20,AX49,ROUND((C48+D48)*10%,0)))),"")</f>
        <v>4317</v>
      </c>
      <c r="P48" s="84">
        <f>IFERROR(IF(B48="","",IF(G48="","",IF(H48="","",IF($B48="TOTAL",SUM($P$8:P47),IF($AM$18=$AM$20,$AM$21,ROUND((G48+H48)*10%,0)))))),"")</f>
        <v>4189</v>
      </c>
      <c r="Q48" s="84">
        <f t="shared" si="11"/>
        <v>128</v>
      </c>
      <c r="R48" s="85">
        <f>IFERROR(IF(B48="","",IF($AM$16=$AM$17,0,IF($B48="TOTAL",SUM($R$8:R47),IF($AM$19=$AM$31,0,IF(AND($AM$32=$AM$20,B48=$AM$33),$AM$34,R47))))),"")</f>
        <v>2100</v>
      </c>
      <c r="S48" s="85">
        <f>IFERROR(IF(B48="","",IF($AM$16=$AM$17,0,IF($B48="TOTAL",SUM($S$8:S47),IF($AM$19=$AM$20,$AM$24,0)))),"")</f>
        <v>2100</v>
      </c>
      <c r="T48" s="84">
        <f t="shared" si="12"/>
        <v>0</v>
      </c>
      <c r="U48" s="84" t="str">
        <f>IF(B48="","",IF($B48="TOTAL",SUM($U$8:U47),IF(AND($AM$2=$AM$20,B48=$AM$1),ROUND(C48/31*$AN$2,0),IF(B48=$AK$6,ROUND((F48)*1/30,0),IF(B48=$AL$6,ROUND((F48)*1/31,0),"")))))</f>
        <v/>
      </c>
      <c r="V48" s="84" t="str">
        <f>IF(B48="","",IF($B48="TOTAL",SUM($V$8:V47),IF(AND($AM$2=$AM$20,B48=$AM$1),ROUND(G48/31*$AN$2,0),IF(B48=$AK$6,ROUND((J48)*1/30,0),IF(B48=$AL$6,ROUND((J48)*1/31,0),"")))))</f>
        <v/>
      </c>
      <c r="W48" s="84" t="str">
        <f t="shared" si="13"/>
        <v/>
      </c>
      <c r="X48" s="84">
        <f>IFERROR(IF(B48="","",IF($B48="TOTAL",SUM($X$8:X47),ROUND(N48*$AM$7%,0))),"")</f>
        <v>138</v>
      </c>
      <c r="Y48" s="84">
        <f>IFERROR(IF(B48="","",IF($B48="TOTAL",SUM($Y$8:Y47),SUM(Q48,T48,W48,X48))),"")</f>
        <v>266</v>
      </c>
      <c r="Z48" s="86">
        <f>IFERROR(IF(B48="","",IF($B48="TOTAL",SUM($Z$8:Z47),SUM(N48-Y48))),"")</f>
        <v>1109</v>
      </c>
      <c r="AA48" s="16"/>
      <c r="AB48" s="16"/>
      <c r="AJ48" s="113">
        <f t="shared" si="18"/>
        <v>17</v>
      </c>
      <c r="AK48" s="114"/>
      <c r="AL48" s="115">
        <v>43922</v>
      </c>
      <c r="AM48" s="114"/>
      <c r="AN48" s="115">
        <f t="shared" si="29"/>
        <v>43922</v>
      </c>
      <c r="AO48" s="115">
        <f t="shared" si="15"/>
        <v>43922</v>
      </c>
      <c r="AP48" s="115">
        <f t="shared" si="19"/>
        <v>43922</v>
      </c>
      <c r="AQ48" s="114">
        <f t="shared" si="27"/>
        <v>36900</v>
      </c>
      <c r="AR48" s="114">
        <f t="shared" si="20"/>
        <v>6273</v>
      </c>
      <c r="AS48" s="114">
        <f t="shared" si="21"/>
        <v>2952</v>
      </c>
      <c r="AT48" s="114"/>
      <c r="AU48" s="114">
        <f t="shared" si="28"/>
        <v>35800</v>
      </c>
      <c r="AV48" s="114">
        <f t="shared" si="22"/>
        <v>6086</v>
      </c>
      <c r="AW48" s="114">
        <f t="shared" si="23"/>
        <v>2864</v>
      </c>
      <c r="AX48" s="114">
        <f t="shared" si="24"/>
        <v>3200</v>
      </c>
      <c r="AY48" s="114"/>
      <c r="AZ48" s="114"/>
      <c r="BA48" s="149">
        <f t="shared" si="25"/>
        <v>1037</v>
      </c>
      <c r="BB48" s="114">
        <f t="shared" si="26"/>
        <v>3200</v>
      </c>
    </row>
    <row r="49" spans="1:54" s="35" customFormat="1" ht="21" customHeight="1">
      <c r="A49" s="82">
        <f t="shared" si="7"/>
        <v>42</v>
      </c>
      <c r="B49" s="83">
        <f t="shared" si="16"/>
        <v>43983</v>
      </c>
      <c r="C49" s="84">
        <f>IFERROR(IF($B48="TOTAL","अक्षरें राशि :-",IF($B49="TOTAL",SUM($C$8:C48),IF(AQ50="","",AQ50))),"")</f>
        <v>36900</v>
      </c>
      <c r="D49" s="84">
        <f>IFERROR(IF($B49="TOTAL",SUM($D$8:D48),IF(AR50="","",AR50)),"")</f>
        <v>6273</v>
      </c>
      <c r="E49" s="84">
        <f>IFERROR(IF($B49="TOTAL",SUM($E$8:E48),IF(OR(B49=$AK$16,B49=$AK$17,B49=$AK$18,B49=$AK$19,B49=$AK$20,B49=$AK$21,B49=$AK$22,B49=$AK$23,B49=$AK$24),0,IF(AS50="","",AS50))),"")</f>
        <v>2952</v>
      </c>
      <c r="F49" s="84">
        <f t="shared" si="17"/>
        <v>46125</v>
      </c>
      <c r="G49" s="84">
        <f>IFERROR(IF($B49="TOTAL",SUM($G$8:G48),IF(AU50="","",AU50)),"")</f>
        <v>35800</v>
      </c>
      <c r="H49" s="84">
        <f>IFERROR(IF($B49="TOTAL",SUM($H$8:H48),IF(AV50="","",AV50)),"")</f>
        <v>6086</v>
      </c>
      <c r="I49" s="84">
        <f>IFERROR(IF($B49="TOTAL",SUM($I$8:I48),IF(OR(B49=$AK$16,B49=$AK$17,B49=$AK$18,B49=$AK$19,B49=$AK$20,B49=$AK$21,B49=$AK$22,B49=$AK$23,B49=$AK$24),0,IF(AW50="","",AW50))),"")</f>
        <v>2864</v>
      </c>
      <c r="J49" s="84">
        <f t="shared" si="9"/>
        <v>44750</v>
      </c>
      <c r="K49" s="84">
        <f>IFERROR(IF(B49="","",IF(C49="","",IF(G49="","",IF($B49="TOTAL",SUM($K$8:K48),SUM(C49-G49))))),"")</f>
        <v>1100</v>
      </c>
      <c r="L49" s="84">
        <f>IFERROR(IF(B49="","",IF(D49="","",IF(H49="","",IF($B49="TOTAL",SUM($L$8:L48),SUM(D49-H49))))),"")</f>
        <v>187</v>
      </c>
      <c r="M49" s="84">
        <f>IFERROR(IF(B49="","",IF(E49="","",IF(I49="","",IF($B49="TOTAL",SUM($M$8:M48),SUM(E49-I49))))),"")</f>
        <v>88</v>
      </c>
      <c r="N49" s="84">
        <f t="shared" si="10"/>
        <v>1375</v>
      </c>
      <c r="O49" s="84">
        <f>IFERROR(IF(B49="","",IF($B49="TOTAL",SUM($O$8:O48),IF($AM$18=$AM$20,AX50,ROUND((C49+D49)*10%,0)))),"")</f>
        <v>4317</v>
      </c>
      <c r="P49" s="84">
        <f>IFERROR(IF(B49="","",IF(G49="","",IF(H49="","",IF($B49="TOTAL",SUM($P$8:P48),IF($AM$18=$AM$20,$AM$21,ROUND((G49+H49)*10%,0)))))),"")</f>
        <v>4189</v>
      </c>
      <c r="Q49" s="84">
        <f t="shared" si="11"/>
        <v>128</v>
      </c>
      <c r="R49" s="85">
        <f>IFERROR(IF(B49="","",IF($AM$16=$AM$17,0,IF($B49="TOTAL",SUM($R$8:R48),IF($AM$19=$AM$31,0,IF(AND($AM$32=$AM$20,B49=$AM$33),$AM$34,R48))))),"")</f>
        <v>2100</v>
      </c>
      <c r="S49" s="85">
        <f>IFERROR(IF(B49="","",IF($AM$16=$AM$17,0,IF($B49="TOTAL",SUM($S$8:S48),IF($AM$19=$AM$20,$AM$24,0)))),"")</f>
        <v>2100</v>
      </c>
      <c r="T49" s="84">
        <f t="shared" si="12"/>
        <v>0</v>
      </c>
      <c r="U49" s="84" t="str">
        <f>IF(B49="","",IF($B49="TOTAL",SUM($U$8:U48),IF(AND($AM$2=$AM$20,B49=$AM$1),ROUND(C49/31*$AN$2,0),IF(B49=$AK$6,ROUND((F49)*1/30,0),IF(B49=$AL$6,ROUND((F49)*1/31,0),"")))))</f>
        <v/>
      </c>
      <c r="V49" s="84" t="str">
        <f>IF(B49="","",IF($B49="TOTAL",SUM($V$8:V48),IF(AND($AM$2=$AM$20,B49=$AM$1),ROUND(G49/31*$AN$2,0),IF(B49=$AK$6,ROUND((J49)*1/30,0),IF(B49=$AL$6,ROUND((J49)*1/31,0),"")))))</f>
        <v/>
      </c>
      <c r="W49" s="84" t="str">
        <f t="shared" si="13"/>
        <v/>
      </c>
      <c r="X49" s="84">
        <f>IFERROR(IF(B49="","",IF($B49="TOTAL",SUM($X$8:X48),ROUND(N49*$AM$7%,0))),"")</f>
        <v>138</v>
      </c>
      <c r="Y49" s="84">
        <f>IFERROR(IF(B49="","",IF($B49="TOTAL",SUM($Y$8:Y48),SUM(Q49,T49,W49,X49))),"")</f>
        <v>266</v>
      </c>
      <c r="Z49" s="86">
        <f>IFERROR(IF(B49="","",IF($B49="TOTAL",SUM($Z$8:Z48),SUM(N49-Y49))),"")</f>
        <v>1109</v>
      </c>
      <c r="AA49" s="16"/>
      <c r="AB49" s="16"/>
      <c r="AJ49" s="113">
        <f t="shared" si="18"/>
        <v>17</v>
      </c>
      <c r="AK49" s="114"/>
      <c r="AL49" s="115">
        <v>43952</v>
      </c>
      <c r="AM49" s="114"/>
      <c r="AN49" s="115">
        <f t="shared" si="29"/>
        <v>43952</v>
      </c>
      <c r="AO49" s="115">
        <f t="shared" si="15"/>
        <v>43952</v>
      </c>
      <c r="AP49" s="115">
        <f t="shared" si="19"/>
        <v>43952</v>
      </c>
      <c r="AQ49" s="114">
        <f t="shared" si="27"/>
        <v>36900</v>
      </c>
      <c r="AR49" s="114">
        <f t="shared" si="20"/>
        <v>6273</v>
      </c>
      <c r="AS49" s="114">
        <f t="shared" si="21"/>
        <v>2952</v>
      </c>
      <c r="AT49" s="114"/>
      <c r="AU49" s="114">
        <f t="shared" si="28"/>
        <v>35800</v>
      </c>
      <c r="AV49" s="114">
        <f t="shared" si="22"/>
        <v>6086</v>
      </c>
      <c r="AW49" s="114">
        <f t="shared" si="23"/>
        <v>2864</v>
      </c>
      <c r="AX49" s="114">
        <f t="shared" si="24"/>
        <v>3200</v>
      </c>
      <c r="AY49" s="114"/>
      <c r="AZ49" s="114"/>
      <c r="BA49" s="149">
        <f t="shared" si="25"/>
        <v>1037</v>
      </c>
      <c r="BB49" s="114">
        <f t="shared" si="26"/>
        <v>3200</v>
      </c>
    </row>
    <row r="50" spans="1:54" s="35" customFormat="1" ht="21" customHeight="1">
      <c r="A50" s="82">
        <f t="shared" si="7"/>
        <v>43</v>
      </c>
      <c r="B50" s="83">
        <f t="shared" si="16"/>
        <v>44013</v>
      </c>
      <c r="C50" s="84">
        <f>IFERROR(IF($B49="TOTAL","अक्षरें राशि :-",IF($B50="TOTAL",SUM($C$8:C49),IF(AQ51="","",AQ51))),"")</f>
        <v>38000</v>
      </c>
      <c r="D50" s="84">
        <f>IFERROR(IF($B50="TOTAL",SUM($D$8:D49),IF(AR51="","",AR51)),"")</f>
        <v>6460</v>
      </c>
      <c r="E50" s="84">
        <f>IFERROR(IF($B50="TOTAL",SUM($E$8:E49),IF(OR(B50=$AK$16,B50=$AK$17,B50=$AK$18,B50=$AK$19,B50=$AK$20,B50=$AK$21,B50=$AK$22,B50=$AK$23,B50=$AK$24),0,IF(AS51="","",AS51))),"")</f>
        <v>3040</v>
      </c>
      <c r="F50" s="84">
        <f t="shared" si="17"/>
        <v>47500</v>
      </c>
      <c r="G50" s="84">
        <f>IFERROR(IF($B50="TOTAL",SUM($G$8:G49),IF(AU51="","",AU51)),"")</f>
        <v>36900</v>
      </c>
      <c r="H50" s="84">
        <f>IFERROR(IF($B50="TOTAL",SUM($H$8:H49),IF(AV51="","",AV51)),"")</f>
        <v>6273</v>
      </c>
      <c r="I50" s="84">
        <f>IFERROR(IF($B50="TOTAL",SUM($I$8:I49),IF(OR(B50=$AK$16,B50=$AK$17,B50=$AK$18,B50=$AK$19,B50=$AK$20,B50=$AK$21,B50=$AK$22,B50=$AK$23,B50=$AK$24),0,IF(AW51="","",AW51))),"")</f>
        <v>2952</v>
      </c>
      <c r="J50" s="84">
        <f t="shared" si="9"/>
        <v>46125</v>
      </c>
      <c r="K50" s="84">
        <f>IFERROR(IF(B50="","",IF(C50="","",IF(G50="","",IF($B50="TOTAL",SUM($K$8:K49),SUM(C50-G50))))),"")</f>
        <v>1100</v>
      </c>
      <c r="L50" s="84">
        <f>IFERROR(IF(B50="","",IF(D50="","",IF(H50="","",IF($B50="TOTAL",SUM($L$8:L49),SUM(D50-H50))))),"")</f>
        <v>187</v>
      </c>
      <c r="M50" s="84">
        <f>IFERROR(IF(B50="","",IF(E50="","",IF(I50="","",IF($B50="TOTAL",SUM($M$8:M49),SUM(E50-I50))))),"")</f>
        <v>88</v>
      </c>
      <c r="N50" s="84">
        <f t="shared" si="10"/>
        <v>1375</v>
      </c>
      <c r="O50" s="84">
        <f>IFERROR(IF(B50="","",IF($B50="TOTAL",SUM($O$8:O49),IF($AM$18=$AM$20,AX51,ROUND((C50+D50)*10%,0)))),"")</f>
        <v>4446</v>
      </c>
      <c r="P50" s="84">
        <f>IFERROR(IF(B50="","",IF(G50="","",IF(H50="","",IF($B50="TOTAL",SUM($P$8:P49),IF($AM$18=$AM$20,$AM$21,ROUND((G50+H50)*10%,0)))))),"")</f>
        <v>4317</v>
      </c>
      <c r="Q50" s="84">
        <f t="shared" si="11"/>
        <v>129</v>
      </c>
      <c r="R50" s="85">
        <f>IFERROR(IF(B50="","",IF($AM$16=$AM$17,0,IF($B50="TOTAL",SUM($R$8:R49),IF($AM$19=$AM$31,0,IF(AND($AM$32=$AM$20,B50=$AM$33),$AM$34,R49))))),"")</f>
        <v>2100</v>
      </c>
      <c r="S50" s="85">
        <f>IFERROR(IF(B50="","",IF($AM$16=$AM$17,0,IF($B50="TOTAL",SUM($S$8:S49),IF($AM$19=$AM$20,$AM$24,0)))),"")</f>
        <v>2100</v>
      </c>
      <c r="T50" s="84">
        <f t="shared" si="12"/>
        <v>0</v>
      </c>
      <c r="U50" s="84" t="str">
        <f>IF(B50="","",IF($B50="TOTAL",SUM($U$8:U49),IF(AND($AM$2=$AM$20,B50=$AM$1),ROUND(C50/31*$AN$2,0),IF(B50=$AK$6,ROUND((F50)*1/30,0),IF(B50=$AL$6,ROUND((F50)*1/31,0),"")))))</f>
        <v/>
      </c>
      <c r="V50" s="84" t="str">
        <f>IF(B50="","",IF($B50="TOTAL",SUM($V$8:V49),IF(AND($AM$2=$AM$20,B50=$AM$1),ROUND(G50/31*$AN$2,0),IF(B50=$AK$6,ROUND((J50)*1/30,0),IF(B50=$AL$6,ROUND((J50)*1/31,0),"")))))</f>
        <v/>
      </c>
      <c r="W50" s="84" t="str">
        <f t="shared" si="13"/>
        <v/>
      </c>
      <c r="X50" s="84">
        <f>IFERROR(IF(B50="","",IF($B50="TOTAL",SUM($X$8:X49),ROUND(N50*$AM$7%,0))),"")</f>
        <v>138</v>
      </c>
      <c r="Y50" s="84">
        <f>IFERROR(IF(B50="","",IF($B50="TOTAL",SUM($Y$8:Y49),SUM(Q50,T50,W50,X50))),"")</f>
        <v>267</v>
      </c>
      <c r="Z50" s="86">
        <f>IFERROR(IF(B50="","",IF($B50="TOTAL",SUM($Z$8:Z49),SUM(N50-Y50))),"")</f>
        <v>1108</v>
      </c>
      <c r="AA50" s="16"/>
      <c r="AB50" s="16"/>
      <c r="AJ50" s="113">
        <f t="shared" si="18"/>
        <v>17</v>
      </c>
      <c r="AK50" s="114"/>
      <c r="AL50" s="115">
        <v>43983</v>
      </c>
      <c r="AM50" s="114"/>
      <c r="AN50" s="115">
        <f t="shared" si="29"/>
        <v>43983</v>
      </c>
      <c r="AO50" s="115">
        <f t="shared" si="15"/>
        <v>43983</v>
      </c>
      <c r="AP50" s="115">
        <f t="shared" si="19"/>
        <v>43983</v>
      </c>
      <c r="AQ50" s="114">
        <f t="shared" si="27"/>
        <v>36900</v>
      </c>
      <c r="AR50" s="114">
        <f t="shared" si="20"/>
        <v>6273</v>
      </c>
      <c r="AS50" s="114">
        <f t="shared" si="21"/>
        <v>2952</v>
      </c>
      <c r="AT50" s="114"/>
      <c r="AU50" s="114">
        <f t="shared" si="28"/>
        <v>35800</v>
      </c>
      <c r="AV50" s="114">
        <f t="shared" si="22"/>
        <v>6086</v>
      </c>
      <c r="AW50" s="114">
        <f t="shared" si="23"/>
        <v>2864</v>
      </c>
      <c r="AX50" s="114">
        <f t="shared" si="24"/>
        <v>3200</v>
      </c>
      <c r="AY50" s="114"/>
      <c r="AZ50" s="114"/>
      <c r="BA50" s="149">
        <f t="shared" si="25"/>
        <v>1037</v>
      </c>
      <c r="BB50" s="114">
        <f t="shared" si="26"/>
        <v>3200</v>
      </c>
    </row>
    <row r="51" spans="1:54" ht="21" customHeight="1">
      <c r="A51" s="82">
        <f t="shared" si="7"/>
        <v>44</v>
      </c>
      <c r="B51" s="83">
        <f t="shared" si="16"/>
        <v>44044</v>
      </c>
      <c r="C51" s="84">
        <f>IFERROR(IF($B50="TOTAL","अक्षरें राशि :-",IF($B51="TOTAL",SUM($C$8:C50),IF(AQ52="","",AQ52))),"")</f>
        <v>38000</v>
      </c>
      <c r="D51" s="84">
        <f>IFERROR(IF($B51="TOTAL",SUM($D$8:D50),IF(AR52="","",AR52)),"")</f>
        <v>6460</v>
      </c>
      <c r="E51" s="84">
        <f>IFERROR(IF($B51="TOTAL",SUM($E$8:E50),IF(OR(B51=$AK$16,B51=$AK$17,B51=$AK$18,B51=$AK$19,B51=$AK$20,B51=$AK$21,B51=$AK$22,B51=$AK$23,B51=$AK$24),0,IF(AS52="","",AS52))),"")</f>
        <v>3040</v>
      </c>
      <c r="F51" s="84">
        <f t="shared" si="17"/>
        <v>47500</v>
      </c>
      <c r="G51" s="84">
        <f>IFERROR(IF($B51="TOTAL",SUM($G$8:G50),IF(AU52="","",AU52)),"")</f>
        <v>36900</v>
      </c>
      <c r="H51" s="84">
        <f>IFERROR(IF($B51="TOTAL",SUM($H$8:H50),IF(AV52="","",AV52)),"")</f>
        <v>6273</v>
      </c>
      <c r="I51" s="84">
        <f>IFERROR(IF($B51="TOTAL",SUM($I$8:I50),IF(OR(B51=$AK$16,B51=$AK$17,B51=$AK$18,B51=$AK$19,B51=$AK$20,B51=$AK$21,B51=$AK$22,B51=$AK$23,B51=$AK$24),0,IF(AW52="","",AW52))),"")</f>
        <v>2952</v>
      </c>
      <c r="J51" s="84">
        <f t="shared" si="9"/>
        <v>46125</v>
      </c>
      <c r="K51" s="84">
        <f>IFERROR(IF(B51="","",IF(C51="","",IF(G51="","",IF($B51="TOTAL",SUM($K$8:K50),SUM(C51-G51))))),"")</f>
        <v>1100</v>
      </c>
      <c r="L51" s="84">
        <f>IFERROR(IF(B51="","",IF(D51="","",IF(H51="","",IF($B51="TOTAL",SUM($L$8:L50),SUM(D51-H51))))),"")</f>
        <v>187</v>
      </c>
      <c r="M51" s="84">
        <f>IFERROR(IF(B51="","",IF(E51="","",IF(I51="","",IF($B51="TOTAL",SUM($M$8:M50),SUM(E51-I51))))),"")</f>
        <v>88</v>
      </c>
      <c r="N51" s="84">
        <f t="shared" si="10"/>
        <v>1375</v>
      </c>
      <c r="O51" s="84">
        <f>IFERROR(IF(B51="","",IF($B51="TOTAL",SUM($O$8:O50),IF($AM$18=$AM$20,AX52,ROUND((C51+D51)*10%,0)))),"")</f>
        <v>4446</v>
      </c>
      <c r="P51" s="84">
        <f>IFERROR(IF(B51="","",IF(G51="","",IF(H51="","",IF($B51="TOTAL",SUM($P$8:P50),IF($AM$18=$AM$20,$AM$21,ROUND((G51+H51)*10%,0)))))),"")</f>
        <v>4317</v>
      </c>
      <c r="Q51" s="84">
        <f t="shared" si="11"/>
        <v>129</v>
      </c>
      <c r="R51" s="85">
        <f>IFERROR(IF(B51="","",IF($AM$16=$AM$17,0,IF($B51="TOTAL",SUM($R$8:R50),IF($AM$19=$AM$31,0,IF(AND($AM$32=$AM$20,B51=$AM$33),$AM$34,R50))))),"")</f>
        <v>2100</v>
      </c>
      <c r="S51" s="85">
        <f>IFERROR(IF(B51="","",IF($AM$16=$AM$17,0,IF($B51="TOTAL",SUM($S$8:S50),IF($AM$19=$AM$20,$AM$24,0)))),"")</f>
        <v>2100</v>
      </c>
      <c r="T51" s="84">
        <f t="shared" si="12"/>
        <v>0</v>
      </c>
      <c r="U51" s="84" t="str">
        <f>IF(B51="","",IF($B51="TOTAL",SUM($U$8:U50),IF(AND($AM$2=$AM$20,B51=$AM$1),ROUND(C51/31*$AN$2,0),IF(B51=$AK$6,ROUND((F51)*1/30,0),IF(B51=$AL$6,ROUND((F51)*1/31,0),"")))))</f>
        <v/>
      </c>
      <c r="V51" s="84" t="str">
        <f>IF(B51="","",IF($B51="TOTAL",SUM($V$8:V50),IF(AND($AM$2=$AM$20,B51=$AM$1),ROUND(G51/31*$AN$2,0),IF(B51=$AK$6,ROUND((J51)*1/30,0),IF(B51=$AL$6,ROUND((J51)*1/31,0),"")))))</f>
        <v/>
      </c>
      <c r="W51" s="84" t="str">
        <f t="shared" si="13"/>
        <v/>
      </c>
      <c r="X51" s="84">
        <f>IFERROR(IF(B51="","",IF($B51="TOTAL",SUM($X$8:X50),ROUND(N51*$AM$7%,0))),"")</f>
        <v>138</v>
      </c>
      <c r="Y51" s="84">
        <f>IFERROR(IF(B51="","",IF($B51="TOTAL",SUM($Y$8:Y50),SUM(Q51,T51,W51,X51))),"")</f>
        <v>267</v>
      </c>
      <c r="Z51" s="86">
        <f>IFERROR(IF(B51="","",IF($B51="TOTAL",SUM($Z$8:Z50),SUM(N51-Y51))),"")</f>
        <v>1108</v>
      </c>
      <c r="AJ51" s="113">
        <f t="shared" si="18"/>
        <v>17</v>
      </c>
      <c r="AL51" s="115">
        <v>44013</v>
      </c>
      <c r="AN51" s="115">
        <f t="shared" si="29"/>
        <v>44013</v>
      </c>
      <c r="AO51" s="115">
        <f t="shared" si="15"/>
        <v>44013</v>
      </c>
      <c r="AP51" s="115">
        <f t="shared" si="19"/>
        <v>44013</v>
      </c>
      <c r="AQ51" s="114">
        <f t="shared" si="27"/>
        <v>38000</v>
      </c>
      <c r="AR51" s="114">
        <f t="shared" si="20"/>
        <v>6460</v>
      </c>
      <c r="AS51" s="114">
        <f t="shared" si="21"/>
        <v>3040</v>
      </c>
      <c r="AU51" s="114">
        <f t="shared" si="28"/>
        <v>36900</v>
      </c>
      <c r="AV51" s="114">
        <f t="shared" si="22"/>
        <v>6273</v>
      </c>
      <c r="AW51" s="114">
        <f t="shared" si="23"/>
        <v>2952</v>
      </c>
      <c r="AX51" s="114">
        <f t="shared" si="24"/>
        <v>3200</v>
      </c>
      <c r="BA51" s="149">
        <f t="shared" si="25"/>
        <v>1037</v>
      </c>
      <c r="BB51" s="114">
        <f t="shared" si="26"/>
        <v>3200</v>
      </c>
    </row>
    <row r="52" spans="1:54" ht="21" customHeight="1">
      <c r="A52" s="82">
        <f t="shared" si="7"/>
        <v>45</v>
      </c>
      <c r="B52" s="83">
        <f t="shared" si="16"/>
        <v>44075</v>
      </c>
      <c r="C52" s="84">
        <f>IFERROR(IF($B51="TOTAL","अक्षरें राशि :-",IF($B52="TOTAL",SUM($C$8:C51),IF(AQ53="","",AQ53))),"")</f>
        <v>38000</v>
      </c>
      <c r="D52" s="84">
        <f>IFERROR(IF($B52="TOTAL",SUM($D$8:D51),IF(AR53="","",AR53)),"")</f>
        <v>6460</v>
      </c>
      <c r="E52" s="84">
        <f>IFERROR(IF($B52="TOTAL",SUM($E$8:E51),IF(OR(B52=$AK$16,B52=$AK$17,B52=$AK$18,B52=$AK$19,B52=$AK$20,B52=$AK$21,B52=$AK$22,B52=$AK$23,B52=$AK$24),0,IF(AS53="","",AS53))),"")</f>
        <v>3040</v>
      </c>
      <c r="F52" s="84">
        <f t="shared" si="17"/>
        <v>47500</v>
      </c>
      <c r="G52" s="84">
        <f>IFERROR(IF($B52="TOTAL",SUM($G$8:G51),IF(AU53="","",AU53)),"")</f>
        <v>36900</v>
      </c>
      <c r="H52" s="84">
        <f>IFERROR(IF($B52="TOTAL",SUM($H$8:H51),IF(AV53="","",AV53)),"")</f>
        <v>6273</v>
      </c>
      <c r="I52" s="84">
        <f>IFERROR(IF($B52="TOTAL",SUM($I$8:I51),IF(OR(B52=$AK$16,B52=$AK$17,B52=$AK$18,B52=$AK$19,B52=$AK$20,B52=$AK$21,B52=$AK$22,B52=$AK$23,B52=$AK$24),0,IF(AW53="","",AW53))),"")</f>
        <v>2952</v>
      </c>
      <c r="J52" s="84">
        <f t="shared" si="9"/>
        <v>46125</v>
      </c>
      <c r="K52" s="84">
        <f>IFERROR(IF(B52="","",IF(C52="","",IF(G52="","",IF($B52="TOTAL",SUM($K$8:K51),SUM(C52-G52))))),"")</f>
        <v>1100</v>
      </c>
      <c r="L52" s="84">
        <f>IFERROR(IF(B52="","",IF(D52="","",IF(H52="","",IF($B52="TOTAL",SUM($L$8:L51),SUM(D52-H52))))),"")</f>
        <v>187</v>
      </c>
      <c r="M52" s="84">
        <f>IFERROR(IF(B52="","",IF(E52="","",IF(I52="","",IF($B52="TOTAL",SUM($M$8:M51),SUM(E52-I52))))),"")</f>
        <v>88</v>
      </c>
      <c r="N52" s="84">
        <f t="shared" si="10"/>
        <v>1375</v>
      </c>
      <c r="O52" s="84">
        <f>IFERROR(IF(B52="","",IF($B52="TOTAL",SUM($O$8:O51),IF($AM$18=$AM$20,AX53,ROUND((C52+D52)*10%,0)))),"")</f>
        <v>4446</v>
      </c>
      <c r="P52" s="84">
        <f>IFERROR(IF(B52="","",IF(G52="","",IF(H52="","",IF($B52="TOTAL",SUM($P$8:P51),IF($AM$18=$AM$20,$AM$21,ROUND((G52+H52)*10%,0)))))),"")</f>
        <v>4317</v>
      </c>
      <c r="Q52" s="84">
        <f t="shared" si="11"/>
        <v>129</v>
      </c>
      <c r="R52" s="85">
        <f>IFERROR(IF(B52="","",IF($AM$16=$AM$17,0,IF($B52="TOTAL",SUM($R$8:R51),IF($AM$19=$AM$31,0,IF(AND($AM$32=$AM$20,B52=$AM$33),$AM$34,R51))))),"")</f>
        <v>2100</v>
      </c>
      <c r="S52" s="85">
        <f>IFERROR(IF(B52="","",IF($AM$16=$AM$17,0,IF($B52="TOTAL",SUM($S$8:S51),IF($AM$19=$AM$20,$AM$24,0)))),"")</f>
        <v>2100</v>
      </c>
      <c r="T52" s="84">
        <f t="shared" si="12"/>
        <v>0</v>
      </c>
      <c r="U52" s="84">
        <f>IF(B52="","",IF($B52="TOTAL",SUM($U$8:U51),IF(AND($AM$2=$AM$20,B52=$AM$1),ROUND(C52/31*$AN$2,0),IF(B52=$AK$6,ROUND((F52)*1/30,0),IF(B52=$AL$6,ROUND((F52)*1/31,0),"")))))</f>
        <v>1583</v>
      </c>
      <c r="V52" s="84">
        <f>IF(B52="","",IF($B52="TOTAL",SUM($V$8:V51),IF(AND($AM$2=$AM$20,B52=$AM$1),ROUND(G52/31*$AN$2,0),IF(B52=$AK$6,ROUND((J52)*1/30,0),IF(B52=$AL$6,ROUND((J52)*1/31,0),"")))))</f>
        <v>1538</v>
      </c>
      <c r="W52" s="84">
        <f t="shared" si="13"/>
        <v>45</v>
      </c>
      <c r="X52" s="84">
        <f>IFERROR(IF(B52="","",IF($B52="TOTAL",SUM($X$8:X51),ROUND(N52*$AM$7%,0))),"")</f>
        <v>138</v>
      </c>
      <c r="Y52" s="84">
        <f>IFERROR(IF(B52="","",IF($B52="TOTAL",SUM($Y$8:Y51),SUM(Q52,T52,W52,X52))),"")</f>
        <v>312</v>
      </c>
      <c r="Z52" s="86">
        <f>IFERROR(IF(B52="","",IF($B52="TOTAL",SUM($Z$8:Z51),SUM(N52-Y52))),"")</f>
        <v>1063</v>
      </c>
      <c r="AJ52" s="113">
        <f t="shared" si="18"/>
        <v>17</v>
      </c>
      <c r="AL52" s="115">
        <v>44044</v>
      </c>
      <c r="AN52" s="115">
        <f t="shared" si="29"/>
        <v>44044</v>
      </c>
      <c r="AO52" s="115">
        <f t="shared" si="15"/>
        <v>44044</v>
      </c>
      <c r="AP52" s="115">
        <f t="shared" si="19"/>
        <v>44044</v>
      </c>
      <c r="AQ52" s="114">
        <f t="shared" si="27"/>
        <v>38000</v>
      </c>
      <c r="AR52" s="114">
        <f t="shared" si="20"/>
        <v>6460</v>
      </c>
      <c r="AS52" s="114">
        <f t="shared" si="21"/>
        <v>3040</v>
      </c>
      <c r="AU52" s="114">
        <f t="shared" si="28"/>
        <v>36900</v>
      </c>
      <c r="AV52" s="114">
        <f t="shared" si="22"/>
        <v>6273</v>
      </c>
      <c r="AW52" s="114">
        <f t="shared" si="23"/>
        <v>2952</v>
      </c>
      <c r="AX52" s="114">
        <f t="shared" si="24"/>
        <v>3200</v>
      </c>
      <c r="BA52" s="149">
        <f t="shared" si="25"/>
        <v>1037</v>
      </c>
      <c r="BB52" s="114">
        <f t="shared" si="26"/>
        <v>3200</v>
      </c>
    </row>
    <row r="53" spans="1:54" ht="21" customHeight="1">
      <c r="A53" s="82">
        <f t="shared" si="7"/>
        <v>46</v>
      </c>
      <c r="B53" s="83">
        <f t="shared" si="16"/>
        <v>44105</v>
      </c>
      <c r="C53" s="84">
        <f>IFERROR(IF($B52="TOTAL","अक्षरें राशि :-",IF($B53="TOTAL",SUM($C$8:C52),IF(AQ54="","",AQ54))),"")</f>
        <v>38000</v>
      </c>
      <c r="D53" s="84">
        <f>IFERROR(IF($B53="TOTAL",SUM($D$8:D52),IF(AR54="","",AR54)),"")</f>
        <v>6460</v>
      </c>
      <c r="E53" s="84">
        <f>IFERROR(IF($B53="TOTAL",SUM($E$8:E52),IF(OR(B53=$AK$16,B53=$AK$17,B53=$AK$18,B53=$AK$19,B53=$AK$20,B53=$AK$21,B53=$AK$22,B53=$AK$23,B53=$AK$24),0,IF(AS54="","",AS54))),"")</f>
        <v>3040</v>
      </c>
      <c r="F53" s="84">
        <f t="shared" si="17"/>
        <v>47500</v>
      </c>
      <c r="G53" s="84">
        <f>IFERROR(IF($B53="TOTAL",SUM($G$8:G52),IF(AU54="","",AU54)),"")</f>
        <v>36900</v>
      </c>
      <c r="H53" s="84">
        <f>IFERROR(IF($B53="TOTAL",SUM($H$8:H52),IF(AV54="","",AV54)),"")</f>
        <v>6273</v>
      </c>
      <c r="I53" s="84">
        <f>IFERROR(IF($B53="TOTAL",SUM($I$8:I52),IF(OR(B53=$AK$16,B53=$AK$17,B53=$AK$18,B53=$AK$19,B53=$AK$20,B53=$AK$21,B53=$AK$22,B53=$AK$23,B53=$AK$24),0,IF(AW54="","",AW54))),"")</f>
        <v>2952</v>
      </c>
      <c r="J53" s="84">
        <f t="shared" si="9"/>
        <v>46125</v>
      </c>
      <c r="K53" s="84">
        <f>IFERROR(IF(B53="","",IF(C53="","",IF(G53="","",IF($B53="TOTAL",SUM($K$8:K52),SUM(C53-G53))))),"")</f>
        <v>1100</v>
      </c>
      <c r="L53" s="84">
        <f>IFERROR(IF(B53="","",IF(D53="","",IF(H53="","",IF($B53="TOTAL",SUM($L$8:L52),SUM(D53-H53))))),"")</f>
        <v>187</v>
      </c>
      <c r="M53" s="84">
        <f>IFERROR(IF(B53="","",IF(E53="","",IF(I53="","",IF($B53="TOTAL",SUM($M$8:M52),SUM(E53-I53))))),"")</f>
        <v>88</v>
      </c>
      <c r="N53" s="84">
        <f t="shared" si="10"/>
        <v>1375</v>
      </c>
      <c r="O53" s="84">
        <f>IFERROR(IF(B53="","",IF($B53="TOTAL",SUM($O$8:O52),IF($AM$18=$AM$20,AX54,ROUND((C53+D53)*10%,0)))),"")</f>
        <v>4446</v>
      </c>
      <c r="P53" s="84">
        <f>IFERROR(IF(B53="","",IF(G53="","",IF(H53="","",IF($B53="TOTAL",SUM($P$8:P52),IF($AM$18=$AM$20,$AM$21,ROUND((G53+H53)*10%,0)))))),"")</f>
        <v>4317</v>
      </c>
      <c r="Q53" s="84">
        <f t="shared" si="11"/>
        <v>129</v>
      </c>
      <c r="R53" s="85">
        <f>IFERROR(IF(B53="","",IF($AM$16=$AM$17,0,IF($B53="TOTAL",SUM($R$8:R52),IF($AM$19=$AM$31,0,IF(AND($AM$32=$AM$20,B53=$AM$33),$AM$34,R52))))),"")</f>
        <v>2100</v>
      </c>
      <c r="S53" s="85">
        <f>IFERROR(IF(B53="","",IF($AM$16=$AM$17,0,IF($B53="TOTAL",SUM($S$8:S52),IF($AM$19=$AM$20,$AM$24,0)))),"")</f>
        <v>2100</v>
      </c>
      <c r="T53" s="84">
        <f t="shared" si="12"/>
        <v>0</v>
      </c>
      <c r="U53" s="84">
        <f>IF(B53="","",IF($B53="TOTAL",SUM($U$8:U52),IF(AND($AM$2=$AM$20,B53=$AM$1),ROUND(C53/31*$AN$2,0),IF(B53=$AK$6,ROUND((F53)*1/30,0),IF(B53=$AL$6,ROUND((F53)*1/31,0),"")))))</f>
        <v>1532</v>
      </c>
      <c r="V53" s="84">
        <f>IF(B53="","",IF($B53="TOTAL",SUM($V$8:V52),IF(AND($AM$2=$AM$20,B53=$AM$1),ROUND(G53/31*$AN$2,0),IF(B53=$AK$6,ROUND((J53)*1/30,0),IF(B53=$AL$6,ROUND((J53)*1/31,0),"")))))</f>
        <v>1488</v>
      </c>
      <c r="W53" s="84">
        <f t="shared" si="13"/>
        <v>44</v>
      </c>
      <c r="X53" s="84">
        <f>IFERROR(IF(B53="","",IF($B53="TOTAL",SUM($X$8:X52),ROUND(N53*$AM$7%,0))),"")</f>
        <v>138</v>
      </c>
      <c r="Y53" s="84">
        <f>IFERROR(IF(B53="","",IF($B53="TOTAL",SUM($Y$8:Y52),SUM(Q53,T53,W53,X53))),"")</f>
        <v>311</v>
      </c>
      <c r="Z53" s="86">
        <f>IFERROR(IF(B53="","",IF($B53="TOTAL",SUM($Z$8:Z52),SUM(N53-Y53))),"")</f>
        <v>1064</v>
      </c>
      <c r="AJ53" s="113">
        <f t="shared" si="18"/>
        <v>17</v>
      </c>
      <c r="AL53" s="115">
        <v>44075</v>
      </c>
      <c r="AN53" s="115">
        <f t="shared" si="29"/>
        <v>44075</v>
      </c>
      <c r="AO53" s="115">
        <f t="shared" si="15"/>
        <v>44075</v>
      </c>
      <c r="AP53" s="115">
        <f t="shared" si="19"/>
        <v>44075</v>
      </c>
      <c r="AQ53" s="114">
        <f t="shared" si="27"/>
        <v>38000</v>
      </c>
      <c r="AR53" s="114">
        <f t="shared" si="20"/>
        <v>6460</v>
      </c>
      <c r="AS53" s="114">
        <f t="shared" si="21"/>
        <v>3040</v>
      </c>
      <c r="AU53" s="114">
        <f t="shared" si="28"/>
        <v>36900</v>
      </c>
      <c r="AV53" s="114">
        <f t="shared" si="22"/>
        <v>6273</v>
      </c>
      <c r="AW53" s="114">
        <f t="shared" si="23"/>
        <v>2952</v>
      </c>
      <c r="AX53" s="114">
        <f t="shared" si="24"/>
        <v>3200</v>
      </c>
      <c r="BA53" s="149">
        <f t="shared" si="25"/>
        <v>992</v>
      </c>
      <c r="BB53" s="114">
        <f t="shared" si="26"/>
        <v>3200</v>
      </c>
    </row>
    <row r="54" spans="1:54" ht="21" customHeight="1">
      <c r="A54" s="82">
        <f t="shared" si="7"/>
        <v>47</v>
      </c>
      <c r="B54" s="83">
        <f t="shared" si="16"/>
        <v>44136</v>
      </c>
      <c r="C54" s="84">
        <f>IFERROR(IF($B53="TOTAL","अक्षरें राशि :-",IF($B54="TOTAL",SUM($C$8:C53),IF(AQ55="","",AQ55))),"")</f>
        <v>38000</v>
      </c>
      <c r="D54" s="84">
        <f>IFERROR(IF($B54="TOTAL",SUM($D$8:D53),IF(AR55="","",AR55)),"")</f>
        <v>6460</v>
      </c>
      <c r="E54" s="84">
        <f>IFERROR(IF($B54="TOTAL",SUM($E$8:E53),IF(OR(B54=$AK$16,B54=$AK$17,B54=$AK$18,B54=$AK$19,B54=$AK$20,B54=$AK$21,B54=$AK$22,B54=$AK$23,B54=$AK$24),0,IF(AS55="","",AS55))),"")</f>
        <v>3040</v>
      </c>
      <c r="F54" s="84">
        <f t="shared" si="17"/>
        <v>47500</v>
      </c>
      <c r="G54" s="84">
        <f>IFERROR(IF($B54="TOTAL",SUM($G$8:G53),IF(AU55="","",AU55)),"")</f>
        <v>36900</v>
      </c>
      <c r="H54" s="84">
        <f>IFERROR(IF($B54="TOTAL",SUM($H$8:H53),IF(AV55="","",AV55)),"")</f>
        <v>6273</v>
      </c>
      <c r="I54" s="84">
        <f>IFERROR(IF($B54="TOTAL",SUM($I$8:I53),IF(OR(B54=$AK$16,B54=$AK$17,B54=$AK$18,B54=$AK$19,B54=$AK$20,B54=$AK$21,B54=$AK$22,B54=$AK$23,B54=$AK$24),0,IF(AW55="","",AW55))),"")</f>
        <v>2952</v>
      </c>
      <c r="J54" s="84">
        <f t="shared" si="9"/>
        <v>46125</v>
      </c>
      <c r="K54" s="84">
        <f>IFERROR(IF(B54="","",IF(C54="","",IF(G54="","",IF($B54="TOTAL",SUM($K$8:K53),SUM(C54-G54))))),"")</f>
        <v>1100</v>
      </c>
      <c r="L54" s="84">
        <f>IFERROR(IF(B54="","",IF(D54="","",IF(H54="","",IF($B54="TOTAL",SUM($L$8:L53),SUM(D54-H54))))),"")</f>
        <v>187</v>
      </c>
      <c r="M54" s="84">
        <f>IFERROR(IF(B54="","",IF(E54="","",IF(I54="","",IF($B54="TOTAL",SUM($M$8:M53),SUM(E54-I54))))),"")</f>
        <v>88</v>
      </c>
      <c r="N54" s="84">
        <f t="shared" si="10"/>
        <v>1375</v>
      </c>
      <c r="O54" s="84">
        <f>IFERROR(IF(B54="","",IF($B54="TOTAL",SUM($O$8:O53),IF($AM$18=$AM$20,AX55,ROUND((C54+D54)*10%,0)))),"")</f>
        <v>4446</v>
      </c>
      <c r="P54" s="84">
        <f>IFERROR(IF(B54="","",IF(G54="","",IF(H54="","",IF($B54="TOTAL",SUM($P$8:P53),IF($AM$18=$AM$20,$AM$21,ROUND((G54+H54)*10%,0)))))),"")</f>
        <v>4317</v>
      </c>
      <c r="Q54" s="84">
        <f t="shared" si="11"/>
        <v>129</v>
      </c>
      <c r="R54" s="85">
        <f>IFERROR(IF(B54="","",IF($AM$16=$AM$17,0,IF($B54="TOTAL",SUM($R$8:R53),IF($AM$19=$AM$31,0,IF(AND($AM$32=$AM$20,B54=$AM$33),$AM$34,R53))))),"")</f>
        <v>2100</v>
      </c>
      <c r="S54" s="85">
        <f>IFERROR(IF(B54="","",IF($AM$16=$AM$17,0,IF($B54="TOTAL",SUM($S$8:S53),IF($AM$19=$AM$20,$AM$24,0)))),"")</f>
        <v>2100</v>
      </c>
      <c r="T54" s="84">
        <f t="shared" si="12"/>
        <v>0</v>
      </c>
      <c r="U54" s="84" t="str">
        <f>IF(B54="","",IF($B54="TOTAL",SUM($U$8:U53),IF(AND($AM$2=$AM$20,B54=$AM$1),ROUND(C54/31*$AN$2,0),IF(B54=$AK$6,ROUND((F54)*1/30,0),IF(B54=$AL$6,ROUND((F54)*1/31,0),"")))))</f>
        <v/>
      </c>
      <c r="V54" s="84" t="str">
        <f>IF(B54="","",IF($B54="TOTAL",SUM($V$8:V53),IF(AND($AM$2=$AM$20,B54=$AM$1),ROUND(G54/31*$AN$2,0),IF(B54=$AK$6,ROUND((J54)*1/30,0),IF(B54=$AL$6,ROUND((J54)*1/31,0),"")))))</f>
        <v/>
      </c>
      <c r="W54" s="84" t="str">
        <f t="shared" si="13"/>
        <v/>
      </c>
      <c r="X54" s="84">
        <f>IFERROR(IF(B54="","",IF($B54="TOTAL",SUM($X$8:X53),ROUND(N54*$AM$7%,0))),"")</f>
        <v>138</v>
      </c>
      <c r="Y54" s="84">
        <f>IFERROR(IF(B54="","",IF($B54="TOTAL",SUM($Y$8:Y53),SUM(Q54,T54,W54,X54))),"")</f>
        <v>267</v>
      </c>
      <c r="Z54" s="86">
        <f>IFERROR(IF(B54="","",IF($B54="TOTAL",SUM($Z$8:Z53),SUM(N54-Y54))),"")</f>
        <v>1108</v>
      </c>
      <c r="AJ54" s="113">
        <f t="shared" si="18"/>
        <v>17</v>
      </c>
      <c r="AL54" s="115">
        <v>44105</v>
      </c>
      <c r="AN54" s="115">
        <f t="shared" si="29"/>
        <v>44105</v>
      </c>
      <c r="AO54" s="115">
        <f t="shared" si="15"/>
        <v>44105</v>
      </c>
      <c r="AP54" s="115">
        <f t="shared" si="19"/>
        <v>44105</v>
      </c>
      <c r="AQ54" s="114">
        <f t="shared" si="27"/>
        <v>38000</v>
      </c>
      <c r="AR54" s="114">
        <f t="shared" si="20"/>
        <v>6460</v>
      </c>
      <c r="AS54" s="114">
        <f t="shared" si="21"/>
        <v>3040</v>
      </c>
      <c r="AU54" s="114">
        <f t="shared" si="28"/>
        <v>36900</v>
      </c>
      <c r="AV54" s="114">
        <f t="shared" si="22"/>
        <v>6273</v>
      </c>
      <c r="AW54" s="114">
        <f t="shared" si="23"/>
        <v>2952</v>
      </c>
      <c r="AX54" s="114">
        <f t="shared" si="24"/>
        <v>3200</v>
      </c>
      <c r="BA54" s="149">
        <f t="shared" si="25"/>
        <v>993</v>
      </c>
      <c r="BB54" s="114">
        <f t="shared" si="26"/>
        <v>3200</v>
      </c>
    </row>
    <row r="55" spans="1:54" ht="21" customHeight="1">
      <c r="A55" s="82">
        <f t="shared" si="7"/>
        <v>48</v>
      </c>
      <c r="B55" s="83">
        <f t="shared" si="16"/>
        <v>44166</v>
      </c>
      <c r="C55" s="84">
        <f>IFERROR(IF($B54="TOTAL","अक्षरें राशि :-",IF($B55="TOTAL",SUM($C$8:C54),IF(AQ56="","",AQ56))),"")</f>
        <v>38000</v>
      </c>
      <c r="D55" s="84">
        <f>IFERROR(IF($B55="TOTAL",SUM($D$8:D54),IF(AR56="","",AR56)),"")</f>
        <v>6460</v>
      </c>
      <c r="E55" s="84">
        <f>IFERROR(IF($B55="TOTAL",SUM($E$8:E54),IF(OR(B55=$AK$16,B55=$AK$17,B55=$AK$18,B55=$AK$19,B55=$AK$20,B55=$AK$21,B55=$AK$22,B55=$AK$23,B55=$AK$24),0,IF(AS56="","",AS56))),"")</f>
        <v>3040</v>
      </c>
      <c r="F55" s="84">
        <f t="shared" si="17"/>
        <v>47500</v>
      </c>
      <c r="G55" s="84">
        <f>IFERROR(IF($B55="TOTAL",SUM($G$8:G54),IF(AU56="","",AU56)),"")</f>
        <v>36900</v>
      </c>
      <c r="H55" s="84">
        <f>IFERROR(IF($B55="TOTAL",SUM($H$8:H54),IF(AV56="","",AV56)),"")</f>
        <v>6273</v>
      </c>
      <c r="I55" s="84">
        <f>IFERROR(IF($B55="TOTAL",SUM($I$8:I54),IF(OR(B55=$AK$16,B55=$AK$17,B55=$AK$18,B55=$AK$19,B55=$AK$20,B55=$AK$21,B55=$AK$22,B55=$AK$23,B55=$AK$24),0,IF(AW56="","",AW56))),"")</f>
        <v>2952</v>
      </c>
      <c r="J55" s="84">
        <f t="shared" si="9"/>
        <v>46125</v>
      </c>
      <c r="K55" s="84">
        <f>IFERROR(IF(B55="","",IF(C55="","",IF(G55="","",IF($B55="TOTAL",SUM($K$8:K54),SUM(C55-G55))))),"")</f>
        <v>1100</v>
      </c>
      <c r="L55" s="84">
        <f>IFERROR(IF(B55="","",IF(D55="","",IF(H55="","",IF($B55="TOTAL",SUM($L$8:L54),SUM(D55-H55))))),"")</f>
        <v>187</v>
      </c>
      <c r="M55" s="84">
        <f>IFERROR(IF(B55="","",IF(E55="","",IF(I55="","",IF($B55="TOTAL",SUM($M$8:M54),SUM(E55-I55))))),"")</f>
        <v>88</v>
      </c>
      <c r="N55" s="84">
        <f t="shared" si="10"/>
        <v>1375</v>
      </c>
      <c r="O55" s="84">
        <f>IFERROR(IF(B55="","",IF($B55="TOTAL",SUM($O$8:O54),IF($AM$18=$AM$20,AX56,ROUND((C55+D55)*10%,0)))),"")</f>
        <v>4446</v>
      </c>
      <c r="P55" s="84">
        <f>IFERROR(IF(B55="","",IF(G55="","",IF(H55="","",IF($B55="TOTAL",SUM($P$8:P54),IF($AM$18=$AM$20,$AM$21,ROUND((G55+H55)*10%,0)))))),"")</f>
        <v>4317</v>
      </c>
      <c r="Q55" s="84">
        <f t="shared" si="11"/>
        <v>129</v>
      </c>
      <c r="R55" s="85">
        <f>IFERROR(IF(B55="","",IF($AM$16=$AM$17,0,IF($B55="TOTAL",SUM($R$8:R54),IF($AM$19=$AM$31,0,IF(AND($AM$32=$AM$20,B55=$AM$33),$AM$34,R54))))),"")</f>
        <v>2100</v>
      </c>
      <c r="S55" s="85">
        <f>IFERROR(IF(B55="","",IF($AM$16=$AM$17,0,IF($B55="TOTAL",SUM($S$8:S54),IF($AM$19=$AM$20,$AM$24,0)))),"")</f>
        <v>2100</v>
      </c>
      <c r="T55" s="84">
        <f t="shared" si="12"/>
        <v>0</v>
      </c>
      <c r="U55" s="84" t="str">
        <f>IF(B55="","",IF($B55="TOTAL",SUM($U$8:U54),IF(AND($AM$2=$AM$20,B55=$AM$1),ROUND(C55/31*$AN$2,0),IF(B55=$AK$6,ROUND((F55)*1/30,0),IF(B55=$AL$6,ROUND((F55)*1/31,0),"")))))</f>
        <v/>
      </c>
      <c r="V55" s="84" t="str">
        <f>IF(B55="","",IF($B55="TOTAL",SUM($V$8:V54),IF(AND($AM$2=$AM$20,B55=$AM$1),ROUND(G55/31*$AN$2,0),IF(B55=$AK$6,ROUND((J55)*1/30,0),IF(B55=$AL$6,ROUND((J55)*1/31,0),"")))))</f>
        <v/>
      </c>
      <c r="W55" s="84" t="str">
        <f t="shared" si="13"/>
        <v/>
      </c>
      <c r="X55" s="84">
        <f>IFERROR(IF(B55="","",IF($B55="TOTAL",SUM($X$8:X54),ROUND(N55*$AM$7%,0))),"")</f>
        <v>138</v>
      </c>
      <c r="Y55" s="84">
        <f>IFERROR(IF(B55="","",IF($B55="TOTAL",SUM($Y$8:Y54),SUM(Q55,T55,W55,X55))),"")</f>
        <v>267</v>
      </c>
      <c r="Z55" s="86">
        <f>IFERROR(IF(B55="","",IF($B55="TOTAL",SUM($Z$8:Z54),SUM(N55-Y55))),"")</f>
        <v>1108</v>
      </c>
      <c r="AJ55" s="113">
        <f t="shared" si="18"/>
        <v>17</v>
      </c>
      <c r="AL55" s="115">
        <v>44136</v>
      </c>
      <c r="AN55" s="115">
        <f t="shared" si="29"/>
        <v>44136</v>
      </c>
      <c r="AO55" s="115">
        <f t="shared" si="15"/>
        <v>44136</v>
      </c>
      <c r="AP55" s="115">
        <f t="shared" si="19"/>
        <v>44136</v>
      </c>
      <c r="AQ55" s="114">
        <f t="shared" si="27"/>
        <v>38000</v>
      </c>
      <c r="AR55" s="114">
        <f t="shared" si="20"/>
        <v>6460</v>
      </c>
      <c r="AS55" s="114">
        <f t="shared" si="21"/>
        <v>3040</v>
      </c>
      <c r="AU55" s="114">
        <f t="shared" si="28"/>
        <v>36900</v>
      </c>
      <c r="AV55" s="114">
        <f t="shared" si="22"/>
        <v>6273</v>
      </c>
      <c r="AW55" s="114">
        <f t="shared" si="23"/>
        <v>2952</v>
      </c>
      <c r="AX55" s="114">
        <f t="shared" si="24"/>
        <v>3200</v>
      </c>
      <c r="BA55" s="149">
        <f t="shared" si="25"/>
        <v>1037</v>
      </c>
      <c r="BB55" s="114">
        <f t="shared" si="26"/>
        <v>3200</v>
      </c>
    </row>
    <row r="56" spans="1:54" ht="21" customHeight="1">
      <c r="A56" s="82">
        <f t="shared" si="7"/>
        <v>49</v>
      </c>
      <c r="B56" s="83">
        <f t="shared" si="16"/>
        <v>44197</v>
      </c>
      <c r="C56" s="84">
        <f>IFERROR(IF($B55="TOTAL","अक्षरें राशि :-",IF($B56="TOTAL",SUM($C$8:C55),IF(AQ57="","",AQ57))),"")</f>
        <v>38000</v>
      </c>
      <c r="D56" s="84">
        <f>IFERROR(IF($B56="TOTAL",SUM($D$8:D55),IF(AR57="","",AR57)),"")</f>
        <v>6460</v>
      </c>
      <c r="E56" s="84">
        <f>IFERROR(IF($B56="TOTAL",SUM($E$8:E55),IF(OR(B56=$AK$16,B56=$AK$17,B56=$AK$18,B56=$AK$19,B56=$AK$20,B56=$AK$21,B56=$AK$22,B56=$AK$23,B56=$AK$24),0,IF(AS57="","",AS57))),"")</f>
        <v>3040</v>
      </c>
      <c r="F56" s="84">
        <f t="shared" si="17"/>
        <v>47500</v>
      </c>
      <c r="G56" s="84">
        <f>IFERROR(IF($B56="TOTAL",SUM($G$8:G55),IF(AU57="","",AU57)),"")</f>
        <v>36900</v>
      </c>
      <c r="H56" s="84">
        <f>IFERROR(IF($B56="TOTAL",SUM($H$8:H55),IF(AV57="","",AV57)),"")</f>
        <v>6273</v>
      </c>
      <c r="I56" s="84">
        <f>IFERROR(IF($B56="TOTAL",SUM($I$8:I55),IF(OR(B56=$AK$16,B56=$AK$17,B56=$AK$18,B56=$AK$19,B56=$AK$20,B56=$AK$21,B56=$AK$22,B56=$AK$23,B56=$AK$24),0,IF(AW57="","",AW57))),"")</f>
        <v>2952</v>
      </c>
      <c r="J56" s="84">
        <f t="shared" si="9"/>
        <v>46125</v>
      </c>
      <c r="K56" s="84">
        <f>IFERROR(IF(B56="","",IF(C56="","",IF(G56="","",IF($B56="TOTAL",SUM($K$8:K55),SUM(C56-G56))))),"")</f>
        <v>1100</v>
      </c>
      <c r="L56" s="84">
        <f>IFERROR(IF(B56="","",IF(D56="","",IF(H56="","",IF($B56="TOTAL",SUM($L$8:L55),SUM(D56-H56))))),"")</f>
        <v>187</v>
      </c>
      <c r="M56" s="84">
        <f>IFERROR(IF(B56="","",IF(E56="","",IF(I56="","",IF($B56="TOTAL",SUM($M$8:M55),SUM(E56-I56))))),"")</f>
        <v>88</v>
      </c>
      <c r="N56" s="84">
        <f t="shared" si="10"/>
        <v>1375</v>
      </c>
      <c r="O56" s="84">
        <f>IFERROR(IF(B56="","",IF($B56="TOTAL",SUM($O$8:O55),IF($AM$18=$AM$20,AX57,ROUND((C56+D56)*10%,0)))),"")</f>
        <v>4446</v>
      </c>
      <c r="P56" s="84">
        <f>IFERROR(IF(B56="","",IF(G56="","",IF(H56="","",IF($B56="TOTAL",SUM($P$8:P55),IF($AM$18=$AM$20,$AM$21,ROUND((G56+H56)*10%,0)))))),"")</f>
        <v>4317</v>
      </c>
      <c r="Q56" s="84">
        <f t="shared" si="11"/>
        <v>129</v>
      </c>
      <c r="R56" s="85">
        <f>IFERROR(IF(B56="","",IF($AM$16=$AM$17,0,IF($B56="TOTAL",SUM($R$8:R55),IF($AM$19=$AM$31,0,IF(AND($AM$32=$AM$20,B56=$AM$33),$AM$34,R55))))),"")</f>
        <v>2100</v>
      </c>
      <c r="S56" s="85">
        <f>IFERROR(IF(B56="","",IF($AM$16=$AM$17,0,IF($B56="TOTAL",SUM($S$8:S55),IF($AM$19=$AM$20,$AM$24,0)))),"")</f>
        <v>2100</v>
      </c>
      <c r="T56" s="84">
        <f t="shared" si="12"/>
        <v>0</v>
      </c>
      <c r="U56" s="84" t="str">
        <f>IF(B56="","",IF($B56="TOTAL",SUM($U$8:U55),IF(AND($AM$2=$AM$20,B56=$AM$1),ROUND(C56/31*$AN$2,0),IF(B56=$AK$6,ROUND((F56)*1/30,0),IF(B56=$AL$6,ROUND((F56)*1/31,0),"")))))</f>
        <v/>
      </c>
      <c r="V56" s="84" t="str">
        <f>IF(B56="","",IF($B56="TOTAL",SUM($V$8:V55),IF(AND($AM$2=$AM$20,B56=$AM$1),ROUND(G56/31*$AN$2,0),IF(B56=$AK$6,ROUND((J56)*1/30,0),IF(B56=$AL$6,ROUND((J56)*1/31,0),"")))))</f>
        <v/>
      </c>
      <c r="W56" s="84" t="str">
        <f t="shared" si="13"/>
        <v/>
      </c>
      <c r="X56" s="84">
        <f>IFERROR(IF(B56="","",IF($B56="TOTAL",SUM($X$8:X55),ROUND(N56*$AM$7%,0))),"")</f>
        <v>138</v>
      </c>
      <c r="Y56" s="84">
        <f>IFERROR(IF(B56="","",IF($B56="TOTAL",SUM($Y$8:Y55),SUM(Q56,T56,W56,X56))),"")</f>
        <v>267</v>
      </c>
      <c r="Z56" s="86">
        <f>IFERROR(IF(B56="","",IF($B56="TOTAL",SUM($Z$8:Z55),SUM(N56-Y56))),"")</f>
        <v>1108</v>
      </c>
      <c r="AJ56" s="113">
        <f t="shared" si="18"/>
        <v>17</v>
      </c>
      <c r="AL56" s="115">
        <v>44166</v>
      </c>
      <c r="AN56" s="115">
        <f t="shared" si="29"/>
        <v>44166</v>
      </c>
      <c r="AO56" s="115">
        <f t="shared" si="15"/>
        <v>44166</v>
      </c>
      <c r="AP56" s="115">
        <f t="shared" si="19"/>
        <v>44166</v>
      </c>
      <c r="AQ56" s="114">
        <f t="shared" si="27"/>
        <v>38000</v>
      </c>
      <c r="AR56" s="114">
        <f t="shared" si="20"/>
        <v>6460</v>
      </c>
      <c r="AS56" s="114">
        <f t="shared" si="21"/>
        <v>3040</v>
      </c>
      <c r="AU56" s="114">
        <f t="shared" si="28"/>
        <v>36900</v>
      </c>
      <c r="AV56" s="114">
        <f t="shared" si="22"/>
        <v>6273</v>
      </c>
      <c r="AW56" s="114">
        <f t="shared" si="23"/>
        <v>2952</v>
      </c>
      <c r="AX56" s="114">
        <f t="shared" si="24"/>
        <v>3200</v>
      </c>
      <c r="BA56" s="149">
        <f t="shared" si="25"/>
        <v>1037</v>
      </c>
      <c r="BB56" s="114">
        <f t="shared" si="26"/>
        <v>3200</v>
      </c>
    </row>
    <row r="57" spans="1:54" ht="21" customHeight="1">
      <c r="A57" s="82">
        <f t="shared" si="7"/>
        <v>50</v>
      </c>
      <c r="B57" s="83">
        <f t="shared" si="16"/>
        <v>44228</v>
      </c>
      <c r="C57" s="84">
        <f>IFERROR(IF($B56="TOTAL","अक्षरें राशि :-",IF($B57="TOTAL",SUM($C$8:C56),IF(AQ58="","",AQ58))),"")</f>
        <v>38000</v>
      </c>
      <c r="D57" s="84">
        <f>IFERROR(IF($B57="TOTAL",SUM($D$8:D56),IF(AR58="","",AR58)),"")</f>
        <v>6460</v>
      </c>
      <c r="E57" s="84">
        <f>IFERROR(IF($B57="TOTAL",SUM($E$8:E56),IF(OR(B57=$AK$16,B57=$AK$17,B57=$AK$18,B57=$AK$19,B57=$AK$20,B57=$AK$21,B57=$AK$22,B57=$AK$23,B57=$AK$24),0,IF(AS58="","",AS58))),"")</f>
        <v>3040</v>
      </c>
      <c r="F57" s="84">
        <f t="shared" si="17"/>
        <v>47500</v>
      </c>
      <c r="G57" s="84">
        <f>IFERROR(IF($B57="TOTAL",SUM($G$8:G56),IF(AU58="","",AU58)),"")</f>
        <v>36900</v>
      </c>
      <c r="H57" s="84">
        <f>IFERROR(IF($B57="TOTAL",SUM($H$8:H56),IF(AV58="","",AV58)),"")</f>
        <v>6273</v>
      </c>
      <c r="I57" s="84">
        <f>IFERROR(IF($B57="TOTAL",SUM($I$8:I56),IF(OR(B57=$AK$16,B57=$AK$17,B57=$AK$18,B57=$AK$19,B57=$AK$20,B57=$AK$21,B57=$AK$22,B57=$AK$23,B57=$AK$24),0,IF(AW58="","",AW58))),"")</f>
        <v>2952</v>
      </c>
      <c r="J57" s="84">
        <f t="shared" si="9"/>
        <v>46125</v>
      </c>
      <c r="K57" s="84">
        <f>IFERROR(IF(B57="","",IF(C57="","",IF(G57="","",IF($B57="TOTAL",SUM($K$8:K56),SUM(C57-G57))))),"")</f>
        <v>1100</v>
      </c>
      <c r="L57" s="84">
        <f>IFERROR(IF(B57="","",IF(D57="","",IF(H57="","",IF($B57="TOTAL",SUM($L$8:L56),SUM(D57-H57))))),"")</f>
        <v>187</v>
      </c>
      <c r="M57" s="84">
        <f>IFERROR(IF(B57="","",IF(E57="","",IF(I57="","",IF($B57="TOTAL",SUM($M$8:M56),SUM(E57-I57))))),"")</f>
        <v>88</v>
      </c>
      <c r="N57" s="84">
        <f t="shared" si="10"/>
        <v>1375</v>
      </c>
      <c r="O57" s="84">
        <f>IFERROR(IF(B57="","",IF($B57="TOTAL",SUM($O$8:O56),IF($AM$18=$AM$20,AX58,ROUND((C57+D57)*10%,0)))),"")</f>
        <v>4446</v>
      </c>
      <c r="P57" s="84">
        <f>IFERROR(IF(B57="","",IF(G57="","",IF(H57="","",IF($B57="TOTAL",SUM($P$8:P56),IF($AM$18=$AM$20,$AM$21,ROUND((G57+H57)*10%,0)))))),"")</f>
        <v>4317</v>
      </c>
      <c r="Q57" s="84">
        <f t="shared" si="11"/>
        <v>129</v>
      </c>
      <c r="R57" s="85">
        <f>IFERROR(IF(B57="","",IF($AM$16=$AM$17,0,IF($B57="TOTAL",SUM($R$8:R56),IF($AM$19=$AM$31,0,IF(AND($AM$32=$AM$20,B57=$AM$33),$AM$34,R56))))),"")</f>
        <v>2100</v>
      </c>
      <c r="S57" s="85">
        <f>IFERROR(IF(B57="","",IF($AM$16=$AM$17,0,IF($B57="TOTAL",SUM($S$8:S56),IF($AM$19=$AM$20,$AM$24,0)))),"")</f>
        <v>2100</v>
      </c>
      <c r="T57" s="84">
        <f t="shared" si="12"/>
        <v>0</v>
      </c>
      <c r="U57" s="84" t="str">
        <f>IF(B57="","",IF($B57="TOTAL",SUM($U$8:U56),IF(AND($AM$2=$AM$20,B57=$AM$1),ROUND(C57/31*$AN$2,0),IF(B57=$AK$6,ROUND((F57)*1/30,0),IF(B57=$AL$6,ROUND((F57)*1/31,0),"")))))</f>
        <v/>
      </c>
      <c r="V57" s="84" t="str">
        <f>IF(B57="","",IF($B57="TOTAL",SUM($V$8:V56),IF(AND($AM$2=$AM$20,B57=$AM$1),ROUND(G57/31*$AN$2,0),IF(B57=$AK$6,ROUND((J57)*1/30,0),IF(B57=$AL$6,ROUND((J57)*1/31,0),"")))))</f>
        <v/>
      </c>
      <c r="W57" s="84" t="str">
        <f t="shared" si="13"/>
        <v/>
      </c>
      <c r="X57" s="84">
        <f>IFERROR(IF(B57="","",IF($B57="TOTAL",SUM($X$8:X56),ROUND(N57*$AM$7%,0))),"")</f>
        <v>138</v>
      </c>
      <c r="Y57" s="84">
        <f>IFERROR(IF(B57="","",IF($B57="TOTAL",SUM($Y$8:Y56),SUM(Q57,T57,W57,X57))),"")</f>
        <v>267</v>
      </c>
      <c r="Z57" s="86">
        <f>IFERROR(IF(B57="","",IF($B57="TOTAL",SUM($Z$8:Z56),SUM(N57-Y57))),"")</f>
        <v>1108</v>
      </c>
      <c r="AJ57" s="113">
        <f t="shared" si="18"/>
        <v>17</v>
      </c>
      <c r="AL57" s="115">
        <v>44197</v>
      </c>
      <c r="AN57" s="115">
        <f t="shared" si="29"/>
        <v>44197</v>
      </c>
      <c r="AO57" s="115">
        <f t="shared" si="15"/>
        <v>44197</v>
      </c>
      <c r="AP57" s="115">
        <f t="shared" si="19"/>
        <v>44197</v>
      </c>
      <c r="AQ57" s="114">
        <f t="shared" si="27"/>
        <v>38000</v>
      </c>
      <c r="AR57" s="114">
        <f t="shared" si="20"/>
        <v>6460</v>
      </c>
      <c r="AS57" s="114">
        <f t="shared" si="21"/>
        <v>3040</v>
      </c>
      <c r="AU57" s="114">
        <f t="shared" si="28"/>
        <v>36900</v>
      </c>
      <c r="AV57" s="114">
        <f t="shared" si="22"/>
        <v>6273</v>
      </c>
      <c r="AW57" s="114">
        <f t="shared" si="23"/>
        <v>2952</v>
      </c>
      <c r="AX57" s="114">
        <f t="shared" si="24"/>
        <v>3200</v>
      </c>
      <c r="BA57" s="149">
        <f t="shared" si="25"/>
        <v>1037</v>
      </c>
      <c r="BB57" s="114">
        <f t="shared" si="26"/>
        <v>3200</v>
      </c>
    </row>
    <row r="58" spans="1:54" ht="21" customHeight="1">
      <c r="A58" s="82">
        <f t="shared" si="7"/>
        <v>51</v>
      </c>
      <c r="B58" s="83">
        <f t="shared" si="16"/>
        <v>44256</v>
      </c>
      <c r="C58" s="84">
        <f>IFERROR(IF($B57="TOTAL","अक्षरें राशि :-",IF($B58="TOTAL",SUM($C$8:C57),IF(AQ59="","",AQ59))),"")</f>
        <v>38000</v>
      </c>
      <c r="D58" s="84">
        <f>IFERROR(IF($B58="TOTAL",SUM($D$8:D57),IF(AR59="","",AR59)),"")</f>
        <v>6460</v>
      </c>
      <c r="E58" s="84">
        <f>IFERROR(IF($B58="TOTAL",SUM($E$8:E57),IF(OR(B58=$AK$16,B58=$AK$17,B58=$AK$18,B58=$AK$19,B58=$AK$20,B58=$AK$21,B58=$AK$22,B58=$AK$23,B58=$AK$24),0,IF(AS59="","",AS59))),"")</f>
        <v>3040</v>
      </c>
      <c r="F58" s="84">
        <f t="shared" si="17"/>
        <v>47500</v>
      </c>
      <c r="G58" s="84">
        <f>IFERROR(IF($B58="TOTAL",SUM($G$8:G57),IF(AU59="","",AU59)),"")</f>
        <v>36900</v>
      </c>
      <c r="H58" s="84">
        <f>IFERROR(IF($B58="TOTAL",SUM($H$8:H57),IF(AV59="","",AV59)),"")</f>
        <v>6273</v>
      </c>
      <c r="I58" s="84">
        <f>IFERROR(IF($B58="TOTAL",SUM($I$8:I57),IF(OR(B58=$AK$16,B58=$AK$17,B58=$AK$18,B58=$AK$19,B58=$AK$20,B58=$AK$21,B58=$AK$22,B58=$AK$23,B58=$AK$24),0,IF(AW59="","",AW59))),"")</f>
        <v>2952</v>
      </c>
      <c r="J58" s="84">
        <f t="shared" si="9"/>
        <v>46125</v>
      </c>
      <c r="K58" s="84">
        <f>IFERROR(IF(B58="","",IF(C58="","",IF(G58="","",IF($B58="TOTAL",SUM($K$8:K57),SUM(C58-G58))))),"")</f>
        <v>1100</v>
      </c>
      <c r="L58" s="84">
        <f>IFERROR(IF(B58="","",IF(D58="","",IF(H58="","",IF($B58="TOTAL",SUM($L$8:L57),SUM(D58-H58))))),"")</f>
        <v>187</v>
      </c>
      <c r="M58" s="84">
        <f>IFERROR(IF(B58="","",IF(E58="","",IF(I58="","",IF($B58="TOTAL",SUM($M$8:M57),SUM(E58-I58))))),"")</f>
        <v>88</v>
      </c>
      <c r="N58" s="84">
        <f t="shared" si="10"/>
        <v>1375</v>
      </c>
      <c r="O58" s="84">
        <f>IFERROR(IF(B58="","",IF($B58="TOTAL",SUM($O$8:O57),IF($AM$18=$AM$20,AX59,ROUND((C58+D58)*10%,0)))),"")</f>
        <v>4446</v>
      </c>
      <c r="P58" s="84">
        <f>IFERROR(IF(B58="","",IF(G58="","",IF(H58="","",IF($B58="TOTAL",SUM($P$8:P57),IF($AM$18=$AM$20,$AM$21,ROUND((G58+H58)*10%,0)))))),"")</f>
        <v>4317</v>
      </c>
      <c r="Q58" s="84">
        <f t="shared" si="11"/>
        <v>129</v>
      </c>
      <c r="R58" s="85">
        <f>IFERROR(IF(B58="","",IF($AM$16=$AM$17,0,IF($B58="TOTAL",SUM($R$8:R57),IF($AM$19=$AM$31,0,IF(AND($AM$32=$AM$20,B58=$AM$33),$AM$34,R57))))),"")</f>
        <v>2100</v>
      </c>
      <c r="S58" s="85">
        <f>IFERROR(IF(B58="","",IF($AM$16=$AM$17,0,IF($B58="TOTAL",SUM($S$8:S57),IF($AM$19=$AM$20,$AM$24,0)))),"")</f>
        <v>2100</v>
      </c>
      <c r="T58" s="84">
        <f t="shared" si="12"/>
        <v>0</v>
      </c>
      <c r="U58" s="84" t="str">
        <f>IF(B58="","",IF($B58="TOTAL",SUM($U$8:U57),IF(AND($AM$2=$AM$20,B58=$AM$1),ROUND(C58/31*$AN$2,0),IF(B58=$AK$6,ROUND((F58)*1/30,0),IF(B58=$AL$6,ROUND((F58)*1/31,0),"")))))</f>
        <v/>
      </c>
      <c r="V58" s="84" t="str">
        <f>IF(B58="","",IF($B58="TOTAL",SUM($V$8:V57),IF(AND($AM$2=$AM$20,B58=$AM$1),ROUND(G58/31*$AN$2,0),IF(B58=$AK$6,ROUND((J58)*1/30,0),IF(B58=$AL$6,ROUND((J58)*1/31,0),"")))))</f>
        <v/>
      </c>
      <c r="W58" s="84" t="str">
        <f t="shared" si="13"/>
        <v/>
      </c>
      <c r="X58" s="84">
        <f>IFERROR(IF(B58="","",IF($B58="TOTAL",SUM($X$8:X57),ROUND(N58*$AM$7%,0))),"")</f>
        <v>138</v>
      </c>
      <c r="Y58" s="84">
        <f>IFERROR(IF(B58="","",IF($B58="TOTAL",SUM($Y$8:Y57),SUM(Q58,T58,W58,X58))),"")</f>
        <v>267</v>
      </c>
      <c r="Z58" s="86">
        <f>IFERROR(IF(B58="","",IF($B58="TOTAL",SUM($Z$8:Z57),SUM(N58-Y58))),"")</f>
        <v>1108</v>
      </c>
      <c r="AJ58" s="113">
        <f t="shared" si="18"/>
        <v>17</v>
      </c>
      <c r="AL58" s="115">
        <v>44228</v>
      </c>
      <c r="AN58" s="115">
        <f t="shared" si="29"/>
        <v>44228</v>
      </c>
      <c r="AO58" s="115">
        <f t="shared" si="15"/>
        <v>44228</v>
      </c>
      <c r="AP58" s="115">
        <f t="shared" si="19"/>
        <v>44228</v>
      </c>
      <c r="AQ58" s="114">
        <f t="shared" si="27"/>
        <v>38000</v>
      </c>
      <c r="AR58" s="114">
        <f t="shared" si="20"/>
        <v>6460</v>
      </c>
      <c r="AS58" s="114">
        <f t="shared" si="21"/>
        <v>3040</v>
      </c>
      <c r="AU58" s="114">
        <f t="shared" si="28"/>
        <v>36900</v>
      </c>
      <c r="AV58" s="114">
        <f t="shared" si="22"/>
        <v>6273</v>
      </c>
      <c r="AW58" s="114">
        <f t="shared" si="23"/>
        <v>2952</v>
      </c>
      <c r="AX58" s="114">
        <f t="shared" si="24"/>
        <v>3200</v>
      </c>
      <c r="BA58" s="149">
        <f t="shared" si="25"/>
        <v>1037</v>
      </c>
      <c r="BB58" s="114">
        <f t="shared" si="26"/>
        <v>3200</v>
      </c>
    </row>
    <row r="59" spans="1:54" ht="21" customHeight="1">
      <c r="A59" s="82">
        <f t="shared" si="7"/>
        <v>52</v>
      </c>
      <c r="B59" s="83">
        <f t="shared" si="16"/>
        <v>44287</v>
      </c>
      <c r="C59" s="84">
        <f>IFERROR(IF($B58="TOTAL","अक्षरें राशि :-",IF($B59="TOTAL",SUM($C$8:C58),IF(AQ60="","",AQ60))),"")</f>
        <v>38000</v>
      </c>
      <c r="D59" s="84">
        <f>IFERROR(IF($B59="TOTAL",SUM($D$8:D58),IF(AR60="","",AR60)),"")</f>
        <v>6460</v>
      </c>
      <c r="E59" s="84">
        <f>IFERROR(IF($B59="TOTAL",SUM($E$8:E58),IF(OR(B59=$AK$16,B59=$AK$17,B59=$AK$18,B59=$AK$19,B59=$AK$20,B59=$AK$21,B59=$AK$22,B59=$AK$23,B59=$AK$24),0,IF(AS60="","",AS60))),"")</f>
        <v>3040</v>
      </c>
      <c r="F59" s="84">
        <f t="shared" si="17"/>
        <v>47500</v>
      </c>
      <c r="G59" s="84">
        <f>IFERROR(IF($B59="TOTAL",SUM($G$8:G58),IF(AU60="","",AU60)),"")</f>
        <v>36900</v>
      </c>
      <c r="H59" s="84">
        <f>IFERROR(IF($B59="TOTAL",SUM($H$8:H58),IF(AV60="","",AV60)),"")</f>
        <v>6273</v>
      </c>
      <c r="I59" s="84">
        <f>IFERROR(IF($B59="TOTAL",SUM($I$8:I58),IF(OR(B59=$AK$16,B59=$AK$17,B59=$AK$18,B59=$AK$19,B59=$AK$20,B59=$AK$21,B59=$AK$22,B59=$AK$23,B59=$AK$24),0,IF(AW60="","",AW60))),"")</f>
        <v>2952</v>
      </c>
      <c r="J59" s="84">
        <f t="shared" si="9"/>
        <v>46125</v>
      </c>
      <c r="K59" s="84">
        <f>IFERROR(IF(B59="","",IF(C59="","",IF(G59="","",IF($B59="TOTAL",SUM($K$8:K58),SUM(C59-G59))))),"")</f>
        <v>1100</v>
      </c>
      <c r="L59" s="84">
        <f>IFERROR(IF(B59="","",IF(D59="","",IF(H59="","",IF($B59="TOTAL",SUM($L$8:L58),SUM(D59-H59))))),"")</f>
        <v>187</v>
      </c>
      <c r="M59" s="84">
        <f>IFERROR(IF(B59="","",IF(E59="","",IF(I59="","",IF($B59="TOTAL",SUM($M$8:M58),SUM(E59-I59))))),"")</f>
        <v>88</v>
      </c>
      <c r="N59" s="84">
        <f t="shared" si="10"/>
        <v>1375</v>
      </c>
      <c r="O59" s="84">
        <f>IFERROR(IF(B59="","",IF($B59="TOTAL",SUM($O$8:O58),IF($AM$18=$AM$20,AX60,ROUND((C59+D59)*10%,0)))),"")</f>
        <v>4446</v>
      </c>
      <c r="P59" s="84">
        <f>IFERROR(IF(B59="","",IF(G59="","",IF(H59="","",IF($B59="TOTAL",SUM($P$8:P58),IF($AM$18=$AM$20,$AM$21,ROUND((G59+H59)*10%,0)))))),"")</f>
        <v>4317</v>
      </c>
      <c r="Q59" s="84">
        <f t="shared" si="11"/>
        <v>129</v>
      </c>
      <c r="R59" s="85">
        <f>IFERROR(IF(B59="","",IF($AM$16=$AM$17,0,IF($B59="TOTAL",SUM($R$8:R58),IF($AM$19=$AM$31,0,IF(AND($AM$32=$AM$20,B59=$AM$33),$AM$34,R58))))),"")</f>
        <v>2100</v>
      </c>
      <c r="S59" s="85">
        <f>IFERROR(IF(B59="","",IF($AM$16=$AM$17,0,IF($B59="TOTAL",SUM($S$8:S58),IF($AM$19=$AM$20,$AM$24,0)))),"")</f>
        <v>2100</v>
      </c>
      <c r="T59" s="84">
        <f t="shared" si="12"/>
        <v>0</v>
      </c>
      <c r="U59" s="84" t="str">
        <f>IF(B59="","",IF($B59="TOTAL",SUM($U$8:U58),IF(AND($AM$2=$AM$20,B59=$AM$1),ROUND(C59/31*$AN$2,0),IF(B59=$AK$6,ROUND((F59)*1/30,0),IF(B59=$AL$6,ROUND((F59)*1/31,0),"")))))</f>
        <v/>
      </c>
      <c r="V59" s="84" t="str">
        <f>IF(B59="","",IF($B59="TOTAL",SUM($V$8:V58),IF(AND($AM$2=$AM$20,B59=$AM$1),ROUND(G59/31*$AN$2,0),IF(B59=$AK$6,ROUND((J59)*1/30,0),IF(B59=$AL$6,ROUND((J59)*1/31,0),"")))))</f>
        <v/>
      </c>
      <c r="W59" s="84" t="str">
        <f t="shared" si="13"/>
        <v/>
      </c>
      <c r="X59" s="84">
        <f>IFERROR(IF(B59="","",IF($B59="TOTAL",SUM($X$8:X58),ROUND(N59*$AM$7%,0))),"")</f>
        <v>138</v>
      </c>
      <c r="Y59" s="84">
        <f>IFERROR(IF(B59="","",IF($B59="TOTAL",SUM($Y$8:Y58),SUM(Q59,T59,W59,X59))),"")</f>
        <v>267</v>
      </c>
      <c r="Z59" s="86">
        <f>IFERROR(IF(B59="","",IF($B59="TOTAL",SUM($Z$8:Z58),SUM(N59-Y59))),"")</f>
        <v>1108</v>
      </c>
      <c r="AJ59" s="113">
        <f t="shared" si="18"/>
        <v>17</v>
      </c>
      <c r="AL59" s="115">
        <v>44256</v>
      </c>
      <c r="AN59" s="115">
        <f t="shared" si="29"/>
        <v>44256</v>
      </c>
      <c r="AO59" s="115">
        <f t="shared" si="15"/>
        <v>44256</v>
      </c>
      <c r="AP59" s="115">
        <f t="shared" si="19"/>
        <v>44256</v>
      </c>
      <c r="AQ59" s="114">
        <f t="shared" si="27"/>
        <v>38000</v>
      </c>
      <c r="AR59" s="114">
        <f t="shared" si="20"/>
        <v>6460</v>
      </c>
      <c r="AS59" s="114">
        <f t="shared" si="21"/>
        <v>3040</v>
      </c>
      <c r="AU59" s="114">
        <f t="shared" si="28"/>
        <v>36900</v>
      </c>
      <c r="AV59" s="114">
        <f t="shared" si="22"/>
        <v>6273</v>
      </c>
      <c r="AW59" s="114">
        <f t="shared" si="23"/>
        <v>2952</v>
      </c>
      <c r="AX59" s="114">
        <f t="shared" si="24"/>
        <v>3200</v>
      </c>
      <c r="BA59" s="149">
        <f t="shared" si="25"/>
        <v>1037</v>
      </c>
      <c r="BB59" s="114">
        <f t="shared" si="26"/>
        <v>3200</v>
      </c>
    </row>
    <row r="60" spans="1:54" ht="21" customHeight="1">
      <c r="A60" s="82">
        <f t="shared" si="7"/>
        <v>53</v>
      </c>
      <c r="B60" s="83">
        <f t="shared" si="16"/>
        <v>44317</v>
      </c>
      <c r="C60" s="84">
        <f>IFERROR(IF($B59="TOTAL","अक्षरें राशि :-",IF($B60="TOTAL",SUM($C$8:C59),IF(AQ61="","",AQ61))),"")</f>
        <v>38000</v>
      </c>
      <c r="D60" s="84">
        <f>IFERROR(IF($B60="TOTAL",SUM($D$8:D59),IF(AR61="","",AR61)),"")</f>
        <v>6460</v>
      </c>
      <c r="E60" s="84">
        <f>IFERROR(IF($B60="TOTAL",SUM($E$8:E59),IF(OR(B60=$AK$16,B60=$AK$17,B60=$AK$18,B60=$AK$19,B60=$AK$20,B60=$AK$21,B60=$AK$22,B60=$AK$23,B60=$AK$24),0,IF(AS61="","",AS61))),"")</f>
        <v>3040</v>
      </c>
      <c r="F60" s="84">
        <f t="shared" si="17"/>
        <v>47500</v>
      </c>
      <c r="G60" s="84">
        <f>IFERROR(IF($B60="TOTAL",SUM($G$8:G59),IF(AU61="","",AU61)),"")</f>
        <v>36900</v>
      </c>
      <c r="H60" s="84">
        <f>IFERROR(IF($B60="TOTAL",SUM($H$8:H59),IF(AV61="","",AV61)),"")</f>
        <v>6273</v>
      </c>
      <c r="I60" s="84">
        <f>IFERROR(IF($B60="TOTAL",SUM($I$8:I59),IF(OR(B60=$AK$16,B60=$AK$17,B60=$AK$18,B60=$AK$19,B60=$AK$20,B60=$AK$21,B60=$AK$22,B60=$AK$23,B60=$AK$24),0,IF(AW61="","",AW61))),"")</f>
        <v>2952</v>
      </c>
      <c r="J60" s="84">
        <f t="shared" si="9"/>
        <v>46125</v>
      </c>
      <c r="K60" s="84">
        <f>IFERROR(IF(B60="","",IF(C60="","",IF(G60="","",IF($B60="TOTAL",SUM($K$8:K59),SUM(C60-G60))))),"")</f>
        <v>1100</v>
      </c>
      <c r="L60" s="84">
        <f>IFERROR(IF(B60="","",IF(D60="","",IF(H60="","",IF($B60="TOTAL",SUM($L$8:L59),SUM(D60-H60))))),"")</f>
        <v>187</v>
      </c>
      <c r="M60" s="84">
        <f>IFERROR(IF(B60="","",IF(E60="","",IF(I60="","",IF($B60="TOTAL",SUM($M$8:M59),SUM(E60-I60))))),"")</f>
        <v>88</v>
      </c>
      <c r="N60" s="84">
        <f t="shared" si="10"/>
        <v>1375</v>
      </c>
      <c r="O60" s="84">
        <f>IFERROR(IF(B60="","",IF($B60="TOTAL",SUM($O$8:O59),IF($AM$18=$AM$20,AX61,ROUND((C60+D60)*10%,0)))),"")</f>
        <v>4446</v>
      </c>
      <c r="P60" s="84">
        <f>IFERROR(IF(B60="","",IF(G60="","",IF(H60="","",IF($B60="TOTAL",SUM($P$8:P59),IF($AM$18=$AM$20,$AM$21,ROUND((G60+H60)*10%,0)))))),"")</f>
        <v>4317</v>
      </c>
      <c r="Q60" s="84">
        <f t="shared" si="11"/>
        <v>129</v>
      </c>
      <c r="R60" s="85">
        <f>IFERROR(IF(B60="","",IF($AM$16=$AM$17,0,IF($B60="TOTAL",SUM($R$8:R59),IF($AM$19=$AM$31,0,IF(AND($AM$32=$AM$20,B60=$AM$33),$AM$34,R59))))),"")</f>
        <v>2100</v>
      </c>
      <c r="S60" s="85">
        <f>IFERROR(IF(B60="","",IF($AM$16=$AM$17,0,IF($B60="TOTAL",SUM($S$8:S59),IF($AM$19=$AM$20,$AM$24,0)))),"")</f>
        <v>2100</v>
      </c>
      <c r="T60" s="84">
        <f t="shared" si="12"/>
        <v>0</v>
      </c>
      <c r="U60" s="84" t="str">
        <f>IF(B60="","",IF($B60="TOTAL",SUM($U$8:U59),IF(AND($AM$2=$AM$20,B60=$AM$1),ROUND(C60/31*$AN$2,0),IF(B60=$AK$6,ROUND((F60)*1/30,0),IF(B60=$AL$6,ROUND((F60)*1/31,0),"")))))</f>
        <v/>
      </c>
      <c r="V60" s="84" t="str">
        <f>IF(B60="","",IF($B60="TOTAL",SUM($V$8:V59),IF(AND($AM$2=$AM$20,B60=$AM$1),ROUND(G60/31*$AN$2,0),IF(B60=$AK$6,ROUND((J60)*1/30,0),IF(B60=$AL$6,ROUND((J60)*1/31,0),"")))))</f>
        <v/>
      </c>
      <c r="W60" s="84" t="str">
        <f t="shared" si="13"/>
        <v/>
      </c>
      <c r="X60" s="84">
        <f>IFERROR(IF(B60="","",IF($B60="TOTAL",SUM($X$8:X59),ROUND(N60*$AM$7%,0))),"")</f>
        <v>138</v>
      </c>
      <c r="Y60" s="84">
        <f>IFERROR(IF(B60="","",IF($B60="TOTAL",SUM($Y$8:Y59),SUM(Q60,T60,W60,X60))),"")</f>
        <v>267</v>
      </c>
      <c r="Z60" s="86">
        <f>IFERROR(IF(B60="","",IF($B60="TOTAL",SUM($Z$8:Z59),SUM(N60-Y60))),"")</f>
        <v>1108</v>
      </c>
      <c r="AJ60" s="113">
        <f t="shared" si="18"/>
        <v>17</v>
      </c>
      <c r="AL60" s="115">
        <v>44287</v>
      </c>
      <c r="AN60" s="115">
        <f t="shared" si="29"/>
        <v>44287</v>
      </c>
      <c r="AO60" s="115">
        <f t="shared" si="15"/>
        <v>44287</v>
      </c>
      <c r="AP60" s="115">
        <f t="shared" si="19"/>
        <v>44287</v>
      </c>
      <c r="AQ60" s="114">
        <f t="shared" si="27"/>
        <v>38000</v>
      </c>
      <c r="AR60" s="114">
        <f t="shared" si="20"/>
        <v>6460</v>
      </c>
      <c r="AS60" s="114">
        <f t="shared" si="21"/>
        <v>3040</v>
      </c>
      <c r="AU60" s="114">
        <f t="shared" si="28"/>
        <v>36900</v>
      </c>
      <c r="AV60" s="114">
        <f t="shared" si="22"/>
        <v>6273</v>
      </c>
      <c r="AW60" s="114">
        <f t="shared" si="23"/>
        <v>2952</v>
      </c>
      <c r="AX60" s="114">
        <f t="shared" si="24"/>
        <v>3200</v>
      </c>
      <c r="BA60" s="149">
        <f t="shared" si="25"/>
        <v>1037</v>
      </c>
      <c r="BB60" s="114">
        <f t="shared" si="26"/>
        <v>3200</v>
      </c>
    </row>
    <row r="61" spans="1:54" ht="21" customHeight="1">
      <c r="A61" s="82">
        <f t="shared" si="7"/>
        <v>54</v>
      </c>
      <c r="B61" s="83">
        <f t="shared" si="16"/>
        <v>44348</v>
      </c>
      <c r="C61" s="84">
        <f>IFERROR(IF($B60="TOTAL","अक्षरें राशि :-",IF($B61="TOTAL",SUM($C$8:C60),IF(AQ62="","",AQ62))),"")</f>
        <v>38000</v>
      </c>
      <c r="D61" s="84">
        <f>IFERROR(IF($B61="TOTAL",SUM($D$8:D60),IF(AR62="","",AR62)),"")</f>
        <v>6460</v>
      </c>
      <c r="E61" s="84">
        <f>IFERROR(IF($B61="TOTAL",SUM($E$8:E60),IF(OR(B61=$AK$16,B61=$AK$17,B61=$AK$18,B61=$AK$19,B61=$AK$20,B61=$AK$21,B61=$AK$22,B61=$AK$23,B61=$AK$24),0,IF(AS62="","",AS62))),"")</f>
        <v>3040</v>
      </c>
      <c r="F61" s="84">
        <f t="shared" si="17"/>
        <v>47500</v>
      </c>
      <c r="G61" s="84">
        <f>IFERROR(IF($B61="TOTAL",SUM($G$8:G60),IF(AU62="","",AU62)),"")</f>
        <v>36900</v>
      </c>
      <c r="H61" s="84">
        <f>IFERROR(IF($B61="TOTAL",SUM($H$8:H60),IF(AV62="","",AV62)),"")</f>
        <v>6273</v>
      </c>
      <c r="I61" s="84">
        <f>IFERROR(IF($B61="TOTAL",SUM($I$8:I60),IF(OR(B61=$AK$16,B61=$AK$17,B61=$AK$18,B61=$AK$19,B61=$AK$20,B61=$AK$21,B61=$AK$22,B61=$AK$23,B61=$AK$24),0,IF(AW62="","",AW62))),"")</f>
        <v>2952</v>
      </c>
      <c r="J61" s="84">
        <f t="shared" si="9"/>
        <v>46125</v>
      </c>
      <c r="K61" s="84">
        <f>IFERROR(IF(B61="","",IF(C61="","",IF(G61="","",IF($B61="TOTAL",SUM($K$8:K60),SUM(C61-G61))))),"")</f>
        <v>1100</v>
      </c>
      <c r="L61" s="84">
        <f>IFERROR(IF(B61="","",IF(D61="","",IF(H61="","",IF($B61="TOTAL",SUM($L$8:L60),SUM(D61-H61))))),"")</f>
        <v>187</v>
      </c>
      <c r="M61" s="84">
        <f>IFERROR(IF(B61="","",IF(E61="","",IF(I61="","",IF($B61="TOTAL",SUM($M$8:M60),SUM(E61-I61))))),"")</f>
        <v>88</v>
      </c>
      <c r="N61" s="84">
        <f t="shared" si="10"/>
        <v>1375</v>
      </c>
      <c r="O61" s="84">
        <f>IFERROR(IF(B61="","",IF($B61="TOTAL",SUM($O$8:O60),IF($AM$18=$AM$20,AX62,ROUND((C61+D61)*10%,0)))),"")</f>
        <v>4446</v>
      </c>
      <c r="P61" s="84">
        <f>IFERROR(IF(B61="","",IF(G61="","",IF(H61="","",IF($B61="TOTAL",SUM($P$8:P60),IF($AM$18=$AM$20,$AM$21,ROUND((G61+H61)*10%,0)))))),"")</f>
        <v>4317</v>
      </c>
      <c r="Q61" s="84">
        <f t="shared" si="11"/>
        <v>129</v>
      </c>
      <c r="R61" s="85">
        <f>IFERROR(IF(B61="","",IF($AM$16=$AM$17,0,IF($B61="TOTAL",SUM($R$8:R60),IF($AM$19=$AM$31,0,IF(AND($AM$32=$AM$20,B61=$AM$33),$AM$34,R60))))),"")</f>
        <v>2100</v>
      </c>
      <c r="S61" s="85">
        <f>IFERROR(IF(B61="","",IF($AM$16=$AM$17,0,IF($B61="TOTAL",SUM($S$8:S60),IF($AM$19=$AM$20,$AM$24,0)))),"")</f>
        <v>2100</v>
      </c>
      <c r="T61" s="84">
        <f t="shared" si="12"/>
        <v>0</v>
      </c>
      <c r="U61" s="84" t="str">
        <f>IF(B61="","",IF($B61="TOTAL",SUM($U$8:U60),IF(AND($AM$2=$AM$20,B61=$AM$1),ROUND(C61/31*$AN$2,0),IF(B61=$AK$6,ROUND((F61)*1/30,0),IF(B61=$AL$6,ROUND((F61)*1/31,0),"")))))</f>
        <v/>
      </c>
      <c r="V61" s="84" t="str">
        <f>IF(B61="","",IF($B61="TOTAL",SUM($V$8:V60),IF(AND($AM$2=$AM$20,B61=$AM$1),ROUND(G61/31*$AN$2,0),IF(B61=$AK$6,ROUND((J61)*1/30,0),IF(B61=$AL$6,ROUND((J61)*1/31,0),"")))))</f>
        <v/>
      </c>
      <c r="W61" s="84" t="str">
        <f t="shared" si="13"/>
        <v/>
      </c>
      <c r="X61" s="84">
        <f>IFERROR(IF(B61="","",IF($B61="TOTAL",SUM($X$8:X60),ROUND(N61*$AM$7%,0))),"")</f>
        <v>138</v>
      </c>
      <c r="Y61" s="84">
        <f>IFERROR(IF(B61="","",IF($B61="TOTAL",SUM($Y$8:Y60),SUM(Q61,T61,W61,X61))),"")</f>
        <v>267</v>
      </c>
      <c r="Z61" s="86">
        <f>IFERROR(IF(B61="","",IF($B61="TOTAL",SUM($Z$8:Z60),SUM(N61-Y61))),"")</f>
        <v>1108</v>
      </c>
      <c r="AJ61" s="113">
        <f t="shared" si="18"/>
        <v>17</v>
      </c>
      <c r="AL61" s="115">
        <v>44317</v>
      </c>
      <c r="AN61" s="115">
        <f t="shared" si="29"/>
        <v>44317</v>
      </c>
      <c r="AO61" s="115">
        <f t="shared" si="15"/>
        <v>44317</v>
      </c>
      <c r="AP61" s="115">
        <f t="shared" si="19"/>
        <v>44317</v>
      </c>
      <c r="AQ61" s="114">
        <f t="shared" si="27"/>
        <v>38000</v>
      </c>
      <c r="AR61" s="114">
        <f t="shared" si="20"/>
        <v>6460</v>
      </c>
      <c r="AS61" s="114">
        <f t="shared" si="21"/>
        <v>3040</v>
      </c>
      <c r="AU61" s="114">
        <f t="shared" si="28"/>
        <v>36900</v>
      </c>
      <c r="AV61" s="114">
        <f t="shared" si="22"/>
        <v>6273</v>
      </c>
      <c r="AW61" s="114">
        <f t="shared" si="23"/>
        <v>2952</v>
      </c>
      <c r="AX61" s="114">
        <f t="shared" si="24"/>
        <v>3200</v>
      </c>
      <c r="BA61" s="149">
        <f t="shared" si="25"/>
        <v>1037</v>
      </c>
      <c r="BB61" s="114">
        <f t="shared" si="26"/>
        <v>3200</v>
      </c>
    </row>
    <row r="62" spans="1:54" ht="21" customHeight="1">
      <c r="A62" s="82">
        <f t="shared" si="7"/>
        <v>55</v>
      </c>
      <c r="B62" s="83">
        <f t="shared" si="16"/>
        <v>44378</v>
      </c>
      <c r="C62" s="84">
        <f>IFERROR(IF($B61="TOTAL","अक्षरें राशि :-",IF($B62="TOTAL",SUM($C$8:C61),IF(AQ63="","",AQ63))),"")</f>
        <v>39100</v>
      </c>
      <c r="D62" s="84">
        <f>IFERROR(IF($B62="TOTAL",SUM($D$8:D61),IF(AR63="","",AR63)),"")</f>
        <v>6647</v>
      </c>
      <c r="E62" s="84">
        <f>IFERROR(IF($B62="TOTAL",SUM($E$8:E61),IF(OR(B62=$AK$16,B62=$AK$17,B62=$AK$18,B62=$AK$19,B62=$AK$20,B62=$AK$21,B62=$AK$22,B62=$AK$23,B62=$AK$24),0,IF(AS63="","",AS63))),"")</f>
        <v>3128</v>
      </c>
      <c r="F62" s="84">
        <f t="shared" si="17"/>
        <v>48875</v>
      </c>
      <c r="G62" s="84">
        <f>IFERROR(IF($B62="TOTAL",SUM($G$8:G61),IF(AU63="","",AU63)),"")</f>
        <v>38000</v>
      </c>
      <c r="H62" s="84">
        <f>IFERROR(IF($B62="TOTAL",SUM($H$8:H61),IF(AV63="","",AV63)),"")</f>
        <v>6460</v>
      </c>
      <c r="I62" s="84">
        <f>IFERROR(IF($B62="TOTAL",SUM($I$8:I61),IF(OR(B62=$AK$16,B62=$AK$17,B62=$AK$18,B62=$AK$19,B62=$AK$20,B62=$AK$21,B62=$AK$22,B62=$AK$23,B62=$AK$24),0,IF(AW63="","",AW63))),"")</f>
        <v>3040</v>
      </c>
      <c r="J62" s="84">
        <f t="shared" si="9"/>
        <v>47500</v>
      </c>
      <c r="K62" s="84">
        <f>IFERROR(IF(B62="","",IF(C62="","",IF(G62="","",IF($B62="TOTAL",SUM($K$8:K61),SUM(C62-G62))))),"")</f>
        <v>1100</v>
      </c>
      <c r="L62" s="84">
        <f>IFERROR(IF(B62="","",IF(D62="","",IF(H62="","",IF($B62="TOTAL",SUM($L$8:L61),SUM(D62-H62))))),"")</f>
        <v>187</v>
      </c>
      <c r="M62" s="84">
        <f>IFERROR(IF(B62="","",IF(E62="","",IF(I62="","",IF($B62="TOTAL",SUM($M$8:M61),SUM(E62-I62))))),"")</f>
        <v>88</v>
      </c>
      <c r="N62" s="84">
        <f t="shared" si="10"/>
        <v>1375</v>
      </c>
      <c r="O62" s="84">
        <f>IFERROR(IF(B62="","",IF($B62="TOTAL",SUM($O$8:O61),IF($AM$18=$AM$20,AX63,ROUND((C62+D62)*10%,0)))),"")</f>
        <v>4575</v>
      </c>
      <c r="P62" s="84">
        <f>IFERROR(IF(B62="","",IF(G62="","",IF(H62="","",IF($B62="TOTAL",SUM($P$8:P61),IF($AM$18=$AM$20,$AM$21,ROUND((G62+H62)*10%,0)))))),"")</f>
        <v>4446</v>
      </c>
      <c r="Q62" s="84">
        <f t="shared" si="11"/>
        <v>129</v>
      </c>
      <c r="R62" s="85">
        <f>IFERROR(IF(B62="","",IF($AM$16=$AM$17,0,IF($B62="TOTAL",SUM($R$8:R61),IF($AM$19=$AM$31,0,IF(AND($AM$32=$AM$20,B62=$AM$33),$AM$34,R61))))),"")</f>
        <v>2100</v>
      </c>
      <c r="S62" s="85">
        <f>IFERROR(IF(B62="","",IF($AM$16=$AM$17,0,IF($B62="TOTAL",SUM($S$8:S61),IF($AM$19=$AM$20,$AM$24,0)))),"")</f>
        <v>2100</v>
      </c>
      <c r="T62" s="84">
        <f t="shared" si="12"/>
        <v>0</v>
      </c>
      <c r="U62" s="84" t="str">
        <f>IF(B62="","",IF($B62="TOTAL",SUM($U$8:U61),IF(AND($AM$2=$AM$20,B62=$AM$1),ROUND(C62/31*$AN$2,0),IF(B62=$AK$6,ROUND((F62)*1/30,0),IF(B62=$AL$6,ROUND((F62)*1/31,0),"")))))</f>
        <v/>
      </c>
      <c r="V62" s="84" t="str">
        <f>IF(B62="","",IF($B62="TOTAL",SUM($V$8:V61),IF(AND($AM$2=$AM$20,B62=$AM$1),ROUND(G62/31*$AN$2,0),IF(B62=$AK$6,ROUND((J62)*1/30,0),IF(B62=$AL$6,ROUND((J62)*1/31,0),"")))))</f>
        <v/>
      </c>
      <c r="W62" s="84" t="str">
        <f t="shared" si="13"/>
        <v/>
      </c>
      <c r="X62" s="84">
        <f>IFERROR(IF(B62="","",IF($B62="TOTAL",SUM($X$8:X61),ROUND(N62*$AM$7%,0))),"")</f>
        <v>138</v>
      </c>
      <c r="Y62" s="84">
        <f>IFERROR(IF(B62="","",IF($B62="TOTAL",SUM($Y$8:Y61),SUM(Q62,T62,W62,X62))),"")</f>
        <v>267</v>
      </c>
      <c r="Z62" s="86">
        <f>IFERROR(IF(B62="","",IF($B62="TOTAL",SUM($Z$8:Z61),SUM(N62-Y62))),"")</f>
        <v>1108</v>
      </c>
      <c r="AJ62" s="113">
        <f t="shared" si="18"/>
        <v>17</v>
      </c>
      <c r="AL62" s="115">
        <v>44348</v>
      </c>
      <c r="AN62" s="115">
        <f t="shared" si="29"/>
        <v>44348</v>
      </c>
      <c r="AO62" s="115">
        <f t="shared" si="15"/>
        <v>44348</v>
      </c>
      <c r="AP62" s="115">
        <f t="shared" si="19"/>
        <v>44348</v>
      </c>
      <c r="AQ62" s="114">
        <f t="shared" si="27"/>
        <v>38000</v>
      </c>
      <c r="AR62" s="114">
        <f t="shared" si="20"/>
        <v>6460</v>
      </c>
      <c r="AS62" s="114">
        <f t="shared" si="21"/>
        <v>3040</v>
      </c>
      <c r="AU62" s="114">
        <f t="shared" si="28"/>
        <v>36900</v>
      </c>
      <c r="AV62" s="114">
        <f t="shared" si="22"/>
        <v>6273</v>
      </c>
      <c r="AW62" s="114">
        <f t="shared" si="23"/>
        <v>2952</v>
      </c>
      <c r="AX62" s="114">
        <f t="shared" si="24"/>
        <v>3200</v>
      </c>
      <c r="BA62" s="149">
        <f t="shared" si="25"/>
        <v>1037</v>
      </c>
      <c r="BB62" s="114">
        <f t="shared" si="26"/>
        <v>3200</v>
      </c>
    </row>
    <row r="63" spans="1:54" ht="21" customHeight="1">
      <c r="A63" s="82">
        <f t="shared" si="7"/>
        <v>56</v>
      </c>
      <c r="B63" s="83">
        <f t="shared" si="16"/>
        <v>44409</v>
      </c>
      <c r="C63" s="84">
        <f>IFERROR(IF($B62="TOTAL","अक्षरें राशि :-",IF($B63="TOTAL",SUM($C$8:C62),IF(AQ64="","",AQ64))),"")</f>
        <v>39100</v>
      </c>
      <c r="D63" s="84">
        <f>IFERROR(IF($B63="TOTAL",SUM($D$8:D62),IF(AR64="","",AR64)),"")</f>
        <v>6647</v>
      </c>
      <c r="E63" s="84">
        <f>IFERROR(IF($B63="TOTAL",SUM($E$8:E62),IF(OR(B63=$AK$16,B63=$AK$17,B63=$AK$18,B63=$AK$19,B63=$AK$20,B63=$AK$21,B63=$AK$22,B63=$AK$23,B63=$AK$24),0,IF(AS64="","",AS64))),"")</f>
        <v>3128</v>
      </c>
      <c r="F63" s="84">
        <f t="shared" si="17"/>
        <v>48875</v>
      </c>
      <c r="G63" s="84">
        <f>IFERROR(IF($B63="TOTAL",SUM($G$8:G62),IF(AU64="","",AU64)),"")</f>
        <v>38000</v>
      </c>
      <c r="H63" s="84">
        <f>IFERROR(IF($B63="TOTAL",SUM($H$8:H62),IF(AV64="","",AV64)),"")</f>
        <v>6460</v>
      </c>
      <c r="I63" s="84">
        <f>IFERROR(IF($B63="TOTAL",SUM($I$8:I62),IF(OR(B63=$AK$16,B63=$AK$17,B63=$AK$18,B63=$AK$19,B63=$AK$20,B63=$AK$21,B63=$AK$22,B63=$AK$23,B63=$AK$24),0,IF(AW64="","",AW64))),"")</f>
        <v>3040</v>
      </c>
      <c r="J63" s="84">
        <f t="shared" si="9"/>
        <v>47500</v>
      </c>
      <c r="K63" s="84">
        <f>IFERROR(IF(B63="","",IF(C63="","",IF(G63="","",IF($B63="TOTAL",SUM($K$8:K62),SUM(C63-G63))))),"")</f>
        <v>1100</v>
      </c>
      <c r="L63" s="84">
        <f>IFERROR(IF(B63="","",IF(D63="","",IF(H63="","",IF($B63="TOTAL",SUM($L$8:L62),SUM(D63-H63))))),"")</f>
        <v>187</v>
      </c>
      <c r="M63" s="84">
        <f>IFERROR(IF(B63="","",IF(E63="","",IF(I63="","",IF($B63="TOTAL",SUM($M$8:M62),SUM(E63-I63))))),"")</f>
        <v>88</v>
      </c>
      <c r="N63" s="84">
        <f t="shared" si="10"/>
        <v>1375</v>
      </c>
      <c r="O63" s="84">
        <f>IFERROR(IF(B63="","",IF($B63="TOTAL",SUM($O$8:O62),IF($AM$18=$AM$20,AX64,ROUND((C63+D63)*10%,0)))),"")</f>
        <v>4575</v>
      </c>
      <c r="P63" s="84">
        <f>IFERROR(IF(B63="","",IF(G63="","",IF(H63="","",IF($B63="TOTAL",SUM($P$8:P62),IF($AM$18=$AM$20,$AM$21,ROUND((G63+H63)*10%,0)))))),"")</f>
        <v>4446</v>
      </c>
      <c r="Q63" s="84">
        <f t="shared" si="11"/>
        <v>129</v>
      </c>
      <c r="R63" s="85">
        <f>IFERROR(IF(B63="","",IF($AM$16=$AM$17,0,IF($B63="TOTAL",SUM($R$8:R62),IF($AM$19=$AM$31,0,IF(AND($AM$32=$AM$20,B63=$AM$33),$AM$34,R62))))),"")</f>
        <v>2100</v>
      </c>
      <c r="S63" s="85">
        <f>IFERROR(IF(B63="","",IF($AM$16=$AM$17,0,IF($B63="TOTAL",SUM($S$8:S62),IF($AM$19=$AM$20,$AM$24,0)))),"")</f>
        <v>2100</v>
      </c>
      <c r="T63" s="84">
        <f t="shared" si="12"/>
        <v>0</v>
      </c>
      <c r="U63" s="84" t="str">
        <f>IF(B63="","",IF($B63="TOTAL",SUM($U$8:U62),IF(AND($AM$2=$AM$20,B63=$AM$1),ROUND(C63/31*$AN$2,0),IF(B63=$AK$6,ROUND((F63)*1/30,0),IF(B63=$AL$6,ROUND((F63)*1/31,0),"")))))</f>
        <v/>
      </c>
      <c r="V63" s="84" t="str">
        <f>IF(B63="","",IF($B63="TOTAL",SUM($V$8:V62),IF(AND($AM$2=$AM$20,B63=$AM$1),ROUND(G63/31*$AN$2,0),IF(B63=$AK$6,ROUND((J63)*1/30,0),IF(B63=$AL$6,ROUND((J63)*1/31,0),"")))))</f>
        <v/>
      </c>
      <c r="W63" s="84" t="str">
        <f t="shared" si="13"/>
        <v/>
      </c>
      <c r="X63" s="84">
        <f>IFERROR(IF(B63="","",IF($B63="TOTAL",SUM($X$8:X62),ROUND(N63*$AM$7%,0))),"")</f>
        <v>138</v>
      </c>
      <c r="Y63" s="84">
        <f>IFERROR(IF(B63="","",IF($B63="TOTAL",SUM($Y$8:Y62),SUM(Q63,T63,W63,X63))),"")</f>
        <v>267</v>
      </c>
      <c r="Z63" s="86">
        <f>IFERROR(IF(B63="","",IF($B63="TOTAL",SUM($Z$8:Z62),SUM(N63-Y63))),"")</f>
        <v>1108</v>
      </c>
      <c r="AJ63" s="113">
        <f t="shared" si="18"/>
        <v>17</v>
      </c>
      <c r="AL63" s="115">
        <v>44378</v>
      </c>
      <c r="AN63" s="115">
        <f t="shared" si="29"/>
        <v>44378</v>
      </c>
      <c r="AO63" s="115">
        <f t="shared" si="15"/>
        <v>44378</v>
      </c>
      <c r="AP63" s="115">
        <f t="shared" si="19"/>
        <v>44378</v>
      </c>
      <c r="AQ63" s="114">
        <f t="shared" si="27"/>
        <v>39100</v>
      </c>
      <c r="AR63" s="114">
        <f t="shared" si="20"/>
        <v>6647</v>
      </c>
      <c r="AS63" s="114">
        <f t="shared" si="21"/>
        <v>3128</v>
      </c>
      <c r="AU63" s="114">
        <f t="shared" si="28"/>
        <v>38000</v>
      </c>
      <c r="AV63" s="114">
        <f t="shared" si="22"/>
        <v>6460</v>
      </c>
      <c r="AW63" s="114">
        <f t="shared" si="23"/>
        <v>3040</v>
      </c>
      <c r="AX63" s="114">
        <f t="shared" si="24"/>
        <v>3200</v>
      </c>
      <c r="BA63" s="149">
        <f t="shared" si="25"/>
        <v>1037</v>
      </c>
      <c r="BB63" s="114">
        <f t="shared" si="26"/>
        <v>3200</v>
      </c>
    </row>
    <row r="64" spans="1:54" ht="21" customHeight="1">
      <c r="A64" s="82">
        <f t="shared" si="7"/>
        <v>57</v>
      </c>
      <c r="B64" s="83">
        <f t="shared" si="16"/>
        <v>44440</v>
      </c>
      <c r="C64" s="84">
        <f>IFERROR(IF($B63="TOTAL","अक्षरें राशि :-",IF($B64="TOTAL",SUM($C$8:C63),IF(AQ65="","",AQ65))),"")</f>
        <v>39100</v>
      </c>
      <c r="D64" s="84">
        <f>IFERROR(IF($B64="TOTAL",SUM($D$8:D63),IF(AR65="","",AR65)),"")</f>
        <v>6647</v>
      </c>
      <c r="E64" s="84">
        <f>IFERROR(IF($B64="TOTAL",SUM($E$8:E63),IF(OR(B64=$AK$16,B64=$AK$17,B64=$AK$18,B64=$AK$19,B64=$AK$20,B64=$AK$21,B64=$AK$22,B64=$AK$23,B64=$AK$24),0,IF(AS65="","",AS65))),"")</f>
        <v>3128</v>
      </c>
      <c r="F64" s="84">
        <f t="shared" si="17"/>
        <v>48875</v>
      </c>
      <c r="G64" s="84">
        <f>IFERROR(IF($B64="TOTAL",SUM($G$8:G63),IF(AU65="","",AU65)),"")</f>
        <v>38000</v>
      </c>
      <c r="H64" s="84">
        <f>IFERROR(IF($B64="TOTAL",SUM($H$8:H63),IF(AV65="","",AV65)),"")</f>
        <v>6460</v>
      </c>
      <c r="I64" s="84">
        <f>IFERROR(IF($B64="TOTAL",SUM($I$8:I63),IF(OR(B64=$AK$16,B64=$AK$17,B64=$AK$18,B64=$AK$19,B64=$AK$20,B64=$AK$21,B64=$AK$22,B64=$AK$23,B64=$AK$24),0,IF(AW65="","",AW65))),"")</f>
        <v>3040</v>
      </c>
      <c r="J64" s="84">
        <f t="shared" si="9"/>
        <v>47500</v>
      </c>
      <c r="K64" s="84">
        <f>IFERROR(IF(B64="","",IF(C64="","",IF(G64="","",IF($B64="TOTAL",SUM($K$8:K63),SUM(C64-G64))))),"")</f>
        <v>1100</v>
      </c>
      <c r="L64" s="84">
        <f>IFERROR(IF(B64="","",IF(D64="","",IF(H64="","",IF($B64="TOTAL",SUM($L$8:L63),SUM(D64-H64))))),"")</f>
        <v>187</v>
      </c>
      <c r="M64" s="84">
        <f>IFERROR(IF(B64="","",IF(E64="","",IF(I64="","",IF($B64="TOTAL",SUM($M$8:M63),SUM(E64-I64))))),"")</f>
        <v>88</v>
      </c>
      <c r="N64" s="84">
        <f t="shared" si="10"/>
        <v>1375</v>
      </c>
      <c r="O64" s="84">
        <f>IFERROR(IF(B64="","",IF($B64="TOTAL",SUM($O$8:O63),IF($AM$18=$AM$20,AX65,ROUND((C64+D64)*10%,0)))),"")</f>
        <v>4575</v>
      </c>
      <c r="P64" s="84">
        <f>IFERROR(IF(B64="","",IF(G64="","",IF(H64="","",IF($B64="TOTAL",SUM($P$8:P63),IF($AM$18=$AM$20,$AM$21,ROUND((G64+H64)*10%,0)))))),"")</f>
        <v>4446</v>
      </c>
      <c r="Q64" s="84">
        <f t="shared" si="11"/>
        <v>129</v>
      </c>
      <c r="R64" s="85">
        <f>IFERROR(IF(B64="","",IF($AM$16=$AM$17,0,IF($B64="TOTAL",SUM($R$8:R63),IF($AM$19=$AM$31,0,IF(AND($AM$32=$AM$20,B64=$AM$33),$AM$34,R63))))),"")</f>
        <v>2100</v>
      </c>
      <c r="S64" s="85">
        <f>IFERROR(IF(B64="","",IF($AM$16=$AM$17,0,IF($B64="TOTAL",SUM($S$8:S63),IF($AM$19=$AM$20,$AM$24,0)))),"")</f>
        <v>2100</v>
      </c>
      <c r="T64" s="84">
        <f t="shared" si="12"/>
        <v>0</v>
      </c>
      <c r="U64" s="84" t="str">
        <f>IF(B64="","",IF($B64="TOTAL",SUM($U$8:U63),IF(AND($AM$2=$AM$20,B64=$AM$1),ROUND(C64/31*$AN$2,0),IF(B64=$AK$6,ROUND((F64)*1/30,0),IF(B64=$AL$6,ROUND((F64)*1/31,0),"")))))</f>
        <v/>
      </c>
      <c r="V64" s="84" t="str">
        <f>IF(B64="","",IF($B64="TOTAL",SUM($V$8:V63),IF(AND($AM$2=$AM$20,B64=$AM$1),ROUND(G64/31*$AN$2,0),IF(B64=$AK$6,ROUND((J64)*1/30,0),IF(B64=$AL$6,ROUND((J64)*1/31,0),"")))))</f>
        <v/>
      </c>
      <c r="W64" s="84" t="str">
        <f t="shared" si="13"/>
        <v/>
      </c>
      <c r="X64" s="84">
        <f>IFERROR(IF(B64="","",IF($B64="TOTAL",SUM($X$8:X63),ROUND(N64*$AM$7%,0))),"")</f>
        <v>138</v>
      </c>
      <c r="Y64" s="84">
        <f>IFERROR(IF(B64="","",IF($B64="TOTAL",SUM($Y$8:Y63),SUM(Q64,T64,W64,X64))),"")</f>
        <v>267</v>
      </c>
      <c r="Z64" s="86">
        <f>IFERROR(IF(B64="","",IF($B64="TOTAL",SUM($Z$8:Z63),SUM(N64-Y64))),"")</f>
        <v>1108</v>
      </c>
      <c r="AJ64" s="113">
        <f t="shared" si="18"/>
        <v>17</v>
      </c>
      <c r="AL64" s="115">
        <v>44409</v>
      </c>
      <c r="AN64" s="115">
        <f t="shared" si="29"/>
        <v>44409</v>
      </c>
      <c r="AO64" s="115">
        <f t="shared" si="15"/>
        <v>44409</v>
      </c>
      <c r="AP64" s="115">
        <f t="shared" si="19"/>
        <v>44409</v>
      </c>
      <c r="AQ64" s="114">
        <f t="shared" si="27"/>
        <v>39100</v>
      </c>
      <c r="AR64" s="114">
        <f t="shared" si="20"/>
        <v>6647</v>
      </c>
      <c r="AS64" s="114">
        <f t="shared" si="21"/>
        <v>3128</v>
      </c>
      <c r="AU64" s="114">
        <f t="shared" si="28"/>
        <v>38000</v>
      </c>
      <c r="AV64" s="114">
        <f t="shared" si="22"/>
        <v>6460</v>
      </c>
      <c r="AW64" s="114">
        <f t="shared" si="23"/>
        <v>3040</v>
      </c>
      <c r="AX64" s="114">
        <f t="shared" si="24"/>
        <v>3200</v>
      </c>
      <c r="BA64" s="149">
        <f t="shared" si="25"/>
        <v>1037</v>
      </c>
      <c r="BB64" s="114">
        <f t="shared" si="26"/>
        <v>3200</v>
      </c>
    </row>
    <row r="65" spans="1:54" ht="21" customHeight="1">
      <c r="A65" s="82">
        <f t="shared" si="7"/>
        <v>58</v>
      </c>
      <c r="B65" s="83">
        <f t="shared" si="16"/>
        <v>44470</v>
      </c>
      <c r="C65" s="84">
        <f>IFERROR(IF($B64="TOTAL","अक्षरें राशि :-",IF($B65="TOTAL",SUM($C$8:C64),IF(AQ66="","",AQ66))),"")</f>
        <v>39100</v>
      </c>
      <c r="D65" s="84">
        <f>IFERROR(IF($B65="TOTAL",SUM($D$8:D64),IF(AR66="","",AR66)),"")</f>
        <v>6647</v>
      </c>
      <c r="E65" s="84">
        <f>IFERROR(IF($B65="TOTAL",SUM($E$8:E64),IF(OR(B65=$AK$16,B65=$AK$17,B65=$AK$18,B65=$AK$19,B65=$AK$20,B65=$AK$21,B65=$AK$22,B65=$AK$23,B65=$AK$24),0,IF(AS66="","",AS66))),"")</f>
        <v>3128</v>
      </c>
      <c r="F65" s="84">
        <f t="shared" si="17"/>
        <v>48875</v>
      </c>
      <c r="G65" s="84">
        <f>IFERROR(IF($B65="TOTAL",SUM($G$8:G64),IF(AU66="","",AU66)),"")</f>
        <v>38000</v>
      </c>
      <c r="H65" s="84">
        <f>IFERROR(IF($B65="TOTAL",SUM($H$8:H64),IF(AV66="","",AV66)),"")</f>
        <v>6460</v>
      </c>
      <c r="I65" s="84">
        <f>IFERROR(IF($B65="TOTAL",SUM($I$8:I64),IF(OR(B65=$AK$16,B65=$AK$17,B65=$AK$18,B65=$AK$19,B65=$AK$20,B65=$AK$21,B65=$AK$22,B65=$AK$23,B65=$AK$24),0,IF(AW66="","",AW66))),"")</f>
        <v>3040</v>
      </c>
      <c r="J65" s="84">
        <f t="shared" si="9"/>
        <v>47500</v>
      </c>
      <c r="K65" s="84">
        <f>IFERROR(IF(B65="","",IF(C65="","",IF(G65="","",IF($B65="TOTAL",SUM($K$8:K64),SUM(C65-G65))))),"")</f>
        <v>1100</v>
      </c>
      <c r="L65" s="84">
        <f>IFERROR(IF(B65="","",IF(D65="","",IF(H65="","",IF($B65="TOTAL",SUM($L$8:L64),SUM(D65-H65))))),"")</f>
        <v>187</v>
      </c>
      <c r="M65" s="84">
        <f>IFERROR(IF(B65="","",IF(E65="","",IF(I65="","",IF($B65="TOTAL",SUM($M$8:M64),SUM(E65-I65))))),"")</f>
        <v>88</v>
      </c>
      <c r="N65" s="84">
        <f t="shared" si="10"/>
        <v>1375</v>
      </c>
      <c r="O65" s="84">
        <f>IFERROR(IF(B65="","",IF($B65="TOTAL",SUM($O$8:O64),IF($AM$18=$AM$20,AX66,ROUND((C65+D65)*10%,0)))),"")</f>
        <v>4575</v>
      </c>
      <c r="P65" s="84">
        <f>IFERROR(IF(B65="","",IF(G65="","",IF(H65="","",IF($B65="TOTAL",SUM($P$8:P64),IF($AM$18=$AM$20,$AM$21,ROUND((G65+H65)*10%,0)))))),"")</f>
        <v>4446</v>
      </c>
      <c r="Q65" s="84">
        <f t="shared" si="11"/>
        <v>129</v>
      </c>
      <c r="R65" s="85">
        <f>IFERROR(IF(B65="","",IF($AM$16=$AM$17,0,IF($B65="TOTAL",SUM($R$8:R64),IF($AM$19=$AM$31,0,IF(AND($AM$32=$AM$20,B65=$AM$33),$AM$34,R64))))),"")</f>
        <v>2100</v>
      </c>
      <c r="S65" s="85">
        <f>IFERROR(IF(B65="","",IF($AM$16=$AM$17,0,IF($B65="TOTAL",SUM($S$8:S64),IF($AM$19=$AM$20,$AM$24,0)))),"")</f>
        <v>2100</v>
      </c>
      <c r="T65" s="84">
        <f t="shared" si="12"/>
        <v>0</v>
      </c>
      <c r="U65" s="84" t="str">
        <f>IF(B65="","",IF($B65="TOTAL",SUM($U$8:U64),IF(AND($AM$2=$AM$20,B65=$AM$1),ROUND(C65/31*$AN$2,0),IF(B65=$AK$6,ROUND((F65)*1/30,0),IF(B65=$AL$6,ROUND((F65)*1/31,0),"")))))</f>
        <v/>
      </c>
      <c r="V65" s="84" t="str">
        <f>IF(B65="","",IF($B65="TOTAL",SUM($V$8:V64),IF(AND($AM$2=$AM$20,B65=$AM$1),ROUND(G65/31*$AN$2,0),IF(B65=$AK$6,ROUND((J65)*1/30,0),IF(B65=$AL$6,ROUND((J65)*1/31,0),"")))))</f>
        <v/>
      </c>
      <c r="W65" s="84" t="str">
        <f t="shared" si="13"/>
        <v/>
      </c>
      <c r="X65" s="84">
        <f>IFERROR(IF(B65="","",IF($B65="TOTAL",SUM($X$8:X64),ROUND(N65*$AM$7%,0))),"")</f>
        <v>138</v>
      </c>
      <c r="Y65" s="84">
        <f>IFERROR(IF(B65="","",IF($B65="TOTAL",SUM($Y$8:Y64),SUM(Q65,T65,W65,X65))),"")</f>
        <v>267</v>
      </c>
      <c r="Z65" s="86">
        <f>IFERROR(IF(B65="","",IF($B65="TOTAL",SUM($Z$8:Z64),SUM(N65-Y65))),"")</f>
        <v>1108</v>
      </c>
      <c r="AJ65" s="113">
        <f t="shared" si="18"/>
        <v>17</v>
      </c>
      <c r="AL65" s="115">
        <v>44440</v>
      </c>
      <c r="AN65" s="115">
        <f t="shared" si="29"/>
        <v>44440</v>
      </c>
      <c r="AO65" s="115">
        <f t="shared" si="15"/>
        <v>44440</v>
      </c>
      <c r="AP65" s="115">
        <f t="shared" si="19"/>
        <v>44440</v>
      </c>
      <c r="AQ65" s="114">
        <f t="shared" si="27"/>
        <v>39100</v>
      </c>
      <c r="AR65" s="114">
        <f t="shared" si="20"/>
        <v>6647</v>
      </c>
      <c r="AS65" s="114">
        <f t="shared" si="21"/>
        <v>3128</v>
      </c>
      <c r="AU65" s="114">
        <f t="shared" si="28"/>
        <v>38000</v>
      </c>
      <c r="AV65" s="114">
        <f t="shared" si="22"/>
        <v>6460</v>
      </c>
      <c r="AW65" s="114">
        <f t="shared" si="23"/>
        <v>3040</v>
      </c>
      <c r="AX65" s="114">
        <f t="shared" si="24"/>
        <v>3200</v>
      </c>
      <c r="BA65" s="149">
        <f t="shared" si="25"/>
        <v>1037</v>
      </c>
      <c r="BB65" s="114">
        <f t="shared" si="26"/>
        <v>3200</v>
      </c>
    </row>
    <row r="66" spans="1:54" ht="21" customHeight="1">
      <c r="A66" s="82">
        <f t="shared" si="7"/>
        <v>59</v>
      </c>
      <c r="B66" s="83">
        <f t="shared" ref="B66:B69" si="30">IFERROR(IF(AP67="","",AP67),"")</f>
        <v>44501</v>
      </c>
      <c r="C66" s="84">
        <f>IFERROR(IF($B65="TOTAL","अक्षरें राशि :-",IF($B66="TOTAL",SUM($C$8:C65),IF(AQ67="","",AQ67))),"")</f>
        <v>39100</v>
      </c>
      <c r="D66" s="84">
        <f>IFERROR(IF($B66="TOTAL",SUM($D$8:D65),IF(AR67="","",AR67)),"")</f>
        <v>6647</v>
      </c>
      <c r="E66" s="84">
        <f>IFERROR(IF($B66="TOTAL",SUM($E$8:E65),IF(OR(B66=$AK$16,B66=$AK$17,B66=$AK$18,B66=$AK$19,B66=$AK$20,B66=$AK$21,B66=$AK$22,B66=$AK$23,B66=$AK$24),0,IF(AS67="","",AS67))),"")</f>
        <v>3128</v>
      </c>
      <c r="F66" s="84">
        <f t="shared" ref="F66:F69" si="31">IF(B66="","",SUM(C66:E66))</f>
        <v>48875</v>
      </c>
      <c r="G66" s="84">
        <f>IFERROR(IF($B66="TOTAL",SUM($G$8:G65),IF(AU67="","",AU67)),"")</f>
        <v>38000</v>
      </c>
      <c r="H66" s="84">
        <f>IFERROR(IF($B66="TOTAL",SUM($H$8:H65),IF(AV67="","",AV67)),"")</f>
        <v>6460</v>
      </c>
      <c r="I66" s="84">
        <f>IFERROR(IF($B66="TOTAL",SUM($I$8:I65),IF(OR(B66=$AK$16,B66=$AK$17,B66=$AK$18,B66=$AK$19,B66=$AK$20,B66=$AK$21,B66=$AK$22,B66=$AK$23,B66=$AK$24),0,IF(AW67="","",AW67))),"")</f>
        <v>3040</v>
      </c>
      <c r="J66" s="84">
        <f t="shared" si="9"/>
        <v>47500</v>
      </c>
      <c r="K66" s="84">
        <f>IFERROR(IF(B66="","",IF(C66="","",IF(G66="","",IF($B66="TOTAL",SUM($K$8:K65),SUM(C66-G66))))),"")</f>
        <v>1100</v>
      </c>
      <c r="L66" s="84">
        <f>IFERROR(IF(B66="","",IF(D66="","",IF(H66="","",IF($B66="TOTAL",SUM($L$8:L65),SUM(D66-H66))))),"")</f>
        <v>187</v>
      </c>
      <c r="M66" s="84">
        <f>IFERROR(IF(B66="","",IF(E66="","",IF(I66="","",IF($B66="TOTAL",SUM($M$8:M65),SUM(E66-I66))))),"")</f>
        <v>88</v>
      </c>
      <c r="N66" s="84">
        <f t="shared" si="10"/>
        <v>1375</v>
      </c>
      <c r="O66" s="84">
        <f>IFERROR(IF(B66="","",IF($B66="TOTAL",SUM($O$8:O65),IF($AM$18=$AM$20,AX67,ROUND((C66+D66)*10%,0)))),"")</f>
        <v>4575</v>
      </c>
      <c r="P66" s="84">
        <f>IFERROR(IF(B66="","",IF(G66="","",IF(H66="","",IF($B66="TOTAL",SUM($P$8:P65),IF($AM$18=$AM$20,$AM$21,ROUND((G66+H66)*10%,0)))))),"")</f>
        <v>4446</v>
      </c>
      <c r="Q66" s="84">
        <f t="shared" si="11"/>
        <v>129</v>
      </c>
      <c r="R66" s="85">
        <f>IFERROR(IF(B66="","",IF($AM$16=$AM$17,0,IF($B66="TOTAL",SUM($R$8:R65),IF($AM$19=$AM$31,0,IF(AND($AM$32=$AM$20,B66=$AM$33),$AM$34,R65))))),"")</f>
        <v>2100</v>
      </c>
      <c r="S66" s="85">
        <f>IFERROR(IF(B66="","",IF($AM$16=$AM$17,0,IF($B66="TOTAL",SUM($S$8:S65),IF($AM$19=$AM$20,$AM$24,0)))),"")</f>
        <v>2100</v>
      </c>
      <c r="T66" s="84">
        <f t="shared" si="12"/>
        <v>0</v>
      </c>
      <c r="U66" s="84" t="str">
        <f>IF(B66="","",IF($B66="TOTAL",SUM($U$8:U65),IF(AND($AM$2=$AM$20,B66=$AM$1),ROUND(C66/31*$AN$2,0),IF(B66=$AK$6,ROUND((F66)*1/30,0),IF(B66=$AL$6,ROUND((F66)*1/31,0),"")))))</f>
        <v/>
      </c>
      <c r="V66" s="84" t="str">
        <f>IF(B66="","",IF($B66="TOTAL",SUM($V$8:V65),IF(AND($AM$2=$AM$20,B66=$AM$1),ROUND(G66/31*$AN$2,0),IF(B66=$AK$6,ROUND((J66)*1/30,0),IF(B66=$AL$6,ROUND((J66)*1/31,0),"")))))</f>
        <v/>
      </c>
      <c r="W66" s="84" t="str">
        <f t="shared" si="13"/>
        <v/>
      </c>
      <c r="X66" s="84">
        <f>IFERROR(IF(B66="","",IF($B66="TOTAL",SUM($X$8:X65),ROUND(N66*$AM$7%,0))),"")</f>
        <v>138</v>
      </c>
      <c r="Y66" s="84">
        <f>IFERROR(IF(B66="","",IF($B66="TOTAL",SUM($Y$8:Y65),SUM(Q66,T66,W66,X66))),"")</f>
        <v>267</v>
      </c>
      <c r="Z66" s="86">
        <f>IFERROR(IF(B66="","",IF($B66="TOTAL",SUM($Z$8:Z65),SUM(N66-Y66))),"")</f>
        <v>1108</v>
      </c>
      <c r="AJ66" s="113">
        <f t="shared" si="18"/>
        <v>17</v>
      </c>
      <c r="AL66" s="115">
        <v>44470</v>
      </c>
      <c r="AN66" s="115">
        <f t="shared" si="29"/>
        <v>44470</v>
      </c>
      <c r="AO66" s="115">
        <f t="shared" si="15"/>
        <v>44470</v>
      </c>
      <c r="AP66" s="115">
        <f t="shared" si="19"/>
        <v>44470</v>
      </c>
      <c r="AQ66" s="114">
        <f t="shared" si="27"/>
        <v>39100</v>
      </c>
      <c r="AR66" s="114">
        <f t="shared" si="20"/>
        <v>6647</v>
      </c>
      <c r="AS66" s="114">
        <f t="shared" si="21"/>
        <v>3128</v>
      </c>
      <c r="AU66" s="114">
        <f t="shared" si="28"/>
        <v>38000</v>
      </c>
      <c r="AV66" s="114">
        <f t="shared" si="22"/>
        <v>6460</v>
      </c>
      <c r="AW66" s="114">
        <f t="shared" si="23"/>
        <v>3040</v>
      </c>
      <c r="AX66" s="114">
        <f t="shared" si="24"/>
        <v>3200</v>
      </c>
      <c r="BA66" s="149">
        <f t="shared" si="25"/>
        <v>1037</v>
      </c>
      <c r="BB66" s="114">
        <f t="shared" si="26"/>
        <v>3200</v>
      </c>
    </row>
    <row r="67" spans="1:54" ht="21" customHeight="1">
      <c r="A67" s="82">
        <f t="shared" si="7"/>
        <v>60</v>
      </c>
      <c r="B67" s="83">
        <f t="shared" si="30"/>
        <v>44531</v>
      </c>
      <c r="C67" s="84">
        <f>IFERROR(IF($B66="TOTAL","अक्षरें राशि :-",IF($B67="TOTAL",SUM($C$8:C66),IF(AQ68="","",AQ68))),"")</f>
        <v>39100</v>
      </c>
      <c r="D67" s="84">
        <f>IFERROR(IF($B67="TOTAL",SUM($D$8:D66),IF(AR68="","",AR68)),"")</f>
        <v>6647</v>
      </c>
      <c r="E67" s="84">
        <f>IFERROR(IF($B67="TOTAL",SUM($E$8:E66),IF(OR(B67=$AK$16,B67=$AK$17,B67=$AK$18,B67=$AK$19,B67=$AK$20,B67=$AK$21,B67=$AK$22,B67=$AK$23,B67=$AK$24),0,IF(AS68="","",AS68))),"")</f>
        <v>3128</v>
      </c>
      <c r="F67" s="84">
        <f t="shared" si="31"/>
        <v>48875</v>
      </c>
      <c r="G67" s="84">
        <f>IFERROR(IF($B67="TOTAL",SUM($G$8:G66),IF(AU68="","",AU68)),"")</f>
        <v>38000</v>
      </c>
      <c r="H67" s="84">
        <f>IFERROR(IF($B67="TOTAL",SUM($H$8:H66),IF(AV68="","",AV68)),"")</f>
        <v>6460</v>
      </c>
      <c r="I67" s="84">
        <f>IFERROR(IF($B67="TOTAL",SUM($I$8:I66),IF(OR(B67=$AK$16,B67=$AK$17,B67=$AK$18,B67=$AK$19,B67=$AK$20,B67=$AK$21,B67=$AK$22,B67=$AK$23,B67=$AK$24),0,IF(AW68="","",AW68))),"")</f>
        <v>3040</v>
      </c>
      <c r="J67" s="84">
        <f t="shared" si="9"/>
        <v>47500</v>
      </c>
      <c r="K67" s="84">
        <f>IFERROR(IF(B67="","",IF(C67="","",IF(G67="","",IF($B67="TOTAL",SUM($K$8:K66),SUM(C67-G67))))),"")</f>
        <v>1100</v>
      </c>
      <c r="L67" s="84">
        <f>IFERROR(IF(B67="","",IF(D67="","",IF(H67="","",IF($B67="TOTAL",SUM($L$8:L66),SUM(D67-H67))))),"")</f>
        <v>187</v>
      </c>
      <c r="M67" s="84">
        <f>IFERROR(IF(B67="","",IF(E67="","",IF(I67="","",IF($B67="TOTAL",SUM($M$8:M66),SUM(E67-I67))))),"")</f>
        <v>88</v>
      </c>
      <c r="N67" s="84">
        <f t="shared" si="10"/>
        <v>1375</v>
      </c>
      <c r="O67" s="84">
        <f>IFERROR(IF(B67="","",IF($B67="TOTAL",SUM($O$8:O66),IF($AM$18=$AM$20,AX68,ROUND((C67+D67)*10%,0)))),"")</f>
        <v>4575</v>
      </c>
      <c r="P67" s="84">
        <f>IFERROR(IF(B67="","",IF(G67="","",IF(H67="","",IF($B67="TOTAL",SUM($P$8:P66),IF($AM$18=$AM$20,$AM$21,ROUND((G67+H67)*10%,0)))))),"")</f>
        <v>4446</v>
      </c>
      <c r="Q67" s="84">
        <f t="shared" si="11"/>
        <v>129</v>
      </c>
      <c r="R67" s="85">
        <f>IFERROR(IF(B67="","",IF($AM$16=$AM$17,0,IF($B67="TOTAL",SUM($R$8:R66),IF($AM$19=$AM$31,0,IF(AND($AM$32=$AM$20,B67=$AM$33),$AM$34,R66))))),"")</f>
        <v>2100</v>
      </c>
      <c r="S67" s="85">
        <f>IFERROR(IF(B67="","",IF($AM$16=$AM$17,0,IF($B67="TOTAL",SUM($S$8:S66),IF($AM$19=$AM$20,$AM$24,0)))),"")</f>
        <v>2100</v>
      </c>
      <c r="T67" s="84">
        <f t="shared" si="12"/>
        <v>0</v>
      </c>
      <c r="U67" s="84" t="str">
        <f>IF(B67="","",IF($B67="TOTAL",SUM($U$8:U66),IF(AND($AM$2=$AM$20,B67=$AM$1),ROUND(C67/31*$AN$2,0),IF(B67=$AK$6,ROUND((F67)*1/30,0),IF(B67=$AL$6,ROUND((F67)*1/31,0),"")))))</f>
        <v/>
      </c>
      <c r="V67" s="84" t="str">
        <f>IF(B67="","",IF($B67="TOTAL",SUM($V$8:V66),IF(AND($AM$2=$AM$20,B67=$AM$1),ROUND(G67/31*$AN$2,0),IF(B67=$AK$6,ROUND((J67)*1/30,0),IF(B67=$AL$6,ROUND((J67)*1/31,0),"")))))</f>
        <v/>
      </c>
      <c r="W67" s="84" t="str">
        <f t="shared" si="13"/>
        <v/>
      </c>
      <c r="X67" s="84">
        <f>IFERROR(IF(B67="","",IF($B67="TOTAL",SUM($X$8:X66),ROUND(N67*$AM$7%,0))),"")</f>
        <v>138</v>
      </c>
      <c r="Y67" s="84">
        <f>IFERROR(IF(B67="","",IF($B67="TOTAL",SUM($Y$8:Y66),SUM(Q67,T67,W67,X67))),"")</f>
        <v>267</v>
      </c>
      <c r="Z67" s="86">
        <f>IFERROR(IF(B67="","",IF($B67="TOTAL",SUM($Z$8:Z66),SUM(N67-Y67))),"")</f>
        <v>1108</v>
      </c>
      <c r="AJ67" s="113">
        <f t="shared" si="18"/>
        <v>17</v>
      </c>
      <c r="AL67" s="115">
        <v>44501</v>
      </c>
      <c r="AN67" s="115">
        <f t="shared" si="29"/>
        <v>44501</v>
      </c>
      <c r="AO67" s="115">
        <f t="shared" si="15"/>
        <v>44501</v>
      </c>
      <c r="AP67" s="115">
        <f t="shared" si="19"/>
        <v>44501</v>
      </c>
      <c r="AQ67" s="114">
        <f t="shared" si="27"/>
        <v>39100</v>
      </c>
      <c r="AR67" s="114">
        <f t="shared" si="20"/>
        <v>6647</v>
      </c>
      <c r="AS67" s="114">
        <f t="shared" si="21"/>
        <v>3128</v>
      </c>
      <c r="AU67" s="114">
        <f t="shared" si="28"/>
        <v>38000</v>
      </c>
      <c r="AV67" s="114">
        <f t="shared" si="22"/>
        <v>6460</v>
      </c>
      <c r="AW67" s="114">
        <f t="shared" si="23"/>
        <v>3040</v>
      </c>
      <c r="AX67" s="114">
        <f t="shared" si="24"/>
        <v>3200</v>
      </c>
      <c r="BA67" s="149">
        <f t="shared" si="25"/>
        <v>1037</v>
      </c>
      <c r="BB67" s="114">
        <f t="shared" si="26"/>
        <v>3200</v>
      </c>
    </row>
    <row r="68" spans="1:54" ht="21" customHeight="1">
      <c r="A68" s="82" t="str">
        <f t="shared" si="7"/>
        <v/>
      </c>
      <c r="B68" s="83" t="str">
        <f t="shared" si="30"/>
        <v>TOTAL</v>
      </c>
      <c r="C68" s="84">
        <f>IFERROR(IF($B67="TOTAL","अक्षरें राशि :-",IF($B68="TOTAL",SUM($C$8:C67),IF(AQ69="","",AQ69))),"")</f>
        <v>2165955</v>
      </c>
      <c r="D68" s="84">
        <f>IFERROR(IF($B68="TOTAL",SUM($D$8:D67),IF(AR69="","",AR69)),"")</f>
        <v>270256</v>
      </c>
      <c r="E68" s="84">
        <f>IFERROR(IF($B68="TOTAL",SUM($E$8:E67),IF(AS69="","",AS69)),"")</f>
        <v>150096</v>
      </c>
      <c r="F68" s="84">
        <f t="shared" si="31"/>
        <v>2586307</v>
      </c>
      <c r="G68" s="84">
        <f>IFERROR(IF($B68="TOTAL",SUM($G$8:G67),IF(AU69="","",AU69)),"")</f>
        <v>2103471</v>
      </c>
      <c r="H68" s="84">
        <f>IFERROR(IF($B68="TOTAL",SUM($H$8:H67),IF(AV69="","",AV69)),"")</f>
        <v>262447</v>
      </c>
      <c r="I68" s="84">
        <f>IFERROR(IF($B68="TOTAL",SUM($I$8:I67),IF(AW69="","",AW69)),"")</f>
        <v>145776</v>
      </c>
      <c r="J68" s="84">
        <f t="shared" si="9"/>
        <v>2511694</v>
      </c>
      <c r="K68" s="84">
        <f>IFERROR(IF(B68="","",IF(C68="","",IF(G68="","",IF($B68="TOTAL",SUM($K$8:K67),SUM(C68-G68))))),"")</f>
        <v>62484</v>
      </c>
      <c r="L68" s="84">
        <f>IFERROR(IF(B68="","",IF(D68="","",IF(H68="","",IF($B68="TOTAL",SUM($L$8:L67),SUM(D68-H68))))),"")</f>
        <v>7809</v>
      </c>
      <c r="M68" s="84">
        <f>IFERROR(IF(B68="","",IF(E68="","",IF(I68="","",IF($B68="TOTAL",SUM($M$8:M67),SUM(E68-I68))))),"")</f>
        <v>4320</v>
      </c>
      <c r="N68" s="84">
        <f t="shared" si="10"/>
        <v>74613</v>
      </c>
      <c r="O68" s="84">
        <f>IFERROR(IF(B68="","",IF($B68="TOTAL",SUM($O$8:O67),IF($AM$18=$AM$20,AX69,ROUND((C68+D68)*10%,0)))),"")</f>
        <v>243622</v>
      </c>
      <c r="P68" s="84">
        <f>IFERROR(IF(B68="","",IF(G68="","",IF(H68="","",IF($B68="TOTAL",SUM($P$8:P67),IF($AM$18=$AM$20,$AM$21,ROUND((G68+H68)*10%,0)))))),"")</f>
        <v>236596</v>
      </c>
      <c r="Q68" s="84">
        <f t="shared" si="11"/>
        <v>7026</v>
      </c>
      <c r="R68" s="85">
        <f>IFERROR(IF(B68="","",IF($AM$16=$AM$17,0,IF($B68="TOTAL",SUM($R$8:R67),IF($AM$19=$AM$20,$AM$25,0)))),"")</f>
        <v>126000</v>
      </c>
      <c r="S68" s="85">
        <f>IFERROR(IF(B68="","",IF($AM$16=$AM$17,0,IF($B68="TOTAL",SUM($S$8:S67),IF($AM$19=$AM$20,$AM$24,0)))),"")</f>
        <v>126000</v>
      </c>
      <c r="T68" s="84">
        <f t="shared" si="12"/>
        <v>0</v>
      </c>
      <c r="U68" s="84">
        <f>IF(B68="","",IF($B68="TOTAL",SUM($U$8:U67),IF(AND($AM$2=$AM$20,B68=$AM$1),ROUND(C68/31*$AN$2,0),IF(B68=$AK$6,ROUND((F68)*1/30,0),IF(B68=$AL$6,ROUND((F68)*1/31,0),"")))))</f>
        <v>3115</v>
      </c>
      <c r="V68" s="84">
        <f>IF(B68="","",IF($B68="TOTAL",SUM($V$8:V67),IF(AND($AM$2=$AM$20,B68=$AM$1),ROUND(G68/31*$AN$2,0),IF(B68=$AK$6,ROUND((J68)*1/30,0),IF(B68=$AL$6,ROUND((J68)*1/31,0),"")))))</f>
        <v>3026</v>
      </c>
      <c r="W68" s="84">
        <f t="shared" si="13"/>
        <v>89</v>
      </c>
      <c r="X68" s="84">
        <f>IFERROR(IF(B68="","",IF($B68="TOTAL",SUM($X$8:X67),ROUND(N68*$AM$7%,0))),"")</f>
        <v>7476</v>
      </c>
      <c r="Y68" s="84">
        <f>IFERROR(IF(B68="","",IF($B68="TOTAL",SUM($Y$8:Y67),SUM(Q68,T68,W68,X68))),"")</f>
        <v>14591</v>
      </c>
      <c r="Z68" s="86">
        <f>IFERROR(IF(B68="","",IF($B68="TOTAL",SUM($Z$8:Z67),SUM(N68-Y68))),"")</f>
        <v>60022</v>
      </c>
      <c r="AJ68" s="113">
        <f t="shared" si="18"/>
        <v>17</v>
      </c>
      <c r="AL68" s="115">
        <v>44531</v>
      </c>
      <c r="AN68" s="115">
        <f t="shared" si="29"/>
        <v>44531</v>
      </c>
      <c r="AO68" s="115">
        <f t="shared" si="15"/>
        <v>44531</v>
      </c>
      <c r="AP68" s="115">
        <f t="shared" si="19"/>
        <v>44531</v>
      </c>
      <c r="AQ68" s="114">
        <f t="shared" si="27"/>
        <v>39100</v>
      </c>
      <c r="AR68" s="114">
        <f t="shared" si="20"/>
        <v>6647</v>
      </c>
      <c r="AS68" s="114">
        <f t="shared" si="21"/>
        <v>3128</v>
      </c>
      <c r="AU68" s="114">
        <f t="shared" si="28"/>
        <v>38000</v>
      </c>
      <c r="AV68" s="114">
        <f t="shared" si="22"/>
        <v>6460</v>
      </c>
      <c r="AW68" s="114">
        <f t="shared" si="23"/>
        <v>3040</v>
      </c>
      <c r="AX68" s="114">
        <f t="shared" si="24"/>
        <v>3200</v>
      </c>
      <c r="BA68" s="149">
        <f t="shared" si="25"/>
        <v>1037</v>
      </c>
      <c r="BB68" s="114">
        <f t="shared" si="26"/>
        <v>3200</v>
      </c>
    </row>
    <row r="69" spans="1:54">
      <c r="A69" s="82"/>
      <c r="B69" s="83" t="str">
        <f t="shared" si="30"/>
        <v/>
      </c>
      <c r="C69" s="84" t="str">
        <f>IFERROR(IF($B68="TOTAL","अक्षरें राशि :-",IF($B69="TOTAL",SUM($C$8:C68),IF(AQ70="","",AQ70))),"")</f>
        <v>अक्षरें राशि :-</v>
      </c>
      <c r="D69" s="84" t="str">
        <f>IFERROR(IF($B69="TOTAL",SUM($D$8:D68),IF(AR70="","",AR70)),"")</f>
        <v/>
      </c>
      <c r="E69" s="84" t="str">
        <f>IFERROR(IF($B69="TOTAL",SUM($E$8:E68),IF(AS70="","",AS70)),"")</f>
        <v/>
      </c>
      <c r="F69" s="84" t="str">
        <f t="shared" si="31"/>
        <v/>
      </c>
      <c r="AL69" s="115">
        <v>44562</v>
      </c>
      <c r="AN69" s="115">
        <f t="shared" si="29"/>
        <v>44562</v>
      </c>
      <c r="AO69" s="115">
        <f>IF(AND(AN69=""),"",IF(AND(AN69=$AL$9),$AL$9,IF(AND(AN69=$AL$10),$AL$10,IF(AND(AN69=$AL$11),$AL$11,IF(AND(AN69=$AL$12),$AL$12,IF(AND(AN69=$AL$13),$AL$13,IF(AND(AN69=$AL$14),$AL$14,IF(AND(AN69=$AL$15),$AL$15,IF(AND(AN69=$AL$16),$AL$16,IF(AND(AN69=$AL$17),$AL$17,IF(AND(AN69=$AL$18),$AL$18,IF(AND(AN69=$AL$19),$AL$19,IF(AND(AN69=$AL$20),$AL$20,IF(AND(AN69=$AL$21),$AL$21,IF(AND(AN69=$AL$22),$AL$22,IF(AND(AN69=$AL$23),$AL$23,IF(AND(AN69=$AL$24),$AL$24,IF(AND(AN69=$AL$25),$AL$25,IF(AND(AN69=$AL$26),$AL$26,IF(AND(AN69=$AL$27),$AL$27,IF(AND(AN69=$AL$28),$AL$28,IF(AND(AN69=$AL$29),$AL$29,IF(AND(AN69=$AL$30),$AL$30,IF(AND(AN69=$AL$31),$AL$31,IF(AND(AN69=$AL$32),$AL$32,IF(AND(AN69=$AL$33),$AL$33,IF(AND(AN69=$AL$34),$AL$34,IF(AND(AN69=$AL$35),$AL$35,IF(AND(AN69=$AL$36),$AL$36,IF(AND(AN69=$AL$37),$AL$37,IF(AND(AN69=$AL$38),$AL$38,IF(AND(AN69=$AL$39),$AL$39,IF(AND(AN69=$AL$40),$AL$40,IF(AND(AN69=$AL$41),$AL$41,IF(AND(AN69=$AL$42),$AL$42,IF(AND(AN69=$AL$43),$AL$43,IF(AND(AN69=$AL$44),$AL$44,IF(AND(AN69=$AL$45),$AL$45,IF(AND(AN69=$AL$46),$AL$46,IF(AND(AN69=$AL$47),$AL$47,IF(AND(AN69=$AL$48),$AL$48,IF(AND(AN69=$AL$49),$AL$49,IF(AND(AN69=$AL$50),$AL$50,IF(AND(AN69=$AL$51),$AL$51,IF(AND(AN69=$AL$52),$AL$52,IF(AND(AN69=$AL$53),$AL$53,IF(AND(AN69=$AL$54),$AL$54,IF(AND(AN69=$AL$55),$AL$55,IF(AND(AN69=$AL$56),$AL$56,IF(AND(AN69=$AL$57),$AL$57,IF(AND(AN69=$AL$58),$AL$58,IF(AND(AN69=$AL$59),$AL$59,IF(AND(AN69=$AL$60),$AL$60,IF(AND(AN69=$AL$61),$AL$61,IF(AND(AN69=$AL$62),$AL$62,IF(AND(AN69=$AL$63),$AL$63,IF(AND(AN69=$AL$64),$AL$64,IF(AND(AN69=$AL$65),$AL$65,IF(AND(AN69=$AL$66),$AL$66,IF(AND(AN69=$AL$67),$AL$67,IF(AND(AN69=$AL$68),$AL$68,IF(AND(AN69=$AL$69),$AL$69,""))))))))))))))))))))))))))))))))))))))))))))))))))))))))))))))</f>
        <v>44562</v>
      </c>
      <c r="AP69" s="115" t="str">
        <f t="shared" si="19"/>
        <v>TOTAL</v>
      </c>
      <c r="AQ69" s="114">
        <f t="shared" si="27"/>
        <v>39100</v>
      </c>
      <c r="AU69" s="114" t="str">
        <f t="shared" si="28"/>
        <v/>
      </c>
      <c r="AV69" s="114" t="str">
        <f>IF(AP69="","",IF(AP69="TOTAL","",IF(AU69="","",IF($AM$16=$AM$17,0,ROUND(AU69*AJ69%,0)))))</f>
        <v/>
      </c>
      <c r="AW69" s="114" t="str">
        <f>IF(AP69="","",IF(AP69="TOTAL","",IF(AU69="","",IF($AM$16=$AM$17,0,ROUND(AU69*$AO$7%,0)))))</f>
        <v/>
      </c>
      <c r="AX69" s="114" t="str">
        <f t="shared" si="24"/>
        <v/>
      </c>
      <c r="BA69" s="149" t="str">
        <f t="shared" si="25"/>
        <v/>
      </c>
      <c r="BB69" s="114">
        <f t="shared" si="26"/>
        <v>3200</v>
      </c>
    </row>
    <row r="70" spans="1:54">
      <c r="AL70" s="115">
        <v>44593</v>
      </c>
      <c r="AN70" s="115">
        <f t="shared" si="29"/>
        <v>44593</v>
      </c>
      <c r="AO70" s="115" t="str">
        <f t="shared" si="15"/>
        <v/>
      </c>
      <c r="AP70" s="115" t="str">
        <f t="shared" si="19"/>
        <v/>
      </c>
      <c r="AQ70" s="114" t="str">
        <f t="shared" si="27"/>
        <v/>
      </c>
      <c r="AU70" s="114" t="str">
        <f t="shared" ref="AU70" si="32">IFERROR(IF(AP70="","",IF($AM$16=$AM$17,$AM$10,IF(OR(AP70=$AS$2,AP70=$AS$3,AP70=$AS$4,AP70=$AS$5,AP70=$AS$6),MROUND(AU69*1.03,100),AU69))),"")</f>
        <v/>
      </c>
      <c r="AX70" s="114" t="str">
        <f t="shared" si="24"/>
        <v/>
      </c>
      <c r="BA70" s="149" t="str">
        <f t="shared" si="25"/>
        <v/>
      </c>
      <c r="BB70" s="114" t="str">
        <f t="shared" si="26"/>
        <v/>
      </c>
    </row>
    <row r="71" spans="1:54">
      <c r="AQ71" s="114" t="str">
        <f t="shared" si="27"/>
        <v/>
      </c>
      <c r="AX71" s="114" t="str">
        <f t="shared" si="24"/>
        <v/>
      </c>
      <c r="BA71" s="149" t="str">
        <f t="shared" si="25"/>
        <v/>
      </c>
      <c r="BB71" s="114" t="str">
        <f t="shared" si="26"/>
        <v/>
      </c>
    </row>
    <row r="72" spans="1:54">
      <c r="AQ72" s="114" t="str">
        <f t="shared" si="27"/>
        <v/>
      </c>
      <c r="AX72" s="114" t="str">
        <f t="shared" si="24"/>
        <v/>
      </c>
      <c r="BA72" s="150"/>
      <c r="BB72" s="114" t="str">
        <f t="shared" si="26"/>
        <v/>
      </c>
    </row>
    <row r="73" spans="1:54">
      <c r="AQ73" s="114" t="str">
        <f t="shared" si="27"/>
        <v/>
      </c>
      <c r="AX73" s="114" t="str">
        <f t="shared" si="24"/>
        <v/>
      </c>
      <c r="BA73" s="150"/>
    </row>
    <row r="74" spans="1:54">
      <c r="AX74" s="114" t="str">
        <f t="shared" si="24"/>
        <v/>
      </c>
    </row>
  </sheetData>
  <sheetProtection password="C1FB" sheet="1" objects="1" scenarios="1" formatColumns="0" formatRows="0"/>
  <mergeCells count="30">
    <mergeCell ref="W4:AB4"/>
    <mergeCell ref="S3:U3"/>
    <mergeCell ref="V3:W3"/>
    <mergeCell ref="B4:D4"/>
    <mergeCell ref="G4:L4"/>
    <mergeCell ref="M4:O4"/>
    <mergeCell ref="Q4:S4"/>
    <mergeCell ref="T4:V4"/>
    <mergeCell ref="AI18:AI27"/>
    <mergeCell ref="A6:A7"/>
    <mergeCell ref="Y6:Y7"/>
    <mergeCell ref="Z6:Z7"/>
    <mergeCell ref="AA6:AA7"/>
    <mergeCell ref="AB6:AB7"/>
    <mergeCell ref="B1:AB1"/>
    <mergeCell ref="B2:AB2"/>
    <mergeCell ref="B6:B7"/>
    <mergeCell ref="C6:F6"/>
    <mergeCell ref="G6:J6"/>
    <mergeCell ref="K6:N6"/>
    <mergeCell ref="O6:Q6"/>
    <mergeCell ref="R6:T6"/>
    <mergeCell ref="U6:W6"/>
    <mergeCell ref="X6:X7"/>
    <mergeCell ref="B3:D3"/>
    <mergeCell ref="E3:K3"/>
    <mergeCell ref="N3:R3"/>
    <mergeCell ref="L3:M3"/>
    <mergeCell ref="X3:Z3"/>
    <mergeCell ref="AA3:AB3"/>
  </mergeCells>
  <conditionalFormatting sqref="B18:B19 A8:A69">
    <cfRule type="expression" dxfId="5" priority="3" stopIfTrue="1">
      <formula>$B8=""</formula>
    </cfRule>
    <cfRule type="cellIs" dxfId="4" priority="5" operator="equal">
      <formula>0</formula>
    </cfRule>
  </conditionalFormatting>
  <conditionalFormatting sqref="A8:AB69">
    <cfRule type="expression" dxfId="3" priority="4" stopIfTrue="1">
      <formula>$A8&gt;0</formula>
    </cfRule>
  </conditionalFormatting>
  <conditionalFormatting sqref="B9:AB69">
    <cfRule type="expression" dxfId="2" priority="2" stopIfTrue="1">
      <formula>$B9="TOTAL"</formula>
    </cfRule>
  </conditionalFormatting>
  <conditionalFormatting sqref="C9:C70">
    <cfRule type="expression" dxfId="1" priority="1" stopIfTrue="1">
      <formula>$C9="अक्षरें राशि :-"</formula>
    </cfRule>
  </conditionalFormatting>
  <pageMargins left="0.7" right="0.4" top="0.5" bottom="0.5" header="0.3" footer="0.3"/>
  <pageSetup paperSize="9" scale="73" fitToWidth="2" fitToHeight="2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99"/>
  </sheetPr>
  <dimension ref="A1:AI80"/>
  <sheetViews>
    <sheetView workbookViewId="0">
      <selection activeCell="AC11" sqref="AC11"/>
    </sheetView>
  </sheetViews>
  <sheetFormatPr defaultColWidth="9.125" defaultRowHeight="12.75"/>
  <cols>
    <col min="1" max="1" width="4.75" style="16" customWidth="1"/>
    <col min="2" max="2" width="8.625" style="45" customWidth="1"/>
    <col min="3" max="3" width="8.125" style="46" customWidth="1"/>
    <col min="4" max="14" width="6.625" style="46" customWidth="1"/>
    <col min="15" max="24" width="5.625" style="46" customWidth="1"/>
    <col min="25" max="25" width="7.625" style="16" customWidth="1"/>
    <col min="26" max="26" width="7.375" style="16" customWidth="1"/>
    <col min="27" max="27" width="8.75" style="16" customWidth="1"/>
    <col min="28" max="28" width="9.125" style="16" customWidth="1"/>
    <col min="29" max="34" width="9.125" style="16"/>
    <col min="35" max="35" width="9.125" style="16" customWidth="1"/>
    <col min="36" max="16384" width="9.125" style="16"/>
  </cols>
  <sheetData>
    <row r="1" spans="1:35" ht="22.5">
      <c r="B1" s="186" t="str">
        <f>IF('Master Sheet'!D3="","",CONCATENATE("Office ",'Master Sheet'!D3))</f>
        <v>Office Mahtma Gandhi Government School (English Medium) Bar, PALI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</row>
    <row r="2" spans="1:35" ht="20.25">
      <c r="B2" s="187" t="s">
        <v>23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</row>
    <row r="3" spans="1:35" s="17" customFormat="1" ht="19.5" customHeight="1">
      <c r="B3" s="190" t="s">
        <v>28</v>
      </c>
      <c r="C3" s="190"/>
      <c r="D3" s="190"/>
      <c r="E3" s="191" t="str">
        <f>IFERROR(UPPER('Master Sheet'!D7),"")</f>
        <v>HEERALAL JAT</v>
      </c>
      <c r="F3" s="191"/>
      <c r="G3" s="191"/>
      <c r="H3" s="191"/>
      <c r="I3" s="191"/>
      <c r="J3" s="191"/>
      <c r="K3" s="191"/>
      <c r="L3" s="193" t="s">
        <v>0</v>
      </c>
      <c r="M3" s="193"/>
      <c r="N3" s="192" t="str">
        <f>IFERROR(UPPER('Master Sheet'!G7),"")</f>
        <v>SR. TEACHER</v>
      </c>
      <c r="O3" s="192"/>
      <c r="P3" s="192"/>
      <c r="Q3" s="192"/>
      <c r="R3" s="192"/>
      <c r="S3" s="194" t="s">
        <v>29</v>
      </c>
      <c r="T3" s="194"/>
      <c r="U3" s="194"/>
      <c r="V3" s="199" t="str">
        <f>IFERROR(CONCATENATE("L - ",'Master Sheet'!K7),"")</f>
        <v>L - 11</v>
      </c>
      <c r="W3" s="199"/>
      <c r="X3" s="194" t="s">
        <v>90</v>
      </c>
      <c r="Y3" s="194"/>
      <c r="Z3" s="194"/>
      <c r="AA3" s="195" t="str">
        <f>IF('Arrear Sheet'!AM18='Arrear Sheet'!AM20,"GPF","NPS")</f>
        <v>NPS</v>
      </c>
      <c r="AB3" s="195"/>
    </row>
    <row r="4" spans="1:35" s="17" customFormat="1" ht="20.25" customHeight="1">
      <c r="B4" s="190"/>
      <c r="C4" s="190"/>
      <c r="D4" s="190"/>
      <c r="E4" s="95"/>
      <c r="F4" s="18"/>
      <c r="G4" s="190" t="s">
        <v>30</v>
      </c>
      <c r="H4" s="190"/>
      <c r="I4" s="190"/>
      <c r="J4" s="190"/>
      <c r="K4" s="190"/>
      <c r="L4" s="190"/>
      <c r="M4" s="200">
        <f>IFERROR('Master Sheet'!D9,"")</f>
        <v>42736</v>
      </c>
      <c r="N4" s="200"/>
      <c r="O4" s="200"/>
      <c r="P4" s="19" t="s">
        <v>31</v>
      </c>
      <c r="Q4" s="200">
        <f>IFERROR('Master Sheet'!G9,"")</f>
        <v>44531</v>
      </c>
      <c r="R4" s="200"/>
      <c r="S4" s="200"/>
      <c r="T4" s="193" t="s">
        <v>32</v>
      </c>
      <c r="U4" s="193"/>
      <c r="V4" s="193"/>
      <c r="W4" s="198"/>
      <c r="X4" s="198"/>
      <c r="Y4" s="198"/>
      <c r="Z4" s="198"/>
      <c r="AA4" s="198"/>
      <c r="AB4" s="198"/>
    </row>
    <row r="5" spans="1:35" ht="9.75" customHeight="1"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21"/>
      <c r="O5" s="22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35" ht="19.5" customHeight="1">
      <c r="A6" s="201" t="s">
        <v>22</v>
      </c>
      <c r="B6" s="188" t="s">
        <v>1</v>
      </c>
      <c r="C6" s="188" t="s">
        <v>2</v>
      </c>
      <c r="D6" s="188"/>
      <c r="E6" s="188"/>
      <c r="F6" s="188"/>
      <c r="G6" s="188" t="s">
        <v>3</v>
      </c>
      <c r="H6" s="188"/>
      <c r="I6" s="188"/>
      <c r="J6" s="188"/>
      <c r="K6" s="188" t="s">
        <v>4</v>
      </c>
      <c r="L6" s="188"/>
      <c r="M6" s="188"/>
      <c r="N6" s="188"/>
      <c r="O6" s="188" t="s">
        <v>20</v>
      </c>
      <c r="P6" s="188"/>
      <c r="Q6" s="188"/>
      <c r="R6" s="188" t="s">
        <v>5</v>
      </c>
      <c r="S6" s="188"/>
      <c r="T6" s="188"/>
      <c r="U6" s="188" t="s">
        <v>21</v>
      </c>
      <c r="V6" s="188"/>
      <c r="W6" s="188"/>
      <c r="X6" s="189" t="s">
        <v>6</v>
      </c>
      <c r="Y6" s="189" t="s">
        <v>7</v>
      </c>
      <c r="Z6" s="189" t="s">
        <v>8</v>
      </c>
      <c r="AA6" s="189" t="s">
        <v>9</v>
      </c>
      <c r="AB6" s="189" t="s">
        <v>10</v>
      </c>
    </row>
    <row r="7" spans="1:35" ht="18.75" customHeight="1">
      <c r="A7" s="202"/>
      <c r="B7" s="188"/>
      <c r="C7" s="23" t="s">
        <v>11</v>
      </c>
      <c r="D7" s="23" t="s">
        <v>12</v>
      </c>
      <c r="E7" s="79" t="s">
        <v>13</v>
      </c>
      <c r="F7" s="79" t="s">
        <v>14</v>
      </c>
      <c r="G7" s="79" t="s">
        <v>11</v>
      </c>
      <c r="H7" s="79" t="s">
        <v>12</v>
      </c>
      <c r="I7" s="79" t="s">
        <v>13</v>
      </c>
      <c r="J7" s="79" t="s">
        <v>14</v>
      </c>
      <c r="K7" s="79" t="s">
        <v>11</v>
      </c>
      <c r="L7" s="79" t="s">
        <v>12</v>
      </c>
      <c r="M7" s="79" t="s">
        <v>13</v>
      </c>
      <c r="N7" s="79" t="s">
        <v>14</v>
      </c>
      <c r="O7" s="79" t="s">
        <v>15</v>
      </c>
      <c r="P7" s="79" t="s">
        <v>16</v>
      </c>
      <c r="Q7" s="79" t="s">
        <v>17</v>
      </c>
      <c r="R7" s="79" t="s">
        <v>15</v>
      </c>
      <c r="S7" s="79" t="s">
        <v>16</v>
      </c>
      <c r="T7" s="79" t="s">
        <v>17</v>
      </c>
      <c r="U7" s="79" t="s">
        <v>15</v>
      </c>
      <c r="V7" s="79" t="s">
        <v>16</v>
      </c>
      <c r="W7" s="79" t="s">
        <v>17</v>
      </c>
      <c r="X7" s="189"/>
      <c r="Y7" s="189"/>
      <c r="Z7" s="189"/>
      <c r="AA7" s="189"/>
      <c r="AB7" s="189"/>
    </row>
    <row r="8" spans="1:35" s="31" customFormat="1" ht="21" customHeight="1">
      <c r="A8" s="24">
        <v>1</v>
      </c>
      <c r="B8" s="25">
        <v>43160</v>
      </c>
      <c r="C8" s="96"/>
      <c r="D8" s="26">
        <f>IFERROR(IF(B8="","",ROUND(C8*17%,0)),"")</f>
        <v>0</v>
      </c>
      <c r="E8" s="26">
        <f>IFERROR(IF(B8="","",ROUND(C8*8%,0)),"")</f>
        <v>0</v>
      </c>
      <c r="F8" s="27">
        <f>IF(B8="","",SUM(C8:E8))</f>
        <v>0</v>
      </c>
      <c r="G8" s="97"/>
      <c r="H8" s="27">
        <f>IFERROR(IF(B8="","",ROUND(G8*17%,0)),"")</f>
        <v>0</v>
      </c>
      <c r="I8" s="27">
        <f>IFERROR(IF(B8="","",ROUND(G8*8%,0)),"")</f>
        <v>0</v>
      </c>
      <c r="J8" s="27">
        <f>IF(B8="","",SUM(G8:I8))</f>
        <v>0</v>
      </c>
      <c r="K8" s="27" t="str">
        <f>IFERROR(IF(B8="","",IF(C8="","",IF(G8="","",SUM(C8-G8)))),"")</f>
        <v/>
      </c>
      <c r="L8" s="27">
        <f>IFERROR(IF(B8="","",IF(D8="","",IF(H8="","",SUM(D8-H8)))),"")</f>
        <v>0</v>
      </c>
      <c r="M8" s="27">
        <f>IFERROR(IF(B8="","",IF(E8="","",IF(I8="","",SUM(E8-I8)))),"")</f>
        <v>0</v>
      </c>
      <c r="N8" s="27">
        <f>IFERROR(IF(B8="","",IF(F8="","",IF(J8="","",SUM(F8-J8)))),"")</f>
        <v>0</v>
      </c>
      <c r="O8" s="27">
        <f>IFERROR(IF(B8="","",ROUND((C8+D8)*10%,0)),"")</f>
        <v>0</v>
      </c>
      <c r="P8" s="28" t="str">
        <f>IFERROR(IF(B8="","",IF(G8="","",IF(H8="","",ROUND((G8+H8)*10%,0)))),"")</f>
        <v/>
      </c>
      <c r="Q8" s="29" t="str">
        <f>IFERROR(IF(B8="","",SUM(O8-P8)),"")</f>
        <v/>
      </c>
      <c r="R8" s="98"/>
      <c r="S8" s="98"/>
      <c r="T8" s="29">
        <f>IFERROR(IF(B8="","",SUM(R8-S8)),"")</f>
        <v>0</v>
      </c>
      <c r="U8" s="27"/>
      <c r="V8" s="27"/>
      <c r="W8" s="29">
        <f>IFERROR(IF(B8="","",SUM(U8-V8)),"")</f>
        <v>0</v>
      </c>
      <c r="X8" s="27"/>
      <c r="Y8" s="27">
        <f>IFERROR(IF(B8="","",SUM(Q8,T8,W8,X8)),"")</f>
        <v>0</v>
      </c>
      <c r="Z8" s="30">
        <f>IFERROR(IF(B8="","",SUM(N8-Y8)),"")</f>
        <v>0</v>
      </c>
      <c r="AA8" s="47"/>
      <c r="AB8" s="48"/>
      <c r="AD8" s="32"/>
      <c r="AE8" s="33"/>
      <c r="AF8" s="33"/>
      <c r="AG8" s="33"/>
      <c r="AH8" s="33"/>
      <c r="AI8" s="32"/>
    </row>
    <row r="9" spans="1:35" s="35" customFormat="1" ht="21" customHeight="1">
      <c r="A9" s="24">
        <v>2</v>
      </c>
      <c r="B9" s="25">
        <v>43191</v>
      </c>
      <c r="C9" s="26" t="str">
        <f>IFERROR(IF(B9="","",IF(C8="","",C8)),"")</f>
        <v/>
      </c>
      <c r="D9" s="26" t="str">
        <f>IFERROR(IF(B9="","",ROUND(C9*17%,0)),"")</f>
        <v/>
      </c>
      <c r="E9" s="26" t="str">
        <f>IFERROR(IF(B9="","",ROUND(C9*8%,0)),"")</f>
        <v/>
      </c>
      <c r="F9" s="27">
        <f t="shared" ref="F9:F17" si="0">IF(B9="","",SUM(C9:E9))</f>
        <v>0</v>
      </c>
      <c r="G9" s="34" t="str">
        <f>IFERROR(IF(B9="","",IF(G8="","",G8)),"")</f>
        <v/>
      </c>
      <c r="H9" s="27" t="str">
        <f>IFERROR(IF(B9="","",ROUND(G9*17%,0)),"")</f>
        <v/>
      </c>
      <c r="I9" s="27" t="str">
        <f>IFERROR(IF(B9="","",ROUND(G9*8%,0)),"")</f>
        <v/>
      </c>
      <c r="J9" s="27">
        <f t="shared" ref="J9:J17" si="1">IF(B9="","",SUM(G9:I9))</f>
        <v>0</v>
      </c>
      <c r="K9" s="27" t="str">
        <f t="shared" ref="K9:K17" si="2">IFERROR(IF(B9="","",IF(C9="","",IF(G9="","",SUM(C9-G9)))),"")</f>
        <v/>
      </c>
      <c r="L9" s="27" t="str">
        <f t="shared" ref="L9:L17" si="3">IFERROR(IF(B9="","",IF(D9="","",IF(H9="","",SUM(D9-H9)))),"")</f>
        <v/>
      </c>
      <c r="M9" s="27" t="str">
        <f t="shared" ref="M9:M17" si="4">IFERROR(IF(B9="","",IF(E9="","",IF(I9="","",SUM(E9-I9)))),"")</f>
        <v/>
      </c>
      <c r="N9" s="27">
        <f t="shared" ref="N9:N17" si="5">IFERROR(IF(B9="","",IF(F9="","",IF(J9="","",SUM(F9-J9)))),"")</f>
        <v>0</v>
      </c>
      <c r="O9" s="27" t="str">
        <f t="shared" ref="O9:O17" si="6">IFERROR(IF(B9="","",ROUND((C9+D9)*10%,0)),"")</f>
        <v/>
      </c>
      <c r="P9" s="28" t="str">
        <f t="shared" ref="P9:P17" si="7">IFERROR(IF(B9="","",IF(G9="","",IF(H9="","",ROUND((G9+H9)*10%,0)))),"")</f>
        <v/>
      </c>
      <c r="Q9" s="29" t="str">
        <f t="shared" ref="Q9:Q17" si="8">IFERROR(IF(B9="","",SUM(O9-P9)),"")</f>
        <v/>
      </c>
      <c r="R9" s="34">
        <f>IF(B9="","",R8)</f>
        <v>0</v>
      </c>
      <c r="S9" s="34">
        <f>IF(B9="","",S8)</f>
        <v>0</v>
      </c>
      <c r="T9" s="29">
        <f>IFERROR(IF(B9="","",SUM(R9-S9)),"")</f>
        <v>0</v>
      </c>
      <c r="U9" s="27"/>
      <c r="V9" s="27"/>
      <c r="W9" s="29">
        <f t="shared" ref="W9:W17" si="9">IFERROR(IF(B9="","",SUM(U9-V9)),"")</f>
        <v>0</v>
      </c>
      <c r="X9" s="27"/>
      <c r="Y9" s="27">
        <f t="shared" ref="Y9:Y17" si="10">IFERROR(IF(B9="","",SUM(Q9,T9,W9,X9)),"")</f>
        <v>0</v>
      </c>
      <c r="Z9" s="30">
        <f t="shared" ref="Z9:Z17" si="11">IFERROR(IF(B9="","",SUM(N9-Y9)),"")</f>
        <v>0</v>
      </c>
      <c r="AA9" s="49"/>
      <c r="AB9" s="49"/>
      <c r="AD9" s="76"/>
      <c r="AE9" s="76"/>
      <c r="AF9" s="76"/>
      <c r="AG9" s="76"/>
      <c r="AH9" s="76"/>
      <c r="AI9" s="76"/>
    </row>
    <row r="10" spans="1:35" s="35" customFormat="1" ht="21" customHeight="1">
      <c r="A10" s="24">
        <v>3</v>
      </c>
      <c r="B10" s="25">
        <v>43221</v>
      </c>
      <c r="C10" s="26" t="str">
        <f t="shared" ref="C10:C47" si="12">IFERROR(IF(B10="","",IF(C9="","",C9)),"")</f>
        <v/>
      </c>
      <c r="D10" s="26" t="str">
        <f t="shared" ref="D10:D17" si="13">IFERROR(IF(B10="","",ROUND(C10*17%,0)),"")</f>
        <v/>
      </c>
      <c r="E10" s="26" t="str">
        <f t="shared" ref="E10:E17" si="14">IFERROR(IF(B10="","",ROUND(C10*8%,0)),"")</f>
        <v/>
      </c>
      <c r="F10" s="27">
        <f t="shared" si="0"/>
        <v>0</v>
      </c>
      <c r="G10" s="34" t="str">
        <f t="shared" ref="G10:G47" si="15">IFERROR(IF(B10="","",IF(G9="","",G9)),"")</f>
        <v/>
      </c>
      <c r="H10" s="27" t="str">
        <f t="shared" ref="H10:H17" si="16">IFERROR(IF(B10="","",ROUND(G10*17%,0)),"")</f>
        <v/>
      </c>
      <c r="I10" s="27" t="str">
        <f t="shared" ref="I10:I17" si="17">IFERROR(IF(B10="","",ROUND(G10*8%,0)),"")</f>
        <v/>
      </c>
      <c r="J10" s="27">
        <f t="shared" si="1"/>
        <v>0</v>
      </c>
      <c r="K10" s="27" t="str">
        <f t="shared" si="2"/>
        <v/>
      </c>
      <c r="L10" s="27" t="str">
        <f t="shared" si="3"/>
        <v/>
      </c>
      <c r="M10" s="27" t="str">
        <f t="shared" si="4"/>
        <v/>
      </c>
      <c r="N10" s="27">
        <f t="shared" si="5"/>
        <v>0</v>
      </c>
      <c r="O10" s="27" t="str">
        <f t="shared" si="6"/>
        <v/>
      </c>
      <c r="P10" s="28" t="str">
        <f t="shared" si="7"/>
        <v/>
      </c>
      <c r="Q10" s="29" t="str">
        <f t="shared" si="8"/>
        <v/>
      </c>
      <c r="R10" s="34">
        <f t="shared" ref="R10:R47" si="18">IF(B10="","",R9)</f>
        <v>0</v>
      </c>
      <c r="S10" s="34">
        <f t="shared" ref="S10:S47" si="19">IF(B10="","",S9)</f>
        <v>0</v>
      </c>
      <c r="T10" s="29">
        <f t="shared" ref="T10:T17" si="20">IFERROR(IF(B10="","",SUM(R10-S10)),"")</f>
        <v>0</v>
      </c>
      <c r="U10" s="27"/>
      <c r="V10" s="27"/>
      <c r="W10" s="29">
        <f t="shared" si="9"/>
        <v>0</v>
      </c>
      <c r="X10" s="27"/>
      <c r="Y10" s="27">
        <f t="shared" si="10"/>
        <v>0</v>
      </c>
      <c r="Z10" s="30">
        <f t="shared" si="11"/>
        <v>0</v>
      </c>
      <c r="AA10" s="49"/>
      <c r="AB10" s="49"/>
      <c r="AD10" s="76"/>
      <c r="AE10" s="76"/>
      <c r="AF10" s="76"/>
      <c r="AG10" s="76"/>
      <c r="AH10" s="76"/>
      <c r="AI10" s="76"/>
    </row>
    <row r="11" spans="1:35" s="35" customFormat="1" ht="21" customHeight="1">
      <c r="A11" s="24">
        <v>4</v>
      </c>
      <c r="B11" s="25">
        <v>43252</v>
      </c>
      <c r="C11" s="26" t="str">
        <f t="shared" si="12"/>
        <v/>
      </c>
      <c r="D11" s="26" t="str">
        <f t="shared" si="13"/>
        <v/>
      </c>
      <c r="E11" s="26" t="str">
        <f t="shared" si="14"/>
        <v/>
      </c>
      <c r="F11" s="27">
        <f t="shared" si="0"/>
        <v>0</v>
      </c>
      <c r="G11" s="34" t="str">
        <f t="shared" si="15"/>
        <v/>
      </c>
      <c r="H11" s="27" t="str">
        <f t="shared" si="16"/>
        <v/>
      </c>
      <c r="I11" s="27" t="str">
        <f t="shared" si="17"/>
        <v/>
      </c>
      <c r="J11" s="27">
        <f t="shared" si="1"/>
        <v>0</v>
      </c>
      <c r="K11" s="27" t="str">
        <f t="shared" si="2"/>
        <v/>
      </c>
      <c r="L11" s="27" t="str">
        <f t="shared" si="3"/>
        <v/>
      </c>
      <c r="M11" s="27" t="str">
        <f t="shared" si="4"/>
        <v/>
      </c>
      <c r="N11" s="27">
        <f t="shared" si="5"/>
        <v>0</v>
      </c>
      <c r="O11" s="27" t="str">
        <f t="shared" si="6"/>
        <v/>
      </c>
      <c r="P11" s="28" t="str">
        <f t="shared" si="7"/>
        <v/>
      </c>
      <c r="Q11" s="29" t="str">
        <f t="shared" si="8"/>
        <v/>
      </c>
      <c r="R11" s="34">
        <f t="shared" si="18"/>
        <v>0</v>
      </c>
      <c r="S11" s="34">
        <f t="shared" si="19"/>
        <v>0</v>
      </c>
      <c r="T11" s="29">
        <f t="shared" si="20"/>
        <v>0</v>
      </c>
      <c r="U11" s="27"/>
      <c r="V11" s="27"/>
      <c r="W11" s="29">
        <f t="shared" si="9"/>
        <v>0</v>
      </c>
      <c r="X11" s="27"/>
      <c r="Y11" s="27">
        <f t="shared" si="10"/>
        <v>0</v>
      </c>
      <c r="Z11" s="30">
        <f t="shared" si="11"/>
        <v>0</v>
      </c>
      <c r="AA11" s="49"/>
      <c r="AB11" s="49"/>
      <c r="AD11" s="76"/>
      <c r="AE11" s="76"/>
      <c r="AF11" s="76"/>
      <c r="AG11" s="76"/>
      <c r="AH11" s="76"/>
      <c r="AI11" s="76"/>
    </row>
    <row r="12" spans="1:35" s="35" customFormat="1" ht="21" customHeight="1">
      <c r="A12" s="24">
        <v>5</v>
      </c>
      <c r="B12" s="25">
        <v>43282</v>
      </c>
      <c r="C12" s="26" t="str">
        <f t="shared" si="12"/>
        <v/>
      </c>
      <c r="D12" s="26" t="str">
        <f>IFERROR(IF(B12="","",ROUND(C12*17%,0)),"")</f>
        <v/>
      </c>
      <c r="E12" s="26" t="str">
        <f t="shared" si="14"/>
        <v/>
      </c>
      <c r="F12" s="27">
        <f t="shared" si="0"/>
        <v>0</v>
      </c>
      <c r="G12" s="34" t="str">
        <f t="shared" si="15"/>
        <v/>
      </c>
      <c r="H12" s="27" t="str">
        <f t="shared" si="16"/>
        <v/>
      </c>
      <c r="I12" s="27" t="str">
        <f t="shared" si="17"/>
        <v/>
      </c>
      <c r="J12" s="27">
        <f t="shared" si="1"/>
        <v>0</v>
      </c>
      <c r="K12" s="27" t="str">
        <f t="shared" si="2"/>
        <v/>
      </c>
      <c r="L12" s="27" t="str">
        <f t="shared" si="3"/>
        <v/>
      </c>
      <c r="M12" s="27" t="str">
        <f t="shared" si="4"/>
        <v/>
      </c>
      <c r="N12" s="27">
        <f t="shared" si="5"/>
        <v>0</v>
      </c>
      <c r="O12" s="27" t="str">
        <f t="shared" si="6"/>
        <v/>
      </c>
      <c r="P12" s="28" t="str">
        <f t="shared" si="7"/>
        <v/>
      </c>
      <c r="Q12" s="29" t="str">
        <f t="shared" si="8"/>
        <v/>
      </c>
      <c r="R12" s="34">
        <f t="shared" si="18"/>
        <v>0</v>
      </c>
      <c r="S12" s="34">
        <f t="shared" si="19"/>
        <v>0</v>
      </c>
      <c r="T12" s="29">
        <f t="shared" si="20"/>
        <v>0</v>
      </c>
      <c r="U12" s="27"/>
      <c r="V12" s="27"/>
      <c r="W12" s="29">
        <f t="shared" si="9"/>
        <v>0</v>
      </c>
      <c r="X12" s="27"/>
      <c r="Y12" s="27">
        <f t="shared" si="10"/>
        <v>0</v>
      </c>
      <c r="Z12" s="30">
        <f t="shared" si="11"/>
        <v>0</v>
      </c>
      <c r="AA12" s="49"/>
      <c r="AB12" s="49"/>
      <c r="AD12" s="76"/>
      <c r="AE12" s="76"/>
      <c r="AF12" s="76"/>
      <c r="AG12" s="76"/>
      <c r="AH12" s="76"/>
      <c r="AI12" s="76"/>
    </row>
    <row r="13" spans="1:35" s="35" customFormat="1" ht="21" customHeight="1">
      <c r="A13" s="24">
        <v>6</v>
      </c>
      <c r="B13" s="25">
        <v>43313</v>
      </c>
      <c r="C13" s="26" t="str">
        <f t="shared" si="12"/>
        <v/>
      </c>
      <c r="D13" s="26" t="str">
        <f t="shared" si="13"/>
        <v/>
      </c>
      <c r="E13" s="26" t="str">
        <f t="shared" si="14"/>
        <v/>
      </c>
      <c r="F13" s="27">
        <f t="shared" si="0"/>
        <v>0</v>
      </c>
      <c r="G13" s="34" t="str">
        <f t="shared" si="15"/>
        <v/>
      </c>
      <c r="H13" s="27" t="str">
        <f t="shared" si="16"/>
        <v/>
      </c>
      <c r="I13" s="27" t="str">
        <f t="shared" si="17"/>
        <v/>
      </c>
      <c r="J13" s="27">
        <f t="shared" si="1"/>
        <v>0</v>
      </c>
      <c r="K13" s="27" t="str">
        <f t="shared" si="2"/>
        <v/>
      </c>
      <c r="L13" s="27" t="str">
        <f t="shared" si="3"/>
        <v/>
      </c>
      <c r="M13" s="27" t="str">
        <f t="shared" si="4"/>
        <v/>
      </c>
      <c r="N13" s="27">
        <f t="shared" si="5"/>
        <v>0</v>
      </c>
      <c r="O13" s="27" t="str">
        <f t="shared" si="6"/>
        <v/>
      </c>
      <c r="P13" s="28" t="str">
        <f t="shared" si="7"/>
        <v/>
      </c>
      <c r="Q13" s="29" t="str">
        <f t="shared" si="8"/>
        <v/>
      </c>
      <c r="R13" s="34">
        <f t="shared" si="18"/>
        <v>0</v>
      </c>
      <c r="S13" s="34">
        <f t="shared" si="19"/>
        <v>0</v>
      </c>
      <c r="T13" s="29">
        <f t="shared" si="20"/>
        <v>0</v>
      </c>
      <c r="U13" s="27"/>
      <c r="V13" s="27"/>
      <c r="W13" s="29">
        <f t="shared" si="9"/>
        <v>0</v>
      </c>
      <c r="X13" s="27"/>
      <c r="Y13" s="27">
        <f>IFERROR(IF(B13="","",SUM(Q13,T13,W13,X13)),"")</f>
        <v>0</v>
      </c>
      <c r="Z13" s="30">
        <f t="shared" si="11"/>
        <v>0</v>
      </c>
      <c r="AA13" s="49"/>
      <c r="AB13" s="49"/>
      <c r="AD13" s="76"/>
      <c r="AE13" s="76"/>
      <c r="AF13" s="76"/>
      <c r="AG13" s="76"/>
      <c r="AH13" s="76"/>
      <c r="AI13" s="76"/>
    </row>
    <row r="14" spans="1:35" s="35" customFormat="1" ht="21" customHeight="1">
      <c r="A14" s="24">
        <v>7</v>
      </c>
      <c r="B14" s="25">
        <v>43344</v>
      </c>
      <c r="C14" s="26" t="str">
        <f t="shared" si="12"/>
        <v/>
      </c>
      <c r="D14" s="26" t="str">
        <f t="shared" si="13"/>
        <v/>
      </c>
      <c r="E14" s="26" t="str">
        <f t="shared" si="14"/>
        <v/>
      </c>
      <c r="F14" s="27">
        <f t="shared" si="0"/>
        <v>0</v>
      </c>
      <c r="G14" s="34" t="str">
        <f t="shared" si="15"/>
        <v/>
      </c>
      <c r="H14" s="27" t="str">
        <f t="shared" si="16"/>
        <v/>
      </c>
      <c r="I14" s="27" t="str">
        <f t="shared" si="17"/>
        <v/>
      </c>
      <c r="J14" s="27">
        <f t="shared" si="1"/>
        <v>0</v>
      </c>
      <c r="K14" s="27" t="str">
        <f t="shared" si="2"/>
        <v/>
      </c>
      <c r="L14" s="27" t="str">
        <f t="shared" si="3"/>
        <v/>
      </c>
      <c r="M14" s="27" t="str">
        <f t="shared" si="4"/>
        <v/>
      </c>
      <c r="N14" s="27">
        <f t="shared" si="5"/>
        <v>0</v>
      </c>
      <c r="O14" s="27" t="str">
        <f t="shared" si="6"/>
        <v/>
      </c>
      <c r="P14" s="28" t="str">
        <f t="shared" si="7"/>
        <v/>
      </c>
      <c r="Q14" s="29" t="str">
        <f t="shared" si="8"/>
        <v/>
      </c>
      <c r="R14" s="34">
        <f t="shared" si="18"/>
        <v>0</v>
      </c>
      <c r="S14" s="34">
        <f t="shared" si="19"/>
        <v>0</v>
      </c>
      <c r="T14" s="29">
        <f t="shared" si="20"/>
        <v>0</v>
      </c>
      <c r="U14" s="27"/>
      <c r="V14" s="27"/>
      <c r="W14" s="29">
        <f t="shared" si="9"/>
        <v>0</v>
      </c>
      <c r="X14" s="27"/>
      <c r="Y14" s="27">
        <f t="shared" si="10"/>
        <v>0</v>
      </c>
      <c r="Z14" s="30">
        <f t="shared" si="11"/>
        <v>0</v>
      </c>
      <c r="AA14" s="49"/>
      <c r="AB14" s="49"/>
      <c r="AD14" s="76"/>
      <c r="AE14" s="76"/>
      <c r="AF14" s="76"/>
      <c r="AG14" s="76"/>
      <c r="AH14" s="76"/>
      <c r="AI14" s="76"/>
    </row>
    <row r="15" spans="1:35" s="35" customFormat="1" ht="21" customHeight="1">
      <c r="A15" s="24">
        <v>8</v>
      </c>
      <c r="B15" s="25">
        <v>43374</v>
      </c>
      <c r="C15" s="26" t="str">
        <f t="shared" si="12"/>
        <v/>
      </c>
      <c r="D15" s="26" t="str">
        <f t="shared" si="13"/>
        <v/>
      </c>
      <c r="E15" s="26" t="str">
        <f t="shared" si="14"/>
        <v/>
      </c>
      <c r="F15" s="27">
        <f t="shared" si="0"/>
        <v>0</v>
      </c>
      <c r="G15" s="34" t="str">
        <f t="shared" si="15"/>
        <v/>
      </c>
      <c r="H15" s="27" t="str">
        <f t="shared" si="16"/>
        <v/>
      </c>
      <c r="I15" s="27" t="str">
        <f t="shared" si="17"/>
        <v/>
      </c>
      <c r="J15" s="27">
        <f t="shared" si="1"/>
        <v>0</v>
      </c>
      <c r="K15" s="27" t="str">
        <f t="shared" si="2"/>
        <v/>
      </c>
      <c r="L15" s="27" t="str">
        <f t="shared" si="3"/>
        <v/>
      </c>
      <c r="M15" s="27" t="str">
        <f t="shared" si="4"/>
        <v/>
      </c>
      <c r="N15" s="27">
        <f t="shared" si="5"/>
        <v>0</v>
      </c>
      <c r="O15" s="27" t="str">
        <f t="shared" si="6"/>
        <v/>
      </c>
      <c r="P15" s="28" t="str">
        <f t="shared" si="7"/>
        <v/>
      </c>
      <c r="Q15" s="29" t="str">
        <f t="shared" si="8"/>
        <v/>
      </c>
      <c r="R15" s="34">
        <f t="shared" si="18"/>
        <v>0</v>
      </c>
      <c r="S15" s="34">
        <f t="shared" si="19"/>
        <v>0</v>
      </c>
      <c r="T15" s="29">
        <f t="shared" si="20"/>
        <v>0</v>
      </c>
      <c r="U15" s="27"/>
      <c r="V15" s="27"/>
      <c r="W15" s="29">
        <f t="shared" si="9"/>
        <v>0</v>
      </c>
      <c r="X15" s="27"/>
      <c r="Y15" s="27">
        <f t="shared" si="10"/>
        <v>0</v>
      </c>
      <c r="Z15" s="30">
        <f t="shared" si="11"/>
        <v>0</v>
      </c>
      <c r="AA15" s="49"/>
      <c r="AB15" s="49"/>
      <c r="AD15" s="76"/>
      <c r="AE15" s="76"/>
      <c r="AF15" s="76"/>
      <c r="AG15" s="76"/>
      <c r="AH15" s="76"/>
      <c r="AI15" s="76"/>
    </row>
    <row r="16" spans="1:35" s="35" customFormat="1" ht="21" customHeight="1">
      <c r="A16" s="24">
        <v>9</v>
      </c>
      <c r="B16" s="25">
        <v>43405</v>
      </c>
      <c r="C16" s="26" t="str">
        <f t="shared" si="12"/>
        <v/>
      </c>
      <c r="D16" s="26" t="str">
        <f t="shared" si="13"/>
        <v/>
      </c>
      <c r="E16" s="26" t="str">
        <f t="shared" si="14"/>
        <v/>
      </c>
      <c r="F16" s="27">
        <f t="shared" si="0"/>
        <v>0</v>
      </c>
      <c r="G16" s="34" t="str">
        <f t="shared" si="15"/>
        <v/>
      </c>
      <c r="H16" s="27" t="str">
        <f t="shared" si="16"/>
        <v/>
      </c>
      <c r="I16" s="27" t="str">
        <f t="shared" si="17"/>
        <v/>
      </c>
      <c r="J16" s="27">
        <f t="shared" si="1"/>
        <v>0</v>
      </c>
      <c r="K16" s="27" t="str">
        <f t="shared" si="2"/>
        <v/>
      </c>
      <c r="L16" s="27" t="str">
        <f t="shared" si="3"/>
        <v/>
      </c>
      <c r="M16" s="27" t="str">
        <f t="shared" si="4"/>
        <v/>
      </c>
      <c r="N16" s="27">
        <f t="shared" si="5"/>
        <v>0</v>
      </c>
      <c r="O16" s="27" t="str">
        <f t="shared" si="6"/>
        <v/>
      </c>
      <c r="P16" s="28" t="str">
        <f t="shared" si="7"/>
        <v/>
      </c>
      <c r="Q16" s="29" t="str">
        <f t="shared" si="8"/>
        <v/>
      </c>
      <c r="R16" s="34">
        <f t="shared" si="18"/>
        <v>0</v>
      </c>
      <c r="S16" s="34">
        <f t="shared" si="19"/>
        <v>0</v>
      </c>
      <c r="T16" s="29">
        <f t="shared" si="20"/>
        <v>0</v>
      </c>
      <c r="U16" s="27"/>
      <c r="V16" s="27"/>
      <c r="W16" s="29">
        <f t="shared" si="9"/>
        <v>0</v>
      </c>
      <c r="X16" s="27"/>
      <c r="Y16" s="27">
        <f t="shared" si="10"/>
        <v>0</v>
      </c>
      <c r="Z16" s="30">
        <f t="shared" si="11"/>
        <v>0</v>
      </c>
      <c r="AA16" s="49"/>
      <c r="AB16" s="49"/>
      <c r="AD16" s="76"/>
      <c r="AE16" s="76"/>
      <c r="AF16" s="76"/>
      <c r="AG16" s="76"/>
      <c r="AH16" s="76"/>
      <c r="AI16" s="76"/>
    </row>
    <row r="17" spans="1:35" s="35" customFormat="1" ht="21" customHeight="1">
      <c r="A17" s="24">
        <v>10</v>
      </c>
      <c r="B17" s="25">
        <v>43435</v>
      </c>
      <c r="C17" s="26" t="str">
        <f t="shared" si="12"/>
        <v/>
      </c>
      <c r="D17" s="26" t="str">
        <f t="shared" si="13"/>
        <v/>
      </c>
      <c r="E17" s="26" t="str">
        <f t="shared" si="14"/>
        <v/>
      </c>
      <c r="F17" s="27">
        <f t="shared" si="0"/>
        <v>0</v>
      </c>
      <c r="G17" s="34" t="str">
        <f t="shared" si="15"/>
        <v/>
      </c>
      <c r="H17" s="27" t="str">
        <f t="shared" si="16"/>
        <v/>
      </c>
      <c r="I17" s="27" t="str">
        <f t="shared" si="17"/>
        <v/>
      </c>
      <c r="J17" s="27">
        <f t="shared" si="1"/>
        <v>0</v>
      </c>
      <c r="K17" s="27" t="str">
        <f t="shared" si="2"/>
        <v/>
      </c>
      <c r="L17" s="27" t="str">
        <f t="shared" si="3"/>
        <v/>
      </c>
      <c r="M17" s="27" t="str">
        <f t="shared" si="4"/>
        <v/>
      </c>
      <c r="N17" s="27">
        <f t="shared" si="5"/>
        <v>0</v>
      </c>
      <c r="O17" s="27" t="str">
        <f t="shared" si="6"/>
        <v/>
      </c>
      <c r="P17" s="28" t="str">
        <f t="shared" si="7"/>
        <v/>
      </c>
      <c r="Q17" s="29" t="str">
        <f t="shared" si="8"/>
        <v/>
      </c>
      <c r="R17" s="34">
        <f t="shared" si="18"/>
        <v>0</v>
      </c>
      <c r="S17" s="34">
        <f t="shared" si="19"/>
        <v>0</v>
      </c>
      <c r="T17" s="29">
        <f t="shared" si="20"/>
        <v>0</v>
      </c>
      <c r="U17" s="27"/>
      <c r="V17" s="27"/>
      <c r="W17" s="29">
        <f t="shared" si="9"/>
        <v>0</v>
      </c>
      <c r="X17" s="27"/>
      <c r="Y17" s="27">
        <f t="shared" si="10"/>
        <v>0</v>
      </c>
      <c r="Z17" s="30">
        <f t="shared" si="11"/>
        <v>0</v>
      </c>
      <c r="AA17" s="49"/>
      <c r="AB17" s="49"/>
      <c r="AD17" s="76"/>
      <c r="AE17" s="76"/>
      <c r="AF17" s="76"/>
      <c r="AG17" s="76"/>
      <c r="AH17" s="76"/>
      <c r="AI17" s="76"/>
    </row>
    <row r="18" spans="1:35" s="35" customFormat="1" ht="21" customHeight="1">
      <c r="A18" s="24">
        <v>11</v>
      </c>
      <c r="B18" s="25">
        <v>43466</v>
      </c>
      <c r="C18" s="26" t="str">
        <f t="shared" si="12"/>
        <v/>
      </c>
      <c r="D18" s="26" t="str">
        <f t="shared" ref="D18:D47" si="21">IFERROR(IF(B18="","",ROUND(C18*17%,0)),"")</f>
        <v/>
      </c>
      <c r="E18" s="26" t="str">
        <f t="shared" ref="E18:E47" si="22">IFERROR(IF(B18="","",ROUND(C18*8%,0)),"")</f>
        <v/>
      </c>
      <c r="F18" s="27">
        <f t="shared" ref="F18:F47" si="23">IF(B18="","",SUM(C18:E18))</f>
        <v>0</v>
      </c>
      <c r="G18" s="34" t="str">
        <f t="shared" si="15"/>
        <v/>
      </c>
      <c r="H18" s="27" t="str">
        <f t="shared" ref="H18:H47" si="24">IFERROR(IF(B18="","",ROUND(G18*17%,0)),"")</f>
        <v/>
      </c>
      <c r="I18" s="27" t="str">
        <f t="shared" ref="I18:I47" si="25">IFERROR(IF(B18="","",ROUND(G18*8%,0)),"")</f>
        <v/>
      </c>
      <c r="J18" s="27">
        <f t="shared" ref="J18:J47" si="26">IF(B18="","",SUM(G18:I18))</f>
        <v>0</v>
      </c>
      <c r="K18" s="27" t="str">
        <f t="shared" ref="K18:K47" si="27">IFERROR(IF(B18="","",IF(C18="","",IF(G18="","",SUM(C18-G18)))),"")</f>
        <v/>
      </c>
      <c r="L18" s="27" t="str">
        <f t="shared" ref="L18:L47" si="28">IFERROR(IF(B18="","",IF(D18="","",IF(H18="","",SUM(D18-H18)))),"")</f>
        <v/>
      </c>
      <c r="M18" s="27" t="str">
        <f t="shared" ref="M18:M47" si="29">IFERROR(IF(B18="","",IF(E18="","",IF(I18="","",SUM(E18-I18)))),"")</f>
        <v/>
      </c>
      <c r="N18" s="27">
        <f t="shared" ref="N18:N47" si="30">IFERROR(IF(B18="","",IF(F18="","",IF(J18="","",SUM(F18-J18)))),"")</f>
        <v>0</v>
      </c>
      <c r="O18" s="27" t="str">
        <f t="shared" ref="O18:O47" si="31">IFERROR(IF(B18="","",ROUND((C18+D18)*10%,0)),"")</f>
        <v/>
      </c>
      <c r="P18" s="28" t="str">
        <f t="shared" ref="P18:P47" si="32">IFERROR(IF(B18="","",IF(G18="","",IF(H18="","",ROUND((G18+H18)*10%,0)))),"")</f>
        <v/>
      </c>
      <c r="Q18" s="29" t="str">
        <f t="shared" ref="Q18:Q47" si="33">IFERROR(IF(B18="","",SUM(O18-P18)),"")</f>
        <v/>
      </c>
      <c r="R18" s="34">
        <f t="shared" si="18"/>
        <v>0</v>
      </c>
      <c r="S18" s="34">
        <f t="shared" si="19"/>
        <v>0</v>
      </c>
      <c r="T18" s="29">
        <f t="shared" ref="T18:T47" si="34">IFERROR(IF(B18="","",SUM(R18-S18)),"")</f>
        <v>0</v>
      </c>
      <c r="U18" s="27"/>
      <c r="V18" s="27"/>
      <c r="W18" s="29">
        <f t="shared" ref="W18:W47" si="35">IFERROR(IF(B18="","",SUM(U18-V18)),"")</f>
        <v>0</v>
      </c>
      <c r="X18" s="27"/>
      <c r="Y18" s="27">
        <f t="shared" ref="Y18:Y47" si="36">IFERROR(IF(B18="","",SUM(Q18,T18,W18,X18)),"")</f>
        <v>0</v>
      </c>
      <c r="Z18" s="30">
        <f t="shared" ref="Z18:Z47" si="37">IFERROR(IF(B18="","",SUM(N18-Y18)),"")</f>
        <v>0</v>
      </c>
      <c r="AA18" s="49"/>
      <c r="AB18" s="49"/>
      <c r="AD18" s="93"/>
      <c r="AE18" s="93"/>
      <c r="AF18" s="93"/>
      <c r="AG18" s="93"/>
      <c r="AH18" s="93"/>
      <c r="AI18" s="93"/>
    </row>
    <row r="19" spans="1:35" s="35" customFormat="1" ht="21" customHeight="1">
      <c r="A19" s="24">
        <v>12</v>
      </c>
      <c r="B19" s="25">
        <v>43497</v>
      </c>
      <c r="C19" s="26" t="str">
        <f t="shared" si="12"/>
        <v/>
      </c>
      <c r="D19" s="26" t="str">
        <f t="shared" si="21"/>
        <v/>
      </c>
      <c r="E19" s="26" t="str">
        <f t="shared" si="22"/>
        <v/>
      </c>
      <c r="F19" s="27">
        <f t="shared" si="23"/>
        <v>0</v>
      </c>
      <c r="G19" s="34" t="str">
        <f t="shared" si="15"/>
        <v/>
      </c>
      <c r="H19" s="27" t="str">
        <f t="shared" si="24"/>
        <v/>
      </c>
      <c r="I19" s="27" t="str">
        <f t="shared" si="25"/>
        <v/>
      </c>
      <c r="J19" s="27">
        <f t="shared" si="26"/>
        <v>0</v>
      </c>
      <c r="K19" s="27" t="str">
        <f t="shared" si="27"/>
        <v/>
      </c>
      <c r="L19" s="27" t="str">
        <f t="shared" si="28"/>
        <v/>
      </c>
      <c r="M19" s="27" t="str">
        <f t="shared" si="29"/>
        <v/>
      </c>
      <c r="N19" s="27">
        <f t="shared" si="30"/>
        <v>0</v>
      </c>
      <c r="O19" s="27" t="str">
        <f t="shared" si="31"/>
        <v/>
      </c>
      <c r="P19" s="28" t="str">
        <f t="shared" si="32"/>
        <v/>
      </c>
      <c r="Q19" s="29" t="str">
        <f t="shared" si="33"/>
        <v/>
      </c>
      <c r="R19" s="34">
        <f t="shared" si="18"/>
        <v>0</v>
      </c>
      <c r="S19" s="34">
        <f t="shared" si="19"/>
        <v>0</v>
      </c>
      <c r="T19" s="29">
        <f t="shared" si="34"/>
        <v>0</v>
      </c>
      <c r="U19" s="27"/>
      <c r="V19" s="27"/>
      <c r="W19" s="29">
        <f t="shared" si="35"/>
        <v>0</v>
      </c>
      <c r="X19" s="27"/>
      <c r="Y19" s="27">
        <f t="shared" si="36"/>
        <v>0</v>
      </c>
      <c r="Z19" s="30">
        <f t="shared" si="37"/>
        <v>0</v>
      </c>
      <c r="AA19" s="49"/>
      <c r="AB19" s="49"/>
      <c r="AD19" s="93"/>
      <c r="AE19" s="93"/>
      <c r="AF19" s="93"/>
      <c r="AG19" s="93"/>
      <c r="AH19" s="93"/>
      <c r="AI19" s="93"/>
    </row>
    <row r="20" spans="1:35" s="35" customFormat="1" ht="21" customHeight="1">
      <c r="A20" s="24">
        <v>13</v>
      </c>
      <c r="B20" s="25">
        <v>43525</v>
      </c>
      <c r="C20" s="26" t="str">
        <f t="shared" si="12"/>
        <v/>
      </c>
      <c r="D20" s="26" t="str">
        <f t="shared" si="21"/>
        <v/>
      </c>
      <c r="E20" s="26" t="str">
        <f t="shared" si="22"/>
        <v/>
      </c>
      <c r="F20" s="27">
        <f t="shared" si="23"/>
        <v>0</v>
      </c>
      <c r="G20" s="34" t="str">
        <f t="shared" si="15"/>
        <v/>
      </c>
      <c r="H20" s="27" t="str">
        <f t="shared" si="24"/>
        <v/>
      </c>
      <c r="I20" s="27" t="str">
        <f t="shared" si="25"/>
        <v/>
      </c>
      <c r="J20" s="27">
        <f t="shared" si="26"/>
        <v>0</v>
      </c>
      <c r="K20" s="27" t="str">
        <f t="shared" si="27"/>
        <v/>
      </c>
      <c r="L20" s="27" t="str">
        <f t="shared" si="28"/>
        <v/>
      </c>
      <c r="M20" s="27" t="str">
        <f t="shared" si="29"/>
        <v/>
      </c>
      <c r="N20" s="27">
        <f t="shared" si="30"/>
        <v>0</v>
      </c>
      <c r="O20" s="27" t="str">
        <f t="shared" si="31"/>
        <v/>
      </c>
      <c r="P20" s="28" t="str">
        <f t="shared" si="32"/>
        <v/>
      </c>
      <c r="Q20" s="29" t="str">
        <f t="shared" si="33"/>
        <v/>
      </c>
      <c r="R20" s="34">
        <f t="shared" si="18"/>
        <v>0</v>
      </c>
      <c r="S20" s="34">
        <f t="shared" si="19"/>
        <v>0</v>
      </c>
      <c r="T20" s="29">
        <f t="shared" si="34"/>
        <v>0</v>
      </c>
      <c r="U20" s="27"/>
      <c r="V20" s="27"/>
      <c r="W20" s="29">
        <f t="shared" si="35"/>
        <v>0</v>
      </c>
      <c r="X20" s="27"/>
      <c r="Y20" s="27">
        <f t="shared" si="36"/>
        <v>0</v>
      </c>
      <c r="Z20" s="30">
        <f t="shared" si="37"/>
        <v>0</v>
      </c>
      <c r="AA20" s="49"/>
      <c r="AB20" s="49"/>
      <c r="AD20" s="93"/>
      <c r="AE20" s="93"/>
      <c r="AF20" s="93"/>
      <c r="AG20" s="93"/>
      <c r="AH20" s="93"/>
      <c r="AI20" s="93"/>
    </row>
    <row r="21" spans="1:35" s="35" customFormat="1" ht="21" customHeight="1">
      <c r="A21" s="24">
        <v>14</v>
      </c>
      <c r="B21" s="25">
        <v>43556</v>
      </c>
      <c r="C21" s="26" t="str">
        <f t="shared" si="12"/>
        <v/>
      </c>
      <c r="D21" s="26" t="str">
        <f t="shared" si="21"/>
        <v/>
      </c>
      <c r="E21" s="26" t="str">
        <f t="shared" si="22"/>
        <v/>
      </c>
      <c r="F21" s="27">
        <f t="shared" si="23"/>
        <v>0</v>
      </c>
      <c r="G21" s="34" t="str">
        <f t="shared" si="15"/>
        <v/>
      </c>
      <c r="H21" s="27" t="str">
        <f t="shared" si="24"/>
        <v/>
      </c>
      <c r="I21" s="27" t="str">
        <f t="shared" si="25"/>
        <v/>
      </c>
      <c r="J21" s="27">
        <f t="shared" si="26"/>
        <v>0</v>
      </c>
      <c r="K21" s="27" t="str">
        <f t="shared" si="27"/>
        <v/>
      </c>
      <c r="L21" s="27" t="str">
        <f t="shared" si="28"/>
        <v/>
      </c>
      <c r="M21" s="27" t="str">
        <f t="shared" si="29"/>
        <v/>
      </c>
      <c r="N21" s="27">
        <f t="shared" si="30"/>
        <v>0</v>
      </c>
      <c r="O21" s="27" t="str">
        <f t="shared" si="31"/>
        <v/>
      </c>
      <c r="P21" s="28" t="str">
        <f t="shared" si="32"/>
        <v/>
      </c>
      <c r="Q21" s="29" t="str">
        <f t="shared" si="33"/>
        <v/>
      </c>
      <c r="R21" s="34">
        <f t="shared" si="18"/>
        <v>0</v>
      </c>
      <c r="S21" s="34">
        <f t="shared" si="19"/>
        <v>0</v>
      </c>
      <c r="T21" s="29">
        <f t="shared" si="34"/>
        <v>0</v>
      </c>
      <c r="U21" s="27"/>
      <c r="V21" s="27"/>
      <c r="W21" s="29">
        <f t="shared" si="35"/>
        <v>0</v>
      </c>
      <c r="X21" s="27"/>
      <c r="Y21" s="27">
        <f t="shared" si="36"/>
        <v>0</v>
      </c>
      <c r="Z21" s="30">
        <f t="shared" si="37"/>
        <v>0</v>
      </c>
      <c r="AA21" s="49"/>
      <c r="AB21" s="49"/>
      <c r="AD21" s="93"/>
      <c r="AE21" s="93"/>
      <c r="AF21" s="93"/>
      <c r="AG21" s="93"/>
      <c r="AH21" s="93"/>
      <c r="AI21" s="93"/>
    </row>
    <row r="22" spans="1:35" s="35" customFormat="1" ht="21" customHeight="1">
      <c r="A22" s="24">
        <v>15</v>
      </c>
      <c r="B22" s="25">
        <v>43586</v>
      </c>
      <c r="C22" s="26" t="str">
        <f t="shared" si="12"/>
        <v/>
      </c>
      <c r="D22" s="26" t="str">
        <f t="shared" si="21"/>
        <v/>
      </c>
      <c r="E22" s="26" t="str">
        <f t="shared" si="22"/>
        <v/>
      </c>
      <c r="F22" s="27">
        <f t="shared" si="23"/>
        <v>0</v>
      </c>
      <c r="G22" s="34" t="str">
        <f t="shared" si="15"/>
        <v/>
      </c>
      <c r="H22" s="27" t="str">
        <f t="shared" si="24"/>
        <v/>
      </c>
      <c r="I22" s="27" t="str">
        <f t="shared" si="25"/>
        <v/>
      </c>
      <c r="J22" s="27">
        <f t="shared" si="26"/>
        <v>0</v>
      </c>
      <c r="K22" s="27" t="str">
        <f t="shared" si="27"/>
        <v/>
      </c>
      <c r="L22" s="27" t="str">
        <f t="shared" si="28"/>
        <v/>
      </c>
      <c r="M22" s="27" t="str">
        <f t="shared" si="29"/>
        <v/>
      </c>
      <c r="N22" s="27">
        <f t="shared" si="30"/>
        <v>0</v>
      </c>
      <c r="O22" s="27" t="str">
        <f t="shared" si="31"/>
        <v/>
      </c>
      <c r="P22" s="28" t="str">
        <f t="shared" si="32"/>
        <v/>
      </c>
      <c r="Q22" s="29" t="str">
        <f t="shared" si="33"/>
        <v/>
      </c>
      <c r="R22" s="34">
        <f t="shared" si="18"/>
        <v>0</v>
      </c>
      <c r="S22" s="34">
        <f t="shared" si="19"/>
        <v>0</v>
      </c>
      <c r="T22" s="29">
        <f t="shared" si="34"/>
        <v>0</v>
      </c>
      <c r="U22" s="27"/>
      <c r="V22" s="27"/>
      <c r="W22" s="29">
        <f t="shared" si="35"/>
        <v>0</v>
      </c>
      <c r="X22" s="27"/>
      <c r="Y22" s="27">
        <f t="shared" si="36"/>
        <v>0</v>
      </c>
      <c r="Z22" s="30">
        <f t="shared" si="37"/>
        <v>0</v>
      </c>
      <c r="AA22" s="49"/>
      <c r="AB22" s="49"/>
      <c r="AD22" s="93"/>
      <c r="AE22" s="93"/>
      <c r="AF22" s="93"/>
      <c r="AG22" s="93"/>
      <c r="AH22" s="93"/>
      <c r="AI22" s="93"/>
    </row>
    <row r="23" spans="1:35" s="35" customFormat="1" ht="21" customHeight="1">
      <c r="A23" s="24">
        <v>16</v>
      </c>
      <c r="B23" s="25">
        <v>43617</v>
      </c>
      <c r="C23" s="26" t="str">
        <f t="shared" si="12"/>
        <v/>
      </c>
      <c r="D23" s="26" t="str">
        <f t="shared" si="21"/>
        <v/>
      </c>
      <c r="E23" s="26" t="str">
        <f t="shared" si="22"/>
        <v/>
      </c>
      <c r="F23" s="27">
        <f t="shared" si="23"/>
        <v>0</v>
      </c>
      <c r="G23" s="34" t="str">
        <f t="shared" si="15"/>
        <v/>
      </c>
      <c r="H23" s="27" t="str">
        <f t="shared" si="24"/>
        <v/>
      </c>
      <c r="I23" s="27" t="str">
        <f t="shared" si="25"/>
        <v/>
      </c>
      <c r="J23" s="27">
        <f t="shared" si="26"/>
        <v>0</v>
      </c>
      <c r="K23" s="27" t="str">
        <f t="shared" si="27"/>
        <v/>
      </c>
      <c r="L23" s="27" t="str">
        <f t="shared" si="28"/>
        <v/>
      </c>
      <c r="M23" s="27" t="str">
        <f t="shared" si="29"/>
        <v/>
      </c>
      <c r="N23" s="27">
        <f t="shared" si="30"/>
        <v>0</v>
      </c>
      <c r="O23" s="27" t="str">
        <f t="shared" si="31"/>
        <v/>
      </c>
      <c r="P23" s="28" t="str">
        <f t="shared" si="32"/>
        <v/>
      </c>
      <c r="Q23" s="29" t="str">
        <f t="shared" si="33"/>
        <v/>
      </c>
      <c r="R23" s="34">
        <f t="shared" si="18"/>
        <v>0</v>
      </c>
      <c r="S23" s="34">
        <f t="shared" si="19"/>
        <v>0</v>
      </c>
      <c r="T23" s="29">
        <f t="shared" si="34"/>
        <v>0</v>
      </c>
      <c r="U23" s="27"/>
      <c r="V23" s="27"/>
      <c r="W23" s="29">
        <f t="shared" si="35"/>
        <v>0</v>
      </c>
      <c r="X23" s="27"/>
      <c r="Y23" s="27">
        <f t="shared" si="36"/>
        <v>0</v>
      </c>
      <c r="Z23" s="30">
        <f t="shared" si="37"/>
        <v>0</v>
      </c>
      <c r="AA23" s="49"/>
      <c r="AB23" s="49"/>
      <c r="AD23" s="93"/>
      <c r="AE23" s="93"/>
      <c r="AF23" s="93"/>
      <c r="AG23" s="93"/>
      <c r="AH23" s="93"/>
      <c r="AI23" s="93"/>
    </row>
    <row r="24" spans="1:35" s="35" customFormat="1" ht="21" customHeight="1">
      <c r="A24" s="24">
        <v>17</v>
      </c>
      <c r="B24" s="25">
        <v>43647</v>
      </c>
      <c r="C24" s="26" t="str">
        <f t="shared" si="12"/>
        <v/>
      </c>
      <c r="D24" s="26" t="str">
        <f t="shared" si="21"/>
        <v/>
      </c>
      <c r="E24" s="26" t="str">
        <f t="shared" si="22"/>
        <v/>
      </c>
      <c r="F24" s="27">
        <f t="shared" si="23"/>
        <v>0</v>
      </c>
      <c r="G24" s="34" t="str">
        <f t="shared" si="15"/>
        <v/>
      </c>
      <c r="H24" s="27" t="str">
        <f t="shared" si="24"/>
        <v/>
      </c>
      <c r="I24" s="27" t="str">
        <f t="shared" si="25"/>
        <v/>
      </c>
      <c r="J24" s="27">
        <f t="shared" si="26"/>
        <v>0</v>
      </c>
      <c r="K24" s="27" t="str">
        <f t="shared" si="27"/>
        <v/>
      </c>
      <c r="L24" s="27" t="str">
        <f t="shared" si="28"/>
        <v/>
      </c>
      <c r="M24" s="27" t="str">
        <f t="shared" si="29"/>
        <v/>
      </c>
      <c r="N24" s="27">
        <f t="shared" si="30"/>
        <v>0</v>
      </c>
      <c r="O24" s="27" t="str">
        <f t="shared" si="31"/>
        <v/>
      </c>
      <c r="P24" s="28" t="str">
        <f t="shared" si="32"/>
        <v/>
      </c>
      <c r="Q24" s="29" t="str">
        <f t="shared" si="33"/>
        <v/>
      </c>
      <c r="R24" s="34">
        <f t="shared" si="18"/>
        <v>0</v>
      </c>
      <c r="S24" s="34">
        <f t="shared" si="19"/>
        <v>0</v>
      </c>
      <c r="T24" s="29">
        <f t="shared" si="34"/>
        <v>0</v>
      </c>
      <c r="U24" s="27"/>
      <c r="V24" s="27"/>
      <c r="W24" s="29">
        <f t="shared" si="35"/>
        <v>0</v>
      </c>
      <c r="X24" s="27"/>
      <c r="Y24" s="27">
        <f t="shared" si="36"/>
        <v>0</v>
      </c>
      <c r="Z24" s="30">
        <f t="shared" si="37"/>
        <v>0</v>
      </c>
      <c r="AA24" s="49"/>
      <c r="AB24" s="49"/>
      <c r="AD24" s="93"/>
      <c r="AE24" s="93"/>
      <c r="AF24" s="93"/>
      <c r="AG24" s="93"/>
      <c r="AH24" s="93"/>
      <c r="AI24" s="93"/>
    </row>
    <row r="25" spans="1:35" s="35" customFormat="1" ht="21" customHeight="1">
      <c r="A25" s="24">
        <v>18</v>
      </c>
      <c r="B25" s="25">
        <v>43678</v>
      </c>
      <c r="C25" s="26" t="str">
        <f t="shared" si="12"/>
        <v/>
      </c>
      <c r="D25" s="26" t="str">
        <f t="shared" si="21"/>
        <v/>
      </c>
      <c r="E25" s="26" t="str">
        <f t="shared" si="22"/>
        <v/>
      </c>
      <c r="F25" s="27">
        <f t="shared" si="23"/>
        <v>0</v>
      </c>
      <c r="G25" s="34" t="str">
        <f t="shared" si="15"/>
        <v/>
      </c>
      <c r="H25" s="27" t="str">
        <f t="shared" si="24"/>
        <v/>
      </c>
      <c r="I25" s="27" t="str">
        <f t="shared" si="25"/>
        <v/>
      </c>
      <c r="J25" s="27">
        <f t="shared" si="26"/>
        <v>0</v>
      </c>
      <c r="K25" s="27" t="str">
        <f t="shared" si="27"/>
        <v/>
      </c>
      <c r="L25" s="27" t="str">
        <f t="shared" si="28"/>
        <v/>
      </c>
      <c r="M25" s="27" t="str">
        <f t="shared" si="29"/>
        <v/>
      </c>
      <c r="N25" s="27">
        <f t="shared" si="30"/>
        <v>0</v>
      </c>
      <c r="O25" s="27" t="str">
        <f t="shared" si="31"/>
        <v/>
      </c>
      <c r="P25" s="28" t="str">
        <f t="shared" si="32"/>
        <v/>
      </c>
      <c r="Q25" s="29" t="str">
        <f t="shared" si="33"/>
        <v/>
      </c>
      <c r="R25" s="34">
        <f t="shared" si="18"/>
        <v>0</v>
      </c>
      <c r="S25" s="34">
        <f t="shared" si="19"/>
        <v>0</v>
      </c>
      <c r="T25" s="29">
        <f t="shared" si="34"/>
        <v>0</v>
      </c>
      <c r="U25" s="27"/>
      <c r="V25" s="27"/>
      <c r="W25" s="29">
        <f t="shared" si="35"/>
        <v>0</v>
      </c>
      <c r="X25" s="27"/>
      <c r="Y25" s="27">
        <f t="shared" si="36"/>
        <v>0</v>
      </c>
      <c r="Z25" s="30">
        <f t="shared" si="37"/>
        <v>0</v>
      </c>
      <c r="AA25" s="49"/>
      <c r="AB25" s="49"/>
      <c r="AD25" s="93"/>
      <c r="AE25" s="93"/>
      <c r="AF25" s="93"/>
      <c r="AG25" s="93"/>
      <c r="AH25" s="93"/>
      <c r="AI25" s="93"/>
    </row>
    <row r="26" spans="1:35" s="35" customFormat="1" ht="21" customHeight="1">
      <c r="A26" s="24">
        <v>19</v>
      </c>
      <c r="B26" s="25">
        <v>43709</v>
      </c>
      <c r="C26" s="26" t="str">
        <f t="shared" si="12"/>
        <v/>
      </c>
      <c r="D26" s="26" t="str">
        <f t="shared" si="21"/>
        <v/>
      </c>
      <c r="E26" s="26" t="str">
        <f t="shared" si="22"/>
        <v/>
      </c>
      <c r="F26" s="27">
        <f t="shared" si="23"/>
        <v>0</v>
      </c>
      <c r="G26" s="34" t="str">
        <f t="shared" si="15"/>
        <v/>
      </c>
      <c r="H26" s="27" t="str">
        <f t="shared" si="24"/>
        <v/>
      </c>
      <c r="I26" s="27" t="str">
        <f t="shared" si="25"/>
        <v/>
      </c>
      <c r="J26" s="27">
        <f t="shared" si="26"/>
        <v>0</v>
      </c>
      <c r="K26" s="27" t="str">
        <f t="shared" si="27"/>
        <v/>
      </c>
      <c r="L26" s="27" t="str">
        <f t="shared" si="28"/>
        <v/>
      </c>
      <c r="M26" s="27" t="str">
        <f t="shared" si="29"/>
        <v/>
      </c>
      <c r="N26" s="27">
        <f t="shared" si="30"/>
        <v>0</v>
      </c>
      <c r="O26" s="27" t="str">
        <f t="shared" si="31"/>
        <v/>
      </c>
      <c r="P26" s="28" t="str">
        <f t="shared" si="32"/>
        <v/>
      </c>
      <c r="Q26" s="29" t="str">
        <f t="shared" si="33"/>
        <v/>
      </c>
      <c r="R26" s="34">
        <f t="shared" si="18"/>
        <v>0</v>
      </c>
      <c r="S26" s="34">
        <f t="shared" si="19"/>
        <v>0</v>
      </c>
      <c r="T26" s="29">
        <f t="shared" si="34"/>
        <v>0</v>
      </c>
      <c r="U26" s="27"/>
      <c r="V26" s="27"/>
      <c r="W26" s="29">
        <f t="shared" si="35"/>
        <v>0</v>
      </c>
      <c r="X26" s="27"/>
      <c r="Y26" s="27">
        <f t="shared" si="36"/>
        <v>0</v>
      </c>
      <c r="Z26" s="30">
        <f t="shared" si="37"/>
        <v>0</v>
      </c>
      <c r="AA26" s="49"/>
      <c r="AB26" s="49"/>
      <c r="AD26" s="93"/>
      <c r="AE26" s="93"/>
      <c r="AF26" s="93"/>
      <c r="AG26" s="93"/>
      <c r="AH26" s="93"/>
      <c r="AI26" s="93"/>
    </row>
    <row r="27" spans="1:35" s="35" customFormat="1" ht="21" customHeight="1">
      <c r="A27" s="24">
        <v>20</v>
      </c>
      <c r="B27" s="25">
        <v>43739</v>
      </c>
      <c r="C27" s="26" t="str">
        <f t="shared" si="12"/>
        <v/>
      </c>
      <c r="D27" s="26" t="str">
        <f t="shared" si="21"/>
        <v/>
      </c>
      <c r="E27" s="26" t="str">
        <f t="shared" si="22"/>
        <v/>
      </c>
      <c r="F27" s="27">
        <f t="shared" si="23"/>
        <v>0</v>
      </c>
      <c r="G27" s="34" t="str">
        <f t="shared" si="15"/>
        <v/>
      </c>
      <c r="H27" s="27" t="str">
        <f t="shared" si="24"/>
        <v/>
      </c>
      <c r="I27" s="27" t="str">
        <f t="shared" si="25"/>
        <v/>
      </c>
      <c r="J27" s="27">
        <f t="shared" si="26"/>
        <v>0</v>
      </c>
      <c r="K27" s="27" t="str">
        <f t="shared" si="27"/>
        <v/>
      </c>
      <c r="L27" s="27" t="str">
        <f t="shared" si="28"/>
        <v/>
      </c>
      <c r="M27" s="27" t="str">
        <f t="shared" si="29"/>
        <v/>
      </c>
      <c r="N27" s="27">
        <f t="shared" si="30"/>
        <v>0</v>
      </c>
      <c r="O27" s="27" t="str">
        <f t="shared" si="31"/>
        <v/>
      </c>
      <c r="P27" s="28" t="str">
        <f t="shared" si="32"/>
        <v/>
      </c>
      <c r="Q27" s="29" t="str">
        <f t="shared" si="33"/>
        <v/>
      </c>
      <c r="R27" s="34">
        <f t="shared" si="18"/>
        <v>0</v>
      </c>
      <c r="S27" s="34">
        <f t="shared" si="19"/>
        <v>0</v>
      </c>
      <c r="T27" s="29">
        <f t="shared" si="34"/>
        <v>0</v>
      </c>
      <c r="U27" s="27"/>
      <c r="V27" s="27"/>
      <c r="W27" s="29">
        <f t="shared" si="35"/>
        <v>0</v>
      </c>
      <c r="X27" s="27"/>
      <c r="Y27" s="27">
        <f t="shared" si="36"/>
        <v>0</v>
      </c>
      <c r="Z27" s="30">
        <f t="shared" si="37"/>
        <v>0</v>
      </c>
      <c r="AA27" s="49"/>
      <c r="AB27" s="49"/>
      <c r="AD27" s="93"/>
      <c r="AE27" s="93"/>
      <c r="AF27" s="93"/>
      <c r="AG27" s="93"/>
      <c r="AH27" s="93"/>
      <c r="AI27" s="93"/>
    </row>
    <row r="28" spans="1:35" s="35" customFormat="1" ht="21" customHeight="1">
      <c r="A28" s="24">
        <v>21</v>
      </c>
      <c r="B28" s="25">
        <v>43770</v>
      </c>
      <c r="C28" s="26" t="str">
        <f t="shared" si="12"/>
        <v/>
      </c>
      <c r="D28" s="26" t="str">
        <f t="shared" si="21"/>
        <v/>
      </c>
      <c r="E28" s="26" t="str">
        <f t="shared" si="22"/>
        <v/>
      </c>
      <c r="F28" s="27">
        <f t="shared" si="23"/>
        <v>0</v>
      </c>
      <c r="G28" s="34" t="str">
        <f t="shared" si="15"/>
        <v/>
      </c>
      <c r="H28" s="27" t="str">
        <f t="shared" si="24"/>
        <v/>
      </c>
      <c r="I28" s="27" t="str">
        <f t="shared" si="25"/>
        <v/>
      </c>
      <c r="J28" s="27">
        <f t="shared" si="26"/>
        <v>0</v>
      </c>
      <c r="K28" s="27" t="str">
        <f t="shared" si="27"/>
        <v/>
      </c>
      <c r="L28" s="27" t="str">
        <f t="shared" si="28"/>
        <v/>
      </c>
      <c r="M28" s="27" t="str">
        <f t="shared" si="29"/>
        <v/>
      </c>
      <c r="N28" s="27">
        <f t="shared" si="30"/>
        <v>0</v>
      </c>
      <c r="O28" s="27" t="str">
        <f t="shared" si="31"/>
        <v/>
      </c>
      <c r="P28" s="28" t="str">
        <f t="shared" si="32"/>
        <v/>
      </c>
      <c r="Q28" s="29" t="str">
        <f t="shared" si="33"/>
        <v/>
      </c>
      <c r="R28" s="34">
        <f t="shared" si="18"/>
        <v>0</v>
      </c>
      <c r="S28" s="34">
        <f t="shared" si="19"/>
        <v>0</v>
      </c>
      <c r="T28" s="29">
        <f t="shared" si="34"/>
        <v>0</v>
      </c>
      <c r="U28" s="27"/>
      <c r="V28" s="27"/>
      <c r="W28" s="29">
        <f t="shared" si="35"/>
        <v>0</v>
      </c>
      <c r="X28" s="27"/>
      <c r="Y28" s="27">
        <f t="shared" si="36"/>
        <v>0</v>
      </c>
      <c r="Z28" s="30">
        <f t="shared" si="37"/>
        <v>0</v>
      </c>
      <c r="AA28" s="49"/>
      <c r="AB28" s="49"/>
      <c r="AD28" s="93"/>
      <c r="AE28" s="93"/>
      <c r="AF28" s="93"/>
      <c r="AG28" s="93"/>
      <c r="AH28" s="93"/>
      <c r="AI28" s="93"/>
    </row>
    <row r="29" spans="1:35" s="35" customFormat="1" ht="21" customHeight="1">
      <c r="A29" s="24">
        <v>22</v>
      </c>
      <c r="B29" s="25">
        <v>43800</v>
      </c>
      <c r="C29" s="26" t="str">
        <f t="shared" si="12"/>
        <v/>
      </c>
      <c r="D29" s="26" t="str">
        <f t="shared" si="21"/>
        <v/>
      </c>
      <c r="E29" s="26" t="str">
        <f t="shared" si="22"/>
        <v/>
      </c>
      <c r="F29" s="27">
        <f t="shared" si="23"/>
        <v>0</v>
      </c>
      <c r="G29" s="34" t="str">
        <f t="shared" si="15"/>
        <v/>
      </c>
      <c r="H29" s="27" t="str">
        <f t="shared" si="24"/>
        <v/>
      </c>
      <c r="I29" s="27" t="str">
        <f t="shared" si="25"/>
        <v/>
      </c>
      <c r="J29" s="27">
        <f t="shared" si="26"/>
        <v>0</v>
      </c>
      <c r="K29" s="27" t="str">
        <f t="shared" si="27"/>
        <v/>
      </c>
      <c r="L29" s="27" t="str">
        <f t="shared" si="28"/>
        <v/>
      </c>
      <c r="M29" s="27" t="str">
        <f t="shared" si="29"/>
        <v/>
      </c>
      <c r="N29" s="27">
        <f t="shared" si="30"/>
        <v>0</v>
      </c>
      <c r="O29" s="27" t="str">
        <f t="shared" si="31"/>
        <v/>
      </c>
      <c r="P29" s="28" t="str">
        <f t="shared" si="32"/>
        <v/>
      </c>
      <c r="Q29" s="29" t="str">
        <f t="shared" si="33"/>
        <v/>
      </c>
      <c r="R29" s="34">
        <f t="shared" si="18"/>
        <v>0</v>
      </c>
      <c r="S29" s="34">
        <f t="shared" si="19"/>
        <v>0</v>
      </c>
      <c r="T29" s="29">
        <f t="shared" si="34"/>
        <v>0</v>
      </c>
      <c r="U29" s="27"/>
      <c r="V29" s="27"/>
      <c r="W29" s="29">
        <f t="shared" si="35"/>
        <v>0</v>
      </c>
      <c r="X29" s="27"/>
      <c r="Y29" s="27">
        <f t="shared" si="36"/>
        <v>0</v>
      </c>
      <c r="Z29" s="30">
        <f t="shared" si="37"/>
        <v>0</v>
      </c>
      <c r="AA29" s="49"/>
      <c r="AB29" s="49"/>
      <c r="AD29" s="93"/>
      <c r="AE29" s="93"/>
      <c r="AF29" s="93"/>
      <c r="AG29" s="93"/>
      <c r="AH29" s="93"/>
      <c r="AI29" s="93"/>
    </row>
    <row r="30" spans="1:35" s="35" customFormat="1" ht="21" customHeight="1">
      <c r="A30" s="24">
        <v>23</v>
      </c>
      <c r="B30" s="25">
        <v>43831</v>
      </c>
      <c r="C30" s="26" t="str">
        <f t="shared" si="12"/>
        <v/>
      </c>
      <c r="D30" s="26" t="str">
        <f t="shared" si="21"/>
        <v/>
      </c>
      <c r="E30" s="26" t="str">
        <f t="shared" si="22"/>
        <v/>
      </c>
      <c r="F30" s="27">
        <f t="shared" si="23"/>
        <v>0</v>
      </c>
      <c r="G30" s="34" t="str">
        <f t="shared" si="15"/>
        <v/>
      </c>
      <c r="H30" s="27" t="str">
        <f t="shared" si="24"/>
        <v/>
      </c>
      <c r="I30" s="27" t="str">
        <f t="shared" si="25"/>
        <v/>
      </c>
      <c r="J30" s="27">
        <f t="shared" si="26"/>
        <v>0</v>
      </c>
      <c r="K30" s="27" t="str">
        <f t="shared" si="27"/>
        <v/>
      </c>
      <c r="L30" s="27" t="str">
        <f t="shared" si="28"/>
        <v/>
      </c>
      <c r="M30" s="27" t="str">
        <f t="shared" si="29"/>
        <v/>
      </c>
      <c r="N30" s="27">
        <f t="shared" si="30"/>
        <v>0</v>
      </c>
      <c r="O30" s="27" t="str">
        <f t="shared" si="31"/>
        <v/>
      </c>
      <c r="P30" s="28" t="str">
        <f t="shared" si="32"/>
        <v/>
      </c>
      <c r="Q30" s="29" t="str">
        <f t="shared" si="33"/>
        <v/>
      </c>
      <c r="R30" s="34">
        <f t="shared" si="18"/>
        <v>0</v>
      </c>
      <c r="S30" s="34">
        <f t="shared" si="19"/>
        <v>0</v>
      </c>
      <c r="T30" s="29">
        <f t="shared" si="34"/>
        <v>0</v>
      </c>
      <c r="U30" s="27"/>
      <c r="V30" s="27"/>
      <c r="W30" s="29">
        <f t="shared" si="35"/>
        <v>0</v>
      </c>
      <c r="X30" s="27"/>
      <c r="Y30" s="27">
        <f t="shared" si="36"/>
        <v>0</v>
      </c>
      <c r="Z30" s="30">
        <f t="shared" si="37"/>
        <v>0</v>
      </c>
      <c r="AA30" s="49"/>
      <c r="AB30" s="49"/>
      <c r="AD30" s="93"/>
      <c r="AE30" s="93"/>
      <c r="AF30" s="93"/>
      <c r="AG30" s="93"/>
      <c r="AH30" s="93"/>
      <c r="AI30" s="93"/>
    </row>
    <row r="31" spans="1:35" s="35" customFormat="1" ht="21" customHeight="1">
      <c r="A31" s="24">
        <v>24</v>
      </c>
      <c r="B31" s="25">
        <v>43862</v>
      </c>
      <c r="C31" s="26" t="str">
        <f t="shared" si="12"/>
        <v/>
      </c>
      <c r="D31" s="26" t="str">
        <f t="shared" si="21"/>
        <v/>
      </c>
      <c r="E31" s="26" t="str">
        <f t="shared" si="22"/>
        <v/>
      </c>
      <c r="F31" s="27">
        <f t="shared" si="23"/>
        <v>0</v>
      </c>
      <c r="G31" s="34" t="str">
        <f t="shared" si="15"/>
        <v/>
      </c>
      <c r="H31" s="27" t="str">
        <f t="shared" si="24"/>
        <v/>
      </c>
      <c r="I31" s="27" t="str">
        <f t="shared" si="25"/>
        <v/>
      </c>
      <c r="J31" s="27">
        <f t="shared" si="26"/>
        <v>0</v>
      </c>
      <c r="K31" s="27" t="str">
        <f t="shared" si="27"/>
        <v/>
      </c>
      <c r="L31" s="27" t="str">
        <f t="shared" si="28"/>
        <v/>
      </c>
      <c r="M31" s="27" t="str">
        <f t="shared" si="29"/>
        <v/>
      </c>
      <c r="N31" s="27">
        <f t="shared" si="30"/>
        <v>0</v>
      </c>
      <c r="O31" s="27" t="str">
        <f t="shared" si="31"/>
        <v/>
      </c>
      <c r="P31" s="28" t="str">
        <f t="shared" si="32"/>
        <v/>
      </c>
      <c r="Q31" s="29" t="str">
        <f t="shared" si="33"/>
        <v/>
      </c>
      <c r="R31" s="34">
        <f t="shared" si="18"/>
        <v>0</v>
      </c>
      <c r="S31" s="34">
        <f t="shared" si="19"/>
        <v>0</v>
      </c>
      <c r="T31" s="29">
        <f t="shared" si="34"/>
        <v>0</v>
      </c>
      <c r="U31" s="27"/>
      <c r="V31" s="27"/>
      <c r="W31" s="29">
        <f t="shared" si="35"/>
        <v>0</v>
      </c>
      <c r="X31" s="27"/>
      <c r="Y31" s="27">
        <f t="shared" si="36"/>
        <v>0</v>
      </c>
      <c r="Z31" s="30">
        <f t="shared" si="37"/>
        <v>0</v>
      </c>
      <c r="AA31" s="49"/>
      <c r="AB31" s="49"/>
      <c r="AD31" s="93"/>
      <c r="AE31" s="93"/>
      <c r="AF31" s="93"/>
      <c r="AG31" s="93"/>
      <c r="AH31" s="93"/>
      <c r="AI31" s="93"/>
    </row>
    <row r="32" spans="1:35" s="35" customFormat="1" ht="21" customHeight="1">
      <c r="A32" s="24">
        <v>25</v>
      </c>
      <c r="B32" s="25">
        <v>43891</v>
      </c>
      <c r="C32" s="26" t="str">
        <f t="shared" si="12"/>
        <v/>
      </c>
      <c r="D32" s="26" t="str">
        <f t="shared" si="21"/>
        <v/>
      </c>
      <c r="E32" s="26" t="str">
        <f t="shared" si="22"/>
        <v/>
      </c>
      <c r="F32" s="27">
        <f t="shared" si="23"/>
        <v>0</v>
      </c>
      <c r="G32" s="34" t="str">
        <f t="shared" si="15"/>
        <v/>
      </c>
      <c r="H32" s="27" t="str">
        <f t="shared" si="24"/>
        <v/>
      </c>
      <c r="I32" s="27" t="str">
        <f t="shared" si="25"/>
        <v/>
      </c>
      <c r="J32" s="27">
        <f t="shared" si="26"/>
        <v>0</v>
      </c>
      <c r="K32" s="27" t="str">
        <f t="shared" si="27"/>
        <v/>
      </c>
      <c r="L32" s="27" t="str">
        <f t="shared" si="28"/>
        <v/>
      </c>
      <c r="M32" s="27" t="str">
        <f t="shared" si="29"/>
        <v/>
      </c>
      <c r="N32" s="27">
        <f t="shared" si="30"/>
        <v>0</v>
      </c>
      <c r="O32" s="27" t="str">
        <f t="shared" si="31"/>
        <v/>
      </c>
      <c r="P32" s="28" t="str">
        <f t="shared" si="32"/>
        <v/>
      </c>
      <c r="Q32" s="29" t="str">
        <f t="shared" si="33"/>
        <v/>
      </c>
      <c r="R32" s="34">
        <f t="shared" si="18"/>
        <v>0</v>
      </c>
      <c r="S32" s="34">
        <f t="shared" si="19"/>
        <v>0</v>
      </c>
      <c r="T32" s="29">
        <f t="shared" si="34"/>
        <v>0</v>
      </c>
      <c r="U32" s="27"/>
      <c r="V32" s="27"/>
      <c r="W32" s="29">
        <f t="shared" si="35"/>
        <v>0</v>
      </c>
      <c r="X32" s="27"/>
      <c r="Y32" s="27">
        <f t="shared" si="36"/>
        <v>0</v>
      </c>
      <c r="Z32" s="30">
        <f t="shared" si="37"/>
        <v>0</v>
      </c>
      <c r="AA32" s="49"/>
      <c r="AB32" s="49"/>
      <c r="AD32" s="93"/>
      <c r="AE32" s="93"/>
      <c r="AF32" s="93"/>
      <c r="AG32" s="93"/>
      <c r="AH32" s="93"/>
      <c r="AI32" s="93"/>
    </row>
    <row r="33" spans="1:35" s="35" customFormat="1" ht="21" customHeight="1">
      <c r="A33" s="24">
        <v>26</v>
      </c>
      <c r="B33" s="25">
        <v>43922</v>
      </c>
      <c r="C33" s="26" t="str">
        <f t="shared" si="12"/>
        <v/>
      </c>
      <c r="D33" s="26" t="str">
        <f t="shared" si="21"/>
        <v/>
      </c>
      <c r="E33" s="26" t="str">
        <f t="shared" si="22"/>
        <v/>
      </c>
      <c r="F33" s="27">
        <f t="shared" si="23"/>
        <v>0</v>
      </c>
      <c r="G33" s="34" t="str">
        <f t="shared" si="15"/>
        <v/>
      </c>
      <c r="H33" s="27" t="str">
        <f t="shared" si="24"/>
        <v/>
      </c>
      <c r="I33" s="27" t="str">
        <f t="shared" si="25"/>
        <v/>
      </c>
      <c r="J33" s="27">
        <f t="shared" si="26"/>
        <v>0</v>
      </c>
      <c r="K33" s="27" t="str">
        <f t="shared" si="27"/>
        <v/>
      </c>
      <c r="L33" s="27" t="str">
        <f t="shared" si="28"/>
        <v/>
      </c>
      <c r="M33" s="27" t="str">
        <f t="shared" si="29"/>
        <v/>
      </c>
      <c r="N33" s="27">
        <f t="shared" si="30"/>
        <v>0</v>
      </c>
      <c r="O33" s="27" t="str">
        <f t="shared" si="31"/>
        <v/>
      </c>
      <c r="P33" s="28" t="str">
        <f t="shared" si="32"/>
        <v/>
      </c>
      <c r="Q33" s="29" t="str">
        <f t="shared" si="33"/>
        <v/>
      </c>
      <c r="R33" s="34">
        <f t="shared" si="18"/>
        <v>0</v>
      </c>
      <c r="S33" s="34">
        <f t="shared" si="19"/>
        <v>0</v>
      </c>
      <c r="T33" s="29">
        <f t="shared" si="34"/>
        <v>0</v>
      </c>
      <c r="U33" s="27"/>
      <c r="V33" s="27"/>
      <c r="W33" s="29">
        <f t="shared" si="35"/>
        <v>0</v>
      </c>
      <c r="X33" s="27"/>
      <c r="Y33" s="27">
        <f t="shared" si="36"/>
        <v>0</v>
      </c>
      <c r="Z33" s="30">
        <f t="shared" si="37"/>
        <v>0</v>
      </c>
      <c r="AA33" s="49"/>
      <c r="AB33" s="49"/>
      <c r="AD33" s="93"/>
      <c r="AE33" s="93"/>
      <c r="AF33" s="93"/>
      <c r="AG33" s="93"/>
      <c r="AH33" s="93"/>
      <c r="AI33" s="93"/>
    </row>
    <row r="34" spans="1:35" s="35" customFormat="1" ht="21" customHeight="1">
      <c r="A34" s="24">
        <v>27</v>
      </c>
      <c r="B34" s="25">
        <v>43952</v>
      </c>
      <c r="C34" s="26" t="str">
        <f t="shared" si="12"/>
        <v/>
      </c>
      <c r="D34" s="26" t="str">
        <f t="shared" si="21"/>
        <v/>
      </c>
      <c r="E34" s="26" t="str">
        <f t="shared" si="22"/>
        <v/>
      </c>
      <c r="F34" s="27">
        <f t="shared" si="23"/>
        <v>0</v>
      </c>
      <c r="G34" s="34" t="str">
        <f t="shared" si="15"/>
        <v/>
      </c>
      <c r="H34" s="27" t="str">
        <f t="shared" si="24"/>
        <v/>
      </c>
      <c r="I34" s="27" t="str">
        <f t="shared" si="25"/>
        <v/>
      </c>
      <c r="J34" s="27">
        <f t="shared" si="26"/>
        <v>0</v>
      </c>
      <c r="K34" s="27" t="str">
        <f t="shared" si="27"/>
        <v/>
      </c>
      <c r="L34" s="27" t="str">
        <f t="shared" si="28"/>
        <v/>
      </c>
      <c r="M34" s="27" t="str">
        <f t="shared" si="29"/>
        <v/>
      </c>
      <c r="N34" s="27">
        <f t="shared" si="30"/>
        <v>0</v>
      </c>
      <c r="O34" s="27" t="str">
        <f t="shared" si="31"/>
        <v/>
      </c>
      <c r="P34" s="28" t="str">
        <f t="shared" si="32"/>
        <v/>
      </c>
      <c r="Q34" s="29" t="str">
        <f t="shared" si="33"/>
        <v/>
      </c>
      <c r="R34" s="34">
        <f t="shared" si="18"/>
        <v>0</v>
      </c>
      <c r="S34" s="34">
        <f t="shared" si="19"/>
        <v>0</v>
      </c>
      <c r="T34" s="29">
        <f t="shared" si="34"/>
        <v>0</v>
      </c>
      <c r="U34" s="27"/>
      <c r="V34" s="27"/>
      <c r="W34" s="29">
        <f t="shared" si="35"/>
        <v>0</v>
      </c>
      <c r="X34" s="27"/>
      <c r="Y34" s="27">
        <f t="shared" si="36"/>
        <v>0</v>
      </c>
      <c r="Z34" s="30">
        <f t="shared" si="37"/>
        <v>0</v>
      </c>
      <c r="AA34" s="49"/>
      <c r="AB34" s="49"/>
      <c r="AD34" s="93"/>
      <c r="AE34" s="93"/>
      <c r="AF34" s="93"/>
      <c r="AG34" s="93"/>
      <c r="AH34" s="93"/>
      <c r="AI34" s="93"/>
    </row>
    <row r="35" spans="1:35" s="35" customFormat="1" ht="21" customHeight="1">
      <c r="A35" s="24">
        <v>28</v>
      </c>
      <c r="B35" s="25">
        <v>43983</v>
      </c>
      <c r="C35" s="26" t="str">
        <f t="shared" si="12"/>
        <v/>
      </c>
      <c r="D35" s="26" t="str">
        <f t="shared" si="21"/>
        <v/>
      </c>
      <c r="E35" s="26" t="str">
        <f t="shared" si="22"/>
        <v/>
      </c>
      <c r="F35" s="27">
        <f t="shared" si="23"/>
        <v>0</v>
      </c>
      <c r="G35" s="34" t="str">
        <f t="shared" si="15"/>
        <v/>
      </c>
      <c r="H35" s="27" t="str">
        <f t="shared" si="24"/>
        <v/>
      </c>
      <c r="I35" s="27" t="str">
        <f t="shared" si="25"/>
        <v/>
      </c>
      <c r="J35" s="27">
        <f t="shared" si="26"/>
        <v>0</v>
      </c>
      <c r="K35" s="27" t="str">
        <f t="shared" si="27"/>
        <v/>
      </c>
      <c r="L35" s="27" t="str">
        <f t="shared" si="28"/>
        <v/>
      </c>
      <c r="M35" s="27" t="str">
        <f t="shared" si="29"/>
        <v/>
      </c>
      <c r="N35" s="27">
        <f t="shared" si="30"/>
        <v>0</v>
      </c>
      <c r="O35" s="27" t="str">
        <f t="shared" si="31"/>
        <v/>
      </c>
      <c r="P35" s="28" t="str">
        <f t="shared" si="32"/>
        <v/>
      </c>
      <c r="Q35" s="29" t="str">
        <f t="shared" si="33"/>
        <v/>
      </c>
      <c r="R35" s="34">
        <f t="shared" si="18"/>
        <v>0</v>
      </c>
      <c r="S35" s="34">
        <f t="shared" si="19"/>
        <v>0</v>
      </c>
      <c r="T35" s="29">
        <f t="shared" si="34"/>
        <v>0</v>
      </c>
      <c r="U35" s="27"/>
      <c r="V35" s="27"/>
      <c r="W35" s="29">
        <f t="shared" si="35"/>
        <v>0</v>
      </c>
      <c r="X35" s="27"/>
      <c r="Y35" s="27">
        <f t="shared" si="36"/>
        <v>0</v>
      </c>
      <c r="Z35" s="30">
        <f t="shared" si="37"/>
        <v>0</v>
      </c>
      <c r="AA35" s="49"/>
      <c r="AB35" s="49"/>
      <c r="AD35" s="93"/>
      <c r="AE35" s="93"/>
      <c r="AF35" s="93"/>
      <c r="AG35" s="93"/>
      <c r="AH35" s="93"/>
      <c r="AI35" s="93"/>
    </row>
    <row r="36" spans="1:35" s="35" customFormat="1" ht="21" customHeight="1">
      <c r="A36" s="24">
        <v>29</v>
      </c>
      <c r="B36" s="25">
        <v>44013</v>
      </c>
      <c r="C36" s="26" t="str">
        <f t="shared" si="12"/>
        <v/>
      </c>
      <c r="D36" s="26" t="str">
        <f t="shared" si="21"/>
        <v/>
      </c>
      <c r="E36" s="26" t="str">
        <f t="shared" si="22"/>
        <v/>
      </c>
      <c r="F36" s="27">
        <f t="shared" si="23"/>
        <v>0</v>
      </c>
      <c r="G36" s="34" t="str">
        <f t="shared" si="15"/>
        <v/>
      </c>
      <c r="H36" s="27" t="str">
        <f t="shared" si="24"/>
        <v/>
      </c>
      <c r="I36" s="27" t="str">
        <f t="shared" si="25"/>
        <v/>
      </c>
      <c r="J36" s="27">
        <f t="shared" si="26"/>
        <v>0</v>
      </c>
      <c r="K36" s="27" t="str">
        <f t="shared" si="27"/>
        <v/>
      </c>
      <c r="L36" s="27" t="str">
        <f t="shared" si="28"/>
        <v/>
      </c>
      <c r="M36" s="27" t="str">
        <f t="shared" si="29"/>
        <v/>
      </c>
      <c r="N36" s="27">
        <f t="shared" si="30"/>
        <v>0</v>
      </c>
      <c r="O36" s="27" t="str">
        <f t="shared" si="31"/>
        <v/>
      </c>
      <c r="P36" s="28" t="str">
        <f t="shared" si="32"/>
        <v/>
      </c>
      <c r="Q36" s="29" t="str">
        <f t="shared" si="33"/>
        <v/>
      </c>
      <c r="R36" s="34">
        <f t="shared" si="18"/>
        <v>0</v>
      </c>
      <c r="S36" s="34">
        <f t="shared" si="19"/>
        <v>0</v>
      </c>
      <c r="T36" s="29">
        <f t="shared" si="34"/>
        <v>0</v>
      </c>
      <c r="U36" s="27"/>
      <c r="V36" s="27"/>
      <c r="W36" s="29">
        <f t="shared" si="35"/>
        <v>0</v>
      </c>
      <c r="X36" s="27"/>
      <c r="Y36" s="27">
        <f t="shared" si="36"/>
        <v>0</v>
      </c>
      <c r="Z36" s="30">
        <f t="shared" si="37"/>
        <v>0</v>
      </c>
      <c r="AA36" s="49"/>
      <c r="AB36" s="49"/>
      <c r="AD36" s="93"/>
      <c r="AE36" s="93"/>
      <c r="AF36" s="93"/>
      <c r="AG36" s="93"/>
      <c r="AH36" s="93"/>
      <c r="AI36" s="93"/>
    </row>
    <row r="37" spans="1:35" s="35" customFormat="1" ht="21" customHeight="1">
      <c r="A37" s="24">
        <v>30</v>
      </c>
      <c r="B37" s="25">
        <v>44044</v>
      </c>
      <c r="C37" s="26" t="str">
        <f t="shared" si="12"/>
        <v/>
      </c>
      <c r="D37" s="26" t="str">
        <f t="shared" si="21"/>
        <v/>
      </c>
      <c r="E37" s="26" t="str">
        <f t="shared" si="22"/>
        <v/>
      </c>
      <c r="F37" s="27">
        <f t="shared" si="23"/>
        <v>0</v>
      </c>
      <c r="G37" s="34" t="str">
        <f t="shared" si="15"/>
        <v/>
      </c>
      <c r="H37" s="27" t="str">
        <f t="shared" si="24"/>
        <v/>
      </c>
      <c r="I37" s="27" t="str">
        <f t="shared" si="25"/>
        <v/>
      </c>
      <c r="J37" s="27">
        <f t="shared" si="26"/>
        <v>0</v>
      </c>
      <c r="K37" s="27" t="str">
        <f t="shared" si="27"/>
        <v/>
      </c>
      <c r="L37" s="27" t="str">
        <f t="shared" si="28"/>
        <v/>
      </c>
      <c r="M37" s="27" t="str">
        <f t="shared" si="29"/>
        <v/>
      </c>
      <c r="N37" s="27">
        <f t="shared" si="30"/>
        <v>0</v>
      </c>
      <c r="O37" s="27" t="str">
        <f t="shared" si="31"/>
        <v/>
      </c>
      <c r="P37" s="28" t="str">
        <f t="shared" si="32"/>
        <v/>
      </c>
      <c r="Q37" s="29" t="str">
        <f t="shared" si="33"/>
        <v/>
      </c>
      <c r="R37" s="34">
        <f t="shared" si="18"/>
        <v>0</v>
      </c>
      <c r="S37" s="34">
        <f t="shared" si="19"/>
        <v>0</v>
      </c>
      <c r="T37" s="29">
        <f t="shared" si="34"/>
        <v>0</v>
      </c>
      <c r="U37" s="27"/>
      <c r="V37" s="27"/>
      <c r="W37" s="29">
        <f t="shared" si="35"/>
        <v>0</v>
      </c>
      <c r="X37" s="27"/>
      <c r="Y37" s="27">
        <f t="shared" si="36"/>
        <v>0</v>
      </c>
      <c r="Z37" s="30">
        <f t="shared" si="37"/>
        <v>0</v>
      </c>
      <c r="AA37" s="49"/>
      <c r="AB37" s="49"/>
      <c r="AD37" s="93"/>
      <c r="AE37" s="93"/>
      <c r="AF37" s="93"/>
      <c r="AG37" s="93"/>
      <c r="AH37" s="93"/>
      <c r="AI37" s="93"/>
    </row>
    <row r="38" spans="1:35" s="35" customFormat="1" ht="21" customHeight="1">
      <c r="A38" s="24">
        <v>31</v>
      </c>
      <c r="B38" s="25">
        <v>44075</v>
      </c>
      <c r="C38" s="26" t="str">
        <f t="shared" si="12"/>
        <v/>
      </c>
      <c r="D38" s="26" t="str">
        <f t="shared" si="21"/>
        <v/>
      </c>
      <c r="E38" s="26" t="str">
        <f t="shared" si="22"/>
        <v/>
      </c>
      <c r="F38" s="27">
        <f t="shared" si="23"/>
        <v>0</v>
      </c>
      <c r="G38" s="34" t="str">
        <f t="shared" si="15"/>
        <v/>
      </c>
      <c r="H38" s="27" t="str">
        <f t="shared" si="24"/>
        <v/>
      </c>
      <c r="I38" s="27" t="str">
        <f t="shared" si="25"/>
        <v/>
      </c>
      <c r="J38" s="27">
        <f t="shared" si="26"/>
        <v>0</v>
      </c>
      <c r="K38" s="27" t="str">
        <f t="shared" si="27"/>
        <v/>
      </c>
      <c r="L38" s="27" t="str">
        <f t="shared" si="28"/>
        <v/>
      </c>
      <c r="M38" s="27" t="str">
        <f t="shared" si="29"/>
        <v/>
      </c>
      <c r="N38" s="27">
        <f t="shared" si="30"/>
        <v>0</v>
      </c>
      <c r="O38" s="27" t="str">
        <f t="shared" si="31"/>
        <v/>
      </c>
      <c r="P38" s="28" t="str">
        <f t="shared" si="32"/>
        <v/>
      </c>
      <c r="Q38" s="29" t="str">
        <f t="shared" si="33"/>
        <v/>
      </c>
      <c r="R38" s="34">
        <f t="shared" si="18"/>
        <v>0</v>
      </c>
      <c r="S38" s="34">
        <f t="shared" si="19"/>
        <v>0</v>
      </c>
      <c r="T38" s="29">
        <f t="shared" si="34"/>
        <v>0</v>
      </c>
      <c r="U38" s="27"/>
      <c r="V38" s="27"/>
      <c r="W38" s="29">
        <f t="shared" si="35"/>
        <v>0</v>
      </c>
      <c r="X38" s="27"/>
      <c r="Y38" s="27">
        <f t="shared" si="36"/>
        <v>0</v>
      </c>
      <c r="Z38" s="30">
        <f t="shared" si="37"/>
        <v>0</v>
      </c>
      <c r="AA38" s="49"/>
      <c r="AB38" s="49"/>
      <c r="AD38" s="93"/>
      <c r="AE38" s="93"/>
      <c r="AF38" s="93"/>
      <c r="AG38" s="93"/>
      <c r="AH38" s="93"/>
      <c r="AI38" s="93"/>
    </row>
    <row r="39" spans="1:35" s="35" customFormat="1" ht="21" customHeight="1">
      <c r="A39" s="24">
        <v>32</v>
      </c>
      <c r="B39" s="25">
        <v>44105</v>
      </c>
      <c r="C39" s="26" t="str">
        <f t="shared" si="12"/>
        <v/>
      </c>
      <c r="D39" s="26" t="str">
        <f t="shared" si="21"/>
        <v/>
      </c>
      <c r="E39" s="26" t="str">
        <f t="shared" si="22"/>
        <v/>
      </c>
      <c r="F39" s="27">
        <f t="shared" si="23"/>
        <v>0</v>
      </c>
      <c r="G39" s="34" t="str">
        <f t="shared" si="15"/>
        <v/>
      </c>
      <c r="H39" s="27" t="str">
        <f t="shared" si="24"/>
        <v/>
      </c>
      <c r="I39" s="27" t="str">
        <f t="shared" si="25"/>
        <v/>
      </c>
      <c r="J39" s="27">
        <f t="shared" si="26"/>
        <v>0</v>
      </c>
      <c r="K39" s="27" t="str">
        <f t="shared" si="27"/>
        <v/>
      </c>
      <c r="L39" s="27" t="str">
        <f t="shared" si="28"/>
        <v/>
      </c>
      <c r="M39" s="27" t="str">
        <f t="shared" si="29"/>
        <v/>
      </c>
      <c r="N39" s="27">
        <f t="shared" si="30"/>
        <v>0</v>
      </c>
      <c r="O39" s="27" t="str">
        <f t="shared" si="31"/>
        <v/>
      </c>
      <c r="P39" s="28" t="str">
        <f t="shared" si="32"/>
        <v/>
      </c>
      <c r="Q39" s="29" t="str">
        <f t="shared" si="33"/>
        <v/>
      </c>
      <c r="R39" s="34">
        <f t="shared" si="18"/>
        <v>0</v>
      </c>
      <c r="S39" s="34">
        <f t="shared" si="19"/>
        <v>0</v>
      </c>
      <c r="T39" s="29">
        <f t="shared" si="34"/>
        <v>0</v>
      </c>
      <c r="U39" s="27"/>
      <c r="V39" s="27"/>
      <c r="W39" s="29">
        <f t="shared" si="35"/>
        <v>0</v>
      </c>
      <c r="X39" s="27"/>
      <c r="Y39" s="27">
        <f t="shared" si="36"/>
        <v>0</v>
      </c>
      <c r="Z39" s="30">
        <f t="shared" si="37"/>
        <v>0</v>
      </c>
      <c r="AA39" s="49"/>
      <c r="AB39" s="49"/>
      <c r="AD39" s="93"/>
      <c r="AE39" s="93"/>
      <c r="AF39" s="93"/>
      <c r="AG39" s="93"/>
      <c r="AH39" s="93"/>
      <c r="AI39" s="93"/>
    </row>
    <row r="40" spans="1:35" s="35" customFormat="1" ht="21" customHeight="1">
      <c r="A40" s="24">
        <v>33</v>
      </c>
      <c r="B40" s="25">
        <v>44136</v>
      </c>
      <c r="C40" s="26" t="str">
        <f t="shared" si="12"/>
        <v/>
      </c>
      <c r="D40" s="26" t="str">
        <f t="shared" si="21"/>
        <v/>
      </c>
      <c r="E40" s="26" t="str">
        <f t="shared" si="22"/>
        <v/>
      </c>
      <c r="F40" s="27">
        <f t="shared" si="23"/>
        <v>0</v>
      </c>
      <c r="G40" s="34" t="str">
        <f t="shared" si="15"/>
        <v/>
      </c>
      <c r="H40" s="27" t="str">
        <f t="shared" si="24"/>
        <v/>
      </c>
      <c r="I40" s="27" t="str">
        <f t="shared" si="25"/>
        <v/>
      </c>
      <c r="J40" s="27">
        <f t="shared" si="26"/>
        <v>0</v>
      </c>
      <c r="K40" s="27" t="str">
        <f t="shared" si="27"/>
        <v/>
      </c>
      <c r="L40" s="27" t="str">
        <f t="shared" si="28"/>
        <v/>
      </c>
      <c r="M40" s="27" t="str">
        <f t="shared" si="29"/>
        <v/>
      </c>
      <c r="N40" s="27">
        <f t="shared" si="30"/>
        <v>0</v>
      </c>
      <c r="O40" s="27" t="str">
        <f t="shared" si="31"/>
        <v/>
      </c>
      <c r="P40" s="28" t="str">
        <f t="shared" si="32"/>
        <v/>
      </c>
      <c r="Q40" s="29" t="str">
        <f t="shared" si="33"/>
        <v/>
      </c>
      <c r="R40" s="34">
        <f t="shared" si="18"/>
        <v>0</v>
      </c>
      <c r="S40" s="34">
        <f t="shared" si="19"/>
        <v>0</v>
      </c>
      <c r="T40" s="29">
        <f t="shared" si="34"/>
        <v>0</v>
      </c>
      <c r="U40" s="27"/>
      <c r="V40" s="27"/>
      <c r="W40" s="29">
        <f t="shared" si="35"/>
        <v>0</v>
      </c>
      <c r="X40" s="27"/>
      <c r="Y40" s="27">
        <f t="shared" si="36"/>
        <v>0</v>
      </c>
      <c r="Z40" s="30">
        <f t="shared" si="37"/>
        <v>0</v>
      </c>
      <c r="AA40" s="49"/>
      <c r="AB40" s="49"/>
      <c r="AD40" s="93"/>
      <c r="AE40" s="93"/>
      <c r="AF40" s="93"/>
      <c r="AG40" s="93"/>
      <c r="AH40" s="93"/>
      <c r="AI40" s="93"/>
    </row>
    <row r="41" spans="1:35" s="35" customFormat="1" ht="21" customHeight="1">
      <c r="A41" s="24">
        <v>34</v>
      </c>
      <c r="B41" s="25">
        <v>44166</v>
      </c>
      <c r="C41" s="26" t="str">
        <f t="shared" si="12"/>
        <v/>
      </c>
      <c r="D41" s="26" t="str">
        <f t="shared" si="21"/>
        <v/>
      </c>
      <c r="E41" s="26" t="str">
        <f t="shared" si="22"/>
        <v/>
      </c>
      <c r="F41" s="27">
        <f t="shared" si="23"/>
        <v>0</v>
      </c>
      <c r="G41" s="34" t="str">
        <f t="shared" si="15"/>
        <v/>
      </c>
      <c r="H41" s="27" t="str">
        <f t="shared" si="24"/>
        <v/>
      </c>
      <c r="I41" s="27" t="str">
        <f t="shared" si="25"/>
        <v/>
      </c>
      <c r="J41" s="27">
        <f t="shared" si="26"/>
        <v>0</v>
      </c>
      <c r="K41" s="27" t="str">
        <f t="shared" si="27"/>
        <v/>
      </c>
      <c r="L41" s="27" t="str">
        <f t="shared" si="28"/>
        <v/>
      </c>
      <c r="M41" s="27" t="str">
        <f t="shared" si="29"/>
        <v/>
      </c>
      <c r="N41" s="27">
        <f t="shared" si="30"/>
        <v>0</v>
      </c>
      <c r="O41" s="27" t="str">
        <f t="shared" si="31"/>
        <v/>
      </c>
      <c r="P41" s="28" t="str">
        <f t="shared" si="32"/>
        <v/>
      </c>
      <c r="Q41" s="29" t="str">
        <f t="shared" si="33"/>
        <v/>
      </c>
      <c r="R41" s="34">
        <f t="shared" si="18"/>
        <v>0</v>
      </c>
      <c r="S41" s="34">
        <f t="shared" si="19"/>
        <v>0</v>
      </c>
      <c r="T41" s="29">
        <f t="shared" si="34"/>
        <v>0</v>
      </c>
      <c r="U41" s="27"/>
      <c r="V41" s="27"/>
      <c r="W41" s="29">
        <f t="shared" si="35"/>
        <v>0</v>
      </c>
      <c r="X41" s="27"/>
      <c r="Y41" s="27">
        <f t="shared" si="36"/>
        <v>0</v>
      </c>
      <c r="Z41" s="30">
        <f t="shared" si="37"/>
        <v>0</v>
      </c>
      <c r="AA41" s="49"/>
      <c r="AB41" s="49"/>
      <c r="AD41" s="93"/>
      <c r="AE41" s="93"/>
      <c r="AF41" s="93"/>
      <c r="AG41" s="93"/>
      <c r="AH41" s="93"/>
      <c r="AI41" s="93"/>
    </row>
    <row r="42" spans="1:35" s="35" customFormat="1" ht="21" customHeight="1">
      <c r="A42" s="24">
        <v>35</v>
      </c>
      <c r="B42" s="25">
        <v>44197</v>
      </c>
      <c r="C42" s="26" t="str">
        <f t="shared" si="12"/>
        <v/>
      </c>
      <c r="D42" s="26" t="str">
        <f t="shared" si="21"/>
        <v/>
      </c>
      <c r="E42" s="26" t="str">
        <f t="shared" si="22"/>
        <v/>
      </c>
      <c r="F42" s="27">
        <f t="shared" si="23"/>
        <v>0</v>
      </c>
      <c r="G42" s="34" t="str">
        <f t="shared" si="15"/>
        <v/>
      </c>
      <c r="H42" s="27" t="str">
        <f t="shared" si="24"/>
        <v/>
      </c>
      <c r="I42" s="27" t="str">
        <f t="shared" si="25"/>
        <v/>
      </c>
      <c r="J42" s="27">
        <f t="shared" si="26"/>
        <v>0</v>
      </c>
      <c r="K42" s="27" t="str">
        <f t="shared" si="27"/>
        <v/>
      </c>
      <c r="L42" s="27" t="str">
        <f t="shared" si="28"/>
        <v/>
      </c>
      <c r="M42" s="27" t="str">
        <f t="shared" si="29"/>
        <v/>
      </c>
      <c r="N42" s="27">
        <f t="shared" si="30"/>
        <v>0</v>
      </c>
      <c r="O42" s="27" t="str">
        <f t="shared" si="31"/>
        <v/>
      </c>
      <c r="P42" s="28" t="str">
        <f t="shared" si="32"/>
        <v/>
      </c>
      <c r="Q42" s="29" t="str">
        <f t="shared" si="33"/>
        <v/>
      </c>
      <c r="R42" s="34">
        <f t="shared" si="18"/>
        <v>0</v>
      </c>
      <c r="S42" s="34">
        <f t="shared" si="19"/>
        <v>0</v>
      </c>
      <c r="T42" s="29">
        <f t="shared" si="34"/>
        <v>0</v>
      </c>
      <c r="U42" s="27"/>
      <c r="V42" s="27"/>
      <c r="W42" s="29">
        <f t="shared" si="35"/>
        <v>0</v>
      </c>
      <c r="X42" s="27"/>
      <c r="Y42" s="27">
        <f t="shared" si="36"/>
        <v>0</v>
      </c>
      <c r="Z42" s="30">
        <f t="shared" si="37"/>
        <v>0</v>
      </c>
      <c r="AA42" s="49"/>
      <c r="AB42" s="49"/>
      <c r="AD42" s="93"/>
      <c r="AE42" s="93"/>
      <c r="AF42" s="93"/>
      <c r="AG42" s="93"/>
      <c r="AH42" s="93"/>
      <c r="AI42" s="93"/>
    </row>
    <row r="43" spans="1:35" s="35" customFormat="1" ht="21" customHeight="1">
      <c r="A43" s="24">
        <v>36</v>
      </c>
      <c r="B43" s="25">
        <v>44228</v>
      </c>
      <c r="C43" s="26" t="str">
        <f t="shared" si="12"/>
        <v/>
      </c>
      <c r="D43" s="26" t="str">
        <f t="shared" si="21"/>
        <v/>
      </c>
      <c r="E43" s="26" t="str">
        <f t="shared" si="22"/>
        <v/>
      </c>
      <c r="F43" s="27">
        <f t="shared" si="23"/>
        <v>0</v>
      </c>
      <c r="G43" s="34" t="str">
        <f t="shared" si="15"/>
        <v/>
      </c>
      <c r="H43" s="27" t="str">
        <f t="shared" si="24"/>
        <v/>
      </c>
      <c r="I43" s="27" t="str">
        <f t="shared" si="25"/>
        <v/>
      </c>
      <c r="J43" s="27">
        <f t="shared" si="26"/>
        <v>0</v>
      </c>
      <c r="K43" s="27" t="str">
        <f t="shared" si="27"/>
        <v/>
      </c>
      <c r="L43" s="27" t="str">
        <f t="shared" si="28"/>
        <v/>
      </c>
      <c r="M43" s="27" t="str">
        <f t="shared" si="29"/>
        <v/>
      </c>
      <c r="N43" s="27">
        <f t="shared" si="30"/>
        <v>0</v>
      </c>
      <c r="O43" s="27" t="str">
        <f t="shared" si="31"/>
        <v/>
      </c>
      <c r="P43" s="28" t="str">
        <f t="shared" si="32"/>
        <v/>
      </c>
      <c r="Q43" s="29" t="str">
        <f t="shared" si="33"/>
        <v/>
      </c>
      <c r="R43" s="34">
        <f t="shared" si="18"/>
        <v>0</v>
      </c>
      <c r="S43" s="34">
        <f t="shared" si="19"/>
        <v>0</v>
      </c>
      <c r="T43" s="29">
        <f t="shared" si="34"/>
        <v>0</v>
      </c>
      <c r="U43" s="27"/>
      <c r="V43" s="27"/>
      <c r="W43" s="29">
        <f t="shared" si="35"/>
        <v>0</v>
      </c>
      <c r="X43" s="27"/>
      <c r="Y43" s="27">
        <f t="shared" si="36"/>
        <v>0</v>
      </c>
      <c r="Z43" s="30">
        <f t="shared" si="37"/>
        <v>0</v>
      </c>
      <c r="AA43" s="49"/>
      <c r="AB43" s="49"/>
      <c r="AD43" s="93"/>
      <c r="AE43" s="93"/>
      <c r="AF43" s="93"/>
      <c r="AG43" s="93"/>
      <c r="AH43" s="93"/>
      <c r="AI43" s="93"/>
    </row>
    <row r="44" spans="1:35" s="35" customFormat="1" ht="21" customHeight="1">
      <c r="A44" s="24">
        <v>37</v>
      </c>
      <c r="B44" s="25">
        <v>44256</v>
      </c>
      <c r="C44" s="26" t="str">
        <f t="shared" si="12"/>
        <v/>
      </c>
      <c r="D44" s="26" t="str">
        <f t="shared" si="21"/>
        <v/>
      </c>
      <c r="E44" s="26" t="str">
        <f t="shared" si="22"/>
        <v/>
      </c>
      <c r="F44" s="27">
        <f t="shared" si="23"/>
        <v>0</v>
      </c>
      <c r="G44" s="34" t="str">
        <f t="shared" si="15"/>
        <v/>
      </c>
      <c r="H44" s="27" t="str">
        <f t="shared" si="24"/>
        <v/>
      </c>
      <c r="I44" s="27" t="str">
        <f t="shared" si="25"/>
        <v/>
      </c>
      <c r="J44" s="27">
        <f t="shared" si="26"/>
        <v>0</v>
      </c>
      <c r="K44" s="27" t="str">
        <f t="shared" si="27"/>
        <v/>
      </c>
      <c r="L44" s="27" t="str">
        <f t="shared" si="28"/>
        <v/>
      </c>
      <c r="M44" s="27" t="str">
        <f t="shared" si="29"/>
        <v/>
      </c>
      <c r="N44" s="27">
        <f t="shared" si="30"/>
        <v>0</v>
      </c>
      <c r="O44" s="27" t="str">
        <f t="shared" si="31"/>
        <v/>
      </c>
      <c r="P44" s="28" t="str">
        <f t="shared" si="32"/>
        <v/>
      </c>
      <c r="Q44" s="29" t="str">
        <f t="shared" si="33"/>
        <v/>
      </c>
      <c r="R44" s="34">
        <f t="shared" si="18"/>
        <v>0</v>
      </c>
      <c r="S44" s="34">
        <f t="shared" si="19"/>
        <v>0</v>
      </c>
      <c r="T44" s="29">
        <f t="shared" si="34"/>
        <v>0</v>
      </c>
      <c r="U44" s="27"/>
      <c r="V44" s="27"/>
      <c r="W44" s="29">
        <f t="shared" si="35"/>
        <v>0</v>
      </c>
      <c r="X44" s="27"/>
      <c r="Y44" s="27">
        <f t="shared" si="36"/>
        <v>0</v>
      </c>
      <c r="Z44" s="30">
        <f t="shared" si="37"/>
        <v>0</v>
      </c>
      <c r="AA44" s="49"/>
      <c r="AB44" s="49"/>
      <c r="AD44" s="93"/>
      <c r="AE44" s="93"/>
      <c r="AF44" s="93"/>
      <c r="AG44" s="93"/>
      <c r="AH44" s="93"/>
      <c r="AI44" s="93"/>
    </row>
    <row r="45" spans="1:35" s="35" customFormat="1" ht="21" customHeight="1">
      <c r="A45" s="24">
        <v>38</v>
      </c>
      <c r="B45" s="25">
        <v>44287</v>
      </c>
      <c r="C45" s="26" t="str">
        <f t="shared" si="12"/>
        <v/>
      </c>
      <c r="D45" s="26" t="str">
        <f t="shared" si="21"/>
        <v/>
      </c>
      <c r="E45" s="26" t="str">
        <f t="shared" si="22"/>
        <v/>
      </c>
      <c r="F45" s="27">
        <f t="shared" si="23"/>
        <v>0</v>
      </c>
      <c r="G45" s="34" t="str">
        <f t="shared" si="15"/>
        <v/>
      </c>
      <c r="H45" s="27" t="str">
        <f t="shared" si="24"/>
        <v/>
      </c>
      <c r="I45" s="27" t="str">
        <f t="shared" si="25"/>
        <v/>
      </c>
      <c r="J45" s="27">
        <f t="shared" si="26"/>
        <v>0</v>
      </c>
      <c r="K45" s="27" t="str">
        <f t="shared" si="27"/>
        <v/>
      </c>
      <c r="L45" s="27" t="str">
        <f t="shared" si="28"/>
        <v/>
      </c>
      <c r="M45" s="27" t="str">
        <f t="shared" si="29"/>
        <v/>
      </c>
      <c r="N45" s="27">
        <f t="shared" si="30"/>
        <v>0</v>
      </c>
      <c r="O45" s="27" t="str">
        <f t="shared" si="31"/>
        <v/>
      </c>
      <c r="P45" s="28" t="str">
        <f t="shared" si="32"/>
        <v/>
      </c>
      <c r="Q45" s="29" t="str">
        <f t="shared" si="33"/>
        <v/>
      </c>
      <c r="R45" s="34">
        <f t="shared" si="18"/>
        <v>0</v>
      </c>
      <c r="S45" s="34">
        <f t="shared" si="19"/>
        <v>0</v>
      </c>
      <c r="T45" s="29">
        <f t="shared" si="34"/>
        <v>0</v>
      </c>
      <c r="U45" s="27"/>
      <c r="V45" s="27"/>
      <c r="W45" s="29">
        <f t="shared" si="35"/>
        <v>0</v>
      </c>
      <c r="X45" s="27"/>
      <c r="Y45" s="27">
        <f t="shared" si="36"/>
        <v>0</v>
      </c>
      <c r="Z45" s="30">
        <f t="shared" si="37"/>
        <v>0</v>
      </c>
      <c r="AA45" s="49"/>
      <c r="AB45" s="49"/>
      <c r="AD45" s="93"/>
      <c r="AE45" s="93"/>
      <c r="AF45" s="93"/>
      <c r="AG45" s="93"/>
      <c r="AH45" s="93"/>
      <c r="AI45" s="93"/>
    </row>
    <row r="46" spans="1:35" s="35" customFormat="1" ht="21" customHeight="1">
      <c r="A46" s="24">
        <v>39</v>
      </c>
      <c r="B46" s="25">
        <v>44317</v>
      </c>
      <c r="C46" s="26" t="str">
        <f t="shared" si="12"/>
        <v/>
      </c>
      <c r="D46" s="26" t="str">
        <f t="shared" si="21"/>
        <v/>
      </c>
      <c r="E46" s="26" t="str">
        <f t="shared" si="22"/>
        <v/>
      </c>
      <c r="F46" s="27">
        <f t="shared" si="23"/>
        <v>0</v>
      </c>
      <c r="G46" s="34" t="str">
        <f t="shared" si="15"/>
        <v/>
      </c>
      <c r="H46" s="27" t="str">
        <f t="shared" si="24"/>
        <v/>
      </c>
      <c r="I46" s="27" t="str">
        <f t="shared" si="25"/>
        <v/>
      </c>
      <c r="J46" s="27">
        <f t="shared" si="26"/>
        <v>0</v>
      </c>
      <c r="K46" s="27" t="str">
        <f t="shared" si="27"/>
        <v/>
      </c>
      <c r="L46" s="27" t="str">
        <f t="shared" si="28"/>
        <v/>
      </c>
      <c r="M46" s="27" t="str">
        <f t="shared" si="29"/>
        <v/>
      </c>
      <c r="N46" s="27">
        <f t="shared" si="30"/>
        <v>0</v>
      </c>
      <c r="O46" s="27" t="str">
        <f t="shared" si="31"/>
        <v/>
      </c>
      <c r="P46" s="28" t="str">
        <f t="shared" si="32"/>
        <v/>
      </c>
      <c r="Q46" s="29" t="str">
        <f t="shared" si="33"/>
        <v/>
      </c>
      <c r="R46" s="34">
        <f t="shared" si="18"/>
        <v>0</v>
      </c>
      <c r="S46" s="34">
        <f t="shared" si="19"/>
        <v>0</v>
      </c>
      <c r="T46" s="29">
        <f t="shared" si="34"/>
        <v>0</v>
      </c>
      <c r="U46" s="27"/>
      <c r="V46" s="27"/>
      <c r="W46" s="29">
        <f t="shared" si="35"/>
        <v>0</v>
      </c>
      <c r="X46" s="27"/>
      <c r="Y46" s="27">
        <f t="shared" si="36"/>
        <v>0</v>
      </c>
      <c r="Z46" s="30">
        <f t="shared" si="37"/>
        <v>0</v>
      </c>
      <c r="AA46" s="49"/>
      <c r="AB46" s="49"/>
      <c r="AD46" s="93"/>
      <c r="AE46" s="93"/>
      <c r="AF46" s="93"/>
      <c r="AG46" s="93"/>
      <c r="AH46" s="93"/>
      <c r="AI46" s="93"/>
    </row>
    <row r="47" spans="1:35" s="35" customFormat="1" ht="21" customHeight="1">
      <c r="A47" s="24">
        <v>40</v>
      </c>
      <c r="B47" s="25">
        <v>44348</v>
      </c>
      <c r="C47" s="26" t="str">
        <f t="shared" si="12"/>
        <v/>
      </c>
      <c r="D47" s="26" t="str">
        <f t="shared" si="21"/>
        <v/>
      </c>
      <c r="E47" s="26" t="str">
        <f t="shared" si="22"/>
        <v/>
      </c>
      <c r="F47" s="27">
        <f t="shared" si="23"/>
        <v>0</v>
      </c>
      <c r="G47" s="34" t="str">
        <f t="shared" si="15"/>
        <v/>
      </c>
      <c r="H47" s="27" t="str">
        <f t="shared" si="24"/>
        <v/>
      </c>
      <c r="I47" s="27" t="str">
        <f t="shared" si="25"/>
        <v/>
      </c>
      <c r="J47" s="27">
        <f t="shared" si="26"/>
        <v>0</v>
      </c>
      <c r="K47" s="27" t="str">
        <f t="shared" si="27"/>
        <v/>
      </c>
      <c r="L47" s="27" t="str">
        <f t="shared" si="28"/>
        <v/>
      </c>
      <c r="M47" s="27" t="str">
        <f t="shared" si="29"/>
        <v/>
      </c>
      <c r="N47" s="27">
        <f t="shared" si="30"/>
        <v>0</v>
      </c>
      <c r="O47" s="27" t="str">
        <f t="shared" si="31"/>
        <v/>
      </c>
      <c r="P47" s="28" t="str">
        <f t="shared" si="32"/>
        <v/>
      </c>
      <c r="Q47" s="29" t="str">
        <f t="shared" si="33"/>
        <v/>
      </c>
      <c r="R47" s="34">
        <f t="shared" si="18"/>
        <v>0</v>
      </c>
      <c r="S47" s="34">
        <f t="shared" si="19"/>
        <v>0</v>
      </c>
      <c r="T47" s="29">
        <f t="shared" si="34"/>
        <v>0</v>
      </c>
      <c r="U47" s="27"/>
      <c r="V47" s="27"/>
      <c r="W47" s="29">
        <f t="shared" si="35"/>
        <v>0</v>
      </c>
      <c r="X47" s="27"/>
      <c r="Y47" s="27">
        <f t="shared" si="36"/>
        <v>0</v>
      </c>
      <c r="Z47" s="30">
        <f t="shared" si="37"/>
        <v>0</v>
      </c>
      <c r="AA47" s="49"/>
      <c r="AB47" s="49"/>
      <c r="AD47" s="93"/>
      <c r="AE47" s="93"/>
      <c r="AF47" s="93"/>
      <c r="AG47" s="93"/>
      <c r="AH47" s="93"/>
      <c r="AI47" s="93"/>
    </row>
    <row r="48" spans="1:35" s="35" customFormat="1" ht="32.25" customHeight="1">
      <c r="A48" s="203" t="s">
        <v>18</v>
      </c>
      <c r="B48" s="204"/>
      <c r="C48" s="36">
        <f>IF($E$3="","",SUM(C8:C47))</f>
        <v>0</v>
      </c>
      <c r="D48" s="36">
        <f t="shared" ref="D48:Z48" si="38">IF($E$3="","",SUM(D8:D47))</f>
        <v>0</v>
      </c>
      <c r="E48" s="36">
        <f t="shared" si="38"/>
        <v>0</v>
      </c>
      <c r="F48" s="36">
        <f t="shared" si="38"/>
        <v>0</v>
      </c>
      <c r="G48" s="36">
        <f t="shared" si="38"/>
        <v>0</v>
      </c>
      <c r="H48" s="36">
        <f t="shared" si="38"/>
        <v>0</v>
      </c>
      <c r="I48" s="36">
        <f t="shared" si="38"/>
        <v>0</v>
      </c>
      <c r="J48" s="36">
        <f t="shared" si="38"/>
        <v>0</v>
      </c>
      <c r="K48" s="36">
        <f t="shared" si="38"/>
        <v>0</v>
      </c>
      <c r="L48" s="36">
        <f t="shared" si="38"/>
        <v>0</v>
      </c>
      <c r="M48" s="36">
        <f t="shared" si="38"/>
        <v>0</v>
      </c>
      <c r="N48" s="36">
        <f t="shared" si="38"/>
        <v>0</v>
      </c>
      <c r="O48" s="36">
        <f t="shared" si="38"/>
        <v>0</v>
      </c>
      <c r="P48" s="36">
        <f t="shared" si="38"/>
        <v>0</v>
      </c>
      <c r="Q48" s="36">
        <f t="shared" si="38"/>
        <v>0</v>
      </c>
      <c r="R48" s="36">
        <f t="shared" si="38"/>
        <v>0</v>
      </c>
      <c r="S48" s="36">
        <f t="shared" si="38"/>
        <v>0</v>
      </c>
      <c r="T48" s="36">
        <f t="shared" si="38"/>
        <v>0</v>
      </c>
      <c r="U48" s="36">
        <f t="shared" si="38"/>
        <v>0</v>
      </c>
      <c r="V48" s="36">
        <f t="shared" si="38"/>
        <v>0</v>
      </c>
      <c r="W48" s="36">
        <f t="shared" si="38"/>
        <v>0</v>
      </c>
      <c r="X48" s="36">
        <f t="shared" si="38"/>
        <v>0</v>
      </c>
      <c r="Y48" s="36">
        <f t="shared" si="38"/>
        <v>0</v>
      </c>
      <c r="Z48" s="36">
        <f t="shared" si="38"/>
        <v>0</v>
      </c>
      <c r="AA48" s="37"/>
      <c r="AB48" s="37"/>
      <c r="AD48" s="196"/>
      <c r="AE48" s="197"/>
      <c r="AF48" s="197"/>
      <c r="AG48" s="197"/>
      <c r="AH48" s="197"/>
      <c r="AI48" s="196"/>
    </row>
    <row r="49" spans="1:35" s="35" customFormat="1" ht="18.75">
      <c r="A49" s="38"/>
      <c r="B49" s="38"/>
      <c r="C49" s="39"/>
      <c r="D49" s="39"/>
      <c r="E49" s="39"/>
      <c r="F49" s="39"/>
      <c r="G49" s="205" t="s">
        <v>41</v>
      </c>
      <c r="H49" s="205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40"/>
      <c r="AD49" s="196"/>
      <c r="AE49" s="197"/>
      <c r="AF49" s="197"/>
      <c r="AG49" s="197"/>
      <c r="AH49" s="197"/>
      <c r="AI49" s="196"/>
    </row>
    <row r="50" spans="1:35" s="35" customFormat="1" ht="18.75">
      <c r="A50" s="38"/>
      <c r="B50" s="38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207"/>
      <c r="V50" s="207"/>
      <c r="W50" s="207"/>
      <c r="X50" s="207"/>
      <c r="Y50" s="207"/>
      <c r="Z50" s="207"/>
      <c r="AA50" s="207"/>
      <c r="AB50" s="40"/>
      <c r="AD50" s="196"/>
      <c r="AE50" s="197"/>
      <c r="AF50" s="197"/>
      <c r="AG50" s="197"/>
      <c r="AH50" s="197"/>
      <c r="AI50" s="196"/>
    </row>
    <row r="51" spans="1:35" s="35" customFormat="1" ht="18.75">
      <c r="A51" s="2"/>
      <c r="B51" s="3" t="s">
        <v>35</v>
      </c>
      <c r="C51" s="208"/>
      <c r="D51" s="208"/>
      <c r="E51" s="208"/>
      <c r="F51" s="208"/>
      <c r="G51" s="208"/>
      <c r="H51" s="4"/>
      <c r="I51" s="5" t="s">
        <v>36</v>
      </c>
      <c r="J51" s="209"/>
      <c r="K51" s="209"/>
      <c r="L51" s="39"/>
      <c r="M51" s="39"/>
      <c r="N51" s="39"/>
      <c r="O51" s="39"/>
      <c r="P51" s="39"/>
      <c r="Q51" s="39"/>
      <c r="R51" s="39"/>
      <c r="S51" s="39"/>
      <c r="T51" s="39"/>
      <c r="U51" s="210"/>
      <c r="V51" s="210"/>
      <c r="W51" s="210"/>
      <c r="X51" s="210"/>
      <c r="Y51" s="210"/>
      <c r="Z51" s="210"/>
      <c r="AA51" s="210"/>
      <c r="AB51" s="40"/>
      <c r="AD51" s="196"/>
      <c r="AE51" s="197"/>
      <c r="AF51" s="197"/>
      <c r="AG51" s="197"/>
      <c r="AH51" s="197"/>
      <c r="AI51" s="196"/>
    </row>
    <row r="52" spans="1:35" s="35" customFormat="1" ht="18.75">
      <c r="A52" s="2"/>
      <c r="B52" s="213" t="s">
        <v>37</v>
      </c>
      <c r="C52" s="213"/>
      <c r="D52" s="213"/>
      <c r="E52" s="213"/>
      <c r="F52" s="213"/>
      <c r="G52" s="213"/>
      <c r="H52" s="213"/>
      <c r="I52" s="7"/>
      <c r="J52" s="76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41"/>
      <c r="AA52" s="40"/>
      <c r="AB52" s="40"/>
      <c r="AD52" s="196"/>
      <c r="AE52" s="197"/>
      <c r="AF52" s="197"/>
      <c r="AG52" s="197"/>
      <c r="AH52" s="197"/>
      <c r="AI52" s="196"/>
    </row>
    <row r="53" spans="1:35" s="35" customFormat="1" ht="18.75">
      <c r="A53" s="8">
        <v>1</v>
      </c>
      <c r="B53" s="214" t="s">
        <v>38</v>
      </c>
      <c r="C53" s="214"/>
      <c r="D53" s="214"/>
      <c r="E53" s="214"/>
      <c r="F53" s="214"/>
      <c r="G53" s="214"/>
      <c r="H53" s="4"/>
      <c r="I53" s="2"/>
      <c r="J53" s="76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207" t="str">
        <f>IF(AND(E3=""),"",CONCATENATE("( ",'Master Sheet'!D5," ) "))</f>
        <v xml:space="preserve">( USHA PALIYA ) </v>
      </c>
      <c r="V53" s="207"/>
      <c r="W53" s="207"/>
      <c r="X53" s="207"/>
      <c r="Y53" s="207"/>
      <c r="Z53" s="207"/>
      <c r="AA53" s="207"/>
      <c r="AB53" s="40"/>
      <c r="AD53" s="196"/>
      <c r="AE53" s="197"/>
      <c r="AF53" s="197"/>
      <c r="AG53" s="197"/>
      <c r="AH53" s="197"/>
      <c r="AI53" s="196"/>
    </row>
    <row r="54" spans="1:35" s="35" customFormat="1" ht="18.75">
      <c r="A54" s="9">
        <v>2</v>
      </c>
      <c r="B54" s="211" t="s">
        <v>39</v>
      </c>
      <c r="C54" s="211"/>
      <c r="D54" s="211"/>
      <c r="E54" s="211"/>
      <c r="F54" s="215" t="str">
        <f>CONCATENATE(E3,",","  ",N3)</f>
        <v>HEERALAL JAT,  SR. TEACHER</v>
      </c>
      <c r="G54" s="215"/>
      <c r="H54" s="215"/>
      <c r="I54" s="215"/>
      <c r="J54" s="215"/>
      <c r="K54" s="215"/>
      <c r="L54" s="215"/>
      <c r="M54" s="215"/>
      <c r="N54" s="215"/>
      <c r="O54" s="215"/>
      <c r="P54" s="39"/>
      <c r="Q54" s="39"/>
      <c r="R54" s="42"/>
      <c r="S54" s="39"/>
      <c r="T54" s="39"/>
      <c r="U54" s="210" t="s">
        <v>34</v>
      </c>
      <c r="V54" s="210"/>
      <c r="W54" s="210"/>
      <c r="X54" s="210"/>
      <c r="Y54" s="210"/>
      <c r="Z54" s="210"/>
      <c r="AA54" s="210"/>
      <c r="AB54" s="40"/>
      <c r="AD54" s="196"/>
      <c r="AE54" s="197"/>
      <c r="AF54" s="197"/>
      <c r="AG54" s="197"/>
      <c r="AH54" s="197"/>
      <c r="AI54" s="196"/>
    </row>
    <row r="55" spans="1:35" s="35" customFormat="1" ht="18.75">
      <c r="A55" s="8">
        <v>3</v>
      </c>
      <c r="B55" s="211" t="s">
        <v>40</v>
      </c>
      <c r="C55" s="211"/>
      <c r="D55" s="10"/>
      <c r="E55" s="10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39"/>
      <c r="Q55" s="39"/>
      <c r="R55" s="39"/>
      <c r="S55" s="39"/>
      <c r="T55" s="39"/>
      <c r="U55" s="212" t="str">
        <f>IF('Master Sheet'!D3="","",'Master Sheet'!D3)</f>
        <v>Mahtma Gandhi Government School (English Medium) Bar, PALI</v>
      </c>
      <c r="V55" s="212"/>
      <c r="W55" s="212"/>
      <c r="X55" s="212"/>
      <c r="Y55" s="212"/>
      <c r="Z55" s="212"/>
      <c r="AA55" s="212"/>
      <c r="AB55" s="40"/>
      <c r="AD55" s="196"/>
      <c r="AE55" s="197"/>
      <c r="AF55" s="197"/>
      <c r="AG55" s="197"/>
      <c r="AH55" s="197"/>
      <c r="AI55" s="196"/>
    </row>
    <row r="56" spans="1:35" s="35" customFormat="1" ht="18.75">
      <c r="A56" s="8"/>
      <c r="B56" s="77"/>
      <c r="C56" s="77"/>
      <c r="D56" s="10"/>
      <c r="E56" s="10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39"/>
      <c r="Q56" s="39"/>
      <c r="R56" s="39"/>
      <c r="S56" s="39"/>
      <c r="T56" s="39"/>
      <c r="U56" s="212"/>
      <c r="V56" s="212"/>
      <c r="W56" s="212"/>
      <c r="X56" s="212"/>
      <c r="Y56" s="212"/>
      <c r="Z56" s="212"/>
      <c r="AA56" s="212"/>
      <c r="AB56" s="40"/>
      <c r="AD56" s="196"/>
      <c r="AE56" s="197"/>
      <c r="AF56" s="197"/>
      <c r="AG56" s="197"/>
      <c r="AH56" s="197"/>
      <c r="AI56" s="196"/>
    </row>
    <row r="57" spans="1:35" s="35" customFormat="1" ht="18.75">
      <c r="A57" s="8"/>
      <c r="B57" s="211"/>
      <c r="C57" s="211"/>
      <c r="D57" s="11"/>
      <c r="E57" s="11"/>
      <c r="F57" s="2"/>
      <c r="G57" s="2"/>
      <c r="H57" s="12"/>
      <c r="I57" s="13"/>
      <c r="J57" s="76"/>
      <c r="K57" s="43" t="s">
        <v>19</v>
      </c>
      <c r="L57" s="43"/>
      <c r="M57" s="43"/>
      <c r="N57" s="43"/>
      <c r="O57" s="43"/>
      <c r="P57" s="43"/>
      <c r="Q57" s="43"/>
      <c r="R57" s="43"/>
      <c r="S57" s="1"/>
      <c r="T57" s="43"/>
      <c r="U57" s="43"/>
      <c r="V57" s="43"/>
      <c r="W57" s="43"/>
      <c r="X57" s="43"/>
      <c r="Y57" s="43"/>
      <c r="Z57" s="44"/>
      <c r="AA57" s="43"/>
      <c r="AB57" s="43"/>
      <c r="AD57" s="197"/>
      <c r="AE57" s="197"/>
      <c r="AF57" s="197"/>
      <c r="AG57" s="197"/>
      <c r="AH57" s="197"/>
      <c r="AI57" s="197"/>
    </row>
    <row r="58" spans="1:35" s="35" customFormat="1">
      <c r="B58" s="4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1:35" s="35" customFormat="1">
      <c r="B59" s="4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spans="1:35" s="35" customFormat="1">
      <c r="B60" s="4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spans="1:35" s="35" customFormat="1">
      <c r="B61" s="4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1:35" s="35" customFormat="1">
      <c r="B62" s="4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1:35" s="35" customFormat="1">
      <c r="B63" s="4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1:35" s="35" customFormat="1">
      <c r="B64" s="4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2:28" s="35" customFormat="1">
      <c r="B65" s="4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2:28" s="35" customFormat="1">
      <c r="B66" s="4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2:28" s="35" customFormat="1">
      <c r="B67" s="4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2:28" s="35" customFormat="1">
      <c r="B68" s="45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16"/>
      <c r="Z68" s="16"/>
      <c r="AA68" s="16"/>
      <c r="AB68" s="16"/>
    </row>
    <row r="69" spans="2:28" s="35" customFormat="1">
      <c r="B69" s="45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16"/>
      <c r="Z69" s="16"/>
      <c r="AA69" s="16"/>
      <c r="AB69" s="16"/>
    </row>
    <row r="70" spans="2:28" s="35" customFormat="1">
      <c r="B70" s="45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16"/>
      <c r="Z70" s="16"/>
      <c r="AA70" s="16"/>
      <c r="AB70" s="16"/>
    </row>
    <row r="71" spans="2:28" s="35" customFormat="1">
      <c r="B71" s="45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16"/>
      <c r="Z71" s="16"/>
      <c r="AA71" s="16"/>
      <c r="AB71" s="16"/>
    </row>
    <row r="72" spans="2:28" s="35" customFormat="1">
      <c r="B72" s="45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16"/>
      <c r="Z72" s="16"/>
      <c r="AA72" s="16"/>
      <c r="AB72" s="16"/>
    </row>
    <row r="73" spans="2:28" s="35" customFormat="1">
      <c r="B73" s="45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16"/>
      <c r="Z73" s="16"/>
      <c r="AA73" s="16"/>
      <c r="AB73" s="16"/>
    </row>
    <row r="74" spans="2:28" s="35" customFormat="1">
      <c r="B74" s="45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16"/>
      <c r="Z74" s="16"/>
      <c r="AA74" s="16"/>
      <c r="AB74" s="16"/>
    </row>
    <row r="75" spans="2:28" s="35" customFormat="1">
      <c r="B75" s="45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16"/>
      <c r="Z75" s="16"/>
      <c r="AA75" s="16"/>
      <c r="AB75" s="16"/>
    </row>
    <row r="76" spans="2:28" s="35" customFormat="1">
      <c r="B76" s="45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16"/>
      <c r="Z76" s="16"/>
      <c r="AA76" s="16"/>
      <c r="AB76" s="16"/>
    </row>
    <row r="77" spans="2:28" s="35" customForma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16"/>
      <c r="Z77" s="16"/>
      <c r="AA77" s="16"/>
      <c r="AB77" s="16"/>
    </row>
    <row r="78" spans="2:28" s="35" customFormat="1">
      <c r="B78" s="45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16"/>
      <c r="Z78" s="16"/>
      <c r="AA78" s="16"/>
      <c r="AB78" s="16"/>
    </row>
    <row r="79" spans="2:28" s="35" customFormat="1">
      <c r="B79" s="45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16"/>
      <c r="Z79" s="16"/>
      <c r="AA79" s="16"/>
      <c r="AB79" s="16"/>
    </row>
    <row r="80" spans="2:28" s="35" customFormat="1">
      <c r="B80" s="45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16"/>
      <c r="Z80" s="16"/>
      <c r="AA80" s="16"/>
      <c r="AB80" s="16"/>
    </row>
  </sheetData>
  <mergeCells count="47">
    <mergeCell ref="B55:C55"/>
    <mergeCell ref="U55:AA56"/>
    <mergeCell ref="B57:C57"/>
    <mergeCell ref="B52:H52"/>
    <mergeCell ref="B53:G53"/>
    <mergeCell ref="U53:AA53"/>
    <mergeCell ref="B54:E54"/>
    <mergeCell ref="F54:O54"/>
    <mergeCell ref="U54:AA54"/>
    <mergeCell ref="AB6:AB7"/>
    <mergeCell ref="A48:B48"/>
    <mergeCell ref="AD48:AH57"/>
    <mergeCell ref="AI48:AI57"/>
    <mergeCell ref="G49:H49"/>
    <mergeCell ref="I49:AA49"/>
    <mergeCell ref="U50:AA50"/>
    <mergeCell ref="C51:G51"/>
    <mergeCell ref="J51:K51"/>
    <mergeCell ref="U51:AA51"/>
    <mergeCell ref="R6:T6"/>
    <mergeCell ref="U6:W6"/>
    <mergeCell ref="X6:X7"/>
    <mergeCell ref="Y6:Y7"/>
    <mergeCell ref="Z6:Z7"/>
    <mergeCell ref="AA6:AA7"/>
    <mergeCell ref="A6:A7"/>
    <mergeCell ref="B6:B7"/>
    <mergeCell ref="C6:F6"/>
    <mergeCell ref="G6:J6"/>
    <mergeCell ref="K6:N6"/>
    <mergeCell ref="O6:Q6"/>
    <mergeCell ref="B4:D4"/>
    <mergeCell ref="G4:L4"/>
    <mergeCell ref="M4:O4"/>
    <mergeCell ref="Q4:S4"/>
    <mergeCell ref="T4:V4"/>
    <mergeCell ref="W4:AB4"/>
    <mergeCell ref="B1:AB1"/>
    <mergeCell ref="B2:AB2"/>
    <mergeCell ref="B3:D3"/>
    <mergeCell ref="E3:K3"/>
    <mergeCell ref="L3:M3"/>
    <mergeCell ref="N3:R3"/>
    <mergeCell ref="S3:U3"/>
    <mergeCell ref="V3:W3"/>
    <mergeCell ref="X3:Z3"/>
    <mergeCell ref="AA3:AB3"/>
  </mergeCells>
  <conditionalFormatting sqref="A8:A47">
    <cfRule type="cellIs" dxfId="0" priority="1" operator="equal">
      <formula>0</formula>
    </cfRule>
  </conditionalFormatting>
  <pageMargins left="0.4" right="0.3" top="0.5" bottom="0.5" header="0.3" footer="0.3"/>
  <pageSetup paperSize="9" scale="75" fitToWidth="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How to Use</vt:lpstr>
      <vt:lpstr>Master Sheet</vt:lpstr>
      <vt:lpstr>Arrear Sheet</vt:lpstr>
      <vt:lpstr>Unlock sheet</vt:lpstr>
      <vt:lpstr>month</vt:lpstr>
      <vt:lpstr>post</vt:lpstr>
      <vt:lpstr>'Arrear Sheet'!Print_Area</vt:lpstr>
      <vt:lpstr>'Unlock sheet'!Print_Area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2021-06-06T13:54:54Z</dcterms:modified>
</cp:coreProperties>
</file>