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How to Use" sheetId="11" r:id="rId1"/>
    <sheet name="Master Sheet" sheetId="9" r:id="rId2"/>
    <sheet name="Arrear Sheet" sheetId="2" r:id="rId3"/>
    <sheet name="Unlock sheet" sheetId="10" r:id="rId4"/>
  </sheets>
  <definedNames>
    <definedName name="month">'Master Sheet'!$AI$3:$AI$82</definedName>
    <definedName name="post">Table1[Post]</definedName>
    <definedName name="_xlnm.Print_Area" localSheetId="2">'Arrear Sheet'!$B$1:$AJ$95</definedName>
    <definedName name="_xlnm.Print_Area" localSheetId="3">'Unlock sheet'!$A$1:$AI$107</definedName>
    <definedName name="ram">#REF!</definedName>
  </definedNames>
  <calcPr calcId="124519"/>
</workbook>
</file>

<file path=xl/calcChain.xml><?xml version="1.0" encoding="utf-8"?>
<calcChain xmlns="http://schemas.openxmlformats.org/spreadsheetml/2006/main">
  <c r="G98" i="10"/>
  <c r="AG64"/>
  <c r="AG65"/>
  <c r="AG66"/>
  <c r="AG67"/>
  <c r="AG68"/>
  <c r="AG69"/>
  <c r="AG70"/>
  <c r="AG71"/>
  <c r="AG72"/>
  <c r="AG73"/>
  <c r="AG74"/>
  <c r="AG75"/>
  <c r="AG76"/>
  <c r="AG77"/>
  <c r="AG78"/>
  <c r="AG79"/>
  <c r="AG80"/>
  <c r="AG81"/>
  <c r="AG82"/>
  <c r="AG83"/>
  <c r="AG84"/>
  <c r="AG85"/>
  <c r="AG86"/>
  <c r="AG87"/>
  <c r="AG88"/>
  <c r="AG89"/>
  <c r="AG90"/>
  <c r="AG91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G65" i="2"/>
  <c r="AG66"/>
  <c r="AG67"/>
  <c r="AG68"/>
  <c r="AG69"/>
  <c r="AG70"/>
  <c r="AG71"/>
  <c r="AG72"/>
  <c r="AG73"/>
  <c r="AG74"/>
  <c r="AG75"/>
  <c r="AG76"/>
  <c r="AG77"/>
  <c r="AG78"/>
  <c r="AG79"/>
  <c r="AG80"/>
  <c r="AG81"/>
  <c r="AG82"/>
  <c r="AG83"/>
  <c r="AG84"/>
  <c r="AG85"/>
  <c r="AG86"/>
  <c r="AG87"/>
  <c r="AG88"/>
  <c r="AG89"/>
  <c r="AG90"/>
  <c r="AG91"/>
  <c r="AG92"/>
  <c r="AG93"/>
  <c r="AG94"/>
  <c r="AG95"/>
  <c r="E64" i="10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AD76"/>
  <c r="AE76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AD80"/>
  <c r="AE80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AD84"/>
  <c r="AE84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X8"/>
  <c r="G8"/>
  <c r="F8"/>
  <c r="E8"/>
  <c r="BY64" i="2"/>
  <c r="BY65"/>
  <c r="BY66"/>
  <c r="BY67"/>
  <c r="BY68"/>
  <c r="BY69"/>
  <c r="BY70"/>
  <c r="BY71"/>
  <c r="BY72"/>
  <c r="BY73"/>
  <c r="BY74"/>
  <c r="BY75"/>
  <c r="BY76"/>
  <c r="BY77"/>
  <c r="BY78"/>
  <c r="BY79"/>
  <c r="BY80"/>
  <c r="BY81"/>
  <c r="BY82"/>
  <c r="BY83"/>
  <c r="BY84"/>
  <c r="BY85"/>
  <c r="BY86"/>
  <c r="BY87"/>
  <c r="BY88"/>
  <c r="BY89"/>
  <c r="BY90"/>
  <c r="BY91"/>
  <c r="BY92"/>
  <c r="BY93"/>
  <c r="BY94"/>
  <c r="BY95"/>
  <c r="BY96"/>
  <c r="BY97"/>
  <c r="BY98"/>
  <c r="BY99"/>
  <c r="BY100"/>
  <c r="BY101"/>
  <c r="BY102"/>
  <c r="BY103"/>
  <c r="BY104"/>
  <c r="BY105"/>
  <c r="BY106"/>
  <c r="BY107"/>
  <c r="BY108"/>
  <c r="BY109"/>
  <c r="BY110"/>
  <c r="BY111"/>
  <c r="BY112"/>
  <c r="BY113"/>
  <c r="BY114"/>
  <c r="BY115"/>
  <c r="BY116"/>
  <c r="BY117"/>
  <c r="BY118"/>
  <c r="BY119"/>
  <c r="BY120"/>
  <c r="BY121"/>
  <c r="BY122"/>
  <c r="BY123"/>
  <c r="BY124"/>
  <c r="BY125"/>
  <c r="BZ64"/>
  <c r="BZ65"/>
  <c r="BZ66"/>
  <c r="BZ67"/>
  <c r="BZ68"/>
  <c r="BZ69"/>
  <c r="BZ70"/>
  <c r="BZ71"/>
  <c r="BZ72"/>
  <c r="BZ73"/>
  <c r="BZ74"/>
  <c r="BZ75"/>
  <c r="BZ76"/>
  <c r="BZ77"/>
  <c r="BZ78"/>
  <c r="BZ79"/>
  <c r="BZ80"/>
  <c r="BZ81"/>
  <c r="BZ82"/>
  <c r="BZ83"/>
  <c r="BZ84"/>
  <c r="BZ85"/>
  <c r="BZ86"/>
  <c r="BZ87"/>
  <c r="BZ88"/>
  <c r="BZ89"/>
  <c r="BZ90"/>
  <c r="BZ91"/>
  <c r="BZ92"/>
  <c r="BZ93"/>
  <c r="BZ94"/>
  <c r="BZ95"/>
  <c r="BZ96"/>
  <c r="BZ97"/>
  <c r="BZ98"/>
  <c r="BZ99"/>
  <c r="BZ100"/>
  <c r="BZ101"/>
  <c r="BZ102"/>
  <c r="BZ103"/>
  <c r="BZ104"/>
  <c r="BZ105"/>
  <c r="BZ106"/>
  <c r="BZ107"/>
  <c r="BZ108"/>
  <c r="BZ109"/>
  <c r="BZ110"/>
  <c r="BZ111"/>
  <c r="BZ112"/>
  <c r="BZ113"/>
  <c r="BZ114"/>
  <c r="BZ115"/>
  <c r="BZ116"/>
  <c r="BZ117"/>
  <c r="BZ118"/>
  <c r="BZ119"/>
  <c r="BZ120"/>
  <c r="BZ121"/>
  <c r="BZ122"/>
  <c r="BZ123"/>
  <c r="BZ124"/>
  <c r="BZ125"/>
  <c r="Y65"/>
  <c r="Z65"/>
  <c r="Y66"/>
  <c r="Z66"/>
  <c r="Y67"/>
  <c r="Z67"/>
  <c r="Y68"/>
  <c r="Z68"/>
  <c r="Y69"/>
  <c r="Z69"/>
  <c r="Y70"/>
  <c r="Z70"/>
  <c r="Y71"/>
  <c r="Z71"/>
  <c r="Y72"/>
  <c r="Z72"/>
  <c r="Y73"/>
  <c r="Z73"/>
  <c r="Y74"/>
  <c r="Z74"/>
  <c r="Y75"/>
  <c r="Z75"/>
  <c r="Y76"/>
  <c r="Z76"/>
  <c r="Y77"/>
  <c r="Z77"/>
  <c r="Y78"/>
  <c r="Z78"/>
  <c r="Y79"/>
  <c r="Z79"/>
  <c r="Y80"/>
  <c r="Z80"/>
  <c r="Y81"/>
  <c r="Z81"/>
  <c r="Y82"/>
  <c r="Z82"/>
  <c r="Y83"/>
  <c r="Z83"/>
  <c r="Y84"/>
  <c r="Z84"/>
  <c r="Y85"/>
  <c r="Z85"/>
  <c r="Y86"/>
  <c r="Z86"/>
  <c r="Y87"/>
  <c r="Z87"/>
  <c r="Y88"/>
  <c r="Z88"/>
  <c r="Y89"/>
  <c r="Z89"/>
  <c r="Y90"/>
  <c r="Z90"/>
  <c r="Y91"/>
  <c r="Z91"/>
  <c r="Y92"/>
  <c r="Z92"/>
  <c r="Y93"/>
  <c r="Z93"/>
  <c r="Y94"/>
  <c r="Z94"/>
  <c r="Y95"/>
  <c r="Z95"/>
  <c r="AU18"/>
  <c r="AI3" s="1"/>
  <c r="H3" i="10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D25" i="9"/>
  <c r="M65" i="2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AB93"/>
  <c r="AC93"/>
  <c r="AB94"/>
  <c r="AC94"/>
  <c r="AB95"/>
  <c r="AC95"/>
  <c r="BM94"/>
  <c r="BM95"/>
  <c r="BM96"/>
  <c r="L94"/>
  <c r="L95"/>
  <c r="G95"/>
  <c r="G94"/>
  <c r="I3"/>
  <c r="Y3"/>
  <c r="BH94"/>
  <c r="BG94"/>
  <c r="L93" s="1"/>
  <c r="BC94"/>
  <c r="BB94"/>
  <c r="G93" s="1"/>
  <c r="AW1" l="1"/>
  <c r="AW2" s="1"/>
  <c r="AQ94"/>
  <c r="AR94"/>
  <c r="BA94"/>
  <c r="BD94"/>
  <c r="BF94"/>
  <c r="BI94"/>
  <c r="BJ94"/>
  <c r="BO94"/>
  <c r="BP94" s="1"/>
  <c r="BW94"/>
  <c r="BA95"/>
  <c r="BC95"/>
  <c r="BD95"/>
  <c r="BF95"/>
  <c r="BH95"/>
  <c r="BI95"/>
  <c r="BJ95"/>
  <c r="BN95"/>
  <c r="BO95"/>
  <c r="BP95" s="1"/>
  <c r="BW95"/>
  <c r="BA96"/>
  <c r="BC96"/>
  <c r="BD96"/>
  <c r="BF96"/>
  <c r="BH96"/>
  <c r="BI96"/>
  <c r="BJ96"/>
  <c r="BN96"/>
  <c r="BO96"/>
  <c r="BP96" s="1"/>
  <c r="BW96"/>
  <c r="AV4"/>
  <c r="AW4" s="1"/>
  <c r="BW97"/>
  <c r="AA96" l="1"/>
  <c r="AA97"/>
  <c r="AA98"/>
  <c r="AA99"/>
  <c r="Z4" i="10" l="1"/>
  <c r="AY1" i="2"/>
  <c r="C93"/>
  <c r="AE93" s="1"/>
  <c r="R93"/>
  <c r="V93"/>
  <c r="C94"/>
  <c r="D94"/>
  <c r="Q94" s="1"/>
  <c r="N94"/>
  <c r="V94"/>
  <c r="AH94"/>
  <c r="C95"/>
  <c r="W95"/>
  <c r="BA7"/>
  <c r="L95" i="10"/>
  <c r="T4"/>
  <c r="AS7" i="2"/>
  <c r="AR7" s="1"/>
  <c r="AU7"/>
  <c r="AW7"/>
  <c r="AU38"/>
  <c r="AU37"/>
  <c r="AU36"/>
  <c r="AU34"/>
  <c r="AU33"/>
  <c r="AU32"/>
  <c r="J95" l="1"/>
  <c r="AH95"/>
  <c r="R95"/>
  <c r="I95"/>
  <c r="AD95" s="1"/>
  <c r="S93"/>
  <c r="X95"/>
  <c r="N95"/>
  <c r="D95"/>
  <c r="Q95" s="1"/>
  <c r="W94"/>
  <c r="I94"/>
  <c r="AD94" s="1"/>
  <c r="T94"/>
  <c r="O95"/>
  <c r="F95"/>
  <c r="AA95"/>
  <c r="F94"/>
  <c r="AA94"/>
  <c r="AE94"/>
  <c r="S95"/>
  <c r="E93"/>
  <c r="AA93"/>
  <c r="AE95"/>
  <c r="V95"/>
  <c r="E95"/>
  <c r="R94"/>
  <c r="T95"/>
  <c r="T93"/>
  <c r="S94"/>
  <c r="AF93"/>
  <c r="U93"/>
  <c r="P93"/>
  <c r="K93"/>
  <c r="F93"/>
  <c r="AF95"/>
  <c r="U95"/>
  <c r="P95"/>
  <c r="K95"/>
  <c r="X94"/>
  <c r="O94"/>
  <c r="J94"/>
  <c r="E94"/>
  <c r="AH93"/>
  <c r="W93"/>
  <c r="N93"/>
  <c r="I93"/>
  <c r="AD93" s="1"/>
  <c r="AF94"/>
  <c r="U94"/>
  <c r="P94"/>
  <c r="K94"/>
  <c r="X93"/>
  <c r="O93"/>
  <c r="J93"/>
  <c r="AU30"/>
  <c r="AU29"/>
  <c r="AU28"/>
  <c r="AU3" l="1"/>
  <c r="Y3" i="10"/>
  <c r="C1" i="2"/>
  <c r="X99" i="10"/>
  <c r="O4"/>
  <c r="P3"/>
  <c r="B1"/>
  <c r="U4" i="2"/>
  <c r="P4"/>
  <c r="Q3"/>
  <c r="AU25"/>
  <c r="AU24"/>
  <c r="AU22"/>
  <c r="AU21"/>
  <c r="AU19"/>
  <c r="AU16"/>
  <c r="AU9"/>
  <c r="AU10"/>
  <c r="AU14"/>
  <c r="AU13"/>
  <c r="BY10" l="1"/>
  <c r="BY14"/>
  <c r="BY18"/>
  <c r="BY22"/>
  <c r="BY26"/>
  <c r="BY30"/>
  <c r="BY34"/>
  <c r="BY38"/>
  <c r="BY42"/>
  <c r="BY46"/>
  <c r="BY50"/>
  <c r="BY54"/>
  <c r="BY58"/>
  <c r="BY62"/>
  <c r="BY9"/>
  <c r="Z10"/>
  <c r="AB10" i="10" s="1"/>
  <c r="Z14" i="2"/>
  <c r="AB14" i="10" s="1"/>
  <c r="Z18" i="2"/>
  <c r="AB18" i="10" s="1"/>
  <c r="Z22" i="2"/>
  <c r="AB22" i="10" s="1"/>
  <c r="Z26" i="2"/>
  <c r="AB26" i="10" s="1"/>
  <c r="Z30" i="2"/>
  <c r="AB30" i="10" s="1"/>
  <c r="Z34" i="2"/>
  <c r="AB34" i="10" s="1"/>
  <c r="Z38" i="2"/>
  <c r="AB38" i="10" s="1"/>
  <c r="Z42" i="2"/>
  <c r="AB42" i="10" s="1"/>
  <c r="Z46" i="2"/>
  <c r="AB46" i="10" s="1"/>
  <c r="Z50" i="2"/>
  <c r="AB50" i="10" s="1"/>
  <c r="Z54" i="2"/>
  <c r="AB54" i="10" s="1"/>
  <c r="Z58" i="2"/>
  <c r="AB58" i="10" s="1"/>
  <c r="Z62" i="2"/>
  <c r="AB62" i="10" s="1"/>
  <c r="Z9" i="2"/>
  <c r="AB9" i="10" s="1"/>
  <c r="BY13" i="2"/>
  <c r="BY17"/>
  <c r="BY21"/>
  <c r="BY25"/>
  <c r="BY29"/>
  <c r="BY33"/>
  <c r="BY37"/>
  <c r="BY41"/>
  <c r="BY45"/>
  <c r="BY49"/>
  <c r="BY53"/>
  <c r="BY57"/>
  <c r="BY61"/>
  <c r="BY8"/>
  <c r="Z13"/>
  <c r="AB13" i="10" s="1"/>
  <c r="Z17" i="2"/>
  <c r="AB17" i="10" s="1"/>
  <c r="Z21" i="2"/>
  <c r="AB21" i="10" s="1"/>
  <c r="Z25" i="2"/>
  <c r="AB25" i="10" s="1"/>
  <c r="Z29" i="2"/>
  <c r="AB29" i="10" s="1"/>
  <c r="Z33" i="2"/>
  <c r="AB33" i="10" s="1"/>
  <c r="Z37" i="2"/>
  <c r="AB37" i="10" s="1"/>
  <c r="Z41" i="2"/>
  <c r="AB41" i="10" s="1"/>
  <c r="Z45" i="2"/>
  <c r="AB45" i="10" s="1"/>
  <c r="Z49" i="2"/>
  <c r="AB49" i="10" s="1"/>
  <c r="Z53" i="2"/>
  <c r="AB53" i="10" s="1"/>
  <c r="Z57" i="2"/>
  <c r="AB57" i="10" s="1"/>
  <c r="Z61" i="2"/>
  <c r="AB61" i="10" s="1"/>
  <c r="BY12" i="2"/>
  <c r="BY16"/>
  <c r="BY20"/>
  <c r="BY24"/>
  <c r="BY28"/>
  <c r="BY32"/>
  <c r="BY36"/>
  <c r="BY40"/>
  <c r="BY44"/>
  <c r="BY48"/>
  <c r="BY52"/>
  <c r="BY56"/>
  <c r="BY60"/>
  <c r="Z12"/>
  <c r="AB12" i="10" s="1"/>
  <c r="Z16" i="2"/>
  <c r="AB16" i="10" s="1"/>
  <c r="Z20" i="2"/>
  <c r="AB20" i="10" s="1"/>
  <c r="Z24" i="2"/>
  <c r="AB24" i="10" s="1"/>
  <c r="Z28" i="2"/>
  <c r="AB28" i="10" s="1"/>
  <c r="Z32" i="2"/>
  <c r="AB32" i="10" s="1"/>
  <c r="Z36" i="2"/>
  <c r="AB36" i="10" s="1"/>
  <c r="Z40" i="2"/>
  <c r="AB40" i="10" s="1"/>
  <c r="Z44" i="2"/>
  <c r="AB44" i="10" s="1"/>
  <c r="Z48" i="2"/>
  <c r="AB48" i="10" s="1"/>
  <c r="Z52" i="2"/>
  <c r="AB52" i="10" s="1"/>
  <c r="Z56" i="2"/>
  <c r="AB56" i="10" s="1"/>
  <c r="Z60" i="2"/>
  <c r="AB60" i="10" s="1"/>
  <c r="BY11" i="2"/>
  <c r="BY15"/>
  <c r="BY19"/>
  <c r="BY23"/>
  <c r="BY27"/>
  <c r="BY31"/>
  <c r="BY35"/>
  <c r="BY39"/>
  <c r="BY43"/>
  <c r="BY47"/>
  <c r="BY51"/>
  <c r="BY55"/>
  <c r="Z55" s="1"/>
  <c r="BY59"/>
  <c r="BY63"/>
  <c r="Z11"/>
  <c r="AB11" i="10" s="1"/>
  <c r="Z15" i="2"/>
  <c r="AB15" i="10" s="1"/>
  <c r="Z19" i="2"/>
  <c r="AB19" i="10" s="1"/>
  <c r="Z23" i="2"/>
  <c r="AB23" i="10" s="1"/>
  <c r="Z27" i="2"/>
  <c r="AB27" i="10" s="1"/>
  <c r="Z31" i="2"/>
  <c r="AB31" i="10" s="1"/>
  <c r="Z35" i="2"/>
  <c r="AB35" i="10" s="1"/>
  <c r="Z39" i="2"/>
  <c r="AB39" i="10" s="1"/>
  <c r="Z43" i="2"/>
  <c r="AB43" i="10" s="1"/>
  <c r="Z47" i="2"/>
  <c r="AB47" i="10" s="1"/>
  <c r="Z51" i="2"/>
  <c r="AB51" i="10" s="1"/>
  <c r="Z59" i="2"/>
  <c r="AB59" i="10" s="1"/>
  <c r="Z63" i="2"/>
  <c r="AB63" i="10" s="1"/>
  <c r="Z8" i="2"/>
  <c r="AB8" i="10" s="1"/>
  <c r="BZ48" i="2"/>
  <c r="Y48" s="1"/>
  <c r="AA48" i="10" s="1"/>
  <c r="BZ31" i="2"/>
  <c r="Y31" s="1"/>
  <c r="AA31" i="10" s="1"/>
  <c r="BZ15" i="2"/>
  <c r="Y15" s="1"/>
  <c r="AA15" i="10" s="1"/>
  <c r="BZ53" i="2"/>
  <c r="Y53" s="1"/>
  <c r="AA53" i="10" s="1"/>
  <c r="BZ36" i="2"/>
  <c r="Y36" s="1"/>
  <c r="AA36" i="10" s="1"/>
  <c r="BZ20" i="2"/>
  <c r="Y20" s="1"/>
  <c r="AA20" i="10" s="1"/>
  <c r="BZ62" i="2"/>
  <c r="Y62" s="1"/>
  <c r="AA62" i="10" s="1"/>
  <c r="BZ46" i="2"/>
  <c r="Y46" s="1"/>
  <c r="AA46" i="10" s="1"/>
  <c r="BZ29" i="2"/>
  <c r="Y29" s="1"/>
  <c r="AA29" i="10" s="1"/>
  <c r="BZ13" i="2"/>
  <c r="Y13" s="1"/>
  <c r="AA13" i="10" s="1"/>
  <c r="BZ59" i="2"/>
  <c r="Y59" s="1"/>
  <c r="AA59" i="10" s="1"/>
  <c r="BZ42" i="2"/>
  <c r="Y42" s="1"/>
  <c r="AA42" i="10" s="1"/>
  <c r="BZ26" i="2"/>
  <c r="Y26" s="1"/>
  <c r="AA26" i="10" s="1"/>
  <c r="BZ52" i="2"/>
  <c r="Y52" s="1"/>
  <c r="AA52" i="10" s="1"/>
  <c r="BZ35" i="2"/>
  <c r="Y35" s="1"/>
  <c r="AA35" i="10" s="1"/>
  <c r="BZ19" i="2"/>
  <c r="Y19" s="1"/>
  <c r="AA19" i="10" s="1"/>
  <c r="BZ57" i="2"/>
  <c r="Y57" s="1"/>
  <c r="AA57" i="10" s="1"/>
  <c r="BZ40" i="2"/>
  <c r="Y40" s="1"/>
  <c r="AA40" i="10" s="1"/>
  <c r="BZ24" i="2"/>
  <c r="Y24" s="1"/>
  <c r="AA24" i="10" s="1"/>
  <c r="BZ9" i="2"/>
  <c r="Y9" s="1"/>
  <c r="AA9" i="10" s="1"/>
  <c r="BZ50" i="2"/>
  <c r="Y50" s="1"/>
  <c r="AA50" i="10" s="1"/>
  <c r="BZ33" i="2"/>
  <c r="Y33" s="1"/>
  <c r="AA33" i="10" s="1"/>
  <c r="BZ17" i="2"/>
  <c r="Y17" s="1"/>
  <c r="AA17" i="10" s="1"/>
  <c r="BZ63" i="2"/>
  <c r="Y63" s="1"/>
  <c r="AA63" i="10" s="1"/>
  <c r="BZ47" i="2"/>
  <c r="Y47" s="1"/>
  <c r="AA47" i="10" s="1"/>
  <c r="BZ30" i="2"/>
  <c r="Y30" s="1"/>
  <c r="AA30" i="10" s="1"/>
  <c r="BZ14" i="2"/>
  <c r="Y14" s="1"/>
  <c r="AA14" i="10" s="1"/>
  <c r="BZ56" i="2"/>
  <c r="Y56" s="1"/>
  <c r="AA56" i="10" s="1"/>
  <c r="BZ39" i="2"/>
  <c r="Y39" s="1"/>
  <c r="AA39" i="10" s="1"/>
  <c r="BZ23" i="2"/>
  <c r="Y23" s="1"/>
  <c r="AA23" i="10" s="1"/>
  <c r="BZ61" i="2"/>
  <c r="Y61" s="1"/>
  <c r="AA61" i="10" s="1"/>
  <c r="BZ45" i="2"/>
  <c r="Y45" s="1"/>
  <c r="AA45" i="10" s="1"/>
  <c r="BZ28" i="2"/>
  <c r="Y28" s="1"/>
  <c r="AA28" i="10" s="1"/>
  <c r="BZ12" i="2"/>
  <c r="Y12" s="1"/>
  <c r="AA12" i="10" s="1"/>
  <c r="BZ54" i="2"/>
  <c r="Y54" s="1"/>
  <c r="AA54" i="10" s="1"/>
  <c r="BZ37" i="2"/>
  <c r="Y37" s="1"/>
  <c r="AA37" i="10" s="1"/>
  <c r="BZ21" i="2"/>
  <c r="Y21" s="1"/>
  <c r="AA21" i="10" s="1"/>
  <c r="BZ8" i="2"/>
  <c r="Y8" s="1"/>
  <c r="AA8" i="10" s="1"/>
  <c r="BZ51" i="2"/>
  <c r="Y51" s="1"/>
  <c r="AA51" i="10" s="1"/>
  <c r="BZ34" i="2"/>
  <c r="Y34" s="1"/>
  <c r="AA34" i="10" s="1"/>
  <c r="BZ18" i="2"/>
  <c r="Y18" s="1"/>
  <c r="AA18" i="10" s="1"/>
  <c r="BZ10" i="2"/>
  <c r="Y10" s="1"/>
  <c r="AA10" i="10" s="1"/>
  <c r="BZ60" i="2"/>
  <c r="Y60" s="1"/>
  <c r="AA60" i="10" s="1"/>
  <c r="BZ44" i="2"/>
  <c r="Y44" s="1"/>
  <c r="AA44" i="10" s="1"/>
  <c r="BZ27" i="2"/>
  <c r="Y27" s="1"/>
  <c r="AA27" i="10" s="1"/>
  <c r="BZ11" i="2"/>
  <c r="Y11" s="1"/>
  <c r="AA11" i="10" s="1"/>
  <c r="BZ49" i="2"/>
  <c r="Y49" s="1"/>
  <c r="AA49" i="10" s="1"/>
  <c r="BZ32" i="2"/>
  <c r="Y32" s="1"/>
  <c r="AA32" i="10" s="1"/>
  <c r="BZ16" i="2"/>
  <c r="Y16" s="1"/>
  <c r="AA16" i="10" s="1"/>
  <c r="BZ58" i="2"/>
  <c r="Y58" s="1"/>
  <c r="AA58" i="10" s="1"/>
  <c r="BZ41" i="2"/>
  <c r="Y41" s="1"/>
  <c r="AA41" i="10" s="1"/>
  <c r="BZ25" i="2"/>
  <c r="Y25" s="1"/>
  <c r="AA25" i="10" s="1"/>
  <c r="BZ43" i="2"/>
  <c r="Y43" s="1"/>
  <c r="AA43" i="10" s="1"/>
  <c r="BZ55" i="2"/>
  <c r="Y55" s="1"/>
  <c r="AA55" i="10" s="1"/>
  <c r="BZ38" i="2"/>
  <c r="Y38" s="1"/>
  <c r="AA38" i="10" s="1"/>
  <c r="BZ22" i="2"/>
  <c r="Y22" s="1"/>
  <c r="AA22" i="10" s="1"/>
  <c r="BQ94" i="2"/>
  <c r="BQ96"/>
  <c r="BQ95"/>
  <c r="BR94"/>
  <c r="BR95"/>
  <c r="BR96"/>
  <c r="BA3"/>
  <c r="BA2"/>
  <c r="BA6" s="1"/>
  <c r="S6"/>
  <c r="R6" i="10" s="1"/>
  <c r="AW6" i="2"/>
  <c r="X97" i="10"/>
  <c r="AH3"/>
  <c r="AV6" i="2"/>
  <c r="AS4" s="1"/>
  <c r="AU6"/>
  <c r="AW3" s="1"/>
  <c r="AB55" i="10" l="1"/>
  <c r="Z64" i="2"/>
  <c r="Y64"/>
  <c r="AV9"/>
  <c r="AW9" s="1"/>
  <c r="AR4"/>
  <c r="I13" i="9"/>
  <c r="AU12" i="2"/>
  <c r="AE6" l="1"/>
  <c r="AX9"/>
  <c r="AY9" s="1"/>
  <c r="AZ9" s="1"/>
  <c r="AV10"/>
  <c r="AW10" s="1"/>
  <c r="AS3" s="1"/>
  <c r="BA4"/>
  <c r="AU11"/>
  <c r="BA9" l="1"/>
  <c r="BB9" s="1"/>
  <c r="G8" s="1"/>
  <c r="BF9"/>
  <c r="AQ9"/>
  <c r="AR9"/>
  <c r="AX10"/>
  <c r="BG9" l="1"/>
  <c r="BC9"/>
  <c r="E8" s="1"/>
  <c r="BW9"/>
  <c r="AY10"/>
  <c r="AZ10" s="1"/>
  <c r="BO9"/>
  <c r="C8"/>
  <c r="BH9" l="1"/>
  <c r="J8" s="1"/>
  <c r="L8"/>
  <c r="K8" i="10" s="1"/>
  <c r="V8" i="2"/>
  <c r="U8" i="10" s="1"/>
  <c r="AR10" i="2"/>
  <c r="AQ10"/>
  <c r="BW10"/>
  <c r="W8"/>
  <c r="V8" i="10" s="1"/>
  <c r="BI9" i="2"/>
  <c r="K8" s="1"/>
  <c r="BA10"/>
  <c r="BD10" s="1"/>
  <c r="BP9"/>
  <c r="AE8"/>
  <c r="AD8" i="10" s="1"/>
  <c r="BQ9" i="2"/>
  <c r="B8" i="10"/>
  <c r="BS9" i="2"/>
  <c r="BR9"/>
  <c r="A8"/>
  <c r="B8" s="1"/>
  <c r="A8" i="10" s="1"/>
  <c r="BD9" i="2"/>
  <c r="F8" s="1"/>
  <c r="H8" s="1"/>
  <c r="I8"/>
  <c r="H8" i="10" s="1"/>
  <c r="D8" i="2"/>
  <c r="Q8" l="1"/>
  <c r="P8" i="10" s="1"/>
  <c r="O8" i="2"/>
  <c r="N8" i="10" s="1"/>
  <c r="I8"/>
  <c r="M8" i="2"/>
  <c r="R8" s="1"/>
  <c r="J8" i="10"/>
  <c r="AC8" i="2"/>
  <c r="Y8" i="10" s="1"/>
  <c r="AB8" i="2"/>
  <c r="BB10"/>
  <c r="BC10" s="1"/>
  <c r="AA8"/>
  <c r="T8"/>
  <c r="S8" i="10" s="1"/>
  <c r="C8"/>
  <c r="N8" i="2"/>
  <c r="M8" i="10" s="1"/>
  <c r="L8" l="1"/>
  <c r="AC8"/>
  <c r="AD8" i="2"/>
  <c r="Z8" i="10" s="1"/>
  <c r="AS12" i="2"/>
  <c r="AV11" l="1"/>
  <c r="AX11" s="1"/>
  <c r="X8"/>
  <c r="W8" i="10" s="1"/>
  <c r="AW11" i="2" l="1"/>
  <c r="AY11" s="1"/>
  <c r="AZ11" s="1"/>
  <c r="BO10"/>
  <c r="P8"/>
  <c r="O8" i="10" s="1"/>
  <c r="AV12" i="2"/>
  <c r="AX12" s="1"/>
  <c r="Q8" i="10" l="1"/>
  <c r="AR11" i="2"/>
  <c r="AQ11"/>
  <c r="BW11"/>
  <c r="BP10"/>
  <c r="BR10"/>
  <c r="BQ10"/>
  <c r="AW12"/>
  <c r="BL10"/>
  <c r="BL11" s="1"/>
  <c r="BK10"/>
  <c r="BK11" s="1"/>
  <c r="AS11"/>
  <c r="C9"/>
  <c r="AV13"/>
  <c r="AX13" s="1"/>
  <c r="V9" l="1"/>
  <c r="U9" i="10" s="1"/>
  <c r="E9" i="2"/>
  <c r="G9"/>
  <c r="W9"/>
  <c r="V9" i="10" s="1"/>
  <c r="BF10" i="2"/>
  <c r="AE9"/>
  <c r="AD9" i="10" s="1"/>
  <c r="A9" i="2"/>
  <c r="B9" s="1"/>
  <c r="A9" i="10" s="1"/>
  <c r="AY12" i="2"/>
  <c r="AZ12" s="1"/>
  <c r="AW13"/>
  <c r="F9"/>
  <c r="H9" s="1"/>
  <c r="BN9"/>
  <c r="D9"/>
  <c r="AV14"/>
  <c r="AX14" s="1"/>
  <c r="F9" i="10" l="1"/>
  <c r="D9"/>
  <c r="AB9" i="2"/>
  <c r="X9" i="10" s="1"/>
  <c r="C9"/>
  <c r="E9"/>
  <c r="BI10" i="2"/>
  <c r="K9" s="1"/>
  <c r="BG10"/>
  <c r="AR12"/>
  <c r="AQ12"/>
  <c r="AA9"/>
  <c r="BW12"/>
  <c r="D8" i="10"/>
  <c r="C11" i="2"/>
  <c r="BO12"/>
  <c r="BP12" s="1"/>
  <c r="AY13"/>
  <c r="AZ13" s="1"/>
  <c r="AW14"/>
  <c r="I9"/>
  <c r="H9" i="10" s="1"/>
  <c r="BQ7" i="2"/>
  <c r="X9"/>
  <c r="W9" i="10" s="1"/>
  <c r="AV15" i="2"/>
  <c r="AX15" s="1"/>
  <c r="G9" i="10" l="1"/>
  <c r="J9"/>
  <c r="AC9"/>
  <c r="AC9" i="2"/>
  <c r="BH10"/>
  <c r="L9"/>
  <c r="AR13"/>
  <c r="AQ13"/>
  <c r="BW13"/>
  <c r="W11"/>
  <c r="V11" i="10" s="1"/>
  <c r="C12" i="2"/>
  <c r="P9"/>
  <c r="O9" i="10" s="1"/>
  <c r="BR12" i="2"/>
  <c r="BQ12"/>
  <c r="BO13"/>
  <c r="BP13" s="1"/>
  <c r="AY14"/>
  <c r="AZ14" s="1"/>
  <c r="AW15"/>
  <c r="AY15" s="1"/>
  <c r="AZ15" s="1"/>
  <c r="N9"/>
  <c r="M9" i="10" s="1"/>
  <c r="AV16" i="2"/>
  <c r="AX16" s="1"/>
  <c r="Q9" l="1"/>
  <c r="P9" i="10" s="1"/>
  <c r="K9"/>
  <c r="AD9" i="2"/>
  <c r="Z9" i="10" s="1"/>
  <c r="Y9"/>
  <c r="AF8" i="2"/>
  <c r="J9"/>
  <c r="AR14"/>
  <c r="AQ14"/>
  <c r="AR15"/>
  <c r="AQ15"/>
  <c r="AA11"/>
  <c r="BW14"/>
  <c r="BW15"/>
  <c r="BR13"/>
  <c r="BQ13"/>
  <c r="BO15"/>
  <c r="BO14"/>
  <c r="BP14" s="1"/>
  <c r="C13"/>
  <c r="AW16"/>
  <c r="AY16" s="1"/>
  <c r="AZ16" s="1"/>
  <c r="C14"/>
  <c r="AV17"/>
  <c r="AX17" s="1"/>
  <c r="I9" i="10" l="1"/>
  <c r="M9" i="2"/>
  <c r="BM9"/>
  <c r="AE8" i="10"/>
  <c r="AC11"/>
  <c r="T9" i="2"/>
  <c r="S9" i="10" s="1"/>
  <c r="O9" i="2"/>
  <c r="N9" i="10" s="1"/>
  <c r="AR16" i="2"/>
  <c r="AQ16"/>
  <c r="BW16"/>
  <c r="BR14"/>
  <c r="BQ14"/>
  <c r="W13"/>
  <c r="V13" i="10" s="1"/>
  <c r="BO16" i="2"/>
  <c r="BJ9"/>
  <c r="S8" s="1"/>
  <c r="AW17"/>
  <c r="AY17" s="1"/>
  <c r="AZ17" s="1"/>
  <c r="C15"/>
  <c r="AV18"/>
  <c r="AX18" s="1"/>
  <c r="L9" i="10" l="1"/>
  <c r="Q9"/>
  <c r="U8" i="2"/>
  <c r="R8" i="10"/>
  <c r="R9" i="2"/>
  <c r="AR17"/>
  <c r="AQ17"/>
  <c r="AA13"/>
  <c r="BW17"/>
  <c r="BO17"/>
  <c r="AW18"/>
  <c r="W15"/>
  <c r="V15" i="10" s="1"/>
  <c r="AV19" i="2"/>
  <c r="AX19" s="1"/>
  <c r="T8" i="10" l="1"/>
  <c r="AG8" i="2"/>
  <c r="AF8" i="10" s="1"/>
  <c r="AG8" s="1"/>
  <c r="AC13"/>
  <c r="AF9" i="2"/>
  <c r="AE9" i="10" s="1"/>
  <c r="AA15" i="2"/>
  <c r="BR15"/>
  <c r="BP15"/>
  <c r="AE14" s="1"/>
  <c r="AD14" i="10" s="1"/>
  <c r="BQ15" i="2"/>
  <c r="AY18"/>
  <c r="AZ18" s="1"/>
  <c r="AW19"/>
  <c r="C16"/>
  <c r="AV20"/>
  <c r="AX20" s="1"/>
  <c r="AC15" i="10" l="1"/>
  <c r="BM10" i="2"/>
  <c r="AR18"/>
  <c r="AQ18"/>
  <c r="BW18"/>
  <c r="BQ16"/>
  <c r="BP16"/>
  <c r="BR16"/>
  <c r="BO18"/>
  <c r="C17"/>
  <c r="AY19"/>
  <c r="AZ19" s="1"/>
  <c r="AV21"/>
  <c r="AX21" s="1"/>
  <c r="AW20"/>
  <c r="AY20" s="1"/>
  <c r="AZ20" s="1"/>
  <c r="W16"/>
  <c r="V16" i="10" s="1"/>
  <c r="AR19" i="2" l="1"/>
  <c r="AQ19"/>
  <c r="AR20"/>
  <c r="AQ20"/>
  <c r="AA16"/>
  <c r="BW20"/>
  <c r="BW19"/>
  <c r="C18"/>
  <c r="BP17"/>
  <c r="AE16" s="1"/>
  <c r="AD16" i="10" s="1"/>
  <c r="BQ17" i="2"/>
  <c r="BR17"/>
  <c r="BO20"/>
  <c r="BO19"/>
  <c r="W17"/>
  <c r="V17" i="10" s="1"/>
  <c r="AW21" i="2"/>
  <c r="AY21" s="1"/>
  <c r="AZ21" s="1"/>
  <c r="AV22"/>
  <c r="AX22" s="1"/>
  <c r="C19"/>
  <c r="AC16" i="10" l="1"/>
  <c r="AR21" i="2"/>
  <c r="AQ21"/>
  <c r="AA17"/>
  <c r="BW21"/>
  <c r="BO21"/>
  <c r="BP21" s="1"/>
  <c r="AV23"/>
  <c r="AX23" s="1"/>
  <c r="AW22"/>
  <c r="C20"/>
  <c r="AC17" i="10" l="1"/>
  <c r="AV24" i="2"/>
  <c r="AX24" s="1"/>
  <c r="AW23"/>
  <c r="AY23" s="1"/>
  <c r="AZ23" s="1"/>
  <c r="BR18"/>
  <c r="BQ18"/>
  <c r="AE20"/>
  <c r="AD20" i="10" s="1"/>
  <c r="BR21" i="2"/>
  <c r="BQ21"/>
  <c r="AY22"/>
  <c r="AZ22" s="1"/>
  <c r="W20"/>
  <c r="V20" i="10" s="1"/>
  <c r="AR23" i="2" l="1"/>
  <c r="AQ23"/>
  <c r="AR22"/>
  <c r="AQ22"/>
  <c r="AA20"/>
  <c r="BW23"/>
  <c r="BW22"/>
  <c r="AV25"/>
  <c r="AX25" s="1"/>
  <c r="AW24"/>
  <c r="BO23"/>
  <c r="BR19"/>
  <c r="BQ19"/>
  <c r="BO22"/>
  <c r="BP22" s="1"/>
  <c r="C21"/>
  <c r="C22"/>
  <c r="AC20" i="10" l="1"/>
  <c r="AV26" i="2"/>
  <c r="AX26" s="1"/>
  <c r="AW25"/>
  <c r="AY25" s="1"/>
  <c r="AZ25" s="1"/>
  <c r="BR23"/>
  <c r="BP23"/>
  <c r="BQ23"/>
  <c r="BQ20"/>
  <c r="BR20"/>
  <c r="W21"/>
  <c r="V21" i="10" s="1"/>
  <c r="AE21" i="2"/>
  <c r="AD21" i="10" s="1"/>
  <c r="BR22" i="2"/>
  <c r="BQ22"/>
  <c r="W22"/>
  <c r="V22" i="10" s="1"/>
  <c r="AR25" i="2" l="1"/>
  <c r="AQ25"/>
  <c r="AA22"/>
  <c r="AA21"/>
  <c r="BW25"/>
  <c r="BO25"/>
  <c r="BP25" s="1"/>
  <c r="AV27"/>
  <c r="AX27" s="1"/>
  <c r="AW26"/>
  <c r="AY26" s="1"/>
  <c r="AZ26" s="1"/>
  <c r="AE22"/>
  <c r="AD22" i="10" s="1"/>
  <c r="C24" i="2"/>
  <c r="AC21" i="10" l="1"/>
  <c r="AC22"/>
  <c r="AR26" i="2"/>
  <c r="AQ26"/>
  <c r="BR25"/>
  <c r="BQ25"/>
  <c r="BW26"/>
  <c r="BO26"/>
  <c r="BP26" s="1"/>
  <c r="AV28"/>
  <c r="AX28" s="1"/>
  <c r="AW27"/>
  <c r="W24"/>
  <c r="V24" i="10" s="1"/>
  <c r="C25" i="2"/>
  <c r="AA24" l="1"/>
  <c r="BR26"/>
  <c r="BQ26"/>
  <c r="AW28"/>
  <c r="AY28" s="1"/>
  <c r="AZ28" s="1"/>
  <c r="AV29"/>
  <c r="AX29" s="1"/>
  <c r="W25"/>
  <c r="V25" i="10" s="1"/>
  <c r="AC24" l="1"/>
  <c r="AR28" i="2"/>
  <c r="AQ28"/>
  <c r="AV30"/>
  <c r="AX30" s="1"/>
  <c r="AA25"/>
  <c r="BW28"/>
  <c r="AW29"/>
  <c r="AY29" s="1"/>
  <c r="AZ29" s="1"/>
  <c r="BO28"/>
  <c r="AE24"/>
  <c r="AD24" i="10" s="1"/>
  <c r="AW30" i="2"/>
  <c r="AY30" s="1"/>
  <c r="AZ30" s="1"/>
  <c r="C27"/>
  <c r="AV31"/>
  <c r="AX31" s="1"/>
  <c r="AC25" i="10" l="1"/>
  <c r="AR30" i="2"/>
  <c r="AQ30"/>
  <c r="AR29"/>
  <c r="AQ29"/>
  <c r="BW30"/>
  <c r="BW29"/>
  <c r="C28"/>
  <c r="BO29"/>
  <c r="AE25"/>
  <c r="AD25" i="10" s="1"/>
  <c r="BO30" i="2"/>
  <c r="BP30" s="1"/>
  <c r="AW31"/>
  <c r="AY31" s="1"/>
  <c r="AZ31" s="1"/>
  <c r="W27"/>
  <c r="V27" i="10" s="1"/>
  <c r="C29" i="2"/>
  <c r="AV32"/>
  <c r="AX32" s="1"/>
  <c r="W28" l="1"/>
  <c r="V28" i="10" s="1"/>
  <c r="AR31" i="2"/>
  <c r="AQ31"/>
  <c r="AA27"/>
  <c r="BW31"/>
  <c r="BR30"/>
  <c r="BQ30"/>
  <c r="BO31"/>
  <c r="BP31" s="1"/>
  <c r="AW32"/>
  <c r="AY32" s="1"/>
  <c r="AZ32" s="1"/>
  <c r="C30"/>
  <c r="AV33"/>
  <c r="AX33" s="1"/>
  <c r="AC27" i="10" l="1"/>
  <c r="AR32" i="2"/>
  <c r="AQ32"/>
  <c r="AA29"/>
  <c r="AA28"/>
  <c r="BW32"/>
  <c r="AE30"/>
  <c r="AD30" i="10" s="1"/>
  <c r="BO32" i="2"/>
  <c r="BP32" s="1"/>
  <c r="BR31"/>
  <c r="BQ31"/>
  <c r="AW33"/>
  <c r="AY33" s="1"/>
  <c r="AZ33" s="1"/>
  <c r="W30"/>
  <c r="V30" i="10" s="1"/>
  <c r="C31" i="2"/>
  <c r="AV34"/>
  <c r="AX34" s="1"/>
  <c r="AC29" i="10" l="1"/>
  <c r="AC28"/>
  <c r="AR33" i="2"/>
  <c r="AQ33"/>
  <c r="AA30"/>
  <c r="BW33"/>
  <c r="AE31"/>
  <c r="AD31" i="10" s="1"/>
  <c r="BO33" i="2"/>
  <c r="BP33" s="1"/>
  <c r="BR32"/>
  <c r="BQ32"/>
  <c r="AW34"/>
  <c r="AY34" s="1"/>
  <c r="AZ34" s="1"/>
  <c r="W31"/>
  <c r="V31" i="10" s="1"/>
  <c r="C32" i="2"/>
  <c r="AV35"/>
  <c r="AX35" s="1"/>
  <c r="AC30" i="10" l="1"/>
  <c r="AR34" i="2"/>
  <c r="AQ34"/>
  <c r="AA31"/>
  <c r="BW34"/>
  <c r="BO34"/>
  <c r="BP34" s="1"/>
  <c r="BR33"/>
  <c r="BQ33"/>
  <c r="AE32"/>
  <c r="AD32" i="10" s="1"/>
  <c r="AW35" i="2"/>
  <c r="AY35" s="1"/>
  <c r="AZ35" s="1"/>
  <c r="W32"/>
  <c r="V32" i="10" s="1"/>
  <c r="C33" i="2"/>
  <c r="AV36"/>
  <c r="AX36" s="1"/>
  <c r="AC31" i="10" l="1"/>
  <c r="AR35" i="2"/>
  <c r="AQ35"/>
  <c r="AA32"/>
  <c r="BW35"/>
  <c r="BR34"/>
  <c r="BQ34"/>
  <c r="AE33"/>
  <c r="AD33" i="10" s="1"/>
  <c r="BO35" i="2"/>
  <c r="BP35" s="1"/>
  <c r="AW36"/>
  <c r="AY36" s="1"/>
  <c r="AZ36" s="1"/>
  <c r="W33"/>
  <c r="V33" i="10" s="1"/>
  <c r="C34" i="2"/>
  <c r="AV37"/>
  <c r="AX37" s="1"/>
  <c r="AC32" i="10" l="1"/>
  <c r="AR36" i="2"/>
  <c r="AQ36"/>
  <c r="AA33"/>
  <c r="BW36"/>
  <c r="AE34"/>
  <c r="AD34" i="10" s="1"/>
  <c r="BR35" i="2"/>
  <c r="BQ35"/>
  <c r="BO36"/>
  <c r="AW37"/>
  <c r="AY37" s="1"/>
  <c r="AZ37" s="1"/>
  <c r="W34"/>
  <c r="V34" i="10" s="1"/>
  <c r="C35" i="2"/>
  <c r="AV38"/>
  <c r="AX38" s="1"/>
  <c r="AC33" i="10" l="1"/>
  <c r="AR37" i="2"/>
  <c r="AQ37"/>
  <c r="AA34"/>
  <c r="BW37"/>
  <c r="BO37"/>
  <c r="AW38"/>
  <c r="AY38" s="1"/>
  <c r="AZ38" s="1"/>
  <c r="C36"/>
  <c r="AV39"/>
  <c r="AX39" s="1"/>
  <c r="AC34" i="10" l="1"/>
  <c r="AR38" i="2"/>
  <c r="AQ38"/>
  <c r="BW38"/>
  <c r="BO38"/>
  <c r="AW39"/>
  <c r="AY39" s="1"/>
  <c r="AZ39" s="1"/>
  <c r="W36"/>
  <c r="V36" i="10" s="1"/>
  <c r="C37" i="2"/>
  <c r="AV40"/>
  <c r="AX40" s="1"/>
  <c r="AR39" l="1"/>
  <c r="AQ39"/>
  <c r="AA36"/>
  <c r="BW39"/>
  <c r="BO39"/>
  <c r="BP39" s="1"/>
  <c r="AW40"/>
  <c r="AY40" s="1"/>
  <c r="AZ40" s="1"/>
  <c r="W37"/>
  <c r="V37" i="10" s="1"/>
  <c r="C38" i="2"/>
  <c r="AV41"/>
  <c r="AX41" s="1"/>
  <c r="AC36" i="10" l="1"/>
  <c r="AR40" i="2"/>
  <c r="AQ40"/>
  <c r="AA37"/>
  <c r="BW40"/>
  <c r="BO40"/>
  <c r="BP40" s="1"/>
  <c r="AE38"/>
  <c r="AD38" i="10" s="1"/>
  <c r="BR39" i="2"/>
  <c r="BQ39"/>
  <c r="AW41"/>
  <c r="AY41" s="1"/>
  <c r="AZ41" s="1"/>
  <c r="W38"/>
  <c r="V38" i="10" s="1"/>
  <c r="C39" i="2"/>
  <c r="AV42"/>
  <c r="AX42" s="1"/>
  <c r="AC37" i="10" l="1"/>
  <c r="AR41" i="2"/>
  <c r="AQ41"/>
  <c r="AA38"/>
  <c r="BW41"/>
  <c r="AE39"/>
  <c r="AD39" i="10" s="1"/>
  <c r="BO41" i="2"/>
  <c r="BP41" s="1"/>
  <c r="BR40"/>
  <c r="BQ40"/>
  <c r="AW42"/>
  <c r="AY42" s="1"/>
  <c r="AZ42" s="1"/>
  <c r="W39"/>
  <c r="V39" i="10" s="1"/>
  <c r="C40" i="2"/>
  <c r="AV43"/>
  <c r="AX43" s="1"/>
  <c r="AC38" i="10" l="1"/>
  <c r="AR42" i="2"/>
  <c r="AQ42"/>
  <c r="AA39"/>
  <c r="BW42"/>
  <c r="AE40"/>
  <c r="AD40" i="10" s="1"/>
  <c r="BR41" i="2"/>
  <c r="BQ41"/>
  <c r="BO42"/>
  <c r="BP42" s="1"/>
  <c r="AW43"/>
  <c r="AY43" s="1"/>
  <c r="AZ43" s="1"/>
  <c r="W40"/>
  <c r="V40" i="10" s="1"/>
  <c r="C41" i="2"/>
  <c r="AV44"/>
  <c r="AX44" s="1"/>
  <c r="AC39" i="10" l="1"/>
  <c r="AR43" i="2"/>
  <c r="AQ43"/>
  <c r="AA40"/>
  <c r="BW43"/>
  <c r="BO43"/>
  <c r="BP43" s="1"/>
  <c r="AE41"/>
  <c r="AD41" i="10" s="1"/>
  <c r="BR42" i="2"/>
  <c r="BQ42"/>
  <c r="AW44"/>
  <c r="AY44" s="1"/>
  <c r="AZ44" s="1"/>
  <c r="W41"/>
  <c r="V41" i="10" s="1"/>
  <c r="C42" i="2"/>
  <c r="AV45"/>
  <c r="AX45" s="1"/>
  <c r="AC40" i="10" l="1"/>
  <c r="AR44" i="2"/>
  <c r="AQ44"/>
  <c r="AA41"/>
  <c r="BW44"/>
  <c r="AE42"/>
  <c r="AD42" i="10" s="1"/>
  <c r="BO44" i="2"/>
  <c r="BP44" s="1"/>
  <c r="BR43"/>
  <c r="BQ43"/>
  <c r="AW45"/>
  <c r="AY45" s="1"/>
  <c r="AZ45" s="1"/>
  <c r="W42"/>
  <c r="V42" i="10" s="1"/>
  <c r="C43" i="2"/>
  <c r="AV46"/>
  <c r="AX46" s="1"/>
  <c r="AC41" i="10" l="1"/>
  <c r="AR45" i="2"/>
  <c r="AQ45"/>
  <c r="AA42"/>
  <c r="BW45"/>
  <c r="BO45"/>
  <c r="BP45" s="1"/>
  <c r="AE43"/>
  <c r="AD43" i="10" s="1"/>
  <c r="BR44" i="2"/>
  <c r="BQ44"/>
  <c r="AW46"/>
  <c r="AY46" s="1"/>
  <c r="AZ46" s="1"/>
  <c r="W43"/>
  <c r="V43" i="10" s="1"/>
  <c r="C44" i="2"/>
  <c r="AV47"/>
  <c r="AX47" s="1"/>
  <c r="AC42" i="10" l="1"/>
  <c r="AR46" i="2"/>
  <c r="AQ46"/>
  <c r="AA43"/>
  <c r="BW46"/>
  <c r="BO46"/>
  <c r="BP46" s="1"/>
  <c r="BR45"/>
  <c r="BQ45"/>
  <c r="AE44"/>
  <c r="AD44" i="10" s="1"/>
  <c r="AW47" i="2"/>
  <c r="AY47" s="1"/>
  <c r="AZ47" s="1"/>
  <c r="W44"/>
  <c r="V44" i="10" s="1"/>
  <c r="C45" i="2"/>
  <c r="AV48"/>
  <c r="AX48" s="1"/>
  <c r="AC43" i="10" l="1"/>
  <c r="AR47" i="2"/>
  <c r="AQ47"/>
  <c r="AA44"/>
  <c r="BW47"/>
  <c r="BO47"/>
  <c r="BP47" s="1"/>
  <c r="AE45"/>
  <c r="AD45" i="10" s="1"/>
  <c r="BR46" i="2"/>
  <c r="BQ46"/>
  <c r="AW48"/>
  <c r="AY48" s="1"/>
  <c r="AZ48" s="1"/>
  <c r="W45"/>
  <c r="V45" i="10" s="1"/>
  <c r="C46" i="2"/>
  <c r="AV49"/>
  <c r="AX49" s="1"/>
  <c r="AC44" i="10" l="1"/>
  <c r="AR48" i="2"/>
  <c r="AQ48"/>
  <c r="AA45"/>
  <c r="BW48"/>
  <c r="AE46"/>
  <c r="AD46" i="10" s="1"/>
  <c r="BR47" i="2"/>
  <c r="BQ47"/>
  <c r="BO48"/>
  <c r="BP48" s="1"/>
  <c r="AW49"/>
  <c r="AY49" s="1"/>
  <c r="AZ49" s="1"/>
  <c r="W46"/>
  <c r="V46" i="10" s="1"/>
  <c r="C47" i="2"/>
  <c r="AV50"/>
  <c r="AX50" s="1"/>
  <c r="AC45" i="10" l="1"/>
  <c r="AR49" i="2"/>
  <c r="AQ49"/>
  <c r="AA46"/>
  <c r="BW49"/>
  <c r="BO49"/>
  <c r="BP49" s="1"/>
  <c r="BR48"/>
  <c r="BQ48"/>
  <c r="AE47"/>
  <c r="AD47" i="10" s="1"/>
  <c r="AW50" i="2"/>
  <c r="AY50" s="1"/>
  <c r="AZ50" s="1"/>
  <c r="W47"/>
  <c r="V47" i="10" s="1"/>
  <c r="C48" i="2"/>
  <c r="AV51"/>
  <c r="AX51" s="1"/>
  <c r="AC46" i="10" l="1"/>
  <c r="AR50" i="2"/>
  <c r="AQ50"/>
  <c r="AA47"/>
  <c r="BW50"/>
  <c r="BO50"/>
  <c r="BP50" s="1"/>
  <c r="AE48"/>
  <c r="AD48" i="10" s="1"/>
  <c r="BR49" i="2"/>
  <c r="BQ49"/>
  <c r="AW51"/>
  <c r="AY51" s="1"/>
  <c r="AZ51" s="1"/>
  <c r="W48"/>
  <c r="V48" i="10" s="1"/>
  <c r="C49" i="2"/>
  <c r="AV52"/>
  <c r="AX52" s="1"/>
  <c r="AC47" i="10" l="1"/>
  <c r="AR51" i="2"/>
  <c r="AQ51"/>
  <c r="AA48"/>
  <c r="BW51"/>
  <c r="AE49"/>
  <c r="AD49" i="10" s="1"/>
  <c r="BR50" i="2"/>
  <c r="BQ50"/>
  <c r="BO51"/>
  <c r="BP51" s="1"/>
  <c r="AW52"/>
  <c r="AY52" s="1"/>
  <c r="AZ52" s="1"/>
  <c r="W49"/>
  <c r="V49" i="10" s="1"/>
  <c r="C50" i="2"/>
  <c r="AV53"/>
  <c r="AX53" s="1"/>
  <c r="AC48" i="10" l="1"/>
  <c r="AR52" i="2"/>
  <c r="AQ52"/>
  <c r="AA49"/>
  <c r="BW52"/>
  <c r="AE50"/>
  <c r="AD50" i="10" s="1"/>
  <c r="BR51" i="2"/>
  <c r="BQ51"/>
  <c r="BO52"/>
  <c r="BP52" s="1"/>
  <c r="AW53"/>
  <c r="AY53" s="1"/>
  <c r="AZ53" s="1"/>
  <c r="W50"/>
  <c r="V50" i="10" s="1"/>
  <c r="C51" i="2"/>
  <c r="AV54"/>
  <c r="AX54" s="1"/>
  <c r="AC49" i="10" l="1"/>
  <c r="AR53" i="2"/>
  <c r="AQ53"/>
  <c r="AA50"/>
  <c r="BW53"/>
  <c r="BR52"/>
  <c r="BQ52"/>
  <c r="BO53"/>
  <c r="BP53" s="1"/>
  <c r="AE51"/>
  <c r="AD51" i="10" s="1"/>
  <c r="AW54" i="2"/>
  <c r="AY54" s="1"/>
  <c r="AZ54" s="1"/>
  <c r="W51"/>
  <c r="V51" i="10" s="1"/>
  <c r="C52" i="2"/>
  <c r="AV55"/>
  <c r="AX55" s="1"/>
  <c r="AC50" i="10" l="1"/>
  <c r="AR54" i="2"/>
  <c r="AQ54"/>
  <c r="AA51"/>
  <c r="BW54"/>
  <c r="BO54"/>
  <c r="BP54" s="1"/>
  <c r="AE52"/>
  <c r="AD52" i="10" s="1"/>
  <c r="BR53" i="2"/>
  <c r="BQ53"/>
  <c r="AW55"/>
  <c r="AY55" s="1"/>
  <c r="AZ55" s="1"/>
  <c r="W52"/>
  <c r="V52" i="10" s="1"/>
  <c r="C53" i="2"/>
  <c r="AV56"/>
  <c r="AX56" s="1"/>
  <c r="AC51" i="10" l="1"/>
  <c r="AR55" i="2"/>
  <c r="AQ55"/>
  <c r="AA52"/>
  <c r="BW55"/>
  <c r="BO55"/>
  <c r="BP55" s="1"/>
  <c r="AE53"/>
  <c r="AD53" i="10" s="1"/>
  <c r="BR54" i="2"/>
  <c r="BQ54"/>
  <c r="AW56"/>
  <c r="AY56" s="1"/>
  <c r="AZ56" s="1"/>
  <c r="W53"/>
  <c r="V53" i="10" s="1"/>
  <c r="C54" i="2"/>
  <c r="AV57"/>
  <c r="AX57" s="1"/>
  <c r="AC52" i="10" l="1"/>
  <c r="AR56" i="2"/>
  <c r="AQ56"/>
  <c r="AA53"/>
  <c r="BW56"/>
  <c r="AE54"/>
  <c r="AD54" i="10" s="1"/>
  <c r="BO56" i="2"/>
  <c r="BP56" s="1"/>
  <c r="BR55"/>
  <c r="BQ55"/>
  <c r="AW57"/>
  <c r="AY57" s="1"/>
  <c r="AZ57" s="1"/>
  <c r="W54"/>
  <c r="V54" i="10" s="1"/>
  <c r="C55" i="2"/>
  <c r="AV58"/>
  <c r="AX58" s="1"/>
  <c r="AC53" i="10" l="1"/>
  <c r="AR57" i="2"/>
  <c r="AQ57"/>
  <c r="AA54"/>
  <c r="BW57"/>
  <c r="AE55"/>
  <c r="AD55" i="10" s="1"/>
  <c r="BR56" i="2"/>
  <c r="BQ56"/>
  <c r="BO57"/>
  <c r="BP57" s="1"/>
  <c r="AW58"/>
  <c r="AY58" s="1"/>
  <c r="AZ58" s="1"/>
  <c r="W55"/>
  <c r="V55" i="10" s="1"/>
  <c r="C56" i="2"/>
  <c r="AV59"/>
  <c r="AX59" s="1"/>
  <c r="AC54" i="10" l="1"/>
  <c r="AR58" i="2"/>
  <c r="AQ58"/>
  <c r="AA55"/>
  <c r="BW58"/>
  <c r="BO58"/>
  <c r="BP58" s="1"/>
  <c r="BR57"/>
  <c r="BQ57"/>
  <c r="AW59"/>
  <c r="AY59" s="1"/>
  <c r="AZ59" s="1"/>
  <c r="W56"/>
  <c r="V56" i="10" s="1"/>
  <c r="C57" i="2"/>
  <c r="AV60"/>
  <c r="AX60" s="1"/>
  <c r="AC55" i="10" l="1"/>
  <c r="AR59" i="2"/>
  <c r="AQ59"/>
  <c r="AA56"/>
  <c r="BW59"/>
  <c r="BO59"/>
  <c r="BP59" s="1"/>
  <c r="AE57"/>
  <c r="AD57" i="10" s="1"/>
  <c r="BR58" i="2"/>
  <c r="BQ58"/>
  <c r="AW60"/>
  <c r="AY60" s="1"/>
  <c r="AZ60" s="1"/>
  <c r="W57"/>
  <c r="V57" i="10" s="1"/>
  <c r="C58" i="2"/>
  <c r="AV61"/>
  <c r="AX61" s="1"/>
  <c r="AC56" i="10" l="1"/>
  <c r="AR60" i="2"/>
  <c r="AQ60"/>
  <c r="AA57"/>
  <c r="BW60"/>
  <c r="BO60"/>
  <c r="BP60" s="1"/>
  <c r="AE58"/>
  <c r="AD58" i="10" s="1"/>
  <c r="BR59" i="2"/>
  <c r="BQ59"/>
  <c r="AW61"/>
  <c r="AY61" s="1"/>
  <c r="AZ61" s="1"/>
  <c r="W58"/>
  <c r="V58" i="10" s="1"/>
  <c r="C59" i="2"/>
  <c r="AV62"/>
  <c r="AX62" s="1"/>
  <c r="AC57" i="10" l="1"/>
  <c r="AR61" i="2"/>
  <c r="AQ61"/>
  <c r="AA58"/>
  <c r="BW61"/>
  <c r="BO61"/>
  <c r="BP61" s="1"/>
  <c r="AE59"/>
  <c r="AD59" i="10" s="1"/>
  <c r="BR60" i="2"/>
  <c r="BQ60"/>
  <c r="AW62"/>
  <c r="AY62" s="1"/>
  <c r="AZ62" s="1"/>
  <c r="W59"/>
  <c r="V59" i="10" s="1"/>
  <c r="C60" i="2"/>
  <c r="AV63"/>
  <c r="AX63" s="1"/>
  <c r="AC58" i="10" l="1"/>
  <c r="AR62" i="2"/>
  <c r="AQ62"/>
  <c r="AA59"/>
  <c r="BW62"/>
  <c r="BO62"/>
  <c r="BP62" s="1"/>
  <c r="AE60"/>
  <c r="AD60" i="10" s="1"/>
  <c r="BR61" i="2"/>
  <c r="BQ61"/>
  <c r="AW63"/>
  <c r="W60"/>
  <c r="V60" i="10" s="1"/>
  <c r="C61" i="2"/>
  <c r="AV64"/>
  <c r="AX64" s="1"/>
  <c r="AC59" i="10" l="1"/>
  <c r="AA60" i="2"/>
  <c r="AE61"/>
  <c r="AD61" i="10" s="1"/>
  <c r="BR62" i="2"/>
  <c r="BQ62"/>
  <c r="AY63"/>
  <c r="AZ63" s="1"/>
  <c r="AW64"/>
  <c r="AY64" s="1"/>
  <c r="AZ64" s="1"/>
  <c r="W61"/>
  <c r="V61" i="10" s="1"/>
  <c r="AV65" i="2"/>
  <c r="AX65" s="1"/>
  <c r="AC60" i="10" l="1"/>
  <c r="AR63" i="2"/>
  <c r="AQ63"/>
  <c r="AR64"/>
  <c r="AQ64"/>
  <c r="AA61"/>
  <c r="BW64"/>
  <c r="BW63"/>
  <c r="BO63"/>
  <c r="BO64"/>
  <c r="C62"/>
  <c r="AW65"/>
  <c r="AY65" s="1"/>
  <c r="AZ65" s="1"/>
  <c r="C63"/>
  <c r="AV66"/>
  <c r="AX66" s="1"/>
  <c r="AC61" i="10" l="1"/>
  <c r="AR65" i="2"/>
  <c r="AQ65"/>
  <c r="BW65"/>
  <c r="BX63"/>
  <c r="BO65"/>
  <c r="W62"/>
  <c r="V62" i="10" s="1"/>
  <c r="AW66" i="2"/>
  <c r="W63"/>
  <c r="V63" i="10" s="1"/>
  <c r="AV67" i="2"/>
  <c r="AX67" s="1"/>
  <c r="C64"/>
  <c r="AA63" l="1"/>
  <c r="AA62"/>
  <c r="AY66"/>
  <c r="AZ66" s="1"/>
  <c r="AW67"/>
  <c r="AV68"/>
  <c r="AX68" s="1"/>
  <c r="AC63" i="10" l="1"/>
  <c r="AC62"/>
  <c r="AR66" i="2"/>
  <c r="AQ66"/>
  <c r="BW66"/>
  <c r="C65"/>
  <c r="BO66"/>
  <c r="BP66" s="1"/>
  <c r="AY67"/>
  <c r="AZ67" s="1"/>
  <c r="AW68"/>
  <c r="AY68" s="1"/>
  <c r="AZ68" s="1"/>
  <c r="AV69"/>
  <c r="AX69" s="1"/>
  <c r="AC65" l="1"/>
  <c r="AB65"/>
  <c r="AR67"/>
  <c r="AQ67"/>
  <c r="AR68"/>
  <c r="AQ68"/>
  <c r="W65"/>
  <c r="BW68"/>
  <c r="BW67"/>
  <c r="AE65"/>
  <c r="BO67"/>
  <c r="BP67" s="1"/>
  <c r="BO68"/>
  <c r="BP68" s="1"/>
  <c r="BR66"/>
  <c r="BQ66"/>
  <c r="C66"/>
  <c r="C67"/>
  <c r="AW69"/>
  <c r="AV70"/>
  <c r="AX70" s="1"/>
  <c r="AC66" l="1"/>
  <c r="AB66"/>
  <c r="AC67"/>
  <c r="AB67"/>
  <c r="AA65"/>
  <c r="AE67"/>
  <c r="BR67"/>
  <c r="BQ67"/>
  <c r="AE66"/>
  <c r="BR68"/>
  <c r="BQ68"/>
  <c r="W66"/>
  <c r="AY69"/>
  <c r="AZ69" s="1"/>
  <c r="AW70"/>
  <c r="AV71"/>
  <c r="AX71" s="1"/>
  <c r="W67"/>
  <c r="AR69" l="1"/>
  <c r="AQ69"/>
  <c r="AY70"/>
  <c r="AZ70" s="1"/>
  <c r="AA67"/>
  <c r="AA66"/>
  <c r="BW69"/>
  <c r="C68"/>
  <c r="BO69"/>
  <c r="BP69" s="1"/>
  <c r="AW71"/>
  <c r="AV72"/>
  <c r="AX72" s="1"/>
  <c r="AC68" l="1"/>
  <c r="AB68"/>
  <c r="AR70"/>
  <c r="AQ70"/>
  <c r="BW70"/>
  <c r="BO70"/>
  <c r="BP70" s="1"/>
  <c r="C69"/>
  <c r="AY71"/>
  <c r="AZ71" s="1"/>
  <c r="W68"/>
  <c r="V68"/>
  <c r="AY24"/>
  <c r="AZ24" s="1"/>
  <c r="AY27"/>
  <c r="AZ27" s="1"/>
  <c r="BR69"/>
  <c r="BQ69"/>
  <c r="AW72"/>
  <c r="W69"/>
  <c r="AV73"/>
  <c r="AX73" s="1"/>
  <c r="AC69" l="1"/>
  <c r="AB69"/>
  <c r="AR71"/>
  <c r="AQ71"/>
  <c r="AR27"/>
  <c r="AQ27"/>
  <c r="AR24"/>
  <c r="AQ24"/>
  <c r="BQ70"/>
  <c r="BR70"/>
  <c r="V69"/>
  <c r="C70"/>
  <c r="BW71"/>
  <c r="AY72"/>
  <c r="AZ72" s="1"/>
  <c r="BO71"/>
  <c r="BP71" s="1"/>
  <c r="AA68"/>
  <c r="X68"/>
  <c r="BW27"/>
  <c r="BW24"/>
  <c r="BO24"/>
  <c r="BP24" s="1"/>
  <c r="C10"/>
  <c r="BA11"/>
  <c r="BO11"/>
  <c r="BF11"/>
  <c r="C23"/>
  <c r="BO27"/>
  <c r="C26"/>
  <c r="AE68"/>
  <c r="AE69"/>
  <c r="X69"/>
  <c r="AW73"/>
  <c r="AY73" s="1"/>
  <c r="AZ73" s="1"/>
  <c r="AV74"/>
  <c r="AX74" s="1"/>
  <c r="AB70" l="1"/>
  <c r="AC70"/>
  <c r="BN10"/>
  <c r="BN11" s="1"/>
  <c r="BF12"/>
  <c r="BI12" s="1"/>
  <c r="BG11"/>
  <c r="BH11" s="1"/>
  <c r="J10" s="1"/>
  <c r="I10" i="10" s="1"/>
  <c r="BB11" i="2"/>
  <c r="BC11" s="1"/>
  <c r="E10" s="1"/>
  <c r="BR71"/>
  <c r="AR72"/>
  <c r="AQ72"/>
  <c r="AR73"/>
  <c r="AQ73"/>
  <c r="W70"/>
  <c r="V70"/>
  <c r="AA69"/>
  <c r="BQ71"/>
  <c r="BW72"/>
  <c r="BO72"/>
  <c r="BP72" s="1"/>
  <c r="C71"/>
  <c r="BR24"/>
  <c r="BQ24"/>
  <c r="BW73"/>
  <c r="BI11"/>
  <c r="K10" s="1"/>
  <c r="W23"/>
  <c r="V23" i="10" s="1"/>
  <c r="BD11" i="2"/>
  <c r="F10" s="1"/>
  <c r="BA12"/>
  <c r="BP11"/>
  <c r="AE10" s="1"/>
  <c r="AD10" i="10" s="1"/>
  <c r="BR11" i="2"/>
  <c r="BQ11"/>
  <c r="V10"/>
  <c r="W10"/>
  <c r="V10" i="10" s="1"/>
  <c r="A10" i="2"/>
  <c r="B10" s="1"/>
  <c r="D10"/>
  <c r="I10"/>
  <c r="W26"/>
  <c r="V26" i="10" s="1"/>
  <c r="BO73" i="2"/>
  <c r="BP73" s="1"/>
  <c r="AE70"/>
  <c r="AW74"/>
  <c r="C72"/>
  <c r="AV75"/>
  <c r="AX75" s="1"/>
  <c r="D10" i="10" l="1"/>
  <c r="AB10" i="2"/>
  <c r="X10" i="10" s="1"/>
  <c r="E10"/>
  <c r="C10"/>
  <c r="BF13" i="2"/>
  <c r="AC10"/>
  <c r="Y10" i="10" s="1"/>
  <c r="H10"/>
  <c r="V11" i="2"/>
  <c r="U11" i="10" s="1"/>
  <c r="U10"/>
  <c r="J10"/>
  <c r="AB72" i="2"/>
  <c r="AC72"/>
  <c r="AC71"/>
  <c r="AB71"/>
  <c r="L10"/>
  <c r="K10" i="10" s="1"/>
  <c r="G10" i="2"/>
  <c r="H10" s="1"/>
  <c r="BG13"/>
  <c r="BG12"/>
  <c r="BB12"/>
  <c r="BR72"/>
  <c r="AA70"/>
  <c r="AE71"/>
  <c r="X70"/>
  <c r="BQ72"/>
  <c r="AA23"/>
  <c r="AA26"/>
  <c r="W12"/>
  <c r="V12" i="10" s="1"/>
  <c r="BJ10" i="2"/>
  <c r="S9" s="1"/>
  <c r="R9" i="10" s="1"/>
  <c r="AA10" i="2"/>
  <c r="BF14"/>
  <c r="BI13"/>
  <c r="O10"/>
  <c r="N10" i="10" s="1"/>
  <c r="AE11" i="2"/>
  <c r="T10"/>
  <c r="S10" i="10" s="1"/>
  <c r="D11" i="2"/>
  <c r="I11"/>
  <c r="H11" i="10" s="1"/>
  <c r="P10" i="2"/>
  <c r="O10" i="10" s="1"/>
  <c r="K11" i="2"/>
  <c r="J11" i="10" s="1"/>
  <c r="X10" i="2"/>
  <c r="W10" i="10" s="1"/>
  <c r="N10" i="2"/>
  <c r="M10" i="10" s="1"/>
  <c r="AE13" i="2"/>
  <c r="BD12"/>
  <c r="F11" s="1"/>
  <c r="BA13"/>
  <c r="A10" i="10"/>
  <c r="A11" i="2"/>
  <c r="B11" s="1"/>
  <c r="BN12"/>
  <c r="BN13" s="1"/>
  <c r="BN14" s="1"/>
  <c r="BN15" s="1"/>
  <c r="BN16" s="1"/>
  <c r="BN17" s="1"/>
  <c r="BN18" s="1"/>
  <c r="AE29"/>
  <c r="W29"/>
  <c r="AE72"/>
  <c r="BR73"/>
  <c r="BQ73"/>
  <c r="AY74"/>
  <c r="AW75"/>
  <c r="W72"/>
  <c r="V72"/>
  <c r="AV76"/>
  <c r="AX76" s="1"/>
  <c r="AB11" l="1"/>
  <c r="X11" i="10" s="1"/>
  <c r="E11"/>
  <c r="C11"/>
  <c r="F10"/>
  <c r="V12" i="2"/>
  <c r="U12" i="10" s="1"/>
  <c r="X11" i="2"/>
  <c r="W11" i="10" s="1"/>
  <c r="AD10" i="2"/>
  <c r="Z10" i="10" s="1"/>
  <c r="W71" i="2"/>
  <c r="V29" i="10"/>
  <c r="M10" i="2"/>
  <c r="L10" i="10"/>
  <c r="AD13"/>
  <c r="AC23"/>
  <c r="AC26"/>
  <c r="AD11"/>
  <c r="AC10"/>
  <c r="AD29"/>
  <c r="Q10" i="2"/>
  <c r="P10" i="10" s="1"/>
  <c r="Q10" s="1"/>
  <c r="AC11" i="2"/>
  <c r="BC12"/>
  <c r="E11" s="1"/>
  <c r="G11"/>
  <c r="BH13"/>
  <c r="L12"/>
  <c r="BH12"/>
  <c r="J11" s="1"/>
  <c r="I11" i="10" s="1"/>
  <c r="L11" i="2"/>
  <c r="K11" i="10" s="1"/>
  <c r="I13" i="2"/>
  <c r="BG14"/>
  <c r="BB13"/>
  <c r="AA12"/>
  <c r="AA35"/>
  <c r="W14"/>
  <c r="V14" i="10" s="1"/>
  <c r="W35" i="2"/>
  <c r="V35" i="10" s="1"/>
  <c r="AA71" i="2"/>
  <c r="N11"/>
  <c r="M11" i="10" s="1"/>
  <c r="AA72" i="2"/>
  <c r="BF15"/>
  <c r="BI14"/>
  <c r="K13" s="1"/>
  <c r="J13" i="10" s="1"/>
  <c r="AE12" i="2"/>
  <c r="AD12" i="10" s="1"/>
  <c r="I12" i="2"/>
  <c r="H12" i="10" s="1"/>
  <c r="J12" i="2"/>
  <c r="I12" i="10" s="1"/>
  <c r="K12" i="2"/>
  <c r="J12" i="10" s="1"/>
  <c r="AE15" i="2"/>
  <c r="R10"/>
  <c r="AF10" s="1"/>
  <c r="AE10" i="10" s="1"/>
  <c r="BN19" i="2"/>
  <c r="T11"/>
  <c r="S11" i="10" s="1"/>
  <c r="BP18" i="2"/>
  <c r="AE17" s="1"/>
  <c r="A11" i="10"/>
  <c r="A12" i="2"/>
  <c r="B12" s="1"/>
  <c r="P11"/>
  <c r="O11" i="10" s="1"/>
  <c r="U9" i="2"/>
  <c r="BD13"/>
  <c r="F12" s="1"/>
  <c r="D12"/>
  <c r="BA14"/>
  <c r="AZ74"/>
  <c r="X72"/>
  <c r="AY75"/>
  <c r="AZ75" s="1"/>
  <c r="AW76"/>
  <c r="AV77"/>
  <c r="AX77" s="1"/>
  <c r="H11" l="1"/>
  <c r="K12" i="10"/>
  <c r="AB12" i="2"/>
  <c r="X12" i="10" s="1"/>
  <c r="C12"/>
  <c r="E12"/>
  <c r="D11"/>
  <c r="F11"/>
  <c r="G10"/>
  <c r="V13" i="2"/>
  <c r="X13" s="1"/>
  <c r="W13" i="10" s="1"/>
  <c r="X12" i="2"/>
  <c r="W12" i="10" s="1"/>
  <c r="L11"/>
  <c r="AC13" i="2"/>
  <c r="H13" i="10"/>
  <c r="AD11" i="2"/>
  <c r="Z11" i="10" s="1"/>
  <c r="Y11"/>
  <c r="L12"/>
  <c r="T9"/>
  <c r="AG9" i="2"/>
  <c r="AF9" i="10" s="1"/>
  <c r="AG9" s="1"/>
  <c r="M11" i="2"/>
  <c r="AD17" i="10"/>
  <c r="AC12"/>
  <c r="AC35"/>
  <c r="AD15"/>
  <c r="M12" i="2"/>
  <c r="O11"/>
  <c r="N11" i="10" s="1"/>
  <c r="Q11" i="2"/>
  <c r="P11" i="10" s="1"/>
  <c r="AC12" i="2"/>
  <c r="BH14"/>
  <c r="J13" s="1"/>
  <c r="I13" i="10" s="1"/>
  <c r="L13" i="2"/>
  <c r="BC13"/>
  <c r="E12" s="1"/>
  <c r="H12" s="1"/>
  <c r="G12"/>
  <c r="Q12" s="1"/>
  <c r="P12" i="10" s="1"/>
  <c r="BM11" i="2"/>
  <c r="BG15"/>
  <c r="L14" s="1"/>
  <c r="BB14"/>
  <c r="AR74"/>
  <c r="AQ74"/>
  <c r="AR75"/>
  <c r="AQ75"/>
  <c r="W18"/>
  <c r="V18" i="10" s="1"/>
  <c r="AA14" i="2"/>
  <c r="BW75"/>
  <c r="BW74"/>
  <c r="BI15"/>
  <c r="K14" s="1"/>
  <c r="J14" i="10" s="1"/>
  <c r="BF16" i="2"/>
  <c r="I14"/>
  <c r="T12"/>
  <c r="S12" i="10" s="1"/>
  <c r="BP20" i="2"/>
  <c r="AE19" s="1"/>
  <c r="AD19" i="10" s="1"/>
  <c r="BN20" i="2"/>
  <c r="AE23"/>
  <c r="BA15"/>
  <c r="BD14"/>
  <c r="F13" s="1"/>
  <c r="BJ11"/>
  <c r="S10" s="1"/>
  <c r="R10" i="10" s="1"/>
  <c r="R11" i="2"/>
  <c r="A12" i="10"/>
  <c r="A13" i="2"/>
  <c r="B13" s="1"/>
  <c r="N12"/>
  <c r="M12" i="10" s="1"/>
  <c r="D13" i="2"/>
  <c r="O12"/>
  <c r="N12" i="10" s="1"/>
  <c r="P12" i="2"/>
  <c r="O12" i="10" s="1"/>
  <c r="BO74" i="2"/>
  <c r="BP74" s="1"/>
  <c r="BO75"/>
  <c r="BP75" s="1"/>
  <c r="C73"/>
  <c r="C74"/>
  <c r="AY76"/>
  <c r="AZ76" s="1"/>
  <c r="AW77"/>
  <c r="AV78"/>
  <c r="AX78" s="1"/>
  <c r="Y13" i="10" l="1"/>
  <c r="AB13" i="2"/>
  <c r="C13" i="10"/>
  <c r="E13"/>
  <c r="G11"/>
  <c r="K13"/>
  <c r="L13" s="1"/>
  <c r="D12"/>
  <c r="F12"/>
  <c r="U13"/>
  <c r="V14" i="2"/>
  <c r="U14" i="10" s="1"/>
  <c r="Q12"/>
  <c r="AD12" i="2"/>
  <c r="Z12" i="10" s="1"/>
  <c r="Y12"/>
  <c r="T13" i="2"/>
  <c r="S13" i="10" s="1"/>
  <c r="M13" i="2"/>
  <c r="AC14"/>
  <c r="H14" i="10"/>
  <c r="Q11"/>
  <c r="AD23"/>
  <c r="AC14"/>
  <c r="U10" i="2"/>
  <c r="AC73"/>
  <c r="AB73"/>
  <c r="AC74"/>
  <c r="AB74"/>
  <c r="BH15"/>
  <c r="J14" s="1"/>
  <c r="I14" i="10" s="1"/>
  <c r="BC14" i="2"/>
  <c r="E13" s="1"/>
  <c r="H13" s="1"/>
  <c r="G13"/>
  <c r="Q13" s="1"/>
  <c r="P13" i="10" s="1"/>
  <c r="BG16" i="2"/>
  <c r="BB15"/>
  <c r="AR76"/>
  <c r="AQ76"/>
  <c r="W19"/>
  <c r="AA18"/>
  <c r="AF11"/>
  <c r="AE11" i="10" s="1"/>
  <c r="BW76" i="2"/>
  <c r="BI16"/>
  <c r="K15" s="1"/>
  <c r="J15" i="10" s="1"/>
  <c r="BF17" i="2"/>
  <c r="I15"/>
  <c r="H15" i="10" s="1"/>
  <c r="AE56" i="2"/>
  <c r="BN21"/>
  <c r="BD15"/>
  <c r="F14" s="1"/>
  <c r="D14"/>
  <c r="BA16"/>
  <c r="A13" i="10"/>
  <c r="A14" i="2"/>
  <c r="B14" s="1"/>
  <c r="O13"/>
  <c r="N13" i="10" s="1"/>
  <c r="R12" i="2"/>
  <c r="N13"/>
  <c r="M13" i="10" s="1"/>
  <c r="P13" i="2"/>
  <c r="O13" i="10" s="1"/>
  <c r="BR75" i="2"/>
  <c r="BQ75"/>
  <c r="BO76"/>
  <c r="BP76" s="1"/>
  <c r="V73"/>
  <c r="AE73"/>
  <c r="BR74"/>
  <c r="BQ74"/>
  <c r="W73"/>
  <c r="W74"/>
  <c r="C75"/>
  <c r="AY77"/>
  <c r="AZ77" s="1"/>
  <c r="AW78"/>
  <c r="AV79"/>
  <c r="AX79" s="1"/>
  <c r="Y14" i="10" l="1"/>
  <c r="AD13" i="2"/>
  <c r="Z13" i="10" s="1"/>
  <c r="X13"/>
  <c r="AB14" i="2"/>
  <c r="E14" i="10"/>
  <c r="C14"/>
  <c r="F13"/>
  <c r="D13"/>
  <c r="Q13"/>
  <c r="K14"/>
  <c r="L14" s="1"/>
  <c r="G12"/>
  <c r="V15" i="2"/>
  <c r="X14"/>
  <c r="W14" i="10" s="1"/>
  <c r="M14" i="2"/>
  <c r="W64"/>
  <c r="V19" i="10"/>
  <c r="V92" s="1"/>
  <c r="T10"/>
  <c r="AG10" i="2"/>
  <c r="AF10" i="10" s="1"/>
  <c r="AG10" s="1"/>
  <c r="AD56"/>
  <c r="AC18"/>
  <c r="T14" i="2"/>
  <c r="S14" i="10" s="1"/>
  <c r="AC75" i="2"/>
  <c r="AB75"/>
  <c r="AC15"/>
  <c r="BH16"/>
  <c r="J15" s="1"/>
  <c r="I15" i="10" s="1"/>
  <c r="L15" i="2"/>
  <c r="BC15"/>
  <c r="E14" s="1"/>
  <c r="G14"/>
  <c r="Q14" s="1"/>
  <c r="P14" i="10" s="1"/>
  <c r="BM12" i="2"/>
  <c r="BJ12" s="1"/>
  <c r="S11" s="1"/>
  <c r="R11" i="10" s="1"/>
  <c r="BG17" i="2"/>
  <c r="BB16"/>
  <c r="AR77"/>
  <c r="AQ77"/>
  <c r="AA19"/>
  <c r="AA74"/>
  <c r="AA73"/>
  <c r="BW77"/>
  <c r="BI17"/>
  <c r="K16" s="1"/>
  <c r="J16" i="10" s="1"/>
  <c r="I16" i="2"/>
  <c r="H16" i="10" s="1"/>
  <c r="BF18" i="2"/>
  <c r="BN22"/>
  <c r="N14"/>
  <c r="M14" i="10" s="1"/>
  <c r="BD16" i="2"/>
  <c r="F15" s="1"/>
  <c r="D15"/>
  <c r="BA17"/>
  <c r="P14"/>
  <c r="O14" i="10" s="1"/>
  <c r="A14"/>
  <c r="A15" i="2"/>
  <c r="B15" s="1"/>
  <c r="AF12"/>
  <c r="R13"/>
  <c r="V74"/>
  <c r="X74" s="1"/>
  <c r="AE74"/>
  <c r="BR76"/>
  <c r="BQ76"/>
  <c r="AV80"/>
  <c r="AX80" s="1"/>
  <c r="BO77"/>
  <c r="BP77" s="1"/>
  <c r="X73"/>
  <c r="AE75"/>
  <c r="V75"/>
  <c r="W75"/>
  <c r="C76"/>
  <c r="AY78"/>
  <c r="AZ78" s="1"/>
  <c r="AW79"/>
  <c r="F14" i="10" l="1"/>
  <c r="D14"/>
  <c r="G13"/>
  <c r="AD14" i="2"/>
  <c r="Z14" i="10" s="1"/>
  <c r="X14"/>
  <c r="Y15"/>
  <c r="AB15" i="2"/>
  <c r="X15" i="10" s="1"/>
  <c r="E15"/>
  <c r="C15"/>
  <c r="O14" i="2"/>
  <c r="N14" i="10" s="1"/>
  <c r="Q14" s="1"/>
  <c r="K15"/>
  <c r="L15" s="1"/>
  <c r="H14" i="2"/>
  <c r="U15" i="10"/>
  <c r="V16" i="2"/>
  <c r="X15"/>
  <c r="W15" i="10" s="1"/>
  <c r="T15" i="2"/>
  <c r="S15" i="10" s="1"/>
  <c r="BM13" i="2"/>
  <c r="AE12" i="10"/>
  <c r="M15" i="2"/>
  <c r="AC19" i="10"/>
  <c r="AA64" i="2"/>
  <c r="AC76"/>
  <c r="AB76"/>
  <c r="AC16"/>
  <c r="U11"/>
  <c r="BC16"/>
  <c r="E15" s="1"/>
  <c r="G15"/>
  <c r="Q15" s="1"/>
  <c r="P15" i="10" s="1"/>
  <c r="BH17" i="2"/>
  <c r="J16" s="1"/>
  <c r="I16" i="10" s="1"/>
  <c r="L16" i="2"/>
  <c r="BG18"/>
  <c r="L17" s="1"/>
  <c r="BB17"/>
  <c r="AR78"/>
  <c r="AQ78"/>
  <c r="AA75"/>
  <c r="BW78"/>
  <c r="BI18"/>
  <c r="K17" s="1"/>
  <c r="J17" i="10" s="1"/>
  <c r="BF19" i="2"/>
  <c r="I17"/>
  <c r="BJ18"/>
  <c r="BN23"/>
  <c r="BN24" s="1"/>
  <c r="BJ13"/>
  <c r="S12" s="1"/>
  <c r="R12" i="10" s="1"/>
  <c r="N15" i="2"/>
  <c r="M15" i="10" s="1"/>
  <c r="R14" i="2"/>
  <c r="BD17"/>
  <c r="F16" s="1"/>
  <c r="D16"/>
  <c r="BA18"/>
  <c r="O15"/>
  <c r="N15" i="10" s="1"/>
  <c r="P15" i="2"/>
  <c r="O15" i="10" s="1"/>
  <c r="A15"/>
  <c r="A16" i="2"/>
  <c r="B16" s="1"/>
  <c r="AF13"/>
  <c r="AE13" i="10" s="1"/>
  <c r="BO78" i="2"/>
  <c r="BP78" s="1"/>
  <c r="BR77"/>
  <c r="BQ77"/>
  <c r="C77"/>
  <c r="AV81"/>
  <c r="AX81" s="1"/>
  <c r="X75"/>
  <c r="W76"/>
  <c r="V76"/>
  <c r="AY79"/>
  <c r="AZ79" s="1"/>
  <c r="AW80"/>
  <c r="AY80" s="1"/>
  <c r="AZ80" s="1"/>
  <c r="G14" i="10" l="1"/>
  <c r="Y16"/>
  <c r="AB16" i="2"/>
  <c r="C16" i="10"/>
  <c r="E16"/>
  <c r="K16"/>
  <c r="L16" s="1"/>
  <c r="D15"/>
  <c r="G15" s="1"/>
  <c r="F15"/>
  <c r="H15" i="2"/>
  <c r="R15" s="1"/>
  <c r="AD15"/>
  <c r="Z15" i="10" s="1"/>
  <c r="U16"/>
  <c r="X16" i="2"/>
  <c r="W16" i="10" s="1"/>
  <c r="V17" i="2"/>
  <c r="M16"/>
  <c r="AC17"/>
  <c r="H17" i="10"/>
  <c r="T11"/>
  <c r="AG11" i="2"/>
  <c r="AF11" i="10" s="1"/>
  <c r="AG11" s="1"/>
  <c r="Q15"/>
  <c r="T16" i="2"/>
  <c r="S16" i="10" s="1"/>
  <c r="AB77" i="2"/>
  <c r="AC77"/>
  <c r="BC17"/>
  <c r="E16" s="1"/>
  <c r="H16" s="1"/>
  <c r="G16"/>
  <c r="Q16" s="1"/>
  <c r="P16" i="10" s="1"/>
  <c r="BM14" i="2"/>
  <c r="BH18"/>
  <c r="J17" s="1"/>
  <c r="I17" i="10" s="1"/>
  <c r="BG19" i="2"/>
  <c r="BB18"/>
  <c r="AR79"/>
  <c r="AQ79"/>
  <c r="AR80"/>
  <c r="AQ80"/>
  <c r="AA76"/>
  <c r="BW79"/>
  <c r="BW80"/>
  <c r="BF20"/>
  <c r="BI19"/>
  <c r="K18" s="1"/>
  <c r="J18" i="10" s="1"/>
  <c r="I18" i="2"/>
  <c r="BJ19"/>
  <c r="T17"/>
  <c r="S17" i="10" s="1"/>
  <c r="U12" i="2"/>
  <c r="BN25"/>
  <c r="BD18"/>
  <c r="F17" s="1"/>
  <c r="BA19"/>
  <c r="N16"/>
  <c r="M16" i="10" s="1"/>
  <c r="D17" i="2"/>
  <c r="K17" i="10" s="1"/>
  <c r="AF14" i="2"/>
  <c r="AE14" i="10" s="1"/>
  <c r="BJ14" i="2"/>
  <c r="S13" s="1"/>
  <c r="R13" i="10" s="1"/>
  <c r="P16" i="2"/>
  <c r="O16" i="10" s="1"/>
  <c r="A16"/>
  <c r="A17" i="2"/>
  <c r="B17" s="1"/>
  <c r="BO80"/>
  <c r="BP80" s="1"/>
  <c r="AE77"/>
  <c r="BR78"/>
  <c r="BQ78"/>
  <c r="AV82"/>
  <c r="AX82" s="1"/>
  <c r="BO79"/>
  <c r="BP79" s="1"/>
  <c r="W77"/>
  <c r="V77"/>
  <c r="AW81"/>
  <c r="X76"/>
  <c r="C79"/>
  <c r="C78"/>
  <c r="AH8"/>
  <c r="O16" l="1"/>
  <c r="N16" i="10" s="1"/>
  <c r="AB17" i="2"/>
  <c r="C17" i="10"/>
  <c r="E17"/>
  <c r="D16"/>
  <c r="F16"/>
  <c r="Y17"/>
  <c r="AD16" i="2"/>
  <c r="Z16" i="10" s="1"/>
  <c r="X16"/>
  <c r="U17"/>
  <c r="X17" i="2"/>
  <c r="W17" i="10" s="1"/>
  <c r="V18" i="2"/>
  <c r="T12" i="10"/>
  <c r="AG12" i="2"/>
  <c r="AF12" i="10" s="1"/>
  <c r="AG12" s="1"/>
  <c r="Q16"/>
  <c r="M17" i="2"/>
  <c r="L17" i="10"/>
  <c r="AC18" i="2"/>
  <c r="H18" i="10"/>
  <c r="U13" i="2"/>
  <c r="AC78"/>
  <c r="AB78"/>
  <c r="AB79"/>
  <c r="AC79"/>
  <c r="BC18"/>
  <c r="E17" s="1"/>
  <c r="S17" s="1"/>
  <c r="R17" i="10" s="1"/>
  <c r="G17" i="2"/>
  <c r="Q17" s="1"/>
  <c r="P17" i="10" s="1"/>
  <c r="BM15" i="2"/>
  <c r="BJ15" s="1"/>
  <c r="S14" s="1"/>
  <c r="R14" i="10" s="1"/>
  <c r="BH19" i="2"/>
  <c r="J18" s="1"/>
  <c r="I18" i="10" s="1"/>
  <c r="L18" i="2"/>
  <c r="BG20"/>
  <c r="BB19"/>
  <c r="AH9"/>
  <c r="AH10"/>
  <c r="AA77"/>
  <c r="BI20"/>
  <c r="K19" s="1"/>
  <c r="J19" i="10" s="1"/>
  <c r="BF21" i="2"/>
  <c r="I19"/>
  <c r="BJ20"/>
  <c r="BP19"/>
  <c r="AE18" s="1"/>
  <c r="T18"/>
  <c r="S18" i="10" s="1"/>
  <c r="X77" i="2"/>
  <c r="BN26"/>
  <c r="BN27" s="1"/>
  <c r="BN28" s="1"/>
  <c r="BN29" s="1"/>
  <c r="BN30" s="1"/>
  <c r="BN31" s="1"/>
  <c r="BN32" s="1"/>
  <c r="AH11"/>
  <c r="BD19"/>
  <c r="F18" s="1"/>
  <c r="BA20"/>
  <c r="D18"/>
  <c r="P17"/>
  <c r="O17" i="10" s="1"/>
  <c r="AF15" i="2"/>
  <c r="AE15" i="10" s="1"/>
  <c r="R16" i="2"/>
  <c r="O17"/>
  <c r="N17" i="10" s="1"/>
  <c r="N17" i="2"/>
  <c r="M17" i="10" s="1"/>
  <c r="A17"/>
  <c r="A18" i="2"/>
  <c r="B18" s="1"/>
  <c r="AE78"/>
  <c r="AY82"/>
  <c r="AZ82" s="1"/>
  <c r="AV83"/>
  <c r="AX83" s="1"/>
  <c r="BR79"/>
  <c r="BQ79"/>
  <c r="AE79"/>
  <c r="BR80"/>
  <c r="BQ80"/>
  <c r="AY81"/>
  <c r="AZ81" s="1"/>
  <c r="W78"/>
  <c r="V78"/>
  <c r="W79"/>
  <c r="F17" i="10" l="1"/>
  <c r="D17"/>
  <c r="G17" s="1"/>
  <c r="AD17" i="2"/>
  <c r="Z17" i="10" s="1"/>
  <c r="X17"/>
  <c r="K18"/>
  <c r="Y18"/>
  <c r="H17" i="2"/>
  <c r="AB18"/>
  <c r="X18" i="10" s="1"/>
  <c r="E18"/>
  <c r="C18"/>
  <c r="G16"/>
  <c r="U18"/>
  <c r="X18" i="2"/>
  <c r="W18" i="10" s="1"/>
  <c r="V19" i="2"/>
  <c r="L18" i="10"/>
  <c r="T13"/>
  <c r="AG13" i="2"/>
  <c r="AF13" i="10" s="1"/>
  <c r="AG13" s="1"/>
  <c r="AC19" i="2"/>
  <c r="H19" i="10"/>
  <c r="M18" i="2"/>
  <c r="Q17" i="10"/>
  <c r="AD18"/>
  <c r="BH20" i="2"/>
  <c r="J19" s="1"/>
  <c r="I19" i="10" s="1"/>
  <c r="L19" i="2"/>
  <c r="BC19"/>
  <c r="E18" s="1"/>
  <c r="O18" s="1"/>
  <c r="N18" i="10" s="1"/>
  <c r="G18" i="2"/>
  <c r="Q18" s="1"/>
  <c r="P18" i="10" s="1"/>
  <c r="BM16" i="2"/>
  <c r="BJ16" s="1"/>
  <c r="S15" s="1"/>
  <c r="R15" i="10" s="1"/>
  <c r="BG21" i="2"/>
  <c r="L20" s="1"/>
  <c r="BB20"/>
  <c r="AR82"/>
  <c r="AQ82"/>
  <c r="AR81"/>
  <c r="AQ81"/>
  <c r="U14"/>
  <c r="AA78"/>
  <c r="V79"/>
  <c r="BW82"/>
  <c r="BW81"/>
  <c r="BI21"/>
  <c r="K20" s="1"/>
  <c r="J20" i="10" s="1"/>
  <c r="BF22" i="2"/>
  <c r="I20"/>
  <c r="H20" i="10" s="1"/>
  <c r="BJ21" i="2"/>
  <c r="T19"/>
  <c r="S19" i="10" s="1"/>
  <c r="AH12" i="2"/>
  <c r="C80"/>
  <c r="BN33"/>
  <c r="BA21"/>
  <c r="D19"/>
  <c r="BD20"/>
  <c r="F19" s="1"/>
  <c r="N18"/>
  <c r="M18" i="10" s="1"/>
  <c r="P18" i="2"/>
  <c r="O18" i="10" s="1"/>
  <c r="AF16" i="2"/>
  <c r="R17"/>
  <c r="A18" i="10"/>
  <c r="A19" i="2"/>
  <c r="B19" s="1"/>
  <c r="C81"/>
  <c r="BO82"/>
  <c r="BP82" s="1"/>
  <c r="AV84"/>
  <c r="AX84" s="1"/>
  <c r="AY83"/>
  <c r="AZ83" s="1"/>
  <c r="BO81"/>
  <c r="BP81" s="1"/>
  <c r="X79"/>
  <c r="X78"/>
  <c r="H18" l="1"/>
  <c r="AB19"/>
  <c r="E19" i="10"/>
  <c r="C19"/>
  <c r="K19"/>
  <c r="F18"/>
  <c r="D18"/>
  <c r="Y19"/>
  <c r="AD18" i="2"/>
  <c r="Z18" i="10" s="1"/>
  <c r="U19"/>
  <c r="V20" i="2"/>
  <c r="X19"/>
  <c r="W19" i="10" s="1"/>
  <c r="Q18"/>
  <c r="M19" i="2"/>
  <c r="BM17"/>
  <c r="AE16" i="10"/>
  <c r="T14"/>
  <c r="AG14" i="2"/>
  <c r="AF14" i="10" s="1"/>
  <c r="AG14" s="1"/>
  <c r="L19"/>
  <c r="AH13" i="2"/>
  <c r="AC81"/>
  <c r="AB81"/>
  <c r="AC20"/>
  <c r="AC80"/>
  <c r="AB80"/>
  <c r="U15"/>
  <c r="BH21"/>
  <c r="J20" s="1"/>
  <c r="I20" i="10" s="1"/>
  <c r="BC20" i="2"/>
  <c r="E19" s="1"/>
  <c r="G19"/>
  <c r="Q19" s="1"/>
  <c r="P19" i="10" s="1"/>
  <c r="BJ17" i="2"/>
  <c r="S16" s="1"/>
  <c r="R16" i="10" s="1"/>
  <c r="V80" i="2"/>
  <c r="BG22"/>
  <c r="BB21"/>
  <c r="AR83"/>
  <c r="AQ83"/>
  <c r="W80"/>
  <c r="AA79"/>
  <c r="BW83"/>
  <c r="T20"/>
  <c r="S20" i="10" s="1"/>
  <c r="BF23" i="2"/>
  <c r="I21"/>
  <c r="BI22"/>
  <c r="K21" s="1"/>
  <c r="J21" i="10" s="1"/>
  <c r="BJ22" i="2"/>
  <c r="AE80"/>
  <c r="BN34"/>
  <c r="BN35" s="1"/>
  <c r="BD21"/>
  <c r="F20" s="1"/>
  <c r="D20"/>
  <c r="BA22"/>
  <c r="R18"/>
  <c r="N19"/>
  <c r="M19" i="10" s="1"/>
  <c r="P19" i="2"/>
  <c r="O19" i="10" s="1"/>
  <c r="O19" i="2"/>
  <c r="N19" i="10" s="1"/>
  <c r="AF17" i="2"/>
  <c r="AE17" i="10" s="1"/>
  <c r="A19"/>
  <c r="A20" i="2"/>
  <c r="B20" s="1"/>
  <c r="AE81"/>
  <c r="W81"/>
  <c r="V81"/>
  <c r="AY84"/>
  <c r="AZ84" s="1"/>
  <c r="AV85"/>
  <c r="AX85" s="1"/>
  <c r="C82"/>
  <c r="BO83"/>
  <c r="BP83" s="1"/>
  <c r="BR81"/>
  <c r="BQ81"/>
  <c r="BR82"/>
  <c r="BQ82"/>
  <c r="X80"/>
  <c r="H19" l="1"/>
  <c r="AB20"/>
  <c r="C20" i="10"/>
  <c r="E20"/>
  <c r="Y20"/>
  <c r="K20"/>
  <c r="L20" s="1"/>
  <c r="D19"/>
  <c r="F19"/>
  <c r="AD19" i="2"/>
  <c r="Z19" i="10" s="1"/>
  <c r="X19"/>
  <c r="G18"/>
  <c r="U20"/>
  <c r="V21" i="2"/>
  <c r="X20"/>
  <c r="W20" i="10" s="1"/>
  <c r="AH14" i="2"/>
  <c r="T15" i="10"/>
  <c r="AG15" i="2"/>
  <c r="Q19" i="10"/>
  <c r="AC21" i="2"/>
  <c r="H21" i="10"/>
  <c r="M20" i="2"/>
  <c r="S18"/>
  <c r="R18" i="10" s="1"/>
  <c r="U16" i="2"/>
  <c r="AC82"/>
  <c r="AB82"/>
  <c r="BM18"/>
  <c r="BH22"/>
  <c r="J21" s="1"/>
  <c r="I21" i="10" s="1"/>
  <c r="L21" i="2"/>
  <c r="BC21"/>
  <c r="E20" s="1"/>
  <c r="S20" s="1"/>
  <c r="R20" i="10" s="1"/>
  <c r="G20" i="2"/>
  <c r="Q20" s="1"/>
  <c r="P20" i="10" s="1"/>
  <c r="BG23" i="2"/>
  <c r="L22" s="1"/>
  <c r="BB22"/>
  <c r="AR84"/>
  <c r="AQ84"/>
  <c r="AA81"/>
  <c r="AA80"/>
  <c r="BW84"/>
  <c r="X81"/>
  <c r="BI23"/>
  <c r="K22" s="1"/>
  <c r="J22" i="10" s="1"/>
  <c r="I22" i="2"/>
  <c r="BF24"/>
  <c r="BJ23"/>
  <c r="T21"/>
  <c r="S21" i="10" s="1"/>
  <c r="BN36" i="2"/>
  <c r="S19"/>
  <c r="R19" i="10" s="1"/>
  <c r="P20" i="2"/>
  <c r="O20" i="10" s="1"/>
  <c r="R19" i="2"/>
  <c r="N20"/>
  <c r="M20" i="10" s="1"/>
  <c r="AF18" i="2"/>
  <c r="BA23"/>
  <c r="D21"/>
  <c r="BD22"/>
  <c r="F21" s="1"/>
  <c r="U17"/>
  <c r="A20" i="10"/>
  <c r="A21" i="2"/>
  <c r="B21" s="1"/>
  <c r="BO84"/>
  <c r="BP84" s="1"/>
  <c r="C83"/>
  <c r="AE82"/>
  <c r="V82"/>
  <c r="W82"/>
  <c r="BR83"/>
  <c r="BQ83"/>
  <c r="AY85"/>
  <c r="AZ85" s="1"/>
  <c r="AV86"/>
  <c r="AX86" s="1"/>
  <c r="G19" i="10" l="1"/>
  <c r="O20" i="2"/>
  <c r="N20" i="10" s="1"/>
  <c r="AD20" i="2"/>
  <c r="Z20" i="10" s="1"/>
  <c r="X20"/>
  <c r="K21"/>
  <c r="AB21" i="2"/>
  <c r="C21" i="10"/>
  <c r="E21"/>
  <c r="D20"/>
  <c r="F20"/>
  <c r="H20" i="2"/>
  <c r="Y21" i="10"/>
  <c r="U21"/>
  <c r="X21" i="2"/>
  <c r="W21" i="10" s="1"/>
  <c r="V22" i="2"/>
  <c r="AC22"/>
  <c r="H22" i="10"/>
  <c r="M21" i="2"/>
  <c r="BM19"/>
  <c r="AE18" i="10"/>
  <c r="T16"/>
  <c r="AG16" i="2"/>
  <c r="AF16" i="10" s="1"/>
  <c r="AG16" s="1"/>
  <c r="AF15"/>
  <c r="AG15" s="1"/>
  <c r="AH15" i="2"/>
  <c r="Q20" i="10"/>
  <c r="L21"/>
  <c r="T17"/>
  <c r="AG17" i="2"/>
  <c r="AF17" i="10" s="1"/>
  <c r="AG17" s="1"/>
  <c r="U18" i="2"/>
  <c r="AC83"/>
  <c r="AB83"/>
  <c r="BH23"/>
  <c r="J22" s="1"/>
  <c r="I22" i="10" s="1"/>
  <c r="BC22" i="2"/>
  <c r="E21" s="1"/>
  <c r="G21"/>
  <c r="Q21" s="1"/>
  <c r="P21" i="10" s="1"/>
  <c r="BG24" i="2"/>
  <c r="BB23"/>
  <c r="AR85"/>
  <c r="AQ85"/>
  <c r="AV87"/>
  <c r="AA82"/>
  <c r="BW85"/>
  <c r="BI24"/>
  <c r="K23" s="1"/>
  <c r="J23" i="10" s="1"/>
  <c r="BF25" i="2"/>
  <c r="I23"/>
  <c r="BJ24"/>
  <c r="U20"/>
  <c r="X82"/>
  <c r="S21"/>
  <c r="R21" i="10" s="1"/>
  <c r="BN37" i="2"/>
  <c r="BN38" s="1"/>
  <c r="BN39" s="1"/>
  <c r="U19"/>
  <c r="P21"/>
  <c r="O21" i="10" s="1"/>
  <c r="D22" i="2"/>
  <c r="BD23"/>
  <c r="F22" s="1"/>
  <c r="BA24"/>
  <c r="N21"/>
  <c r="M21" i="10" s="1"/>
  <c r="R20" i="2"/>
  <c r="AF19"/>
  <c r="A21" i="10"/>
  <c r="A22" i="2"/>
  <c r="B22" s="1"/>
  <c r="BO85"/>
  <c r="BP85" s="1"/>
  <c r="C84"/>
  <c r="AY86"/>
  <c r="AZ86" s="1"/>
  <c r="BR84"/>
  <c r="BQ84"/>
  <c r="W83"/>
  <c r="V83"/>
  <c r="G20" i="10" l="1"/>
  <c r="AB22" i="2"/>
  <c r="E22" i="10"/>
  <c r="C22"/>
  <c r="F21"/>
  <c r="D21"/>
  <c r="G21" s="1"/>
  <c r="H21" i="2"/>
  <c r="O21"/>
  <c r="N21" i="10" s="1"/>
  <c r="K22"/>
  <c r="L22" s="1"/>
  <c r="AD21" i="2"/>
  <c r="Z21" i="10" s="1"/>
  <c r="X21"/>
  <c r="Y22"/>
  <c r="U22"/>
  <c r="X22" i="2"/>
  <c r="W22" i="10" s="1"/>
  <c r="V23" i="2"/>
  <c r="AH16"/>
  <c r="T18" i="10"/>
  <c r="AG18" i="2"/>
  <c r="AF18" i="10" s="1"/>
  <c r="AG18" s="1"/>
  <c r="BM20" i="2"/>
  <c r="AE19" i="10"/>
  <c r="T19"/>
  <c r="AG19" i="2"/>
  <c r="AF19" i="10" s="1"/>
  <c r="AG19" s="1"/>
  <c r="T20"/>
  <c r="Q21"/>
  <c r="M22" i="2"/>
  <c r="AC23"/>
  <c r="H23" i="10"/>
  <c r="T22" i="2"/>
  <c r="S22" i="10" s="1"/>
  <c r="AC84" i="2"/>
  <c r="AB84"/>
  <c r="BH24"/>
  <c r="J23" s="1"/>
  <c r="I23" i="10" s="1"/>
  <c r="L23" i="2"/>
  <c r="BC23"/>
  <c r="E22" s="1"/>
  <c r="G22"/>
  <c r="Q22" s="1"/>
  <c r="P22" i="10" s="1"/>
  <c r="BG25" i="2"/>
  <c r="L24" s="1"/>
  <c r="BB24"/>
  <c r="AR86"/>
  <c r="AQ86"/>
  <c r="AV88"/>
  <c r="AX88" s="1"/>
  <c r="AX87"/>
  <c r="AA83"/>
  <c r="BW86"/>
  <c r="AH17"/>
  <c r="BI25"/>
  <c r="K24" s="1"/>
  <c r="BF26"/>
  <c r="I24"/>
  <c r="H24" i="10" s="1"/>
  <c r="BJ25" i="2"/>
  <c r="X83"/>
  <c r="BA25"/>
  <c r="BD24"/>
  <c r="F23" s="1"/>
  <c r="BN40"/>
  <c r="BN41" s="1"/>
  <c r="U21"/>
  <c r="S22"/>
  <c r="R22" i="10" s="1"/>
  <c r="N22" i="2"/>
  <c r="M22" i="10" s="1"/>
  <c r="D23" i="2"/>
  <c r="AF20"/>
  <c r="P22"/>
  <c r="O22" i="10" s="1"/>
  <c r="R21" i="2"/>
  <c r="O22"/>
  <c r="N22" i="10" s="1"/>
  <c r="A22"/>
  <c r="A23" i="2"/>
  <c r="B23" s="1"/>
  <c r="BO86"/>
  <c r="BP86" s="1"/>
  <c r="C85"/>
  <c r="BR85"/>
  <c r="BQ85"/>
  <c r="AY87"/>
  <c r="AZ87" s="1"/>
  <c r="AE84"/>
  <c r="W84"/>
  <c r="V84"/>
  <c r="AD22" l="1"/>
  <c r="Z22" i="10" s="1"/>
  <c r="X22"/>
  <c r="K23"/>
  <c r="F22"/>
  <c r="D22"/>
  <c r="H22" i="2"/>
  <c r="Y23" i="10"/>
  <c r="AB23" i="2"/>
  <c r="X23" i="10" s="1"/>
  <c r="E23"/>
  <c r="C23"/>
  <c r="Q22"/>
  <c r="AH18" i="2"/>
  <c r="U23" i="10"/>
  <c r="X23" i="2"/>
  <c r="W23" i="10" s="1"/>
  <c r="V24" i="2"/>
  <c r="BM21"/>
  <c r="AE20" i="10"/>
  <c r="T23" i="2"/>
  <c r="S23" i="10" s="1"/>
  <c r="L23"/>
  <c r="T21"/>
  <c r="J24"/>
  <c r="M23" i="2"/>
  <c r="AG20"/>
  <c r="AF20" i="10" s="1"/>
  <c r="AG20" s="1"/>
  <c r="BH25" i="2"/>
  <c r="J24" s="1"/>
  <c r="I24" i="10" s="1"/>
  <c r="AC85" i="2"/>
  <c r="AB85"/>
  <c r="AC24"/>
  <c r="BC24"/>
  <c r="E23" s="1"/>
  <c r="S23" s="1"/>
  <c r="R23" i="10" s="1"/>
  <c r="G23" i="2"/>
  <c r="Q23" s="1"/>
  <c r="P23" i="10" s="1"/>
  <c r="BG26" i="2"/>
  <c r="BB25"/>
  <c r="AR87"/>
  <c r="AQ87"/>
  <c r="AA84"/>
  <c r="X84"/>
  <c r="BW87"/>
  <c r="BI26"/>
  <c r="K25" s="1"/>
  <c r="J25" i="10" s="1"/>
  <c r="I25" i="2"/>
  <c r="BF27"/>
  <c r="BJ26"/>
  <c r="T24"/>
  <c r="S24" i="10" s="1"/>
  <c r="U22" i="2"/>
  <c r="D24"/>
  <c r="K24" i="10" s="1"/>
  <c r="BA26" i="2"/>
  <c r="BD25"/>
  <c r="F24" s="1"/>
  <c r="BN42"/>
  <c r="O23"/>
  <c r="N23" i="10" s="1"/>
  <c r="AH19" i="2"/>
  <c r="R22"/>
  <c r="P23"/>
  <c r="O23" i="10" s="1"/>
  <c r="N23" i="2"/>
  <c r="M23" i="10" s="1"/>
  <c r="AF21" i="2"/>
  <c r="A23" i="10"/>
  <c r="A24" i="2"/>
  <c r="B24" s="1"/>
  <c r="AY88"/>
  <c r="AZ88" s="1"/>
  <c r="AV89"/>
  <c r="AX89" s="1"/>
  <c r="AE85"/>
  <c r="V85"/>
  <c r="W85"/>
  <c r="BR86"/>
  <c r="BQ86"/>
  <c r="BO87"/>
  <c r="BP87" s="1"/>
  <c r="C86"/>
  <c r="G22" i="10" l="1"/>
  <c r="AB24" i="2"/>
  <c r="C24" i="10"/>
  <c r="E24"/>
  <c r="Y24"/>
  <c r="AD23" i="2"/>
  <c r="Z23" i="10" s="1"/>
  <c r="D23"/>
  <c r="G23" s="1"/>
  <c r="F23"/>
  <c r="H23" i="2"/>
  <c r="R23" s="1"/>
  <c r="U24" i="10"/>
  <c r="V25" i="2"/>
  <c r="X24"/>
  <c r="W24" i="10" s="1"/>
  <c r="BM22" i="2"/>
  <c r="AE21" i="10"/>
  <c r="T22"/>
  <c r="AC25" i="2"/>
  <c r="H25" i="10"/>
  <c r="L24"/>
  <c r="Q23"/>
  <c r="AG21" i="2"/>
  <c r="AF21" i="10" s="1"/>
  <c r="AG21" s="1"/>
  <c r="M24" i="2"/>
  <c r="AB86"/>
  <c r="AC86"/>
  <c r="BH26"/>
  <c r="J25" s="1"/>
  <c r="I25" i="10" s="1"/>
  <c r="L25" i="2"/>
  <c r="BC25"/>
  <c r="E24" s="1"/>
  <c r="G24"/>
  <c r="Q24" s="1"/>
  <c r="P24" i="10" s="1"/>
  <c r="BG27" i="2"/>
  <c r="BB26"/>
  <c r="AR88"/>
  <c r="AQ88"/>
  <c r="X85"/>
  <c r="AA85"/>
  <c r="BW88"/>
  <c r="BF28"/>
  <c r="I26"/>
  <c r="BI27"/>
  <c r="K26" s="1"/>
  <c r="BJ27"/>
  <c r="U23"/>
  <c r="N24"/>
  <c r="M24" i="10" s="1"/>
  <c r="BN43" i="2"/>
  <c r="BN44" s="1"/>
  <c r="BA27"/>
  <c r="BD26"/>
  <c r="F25" s="1"/>
  <c r="D25"/>
  <c r="P24"/>
  <c r="O24" i="10" s="1"/>
  <c r="AH20" i="2"/>
  <c r="AF22"/>
  <c r="A24" i="10"/>
  <c r="A25" i="2"/>
  <c r="B25" s="1"/>
  <c r="BO88"/>
  <c r="BP88" s="1"/>
  <c r="C87"/>
  <c r="AV90"/>
  <c r="AX90" s="1"/>
  <c r="AY89"/>
  <c r="AZ89" s="1"/>
  <c r="BR87"/>
  <c r="BQ87"/>
  <c r="W86"/>
  <c r="AE86"/>
  <c r="V86"/>
  <c r="H24" l="1"/>
  <c r="AB25"/>
  <c r="C25" i="10"/>
  <c r="E25"/>
  <c r="AD24" i="2"/>
  <c r="Z24" i="10" s="1"/>
  <c r="X24"/>
  <c r="K25"/>
  <c r="S24" i="2"/>
  <c r="R24" i="10" s="1"/>
  <c r="D24"/>
  <c r="F24"/>
  <c r="O24" i="2"/>
  <c r="N24" i="10" s="1"/>
  <c r="Q24" s="1"/>
  <c r="Y25"/>
  <c r="U25"/>
  <c r="V26" i="2"/>
  <c r="X25"/>
  <c r="W25" i="10" s="1"/>
  <c r="T25" i="2"/>
  <c r="S25" i="10" s="1"/>
  <c r="AC26" i="2"/>
  <c r="H26" i="10"/>
  <c r="J26"/>
  <c r="L25"/>
  <c r="M25" i="2"/>
  <c r="BM23"/>
  <c r="AE22" i="10"/>
  <c r="T23"/>
  <c r="AG22" i="2"/>
  <c r="AF22" i="10" s="1"/>
  <c r="AG22" s="1"/>
  <c r="AC87" i="2"/>
  <c r="AB87"/>
  <c r="BH27"/>
  <c r="J26" s="1"/>
  <c r="I26" i="10" s="1"/>
  <c r="L26" i="2"/>
  <c r="BC26"/>
  <c r="E25" s="1"/>
  <c r="H25" s="1"/>
  <c r="G25"/>
  <c r="Q25" s="1"/>
  <c r="P25" i="10" s="1"/>
  <c r="BG28" i="2"/>
  <c r="L27" s="1"/>
  <c r="BB27"/>
  <c r="C88"/>
  <c r="AR89"/>
  <c r="AQ89"/>
  <c r="AA86"/>
  <c r="BW89"/>
  <c r="X86"/>
  <c r="BI28"/>
  <c r="K27" s="1"/>
  <c r="I27"/>
  <c r="BJ28"/>
  <c r="BF29"/>
  <c r="T26"/>
  <c r="S26" i="10" s="1"/>
  <c r="P25" i="2"/>
  <c r="O25" i="10" s="1"/>
  <c r="U24" i="2"/>
  <c r="N25"/>
  <c r="M25" i="10" s="1"/>
  <c r="BN45" i="2"/>
  <c r="BA28"/>
  <c r="BD27"/>
  <c r="F26" s="1"/>
  <c r="D26"/>
  <c r="R24"/>
  <c r="AH21"/>
  <c r="AF23"/>
  <c r="A26"/>
  <c r="B26" s="1"/>
  <c r="A25" i="10"/>
  <c r="BO89" i="2"/>
  <c r="BP89" s="1"/>
  <c r="AV91"/>
  <c r="AX91" s="1"/>
  <c r="AY90"/>
  <c r="AZ90" s="1"/>
  <c r="AE87"/>
  <c r="V87"/>
  <c r="W87"/>
  <c r="BR88"/>
  <c r="BQ88"/>
  <c r="S25" l="1"/>
  <c r="R25" i="10" s="1"/>
  <c r="AD25" i="2"/>
  <c r="Z25" i="10" s="1"/>
  <c r="X25"/>
  <c r="AB26" i="2"/>
  <c r="E26" i="10"/>
  <c r="C26"/>
  <c r="O25" i="2"/>
  <c r="N25" i="10" s="1"/>
  <c r="K26"/>
  <c r="L26" s="1"/>
  <c r="Y26"/>
  <c r="F25"/>
  <c r="D25"/>
  <c r="G24"/>
  <c r="U26"/>
  <c r="X26" i="2"/>
  <c r="W26" i="10" s="1"/>
  <c r="V27" i="2"/>
  <c r="T24" i="10"/>
  <c r="J27"/>
  <c r="BM24" i="2"/>
  <c r="AE23" i="10"/>
  <c r="AC27" i="2"/>
  <c r="H27" i="10"/>
  <c r="Q25"/>
  <c r="AG23" i="2"/>
  <c r="AF23" i="10" s="1"/>
  <c r="AG23" s="1"/>
  <c r="M26" i="2"/>
  <c r="BH28"/>
  <c r="J27" s="1"/>
  <c r="I27" i="10" s="1"/>
  <c r="AB88" i="2"/>
  <c r="AC88"/>
  <c r="BP27"/>
  <c r="AE26" s="1"/>
  <c r="BC27"/>
  <c r="E26" s="1"/>
  <c r="G26"/>
  <c r="Q26" s="1"/>
  <c r="P26" i="10" s="1"/>
  <c r="BG29" i="2"/>
  <c r="BB28"/>
  <c r="AR90"/>
  <c r="AQ90"/>
  <c r="AA87"/>
  <c r="X87"/>
  <c r="AV92"/>
  <c r="BW90"/>
  <c r="BF30"/>
  <c r="BI29"/>
  <c r="K28" s="1"/>
  <c r="J28" i="10" s="1"/>
  <c r="BJ29" i="2"/>
  <c r="I28"/>
  <c r="H28" i="10" s="1"/>
  <c r="T27" i="2"/>
  <c r="S27" i="10" s="1"/>
  <c r="S26" i="2"/>
  <c r="R26" i="10" s="1"/>
  <c r="N26" i="2"/>
  <c r="M26" i="10" s="1"/>
  <c r="BN46" i="2"/>
  <c r="R25"/>
  <c r="AF24"/>
  <c r="AG24" s="1"/>
  <c r="AF24" i="10" s="1"/>
  <c r="AG24" s="1"/>
  <c r="O26" i="2"/>
  <c r="N26" i="10" s="1"/>
  <c r="D27" i="2"/>
  <c r="BD28"/>
  <c r="F27" s="1"/>
  <c r="BA29"/>
  <c r="P26"/>
  <c r="O26" i="10" s="1"/>
  <c r="U25" i="2"/>
  <c r="AH22"/>
  <c r="A27"/>
  <c r="B27" s="1"/>
  <c r="A26" i="10"/>
  <c r="BO90" i="2"/>
  <c r="BP90" s="1"/>
  <c r="C89"/>
  <c r="BR89"/>
  <c r="BQ89"/>
  <c r="AE88"/>
  <c r="V88"/>
  <c r="W88"/>
  <c r="AY91"/>
  <c r="AZ91" s="1"/>
  <c r="AB27" l="1"/>
  <c r="E27" i="10"/>
  <c r="C27"/>
  <c r="AD26" i="2"/>
  <c r="Z26" i="10" s="1"/>
  <c r="X26"/>
  <c r="Y27"/>
  <c r="F26"/>
  <c r="D26"/>
  <c r="G26" s="1"/>
  <c r="H26" i="2"/>
  <c r="R26" s="1"/>
  <c r="G25" i="10"/>
  <c r="K27"/>
  <c r="U27"/>
  <c r="V28" i="2"/>
  <c r="X27"/>
  <c r="W27" i="10" s="1"/>
  <c r="T25"/>
  <c r="L27"/>
  <c r="BM25" i="2"/>
  <c r="AE24" i="10"/>
  <c r="Q26"/>
  <c r="M27" i="2"/>
  <c r="AD26" i="10"/>
  <c r="AC89" i="2"/>
  <c r="AB89"/>
  <c r="AC28"/>
  <c r="BH29"/>
  <c r="J28" s="1"/>
  <c r="I28" i="10" s="1"/>
  <c r="L28" i="2"/>
  <c r="BP28"/>
  <c r="AE27" s="1"/>
  <c r="BC28"/>
  <c r="E27" s="1"/>
  <c r="G27"/>
  <c r="Q27" s="1"/>
  <c r="P27" i="10" s="1"/>
  <c r="V71" i="2"/>
  <c r="BG30"/>
  <c r="L29" s="1"/>
  <c r="BB29"/>
  <c r="AR91"/>
  <c r="AQ91"/>
  <c r="AV93"/>
  <c r="AX93" s="1"/>
  <c r="AY93" s="1"/>
  <c r="AZ93" s="1"/>
  <c r="BM93" s="1"/>
  <c r="AX92"/>
  <c r="AY92" s="1"/>
  <c r="AZ92" s="1"/>
  <c r="BM92" s="1"/>
  <c r="BO91"/>
  <c r="BW91"/>
  <c r="X88"/>
  <c r="AA88"/>
  <c r="BQ27"/>
  <c r="BR27"/>
  <c r="T28"/>
  <c r="S28" i="10" s="1"/>
  <c r="BJ30" i="2"/>
  <c r="BI30"/>
  <c r="K29" s="1"/>
  <c r="BF31"/>
  <c r="I29"/>
  <c r="D28"/>
  <c r="BA30"/>
  <c r="BD29"/>
  <c r="F28" s="1"/>
  <c r="AF25"/>
  <c r="AG25" s="1"/>
  <c r="AF25" i="10" s="1"/>
  <c r="AG25" s="1"/>
  <c r="O27" i="2"/>
  <c r="N27" i="10" s="1"/>
  <c r="U26" i="2"/>
  <c r="S27"/>
  <c r="R27" i="10" s="1"/>
  <c r="N27" i="2"/>
  <c r="M27" i="10" s="1"/>
  <c r="BN47" i="2"/>
  <c r="BN48" s="1"/>
  <c r="P27"/>
  <c r="O27" i="10" s="1"/>
  <c r="AH23" i="2"/>
  <c r="A27" i="10"/>
  <c r="A28" i="2"/>
  <c r="B28" s="1"/>
  <c r="BR90"/>
  <c r="BQ90"/>
  <c r="C90"/>
  <c r="AE89"/>
  <c r="V89"/>
  <c r="W89"/>
  <c r="AB28" l="1"/>
  <c r="C28" i="10"/>
  <c r="E28"/>
  <c r="D27"/>
  <c r="F27"/>
  <c r="AD27" i="2"/>
  <c r="Z27" i="10" s="1"/>
  <c r="X27"/>
  <c r="Y28"/>
  <c r="H27" i="2"/>
  <c r="K28" i="10"/>
  <c r="L28" s="1"/>
  <c r="U28"/>
  <c r="V29" i="2"/>
  <c r="X28"/>
  <c r="W28" i="10" s="1"/>
  <c r="T26"/>
  <c r="J29"/>
  <c r="BM26" i="2"/>
  <c r="AE25" i="10"/>
  <c r="AC29" i="2"/>
  <c r="H29" i="10"/>
  <c r="M28" i="2"/>
  <c r="Q27" i="10"/>
  <c r="AD27"/>
  <c r="AC90" i="2"/>
  <c r="AB90"/>
  <c r="BP29"/>
  <c r="AE28" s="1"/>
  <c r="BH30"/>
  <c r="J29" s="1"/>
  <c r="I29" i="10" s="1"/>
  <c r="BC29" i="2"/>
  <c r="E28" s="1"/>
  <c r="G28"/>
  <c r="Q28" s="1"/>
  <c r="P28" i="10" s="1"/>
  <c r="X71" i="2"/>
  <c r="BG31"/>
  <c r="BH93"/>
  <c r="BG93"/>
  <c r="BG92"/>
  <c r="BB30"/>
  <c r="BC93"/>
  <c r="BB93"/>
  <c r="BC92"/>
  <c r="BB92"/>
  <c r="AR93"/>
  <c r="AQ93"/>
  <c r="AR92"/>
  <c r="AQ92"/>
  <c r="AA89"/>
  <c r="BD93"/>
  <c r="BF93"/>
  <c r="BI93"/>
  <c r="C92"/>
  <c r="BJ93"/>
  <c r="BO93"/>
  <c r="BP93" s="1"/>
  <c r="BN94"/>
  <c r="BW93"/>
  <c r="X89"/>
  <c r="BW92"/>
  <c r="BO92"/>
  <c r="BP91"/>
  <c r="AE90" s="1"/>
  <c r="BQ91"/>
  <c r="BR91"/>
  <c r="BQ28"/>
  <c r="BR28"/>
  <c r="BJ31"/>
  <c r="BF32"/>
  <c r="BI31"/>
  <c r="K30" s="1"/>
  <c r="J30" i="10" s="1"/>
  <c r="I30" i="2"/>
  <c r="T29"/>
  <c r="S29" i="10" s="1"/>
  <c r="P28" i="2"/>
  <c r="O28" i="10" s="1"/>
  <c r="R27" i="2"/>
  <c r="S28"/>
  <c r="R28" i="10" s="1"/>
  <c r="N28" i="2"/>
  <c r="M28" i="10" s="1"/>
  <c r="U27" i="2"/>
  <c r="AF26"/>
  <c r="O28"/>
  <c r="N28" i="10" s="1"/>
  <c r="BN49" i="2"/>
  <c r="BN50" s="1"/>
  <c r="AH24"/>
  <c r="BD30"/>
  <c r="F29" s="1"/>
  <c r="BA31"/>
  <c r="D29"/>
  <c r="C91"/>
  <c r="A29"/>
  <c r="B29" s="1"/>
  <c r="A28" i="10"/>
  <c r="V90" i="2"/>
  <c r="W90"/>
  <c r="AD28" l="1"/>
  <c r="Z28" i="10" s="1"/>
  <c r="X28"/>
  <c r="Y29"/>
  <c r="D28"/>
  <c r="F28"/>
  <c r="H28" i="2"/>
  <c r="AB29"/>
  <c r="C29" i="10"/>
  <c r="E29"/>
  <c r="K29"/>
  <c r="G27"/>
  <c r="U29"/>
  <c r="V30" i="2"/>
  <c r="X29"/>
  <c r="W29" i="10" s="1"/>
  <c r="T27"/>
  <c r="BM27" i="2"/>
  <c r="AE26" i="10"/>
  <c r="AG26" i="2"/>
  <c r="AF26" i="10" s="1"/>
  <c r="AG26" s="1"/>
  <c r="AC30" i="2"/>
  <c r="H30" i="10"/>
  <c r="Q28"/>
  <c r="M29" i="2"/>
  <c r="L29" i="10"/>
  <c r="AD28"/>
  <c r="AB92" i="2"/>
  <c r="AC92"/>
  <c r="AC91"/>
  <c r="AB91"/>
  <c r="G92"/>
  <c r="L92"/>
  <c r="BC30"/>
  <c r="E29" s="1"/>
  <c r="H29" s="1"/>
  <c r="G29"/>
  <c r="Q29" s="1"/>
  <c r="P29" i="10" s="1"/>
  <c r="BH31" i="2"/>
  <c r="J30" s="1"/>
  <c r="I30" i="10" s="1"/>
  <c r="L30" i="2"/>
  <c r="BG32"/>
  <c r="BB31"/>
  <c r="BR93"/>
  <c r="BQ93"/>
  <c r="D93"/>
  <c r="Q93" s="1"/>
  <c r="AE92"/>
  <c r="AA90"/>
  <c r="BP92"/>
  <c r="AE91" s="1"/>
  <c r="BQ92"/>
  <c r="BR92"/>
  <c r="X90"/>
  <c r="BQ29"/>
  <c r="BR29"/>
  <c r="AA92" i="10"/>
  <c r="AB92"/>
  <c r="BI32" i="2"/>
  <c r="K31" s="1"/>
  <c r="I31"/>
  <c r="BF33"/>
  <c r="BJ32"/>
  <c r="T30"/>
  <c r="S30" i="10" s="1"/>
  <c r="P29" i="2"/>
  <c r="O29" i="10" s="1"/>
  <c r="BN51" i="2"/>
  <c r="BN52" s="1"/>
  <c r="BD31"/>
  <c r="F30" s="1"/>
  <c r="BA32"/>
  <c r="D30"/>
  <c r="R28"/>
  <c r="AF27"/>
  <c r="S29"/>
  <c r="R29" i="10" s="1"/>
  <c r="N29" i="2"/>
  <c r="M29" i="10" s="1"/>
  <c r="AH25" i="2"/>
  <c r="U28"/>
  <c r="O29"/>
  <c r="N29" i="10" s="1"/>
  <c r="Q29" s="1"/>
  <c r="A29"/>
  <c r="A30" i="2"/>
  <c r="B30" s="1"/>
  <c r="W91"/>
  <c r="G28" i="10" l="1"/>
  <c r="K30"/>
  <c r="AB30" i="2"/>
  <c r="E30" i="10"/>
  <c r="C30"/>
  <c r="F29"/>
  <c r="D29"/>
  <c r="G29" s="1"/>
  <c r="AD29" i="2"/>
  <c r="Z29" i="10" s="1"/>
  <c r="X29"/>
  <c r="Y30"/>
  <c r="U30"/>
  <c r="X30" i="2"/>
  <c r="W30" i="10" s="1"/>
  <c r="V31" i="2"/>
  <c r="L30" i="10"/>
  <c r="T28"/>
  <c r="BM28" i="2"/>
  <c r="AE27" i="10"/>
  <c r="M30" i="2"/>
  <c r="AG27"/>
  <c r="AF27" i="10" s="1"/>
  <c r="AG27" s="1"/>
  <c r="J31"/>
  <c r="AC31" i="2"/>
  <c r="H31" i="10"/>
  <c r="BH32" i="2"/>
  <c r="J31" s="1"/>
  <c r="I31" i="10" s="1"/>
  <c r="L31" i="2"/>
  <c r="BC31"/>
  <c r="E30" s="1"/>
  <c r="G30"/>
  <c r="BG33"/>
  <c r="BB32"/>
  <c r="V92"/>
  <c r="W92"/>
  <c r="X92"/>
  <c r="AA91"/>
  <c r="AC92" i="10" s="1"/>
  <c r="I32" i="2"/>
  <c r="H32" i="10" s="1"/>
  <c r="BI33" i="2"/>
  <c r="K32" s="1"/>
  <c r="J32" i="10" s="1"/>
  <c r="BF34" i="2"/>
  <c r="BJ33"/>
  <c r="AF28"/>
  <c r="S30"/>
  <c r="R30" i="10" s="1"/>
  <c r="N30" i="2"/>
  <c r="M30" i="10" s="1"/>
  <c r="BN53" i="2"/>
  <c r="BN54" s="1"/>
  <c r="R29"/>
  <c r="O30"/>
  <c r="N30" i="10" s="1"/>
  <c r="AH26" i="2"/>
  <c r="P30"/>
  <c r="O30" i="10" s="1"/>
  <c r="U29" i="2"/>
  <c r="BD32"/>
  <c r="F31" s="1"/>
  <c r="BA33"/>
  <c r="D31"/>
  <c r="A30" i="10"/>
  <c r="A31" i="2"/>
  <c r="B31" s="1"/>
  <c r="F30" i="10" l="1"/>
  <c r="D30"/>
  <c r="G30" s="1"/>
  <c r="Y31"/>
  <c r="H30" i="2"/>
  <c r="AD30"/>
  <c r="Z30" i="10" s="1"/>
  <c r="X30"/>
  <c r="AB31" i="2"/>
  <c r="E31" i="10"/>
  <c r="C31"/>
  <c r="K31"/>
  <c r="U31"/>
  <c r="V32" i="2"/>
  <c r="X31"/>
  <c r="W31" i="10" s="1"/>
  <c r="L31"/>
  <c r="T29"/>
  <c r="BM29" i="2"/>
  <c r="AE28" i="10"/>
  <c r="M31" i="2"/>
  <c r="AG28"/>
  <c r="AF28" i="10" s="1"/>
  <c r="AG28" s="1"/>
  <c r="T31" i="2"/>
  <c r="S31" i="10" s="1"/>
  <c r="AC32" i="2"/>
  <c r="BH33"/>
  <c r="J32" s="1"/>
  <c r="I32" i="10" s="1"/>
  <c r="L32" i="2"/>
  <c r="Q30"/>
  <c r="P30" i="10" s="1"/>
  <c r="Q30" s="1"/>
  <c r="BC32" i="2"/>
  <c r="E31" s="1"/>
  <c r="S31" s="1"/>
  <c r="R31" i="10" s="1"/>
  <c r="G31" i="2"/>
  <c r="BG34"/>
  <c r="BB33"/>
  <c r="AA92"/>
  <c r="T32"/>
  <c r="S32" i="10" s="1"/>
  <c r="I33" i="2"/>
  <c r="BI34"/>
  <c r="K33" s="1"/>
  <c r="J33" i="10" s="1"/>
  <c r="BF35" i="2"/>
  <c r="BJ34"/>
  <c r="N31"/>
  <c r="M31" i="10" s="1"/>
  <c r="AF29" i="2"/>
  <c r="U30"/>
  <c r="P31"/>
  <c r="O31" i="10" s="1"/>
  <c r="AH27" i="2"/>
  <c r="BN55"/>
  <c r="BN56" s="1"/>
  <c r="BN57" s="1"/>
  <c r="R30"/>
  <c r="BA34"/>
  <c r="BD33"/>
  <c r="F32" s="1"/>
  <c r="D32"/>
  <c r="A31" i="10"/>
  <c r="A32" i="2"/>
  <c r="B32" s="1"/>
  <c r="AB32" l="1"/>
  <c r="C32" i="10"/>
  <c r="E32"/>
  <c r="O31" i="2"/>
  <c r="N31" i="10" s="1"/>
  <c r="D31"/>
  <c r="F31"/>
  <c r="Y32"/>
  <c r="H31" i="2"/>
  <c r="AD31"/>
  <c r="Z31" i="10" s="1"/>
  <c r="X31"/>
  <c r="K32"/>
  <c r="U32"/>
  <c r="X32" i="2"/>
  <c r="W32" i="10" s="1"/>
  <c r="V33" i="2"/>
  <c r="L32" i="10"/>
  <c r="BM30" i="2"/>
  <c r="AE29" i="10"/>
  <c r="M32" i="2"/>
  <c r="AG29"/>
  <c r="AF29" i="10" s="1"/>
  <c r="AG29" s="1"/>
  <c r="T30"/>
  <c r="AC33" i="2"/>
  <c r="H33" i="10"/>
  <c r="Q31" i="2"/>
  <c r="P31" i="10" s="1"/>
  <c r="BH34" i="2"/>
  <c r="J33" s="1"/>
  <c r="L33"/>
  <c r="BC33"/>
  <c r="E32" s="1"/>
  <c r="G32"/>
  <c r="Q32" s="1"/>
  <c r="P32" i="10" s="1"/>
  <c r="BG35" i="2"/>
  <c r="BB34"/>
  <c r="I34"/>
  <c r="BI35"/>
  <c r="K34" s="1"/>
  <c r="J34" i="10" s="1"/>
  <c r="BF36" i="2"/>
  <c r="BJ35"/>
  <c r="P32"/>
  <c r="O32" i="10" s="1"/>
  <c r="N32" i="2"/>
  <c r="M32" i="10" s="1"/>
  <c r="S32" i="2"/>
  <c r="R32" i="10" s="1"/>
  <c r="BN58" i="2"/>
  <c r="R31"/>
  <c r="BD34"/>
  <c r="F33" s="1"/>
  <c r="BA35"/>
  <c r="D33"/>
  <c r="AF30"/>
  <c r="U31"/>
  <c r="AH28"/>
  <c r="A32" i="10"/>
  <c r="A33" i="2"/>
  <c r="B33" s="1"/>
  <c r="H32" l="1"/>
  <c r="G31" i="10"/>
  <c r="Q31"/>
  <c r="AD32" i="2"/>
  <c r="Z32" i="10" s="1"/>
  <c r="X32"/>
  <c r="K33"/>
  <c r="Y33"/>
  <c r="AB33" i="2"/>
  <c r="C33" i="10"/>
  <c r="E33"/>
  <c r="O32" i="2"/>
  <c r="N32" i="10" s="1"/>
  <c r="D32"/>
  <c r="G32" s="1"/>
  <c r="F32"/>
  <c r="U33"/>
  <c r="X33" i="2"/>
  <c r="W33" i="10" s="1"/>
  <c r="V34" i="2"/>
  <c r="T31" i="10"/>
  <c r="BM31" i="2"/>
  <c r="AE30" i="10"/>
  <c r="AC34" i="2"/>
  <c r="H34" i="10"/>
  <c r="T33" i="2"/>
  <c r="S33" i="10" s="1"/>
  <c r="I33"/>
  <c r="L33"/>
  <c r="Q32"/>
  <c r="M33" i="2"/>
  <c r="AG30"/>
  <c r="AF30" i="10" s="1"/>
  <c r="AG30" s="1"/>
  <c r="BH35" i="2"/>
  <c r="J34" s="1"/>
  <c r="I34" i="10" s="1"/>
  <c r="L34" i="2"/>
  <c r="BC34"/>
  <c r="E33" s="1"/>
  <c r="O33" s="1"/>
  <c r="N33" i="10" s="1"/>
  <c r="G33" i="2"/>
  <c r="Q33" s="1"/>
  <c r="P33" i="10" s="1"/>
  <c r="BG36" i="2"/>
  <c r="L35" s="1"/>
  <c r="BB35"/>
  <c r="I35"/>
  <c r="BI36"/>
  <c r="K35" s="1"/>
  <c r="J35" i="10" s="1"/>
  <c r="BF37" i="2"/>
  <c r="BJ36"/>
  <c r="P33"/>
  <c r="O33" i="10" s="1"/>
  <c r="R32" i="2"/>
  <c r="BD35"/>
  <c r="F34" s="1"/>
  <c r="BA36"/>
  <c r="D34"/>
  <c r="AF31"/>
  <c r="U32"/>
  <c r="AH29"/>
  <c r="N33"/>
  <c r="M33" i="10" s="1"/>
  <c r="BN59" i="2"/>
  <c r="BN60" s="1"/>
  <c r="A33" i="10"/>
  <c r="A34" i="2"/>
  <c r="B34" s="1"/>
  <c r="H33" l="1"/>
  <c r="AD33"/>
  <c r="Z33" i="10" s="1"/>
  <c r="X33"/>
  <c r="Y34"/>
  <c r="K34"/>
  <c r="L34" s="1"/>
  <c r="AB34" i="2"/>
  <c r="E34" i="10"/>
  <c r="C34"/>
  <c r="S33" i="2"/>
  <c r="R33" i="10" s="1"/>
  <c r="F33"/>
  <c r="D33"/>
  <c r="U34"/>
  <c r="V35" i="2"/>
  <c r="X34"/>
  <c r="W34" i="10" s="1"/>
  <c r="AC35" i="2"/>
  <c r="H35" i="10"/>
  <c r="BM32" i="2"/>
  <c r="AE31" i="10"/>
  <c r="T32"/>
  <c r="Q33"/>
  <c r="M34" i="2"/>
  <c r="AG31"/>
  <c r="AF31" i="10" s="1"/>
  <c r="AG31" s="1"/>
  <c r="T34" i="2"/>
  <c r="S34" i="10" s="1"/>
  <c r="BH36" i="2"/>
  <c r="J35" s="1"/>
  <c r="I35" i="10" s="1"/>
  <c r="BC35" i="2"/>
  <c r="E34" s="1"/>
  <c r="O34" s="1"/>
  <c r="N34" i="10" s="1"/>
  <c r="G34" i="2"/>
  <c r="Q34" s="1"/>
  <c r="P34" i="10" s="1"/>
  <c r="BG37" i="2"/>
  <c r="L36" s="1"/>
  <c r="BB36"/>
  <c r="I36"/>
  <c r="H36" i="10" s="1"/>
  <c r="BJ37" i="2"/>
  <c r="BF38"/>
  <c r="BI37"/>
  <c r="K36" s="1"/>
  <c r="J36" i="10" s="1"/>
  <c r="U33" i="2"/>
  <c r="P34"/>
  <c r="O34" i="10" s="1"/>
  <c r="BD36" i="2"/>
  <c r="F35" s="1"/>
  <c r="BA37"/>
  <c r="D35"/>
  <c r="R33"/>
  <c r="N34"/>
  <c r="M34" i="10" s="1"/>
  <c r="BN61" i="2"/>
  <c r="AH30"/>
  <c r="AF32"/>
  <c r="AG32" s="1"/>
  <c r="AF32" i="10" s="1"/>
  <c r="AG32" s="1"/>
  <c r="A35" i="2"/>
  <c r="B35" s="1"/>
  <c r="A34" i="10"/>
  <c r="G33" l="1"/>
  <c r="Y35"/>
  <c r="E35"/>
  <c r="C35"/>
  <c r="S34" i="2"/>
  <c r="R34" i="10" s="1"/>
  <c r="F34"/>
  <c r="D34"/>
  <c r="H34" i="2"/>
  <c r="AD34"/>
  <c r="Z34" i="10" s="1"/>
  <c r="X34"/>
  <c r="K35"/>
  <c r="L35" s="1"/>
  <c r="U35"/>
  <c r="X35" i="2"/>
  <c r="W35" i="10" s="1"/>
  <c r="V36" i="2"/>
  <c r="T35"/>
  <c r="S35" i="10" s="1"/>
  <c r="Q34"/>
  <c r="T33"/>
  <c r="BM33" i="2"/>
  <c r="AE32" i="10"/>
  <c r="M35" i="2"/>
  <c r="BP36"/>
  <c r="AE35" s="1"/>
  <c r="AB35"/>
  <c r="AC36"/>
  <c r="BH37"/>
  <c r="J36" s="1"/>
  <c r="BC36"/>
  <c r="E35" s="1"/>
  <c r="H35" s="1"/>
  <c r="G35"/>
  <c r="Q35" s="1"/>
  <c r="P35" i="10" s="1"/>
  <c r="BG38" i="2"/>
  <c r="BB37"/>
  <c r="I37"/>
  <c r="BI38"/>
  <c r="K37" s="1"/>
  <c r="J37" i="10" s="1"/>
  <c r="BF39" i="2"/>
  <c r="BJ38"/>
  <c r="R34"/>
  <c r="U34"/>
  <c r="AF33"/>
  <c r="BD37"/>
  <c r="F36" s="1"/>
  <c r="BA38"/>
  <c r="D36"/>
  <c r="K36" i="10" s="1"/>
  <c r="N35" i="2"/>
  <c r="M35" i="10" s="1"/>
  <c r="S35" i="2"/>
  <c r="R35" i="10" s="1"/>
  <c r="P35" i="2"/>
  <c r="O35" i="10" s="1"/>
  <c r="BN62" i="2"/>
  <c r="AH31"/>
  <c r="A35" i="10"/>
  <c r="A36" i="2"/>
  <c r="B36" s="1"/>
  <c r="O35" l="1"/>
  <c r="N35" i="10" s="1"/>
  <c r="Q35" s="1"/>
  <c r="Y36"/>
  <c r="D35"/>
  <c r="G35" s="1"/>
  <c r="F35"/>
  <c r="C36"/>
  <c r="E36"/>
  <c r="AD35" i="2"/>
  <c r="Z35" i="10" s="1"/>
  <c r="X35"/>
  <c r="G34"/>
  <c r="U36"/>
  <c r="X36" i="2"/>
  <c r="W36" i="10" s="1"/>
  <c r="V37" i="2"/>
  <c r="T34" i="10"/>
  <c r="T36" i="2"/>
  <c r="S36" i="10" s="1"/>
  <c r="I36"/>
  <c r="L36" s="1"/>
  <c r="M36" i="2"/>
  <c r="BM34"/>
  <c r="AE33" i="10"/>
  <c r="AG33" i="2"/>
  <c r="AF33" i="10" s="1"/>
  <c r="AG33" s="1"/>
  <c r="AC37" i="2"/>
  <c r="H37" i="10"/>
  <c r="AD35"/>
  <c r="BR36" i="2"/>
  <c r="BQ36"/>
  <c r="BP37"/>
  <c r="AE36" s="1"/>
  <c r="AB36"/>
  <c r="BC37"/>
  <c r="E36" s="1"/>
  <c r="O36" s="1"/>
  <c r="N36" i="10" s="1"/>
  <c r="G36" i="2"/>
  <c r="Q36" s="1"/>
  <c r="P36" i="10" s="1"/>
  <c r="BH38" i="2"/>
  <c r="J37" s="1"/>
  <c r="I37" i="10" s="1"/>
  <c r="L37" i="2"/>
  <c r="BG39"/>
  <c r="L38" s="1"/>
  <c r="BB38"/>
  <c r="BI39"/>
  <c r="K38" s="1"/>
  <c r="J38" i="10" s="1"/>
  <c r="BF40" i="2"/>
  <c r="I38"/>
  <c r="BJ39"/>
  <c r="R35"/>
  <c r="AH32"/>
  <c r="P36"/>
  <c r="O36" i="10" s="1"/>
  <c r="BD38" i="2"/>
  <c r="F37" s="1"/>
  <c r="BA39"/>
  <c r="D37"/>
  <c r="AF34"/>
  <c r="AG34" s="1"/>
  <c r="AF34" i="10" s="1"/>
  <c r="AG34" s="1"/>
  <c r="U35" i="2"/>
  <c r="BN63"/>
  <c r="BN64" s="1"/>
  <c r="N36"/>
  <c r="M36" i="10" s="1"/>
  <c r="A36"/>
  <c r="A37" i="2"/>
  <c r="B37" s="1"/>
  <c r="S36" l="1"/>
  <c r="R36" i="10" s="1"/>
  <c r="Y37"/>
  <c r="H36" i="2"/>
  <c r="C37" i="10"/>
  <c r="E37"/>
  <c r="AD36" i="2"/>
  <c r="Z36" i="10" s="1"/>
  <c r="X36"/>
  <c r="K37"/>
  <c r="D36"/>
  <c r="F36"/>
  <c r="U37"/>
  <c r="X37" i="2"/>
  <c r="W37" i="10" s="1"/>
  <c r="V38" i="2"/>
  <c r="T35" i="10"/>
  <c r="M37" i="2"/>
  <c r="Q36" i="10"/>
  <c r="L37"/>
  <c r="BM35" i="2"/>
  <c r="AE34" i="10"/>
  <c r="AC38" i="2"/>
  <c r="H38" i="10"/>
  <c r="AD36"/>
  <c r="AB37" i="2"/>
  <c r="BP38"/>
  <c r="AE37" s="1"/>
  <c r="BQ37"/>
  <c r="BR37"/>
  <c r="T37"/>
  <c r="S37" i="10" s="1"/>
  <c r="BH39" i="2"/>
  <c r="J38" s="1"/>
  <c r="I38" i="10" s="1"/>
  <c r="BC38" i="2"/>
  <c r="E37" s="1"/>
  <c r="G37"/>
  <c r="Q37" s="1"/>
  <c r="P37" i="10" s="1"/>
  <c r="BG40" i="2"/>
  <c r="BB39"/>
  <c r="I39"/>
  <c r="BI40"/>
  <c r="K39" s="1"/>
  <c r="J39" i="10" s="1"/>
  <c r="BJ40" i="2"/>
  <c r="BF41"/>
  <c r="T38"/>
  <c r="S38" i="10" s="1"/>
  <c r="BN65" i="2"/>
  <c r="N37"/>
  <c r="M37" i="10" s="1"/>
  <c r="R36" i="2"/>
  <c r="P37"/>
  <c r="O37" i="10" s="1"/>
  <c r="O37" i="2"/>
  <c r="N37" i="10" s="1"/>
  <c r="AF35" i="2"/>
  <c r="AG35" s="1"/>
  <c r="AF35" i="10" s="1"/>
  <c r="AG35" s="1"/>
  <c r="U36" i="2"/>
  <c r="BD39"/>
  <c r="F38" s="1"/>
  <c r="BA40"/>
  <c r="D38"/>
  <c r="AH33"/>
  <c r="A37" i="10"/>
  <c r="A38" i="2"/>
  <c r="B38" s="1"/>
  <c r="H37" l="1"/>
  <c r="AB38"/>
  <c r="E38" i="10"/>
  <c r="C38"/>
  <c r="Y38"/>
  <c r="G36"/>
  <c r="S37" i="2"/>
  <c r="R37" i="10" s="1"/>
  <c r="F37"/>
  <c r="D37"/>
  <c r="K38"/>
  <c r="L38" s="1"/>
  <c r="AD37" i="2"/>
  <c r="Z37" i="10" s="1"/>
  <c r="X37"/>
  <c r="U38"/>
  <c r="X38" i="2"/>
  <c r="W38" i="10" s="1"/>
  <c r="V39" i="2"/>
  <c r="Q37" i="10"/>
  <c r="AC39" i="2"/>
  <c r="H39" i="10"/>
  <c r="BM36" i="2"/>
  <c r="AE35" i="10"/>
  <c r="T36"/>
  <c r="M38" i="2"/>
  <c r="AD37" i="10"/>
  <c r="BQ38" i="2"/>
  <c r="BR38"/>
  <c r="BC39"/>
  <c r="E38" s="1"/>
  <c r="G38"/>
  <c r="Q38" s="1"/>
  <c r="P38" i="10" s="1"/>
  <c r="BH40" i="2"/>
  <c r="J39" s="1"/>
  <c r="I39" i="10" s="1"/>
  <c r="L39" i="2"/>
  <c r="BG41"/>
  <c r="BB40"/>
  <c r="I40"/>
  <c r="H40" i="10" s="1"/>
  <c r="BI41" i="2"/>
  <c r="K40" s="1"/>
  <c r="J40" i="10" s="1"/>
  <c r="BF42" i="2"/>
  <c r="BJ41"/>
  <c r="P38"/>
  <c r="O38" i="10" s="1"/>
  <c r="U37" i="2"/>
  <c r="BD40"/>
  <c r="F39" s="1"/>
  <c r="BA41"/>
  <c r="D39"/>
  <c r="BN66"/>
  <c r="R37"/>
  <c r="O38"/>
  <c r="N38" i="10" s="1"/>
  <c r="AH34" i="2"/>
  <c r="N38"/>
  <c r="M38" i="10" s="1"/>
  <c r="S38" i="2"/>
  <c r="R38" i="10" s="1"/>
  <c r="AF36" i="2"/>
  <c r="A38" i="10"/>
  <c r="A39" i="2"/>
  <c r="B39" s="1"/>
  <c r="H38" l="1"/>
  <c r="AB39"/>
  <c r="X39" i="10" s="1"/>
  <c r="E39"/>
  <c r="C39"/>
  <c r="AD38" i="2"/>
  <c r="Z38" i="10" s="1"/>
  <c r="X38"/>
  <c r="K39"/>
  <c r="L39" s="1"/>
  <c r="Y39"/>
  <c r="F38"/>
  <c r="D38"/>
  <c r="G37"/>
  <c r="U39"/>
  <c r="X39" i="2"/>
  <c r="W39" i="10" s="1"/>
  <c r="V40" i="2"/>
  <c r="AD39"/>
  <c r="T37" i="10"/>
  <c r="BM37" i="2"/>
  <c r="AE36" i="10"/>
  <c r="Q38"/>
  <c r="M39" i="2"/>
  <c r="AG36"/>
  <c r="AF36" i="10" s="1"/>
  <c r="AG36" s="1"/>
  <c r="AC40" i="2"/>
  <c r="T39"/>
  <c r="S39" i="10" s="1"/>
  <c r="BH41" i="2"/>
  <c r="J40" s="1"/>
  <c r="I40" i="10" s="1"/>
  <c r="L40" i="2"/>
  <c r="BC40"/>
  <c r="E39" s="1"/>
  <c r="H39" s="1"/>
  <c r="G39"/>
  <c r="Q39" s="1"/>
  <c r="P39" i="10" s="1"/>
  <c r="BG42" i="2"/>
  <c r="BB41"/>
  <c r="T40"/>
  <c r="S40" i="10" s="1"/>
  <c r="I41" i="2"/>
  <c r="BI42"/>
  <c r="K41" s="1"/>
  <c r="J41" i="10" s="1"/>
  <c r="BF43" i="2"/>
  <c r="BJ42"/>
  <c r="BN67"/>
  <c r="AH35"/>
  <c r="P39"/>
  <c r="O39" i="10" s="1"/>
  <c r="R38" i="2"/>
  <c r="AF37"/>
  <c r="BD41"/>
  <c r="F40" s="1"/>
  <c r="BA42"/>
  <c r="D40"/>
  <c r="U38"/>
  <c r="N39"/>
  <c r="M39" i="10" s="1"/>
  <c r="A39"/>
  <c r="A40" i="2"/>
  <c r="B40" s="1"/>
  <c r="O39" l="1"/>
  <c r="N39" i="10" s="1"/>
  <c r="S39" i="2"/>
  <c r="R39" i="10" s="1"/>
  <c r="G38"/>
  <c r="K40"/>
  <c r="L40" s="1"/>
  <c r="D39"/>
  <c r="F39"/>
  <c r="Y40"/>
  <c r="Z39"/>
  <c r="AB40" i="2"/>
  <c r="X40" i="10" s="1"/>
  <c r="C40"/>
  <c r="E40"/>
  <c r="U40"/>
  <c r="X40" i="2"/>
  <c r="W40" i="10" s="1"/>
  <c r="V41" i="2"/>
  <c r="Q39" i="10"/>
  <c r="BM38" i="2"/>
  <c r="AE37" i="10"/>
  <c r="T38"/>
  <c r="AC41" i="2"/>
  <c r="H41" i="10"/>
  <c r="M40" i="2"/>
  <c r="AG37"/>
  <c r="AF37" i="10" s="1"/>
  <c r="AG37" s="1"/>
  <c r="BH42" i="2"/>
  <c r="J41" s="1"/>
  <c r="I41" i="10" s="1"/>
  <c r="L41" i="2"/>
  <c r="BC41"/>
  <c r="E40" s="1"/>
  <c r="S40" s="1"/>
  <c r="R40" i="10" s="1"/>
  <c r="G40" i="2"/>
  <c r="Q40" s="1"/>
  <c r="P40" i="10" s="1"/>
  <c r="BG43" i="2"/>
  <c r="BB42"/>
  <c r="BF44"/>
  <c r="I42"/>
  <c r="BI43"/>
  <c r="K42" s="1"/>
  <c r="J42" i="10" s="1"/>
  <c r="BJ43" i="2"/>
  <c r="T41"/>
  <c r="S41" i="10" s="1"/>
  <c r="BD42" i="2"/>
  <c r="F41" s="1"/>
  <c r="BA43"/>
  <c r="D41"/>
  <c r="N40"/>
  <c r="M40" i="10" s="1"/>
  <c r="AF38" i="2"/>
  <c r="BN68"/>
  <c r="AH36"/>
  <c r="P40"/>
  <c r="O40" i="10" s="1"/>
  <c r="R39" i="2"/>
  <c r="U39"/>
  <c r="O40"/>
  <c r="N40" i="10" s="1"/>
  <c r="A40"/>
  <c r="A41" i="2"/>
  <c r="B41" s="1"/>
  <c r="G39" i="10" l="1"/>
  <c r="D40"/>
  <c r="F40"/>
  <c r="Q40"/>
  <c r="H40" i="2"/>
  <c r="R40" s="1"/>
  <c r="Y41" i="10"/>
  <c r="AB41" i="2"/>
  <c r="C41" i="10"/>
  <c r="E41"/>
  <c r="K41"/>
  <c r="L41" s="1"/>
  <c r="AD40" i="2"/>
  <c r="Z40" i="10" s="1"/>
  <c r="U41"/>
  <c r="X41" i="2"/>
  <c r="W41" i="10" s="1"/>
  <c r="V42" i="2"/>
  <c r="AC42"/>
  <c r="H42" i="10"/>
  <c r="BM39" i="2"/>
  <c r="AE38" i="10"/>
  <c r="T39"/>
  <c r="M41" i="2"/>
  <c r="AG38"/>
  <c r="AF38" i="10" s="1"/>
  <c r="AG38" s="1"/>
  <c r="BC42" i="2"/>
  <c r="E41" s="1"/>
  <c r="O41" s="1"/>
  <c r="N41" i="10" s="1"/>
  <c r="G41" i="2"/>
  <c r="Q41" s="1"/>
  <c r="P41" i="10" s="1"/>
  <c r="BH43" i="2"/>
  <c r="J42" s="1"/>
  <c r="I42" i="10" s="1"/>
  <c r="L42" i="2"/>
  <c r="BG44"/>
  <c r="L43" s="1"/>
  <c r="BB43"/>
  <c r="I43"/>
  <c r="BI44"/>
  <c r="K43" s="1"/>
  <c r="J43" i="10" s="1"/>
  <c r="BF45" i="2"/>
  <c r="BJ44"/>
  <c r="U40"/>
  <c r="N41"/>
  <c r="M41" i="10" s="1"/>
  <c r="AF39" i="2"/>
  <c r="AG39" s="1"/>
  <c r="AF39" i="10" s="1"/>
  <c r="AG39" s="1"/>
  <c r="P41" i="2"/>
  <c r="O41" i="10" s="1"/>
  <c r="AH37" i="2"/>
  <c r="BN69"/>
  <c r="BN70" s="1"/>
  <c r="BD43"/>
  <c r="F42" s="1"/>
  <c r="BA44"/>
  <c r="D42"/>
  <c r="A41" i="10"/>
  <c r="A42" i="2"/>
  <c r="B42" s="1"/>
  <c r="G40" i="10" l="1"/>
  <c r="H41" i="2"/>
  <c r="AB42"/>
  <c r="E42" i="10"/>
  <c r="C42"/>
  <c r="K42"/>
  <c r="F41"/>
  <c r="D41"/>
  <c r="AD41" i="2"/>
  <c r="Z41" i="10" s="1"/>
  <c r="X41"/>
  <c r="Y42"/>
  <c r="U42"/>
  <c r="V43" i="2"/>
  <c r="X42"/>
  <c r="W42" i="10" s="1"/>
  <c r="L42"/>
  <c r="T40"/>
  <c r="AC43" i="2"/>
  <c r="H43" i="10"/>
  <c r="M42" i="2"/>
  <c r="BM40"/>
  <c r="AE39" i="10"/>
  <c r="Q41"/>
  <c r="S41" i="2"/>
  <c r="R41" i="10" s="1"/>
  <c r="T42" i="2"/>
  <c r="S42" i="10" s="1"/>
  <c r="BH44" i="2"/>
  <c r="J43" s="1"/>
  <c r="I43" i="10" s="1"/>
  <c r="BC43" i="2"/>
  <c r="E42" s="1"/>
  <c r="G42"/>
  <c r="Q42" s="1"/>
  <c r="P42" i="10" s="1"/>
  <c r="BG45" i="2"/>
  <c r="BB44"/>
  <c r="I44"/>
  <c r="H44" i="10" s="1"/>
  <c r="BI45" i="2"/>
  <c r="K44" s="1"/>
  <c r="J44" i="10" s="1"/>
  <c r="BF46" i="2"/>
  <c r="BJ45"/>
  <c r="P42"/>
  <c r="O42" i="10" s="1"/>
  <c r="BN71" i="2"/>
  <c r="R41"/>
  <c r="BD44"/>
  <c r="F43" s="1"/>
  <c r="D43"/>
  <c r="BA45"/>
  <c r="AH38"/>
  <c r="S42"/>
  <c r="R42" i="10" s="1"/>
  <c r="N42" i="2"/>
  <c r="M42" i="10" s="1"/>
  <c r="AF40" i="2"/>
  <c r="A43"/>
  <c r="B43" s="1"/>
  <c r="A42" i="10"/>
  <c r="H42" i="2" l="1"/>
  <c r="Y43" i="10"/>
  <c r="AB43" i="2"/>
  <c r="E43" i="10"/>
  <c r="C43"/>
  <c r="O42" i="2"/>
  <c r="N42" i="10" s="1"/>
  <c r="F42"/>
  <c r="D42"/>
  <c r="AD42" i="2"/>
  <c r="Z42" i="10" s="1"/>
  <c r="X42"/>
  <c r="K43"/>
  <c r="G41"/>
  <c r="U43"/>
  <c r="V44" i="2"/>
  <c r="X43"/>
  <c r="W43" i="10" s="1"/>
  <c r="BM41" i="2"/>
  <c r="AE40" i="10"/>
  <c r="Q42"/>
  <c r="M43" i="2"/>
  <c r="AG40"/>
  <c r="AF40" i="10" s="1"/>
  <c r="AG40" s="1"/>
  <c r="L43"/>
  <c r="U41" i="2"/>
  <c r="T43"/>
  <c r="S43" i="10" s="1"/>
  <c r="AC44" i="2"/>
  <c r="BC44"/>
  <c r="E43" s="1"/>
  <c r="G43"/>
  <c r="Q43" s="1"/>
  <c r="P43" i="10" s="1"/>
  <c r="BH45" i="2"/>
  <c r="J44" s="1"/>
  <c r="I44" i="10" s="1"/>
  <c r="L44" i="2"/>
  <c r="BG46"/>
  <c r="BB45"/>
  <c r="I45"/>
  <c r="BI46"/>
  <c r="K45" s="1"/>
  <c r="J45" i="10" s="1"/>
  <c r="BF47" i="2"/>
  <c r="BJ46"/>
  <c r="AH39"/>
  <c r="BD45"/>
  <c r="F44" s="1"/>
  <c r="BA46"/>
  <c r="D44"/>
  <c r="P43"/>
  <c r="O43" i="10" s="1"/>
  <c r="R42" i="2"/>
  <c r="O43"/>
  <c r="N43" i="10" s="1"/>
  <c r="BN72" i="2"/>
  <c r="U42"/>
  <c r="N43"/>
  <c r="M43" i="10" s="1"/>
  <c r="S43" i="2"/>
  <c r="R43" i="10" s="1"/>
  <c r="AF41" i="2"/>
  <c r="A44"/>
  <c r="B44" s="1"/>
  <c r="A43" i="10"/>
  <c r="G42" l="1"/>
  <c r="D43"/>
  <c r="G43" s="1"/>
  <c r="F43"/>
  <c r="H43" i="2"/>
  <c r="AB44"/>
  <c r="X44" i="10" s="1"/>
  <c r="C44"/>
  <c r="E44"/>
  <c r="AD43" i="2"/>
  <c r="Z43" i="10" s="1"/>
  <c r="X43"/>
  <c r="K44"/>
  <c r="L44" s="1"/>
  <c r="Y44"/>
  <c r="U44"/>
  <c r="X44" i="2"/>
  <c r="W44" i="10" s="1"/>
  <c r="V45" i="2"/>
  <c r="T42" i="10"/>
  <c r="AC45" i="2"/>
  <c r="H45" i="10"/>
  <c r="M44" i="2"/>
  <c r="T41" i="10"/>
  <c r="AG41" i="2"/>
  <c r="AF41" i="10" s="1"/>
  <c r="AG41" s="1"/>
  <c r="Q43"/>
  <c r="BM42" i="2"/>
  <c r="AE41" i="10"/>
  <c r="AD44" i="2"/>
  <c r="BH46"/>
  <c r="J45" s="1"/>
  <c r="I45" i="10" s="1"/>
  <c r="L45" i="2"/>
  <c r="T44"/>
  <c r="S44" i="10" s="1"/>
  <c r="BC45" i="2"/>
  <c r="E44" s="1"/>
  <c r="G44"/>
  <c r="Q44" s="1"/>
  <c r="P44" i="10" s="1"/>
  <c r="BG47" i="2"/>
  <c r="L46" s="1"/>
  <c r="BB46"/>
  <c r="I46"/>
  <c r="BI47"/>
  <c r="K46" s="1"/>
  <c r="J46" i="10" s="1"/>
  <c r="BJ47" i="2"/>
  <c r="BF48"/>
  <c r="BN73"/>
  <c r="P44"/>
  <c r="O44" i="10" s="1"/>
  <c r="AH40" i="2"/>
  <c r="U43"/>
  <c r="BD46"/>
  <c r="F45" s="1"/>
  <c r="BA47"/>
  <c r="D45"/>
  <c r="R43"/>
  <c r="AF42"/>
  <c r="AG42" s="1"/>
  <c r="AF42" i="10" s="1"/>
  <c r="AG42" s="1"/>
  <c r="O44" i="2"/>
  <c r="N44" i="10" s="1"/>
  <c r="Q44" s="1"/>
  <c r="N44" i="2"/>
  <c r="M44" i="10" s="1"/>
  <c r="S44" i="2"/>
  <c r="R44" i="10" s="1"/>
  <c r="A45" i="2"/>
  <c r="B45" s="1"/>
  <c r="A44" i="10"/>
  <c r="D44" l="1"/>
  <c r="F44"/>
  <c r="G44" s="1"/>
  <c r="Z44"/>
  <c r="Y45"/>
  <c r="H44" i="2"/>
  <c r="AB45"/>
  <c r="X45" i="10" s="1"/>
  <c r="C45"/>
  <c r="E45"/>
  <c r="K45"/>
  <c r="U45"/>
  <c r="X45" i="2"/>
  <c r="W45" i="10" s="1"/>
  <c r="V46" i="2"/>
  <c r="BH47"/>
  <c r="J46" s="1"/>
  <c r="I46" i="10" s="1"/>
  <c r="T43"/>
  <c r="BM43" i="2"/>
  <c r="AE42" i="10"/>
  <c r="AC46" i="2"/>
  <c r="H46" i="10"/>
  <c r="M45" i="2"/>
  <c r="L45" i="10"/>
  <c r="M46" i="2"/>
  <c r="T45"/>
  <c r="S45" i="10" s="1"/>
  <c r="BC46" i="2"/>
  <c r="E45" s="1"/>
  <c r="G45"/>
  <c r="Q45" s="1"/>
  <c r="P45" i="10" s="1"/>
  <c r="BG48" i="2"/>
  <c r="L47" s="1"/>
  <c r="BB47"/>
  <c r="I47"/>
  <c r="BF49"/>
  <c r="BI48"/>
  <c r="K47" s="1"/>
  <c r="J47" i="10" s="1"/>
  <c r="BJ48" i="2"/>
  <c r="T46"/>
  <c r="S46" i="10" s="1"/>
  <c r="AF43" i="2"/>
  <c r="U44"/>
  <c r="BD47"/>
  <c r="F46" s="1"/>
  <c r="BA48"/>
  <c r="D46"/>
  <c r="K46" i="10" s="1"/>
  <c r="AH41" i="2"/>
  <c r="S45"/>
  <c r="R45" i="10" s="1"/>
  <c r="N45" i="2"/>
  <c r="M45" i="10" s="1"/>
  <c r="R44" i="2"/>
  <c r="P45"/>
  <c r="O45" i="10" s="1"/>
  <c r="O45" i="2"/>
  <c r="N45" i="10" s="1"/>
  <c r="BN74" i="2"/>
  <c r="A45" i="10"/>
  <c r="A46" i="2"/>
  <c r="B46" s="1"/>
  <c r="AD45" l="1"/>
  <c r="Z45" i="10" s="1"/>
  <c r="F45"/>
  <c r="D45"/>
  <c r="AB46" i="2"/>
  <c r="E46" i="10"/>
  <c r="C46"/>
  <c r="H45" i="2"/>
  <c r="Y46" i="10"/>
  <c r="U46"/>
  <c r="V47" i="2"/>
  <c r="X46"/>
  <c r="W46" i="10" s="1"/>
  <c r="L46"/>
  <c r="BM44" i="2"/>
  <c r="AE43" i="10"/>
  <c r="T44"/>
  <c r="Q45"/>
  <c r="AG43" i="2"/>
  <c r="AF43" i="10" s="1"/>
  <c r="AG43" s="1"/>
  <c r="AC47" i="2"/>
  <c r="H47" i="10"/>
  <c r="BH48" i="2"/>
  <c r="J47" s="1"/>
  <c r="I47" i="10" s="1"/>
  <c r="BC47" i="2"/>
  <c r="E46" s="1"/>
  <c r="H46" s="1"/>
  <c r="G46"/>
  <c r="Q46" s="1"/>
  <c r="P46" i="10" s="1"/>
  <c r="BG49" i="2"/>
  <c r="BB48"/>
  <c r="I48"/>
  <c r="H48" i="10" s="1"/>
  <c r="BJ49" i="2"/>
  <c r="BF50"/>
  <c r="BI49"/>
  <c r="K48" s="1"/>
  <c r="J48" i="10" s="1"/>
  <c r="AF44" i="2"/>
  <c r="BN75"/>
  <c r="BN76" s="1"/>
  <c r="BN77" s="1"/>
  <c r="BN78" s="1"/>
  <c r="BN79" s="1"/>
  <c r="BN80" s="1"/>
  <c r="BN81" s="1"/>
  <c r="BN82" s="1"/>
  <c r="BN83" s="1"/>
  <c r="BN84" s="1"/>
  <c r="BN85" s="1"/>
  <c r="BN86" s="1"/>
  <c r="BN87" s="1"/>
  <c r="BN88" s="1"/>
  <c r="BN89" s="1"/>
  <c r="BN90" s="1"/>
  <c r="BN91" s="1"/>
  <c r="BN92" s="1"/>
  <c r="BN93" s="1"/>
  <c r="R45"/>
  <c r="AH42"/>
  <c r="N46"/>
  <c r="M46" i="10" s="1"/>
  <c r="S46" i="2"/>
  <c r="R46" i="10" s="1"/>
  <c r="U45" i="2"/>
  <c r="P46"/>
  <c r="O46" i="10" s="1"/>
  <c r="BD48" i="2"/>
  <c r="F47" s="1"/>
  <c r="BA49"/>
  <c r="D47"/>
  <c r="K47" i="10" s="1"/>
  <c r="A46"/>
  <c r="A47" i="2"/>
  <c r="B47" s="1"/>
  <c r="O46" l="1"/>
  <c r="N46" i="10" s="1"/>
  <c r="G45"/>
  <c r="AB47" i="2"/>
  <c r="X47" i="10" s="1"/>
  <c r="E47"/>
  <c r="C47"/>
  <c r="F46"/>
  <c r="D46"/>
  <c r="AD46" i="2"/>
  <c r="Z46" i="10" s="1"/>
  <c r="X46"/>
  <c r="Y47"/>
  <c r="U47"/>
  <c r="X47" i="2"/>
  <c r="W47" i="10" s="1"/>
  <c r="V48" i="2"/>
  <c r="M47"/>
  <c r="AD47"/>
  <c r="BM45"/>
  <c r="AE44" i="10"/>
  <c r="T45"/>
  <c r="Q46"/>
  <c r="L47"/>
  <c r="AG44" i="2"/>
  <c r="AF44" i="10" s="1"/>
  <c r="AG44" s="1"/>
  <c r="AC48" i="2"/>
  <c r="T47"/>
  <c r="S47" i="10" s="1"/>
  <c r="BH49" i="2"/>
  <c r="J48" s="1"/>
  <c r="I48" i="10" s="1"/>
  <c r="L48" i="2"/>
  <c r="BC48"/>
  <c r="E47" s="1"/>
  <c r="G47"/>
  <c r="Q47" s="1"/>
  <c r="P47" i="10" s="1"/>
  <c r="BG50" i="2"/>
  <c r="BB49"/>
  <c r="I49"/>
  <c r="BI50"/>
  <c r="K49" s="1"/>
  <c r="J49" i="10" s="1"/>
  <c r="BF51" i="2"/>
  <c r="BJ50"/>
  <c r="T48"/>
  <c r="S48" i="10" s="1"/>
  <c r="S47" i="2"/>
  <c r="R47" i="10" s="1"/>
  <c r="N47" i="2"/>
  <c r="M47" i="10" s="1"/>
  <c r="P47" i="2"/>
  <c r="O47" i="10" s="1"/>
  <c r="AF45" i="2"/>
  <c r="BD49"/>
  <c r="F48" s="1"/>
  <c r="BA50"/>
  <c r="D48"/>
  <c r="R46"/>
  <c r="O47"/>
  <c r="N47" i="10" s="1"/>
  <c r="Q47" s="1"/>
  <c r="U46" i="2"/>
  <c r="AH43"/>
  <c r="A47" i="10"/>
  <c r="A48" i="2"/>
  <c r="B48" s="1"/>
  <c r="D47" i="10" l="1"/>
  <c r="F47"/>
  <c r="Y48"/>
  <c r="Z47"/>
  <c r="G46"/>
  <c r="AB48" i="2"/>
  <c r="X48" i="10" s="1"/>
  <c r="C48"/>
  <c r="E48"/>
  <c r="K48"/>
  <c r="L48" s="1"/>
  <c r="H47" i="2"/>
  <c r="R47" s="1"/>
  <c r="U48" i="10"/>
  <c r="V49" i="2"/>
  <c r="X48"/>
  <c r="W48" i="10" s="1"/>
  <c r="BM46" i="2"/>
  <c r="AE45" i="10"/>
  <c r="M48" i="2"/>
  <c r="AG45"/>
  <c r="AF45" i="10" s="1"/>
  <c r="AG45" s="1"/>
  <c r="AC49" i="2"/>
  <c r="H49" i="10"/>
  <c r="T46"/>
  <c r="BH50" i="2"/>
  <c r="J49" s="1"/>
  <c r="I49" i="10" s="1"/>
  <c r="L49" i="2"/>
  <c r="BC49"/>
  <c r="E48" s="1"/>
  <c r="G48"/>
  <c r="Q48" s="1"/>
  <c r="P48" i="10" s="1"/>
  <c r="BG51" i="2"/>
  <c r="BB50"/>
  <c r="I50"/>
  <c r="BJ51"/>
  <c r="BI51"/>
  <c r="K50" s="1"/>
  <c r="J50" i="10" s="1"/>
  <c r="BF52" i="2"/>
  <c r="O48"/>
  <c r="N48" i="10" s="1"/>
  <c r="U47" i="2"/>
  <c r="N48"/>
  <c r="M48" i="10" s="1"/>
  <c r="S48" i="2"/>
  <c r="R48" i="10" s="1"/>
  <c r="AF46" i="2"/>
  <c r="P48"/>
  <c r="O48" i="10" s="1"/>
  <c r="AH44" i="2"/>
  <c r="BA51"/>
  <c r="BD50"/>
  <c r="F49" s="1"/>
  <c r="D49"/>
  <c r="A48" i="10"/>
  <c r="A49" i="2"/>
  <c r="B49" s="1"/>
  <c r="G47" i="10" l="1"/>
  <c r="H48" i="2"/>
  <c r="R48" s="1"/>
  <c r="K49" i="10"/>
  <c r="Y49"/>
  <c r="D48"/>
  <c r="F48"/>
  <c r="AB49" i="2"/>
  <c r="X49" i="10" s="1"/>
  <c r="C49"/>
  <c r="E49"/>
  <c r="AD48" i="2"/>
  <c r="Z48" i="10" s="1"/>
  <c r="U49"/>
  <c r="V50" i="2"/>
  <c r="X49"/>
  <c r="W49" i="10" s="1"/>
  <c r="T49" i="2"/>
  <c r="S49" i="10" s="1"/>
  <c r="AD49" i="2"/>
  <c r="L49" i="10"/>
  <c r="BM47" i="2"/>
  <c r="AE46" i="10"/>
  <c r="AC50" i="2"/>
  <c r="H50" i="10"/>
  <c r="Q48"/>
  <c r="AG46" i="2"/>
  <c r="AF46" i="10" s="1"/>
  <c r="AG46" s="1"/>
  <c r="T47"/>
  <c r="M49" i="2"/>
  <c r="BH51"/>
  <c r="J50" s="1"/>
  <c r="I50" i="10" s="1"/>
  <c r="L50" i="2"/>
  <c r="K50" i="10" s="1"/>
  <c r="BC50" i="2"/>
  <c r="E49" s="1"/>
  <c r="G49"/>
  <c r="Q49" s="1"/>
  <c r="P49" i="10" s="1"/>
  <c r="BG52" i="2"/>
  <c r="BB51"/>
  <c r="I51"/>
  <c r="BI52"/>
  <c r="K51" s="1"/>
  <c r="J51" i="10" s="1"/>
  <c r="BF53" i="2"/>
  <c r="BJ52"/>
  <c r="AF47"/>
  <c r="U48"/>
  <c r="P49"/>
  <c r="O49" i="10" s="1"/>
  <c r="N49" i="2"/>
  <c r="M49" i="10" s="1"/>
  <c r="S49" i="2"/>
  <c r="R49" i="10" s="1"/>
  <c r="AH45" i="2"/>
  <c r="BD51"/>
  <c r="F50" s="1"/>
  <c r="BA52"/>
  <c r="D50"/>
  <c r="A49" i="10"/>
  <c r="A50" i="2"/>
  <c r="B50" s="1"/>
  <c r="G48" i="10" l="1"/>
  <c r="H49" i="2"/>
  <c r="Y50" i="10"/>
  <c r="Z49"/>
  <c r="F49"/>
  <c r="D49"/>
  <c r="AB50" i="2"/>
  <c r="E50" i="10"/>
  <c r="C50"/>
  <c r="O49" i="2"/>
  <c r="N49" i="10" s="1"/>
  <c r="Q49" s="1"/>
  <c r="U50"/>
  <c r="V51" i="2"/>
  <c r="X50"/>
  <c r="W50" i="10" s="1"/>
  <c r="L50"/>
  <c r="T48"/>
  <c r="M50" i="2"/>
  <c r="BM48"/>
  <c r="AE47" i="10"/>
  <c r="AC51" i="2"/>
  <c r="H51" i="10"/>
  <c r="AG47" i="2"/>
  <c r="AF47" i="10" s="1"/>
  <c r="AG47" s="1"/>
  <c r="T50" i="2"/>
  <c r="S50" i="10" s="1"/>
  <c r="BC51" i="2"/>
  <c r="E50" s="1"/>
  <c r="G50"/>
  <c r="Q50" s="1"/>
  <c r="P50" i="10" s="1"/>
  <c r="BH52" i="2"/>
  <c r="J51" s="1"/>
  <c r="I51" i="10" s="1"/>
  <c r="L51" i="2"/>
  <c r="BG53"/>
  <c r="BB52"/>
  <c r="I52"/>
  <c r="H52" i="10" s="1"/>
  <c r="BF54" i="2"/>
  <c r="BJ53"/>
  <c r="BI53"/>
  <c r="K52" s="1"/>
  <c r="J52" i="10" s="1"/>
  <c r="P50" i="2"/>
  <c r="O50" i="10" s="1"/>
  <c r="AF48" i="2"/>
  <c r="BD52"/>
  <c r="F51" s="1"/>
  <c r="BA53"/>
  <c r="D51"/>
  <c r="AH46"/>
  <c r="S50"/>
  <c r="R50" i="10" s="1"/>
  <c r="N50" i="2"/>
  <c r="M50" i="10" s="1"/>
  <c r="R49" i="2"/>
  <c r="U49"/>
  <c r="A50" i="10"/>
  <c r="A51" i="2"/>
  <c r="B51" s="1"/>
  <c r="H50" l="1"/>
  <c r="R50" s="1"/>
  <c r="AD50"/>
  <c r="Z50" i="10" s="1"/>
  <c r="X50"/>
  <c r="K51"/>
  <c r="L51" s="1"/>
  <c r="F50"/>
  <c r="D50"/>
  <c r="Y51"/>
  <c r="AB51" i="2"/>
  <c r="X51" i="10" s="1"/>
  <c r="E51"/>
  <c r="C51"/>
  <c r="G49"/>
  <c r="U51"/>
  <c r="V52" i="2"/>
  <c r="X51"/>
  <c r="W51" i="10" s="1"/>
  <c r="T49"/>
  <c r="BM49" i="2"/>
  <c r="AE48" i="10"/>
  <c r="M51" i="2"/>
  <c r="AG48"/>
  <c r="AF48" i="10" s="1"/>
  <c r="AG48" s="1"/>
  <c r="O50" i="2"/>
  <c r="N50" i="10" s="1"/>
  <c r="Q50" s="1"/>
  <c r="AC52" i="2"/>
  <c r="BC52"/>
  <c r="E51" s="1"/>
  <c r="O51" s="1"/>
  <c r="N51" i="10" s="1"/>
  <c r="G51" i="2"/>
  <c r="T51"/>
  <c r="S51" i="10" s="1"/>
  <c r="BH53" i="2"/>
  <c r="J52" s="1"/>
  <c r="I52" i="10" s="1"/>
  <c r="L52" i="2"/>
  <c r="Q51"/>
  <c r="P51" i="10" s="1"/>
  <c r="BG54" i="2"/>
  <c r="BB53"/>
  <c r="BI54"/>
  <c r="K53" s="1"/>
  <c r="J53" i="10" s="1"/>
  <c r="BF55" i="2"/>
  <c r="I53"/>
  <c r="BJ54"/>
  <c r="BD53"/>
  <c r="F52" s="1"/>
  <c r="BA54"/>
  <c r="D52"/>
  <c r="AH47"/>
  <c r="N51"/>
  <c r="M51" i="10" s="1"/>
  <c r="S51" i="2"/>
  <c r="R51" i="10" s="1"/>
  <c r="AF49" i="2"/>
  <c r="AG49" s="1"/>
  <c r="AF49" i="10" s="1"/>
  <c r="AG49" s="1"/>
  <c r="U50" i="2"/>
  <c r="P51"/>
  <c r="O51" i="10" s="1"/>
  <c r="A52" i="2"/>
  <c r="B52" s="1"/>
  <c r="A51" i="10"/>
  <c r="G50" l="1"/>
  <c r="H51" i="2"/>
  <c r="AD51"/>
  <c r="AB52"/>
  <c r="X52" i="10" s="1"/>
  <c r="C52"/>
  <c r="E52"/>
  <c r="Y52"/>
  <c r="D51"/>
  <c r="F51"/>
  <c r="K52"/>
  <c r="L52" s="1"/>
  <c r="Z51"/>
  <c r="Q51"/>
  <c r="U52"/>
  <c r="X52" i="2"/>
  <c r="W52" i="10" s="1"/>
  <c r="V53" i="2"/>
  <c r="BM50"/>
  <c r="AE49" i="10"/>
  <c r="M52" i="2"/>
  <c r="AC53"/>
  <c r="H53" i="10"/>
  <c r="T50"/>
  <c r="AD52" i="2"/>
  <c r="T52"/>
  <c r="S52" i="10" s="1"/>
  <c r="BH54" i="2"/>
  <c r="J53" s="1"/>
  <c r="I53" i="10" s="1"/>
  <c r="L53" i="2"/>
  <c r="BC53"/>
  <c r="E52" s="1"/>
  <c r="G52"/>
  <c r="Q52" s="1"/>
  <c r="P52" i="10" s="1"/>
  <c r="BG55" i="2"/>
  <c r="L54" s="1"/>
  <c r="BB54"/>
  <c r="I54"/>
  <c r="BJ55"/>
  <c r="BI55"/>
  <c r="K54" s="1"/>
  <c r="J54" i="10" s="1"/>
  <c r="BF56" i="2"/>
  <c r="T53"/>
  <c r="S53" i="10" s="1"/>
  <c r="AH48" i="2"/>
  <c r="U51"/>
  <c r="BA55"/>
  <c r="BD54"/>
  <c r="F53" s="1"/>
  <c r="D53"/>
  <c r="R51"/>
  <c r="N52"/>
  <c r="M52" i="10" s="1"/>
  <c r="S52" i="2"/>
  <c r="R52" i="10" s="1"/>
  <c r="AF50" i="2"/>
  <c r="AG50" s="1"/>
  <c r="AF50" i="10" s="1"/>
  <c r="AG50" s="1"/>
  <c r="P52" i="2"/>
  <c r="O52" i="10" s="1"/>
  <c r="A52"/>
  <c r="A53" i="2"/>
  <c r="B53" s="1"/>
  <c r="G51" i="10" l="1"/>
  <c r="D52"/>
  <c r="G52" s="1"/>
  <c r="F52"/>
  <c r="Z52"/>
  <c r="Y53"/>
  <c r="AB53" i="2"/>
  <c r="C53" i="10"/>
  <c r="E53"/>
  <c r="H52" i="2"/>
  <c r="O52"/>
  <c r="N52" i="10" s="1"/>
  <c r="K53"/>
  <c r="U53"/>
  <c r="V54" i="2"/>
  <c r="X53"/>
  <c r="W53" i="10" s="1"/>
  <c r="L53"/>
  <c r="AC54" i="2"/>
  <c r="H54" i="10"/>
  <c r="M53" i="2"/>
  <c r="BM51"/>
  <c r="AE50" i="10"/>
  <c r="T51"/>
  <c r="Q52"/>
  <c r="BH55" i="2"/>
  <c r="J54" s="1"/>
  <c r="I54" i="10" s="1"/>
  <c r="BC54" i="2"/>
  <c r="E53" s="1"/>
  <c r="G53"/>
  <c r="Q53" s="1"/>
  <c r="P53" i="10" s="1"/>
  <c r="BG56" i="2"/>
  <c r="BB55"/>
  <c r="I55"/>
  <c r="BI56"/>
  <c r="K55" s="1"/>
  <c r="J55" i="10" s="1"/>
  <c r="BJ56" i="2"/>
  <c r="BF57"/>
  <c r="T54"/>
  <c r="S54" i="10" s="1"/>
  <c r="R52" i="2"/>
  <c r="AH49"/>
  <c r="P53"/>
  <c r="O53" i="10" s="1"/>
  <c r="U52" i="2"/>
  <c r="S53"/>
  <c r="R53" i="10" s="1"/>
  <c r="N53" i="2"/>
  <c r="M53" i="10" s="1"/>
  <c r="AF51" i="2"/>
  <c r="O53"/>
  <c r="N53" i="10" s="1"/>
  <c r="BD55" i="2"/>
  <c r="F54" s="1"/>
  <c r="D54"/>
  <c r="BA56"/>
  <c r="A53" i="10"/>
  <c r="A54" i="2"/>
  <c r="B54" s="1"/>
  <c r="F53" i="10" l="1"/>
  <c r="D53"/>
  <c r="AD53" i="2"/>
  <c r="Z53" i="10" s="1"/>
  <c r="X53"/>
  <c r="Y54"/>
  <c r="H53" i="2"/>
  <c r="AB54"/>
  <c r="X54" i="10" s="1"/>
  <c r="E54"/>
  <c r="C54"/>
  <c r="K54"/>
  <c r="L54" s="1"/>
  <c r="U54"/>
  <c r="V55" i="2"/>
  <c r="X54"/>
  <c r="W54" i="10" s="1"/>
  <c r="BM52" i="2"/>
  <c r="AE51" i="10"/>
  <c r="T52"/>
  <c r="AC55" i="2"/>
  <c r="H55" i="10"/>
  <c r="Q53"/>
  <c r="M54" i="2"/>
  <c r="AG51"/>
  <c r="AF51" i="10" s="1"/>
  <c r="AG51" s="1"/>
  <c r="AD54" i="2"/>
  <c r="BH56"/>
  <c r="J55" s="1"/>
  <c r="I55" i="10" s="1"/>
  <c r="L55" i="2"/>
  <c r="BC55"/>
  <c r="E54" s="1"/>
  <c r="G54"/>
  <c r="Q54" s="1"/>
  <c r="P54" i="10" s="1"/>
  <c r="BG57" i="2"/>
  <c r="L56" s="1"/>
  <c r="BB56"/>
  <c r="BI57"/>
  <c r="K56" s="1"/>
  <c r="J56" i="10" s="1"/>
  <c r="BF58" i="2"/>
  <c r="I56"/>
  <c r="H56" i="10" s="1"/>
  <c r="BJ57" i="2"/>
  <c r="AF52"/>
  <c r="AE52" i="10" s="1"/>
  <c r="P54" i="2"/>
  <c r="O54" i="10" s="1"/>
  <c r="AH50" i="2"/>
  <c r="R53"/>
  <c r="N54"/>
  <c r="M54" i="10" s="1"/>
  <c r="S54" i="2"/>
  <c r="R54" i="10" s="1"/>
  <c r="U53" i="2"/>
  <c r="BD56"/>
  <c r="F55" s="1"/>
  <c r="BA57"/>
  <c r="D55"/>
  <c r="A55"/>
  <c r="B55" s="1"/>
  <c r="A54" i="10"/>
  <c r="H54" i="2" l="1"/>
  <c r="O54"/>
  <c r="N54" i="10" s="1"/>
  <c r="AB55" i="2"/>
  <c r="X55" i="10" s="1"/>
  <c r="E55"/>
  <c r="C55"/>
  <c r="K55"/>
  <c r="L55" s="1"/>
  <c r="G53"/>
  <c r="F54"/>
  <c r="D54"/>
  <c r="G54" s="1"/>
  <c r="Y55"/>
  <c r="Z54"/>
  <c r="U55"/>
  <c r="X55" i="2"/>
  <c r="W55" i="10" s="1"/>
  <c r="V56" i="2"/>
  <c r="Q54" i="10"/>
  <c r="T53"/>
  <c r="M55" i="2"/>
  <c r="AG52"/>
  <c r="AF52" i="10" s="1"/>
  <c r="AG52" s="1"/>
  <c r="AC56" i="2"/>
  <c r="T55"/>
  <c r="S55" i="10" s="1"/>
  <c r="BH57" i="2"/>
  <c r="J56" s="1"/>
  <c r="I56" i="10" s="1"/>
  <c r="BC56" i="2"/>
  <c r="E55" s="1"/>
  <c r="O55" s="1"/>
  <c r="N55" i="10" s="1"/>
  <c r="G55" i="2"/>
  <c r="Q55" s="1"/>
  <c r="P55" i="10" s="1"/>
  <c r="BM53" i="2"/>
  <c r="BG58"/>
  <c r="BB57"/>
  <c r="I57"/>
  <c r="BI58"/>
  <c r="K57" s="1"/>
  <c r="J57" i="10" s="1"/>
  <c r="BF59" i="2"/>
  <c r="BJ58"/>
  <c r="T56"/>
  <c r="S56" i="10" s="1"/>
  <c r="BA58" i="2"/>
  <c r="BD57"/>
  <c r="F56" s="1"/>
  <c r="D56"/>
  <c r="K56" i="10" s="1"/>
  <c r="AF53" i="2"/>
  <c r="AE53" i="10" s="1"/>
  <c r="S55" i="2"/>
  <c r="R55" i="10" s="1"/>
  <c r="N55" i="2"/>
  <c r="M55" i="10" s="1"/>
  <c r="AH51" i="2"/>
  <c r="P55"/>
  <c r="O55" i="10" s="1"/>
  <c r="U54" i="2"/>
  <c r="R54"/>
  <c r="A55" i="10"/>
  <c r="A56" i="2"/>
  <c r="B56" s="1"/>
  <c r="AD55" l="1"/>
  <c r="Z55" i="10" s="1"/>
  <c r="Y56"/>
  <c r="L56"/>
  <c r="AB56" i="2"/>
  <c r="C56" i="10"/>
  <c r="E56"/>
  <c r="D55"/>
  <c r="F55"/>
  <c r="H55" i="2"/>
  <c r="R55" s="1"/>
  <c r="U56" i="10"/>
  <c r="X56" i="2"/>
  <c r="W56" i="10" s="1"/>
  <c r="V57" i="2"/>
  <c r="T54" i="10"/>
  <c r="M56" i="2"/>
  <c r="AG53"/>
  <c r="AF53" i="10" s="1"/>
  <c r="AG53" s="1"/>
  <c r="AC57" i="2"/>
  <c r="H57" i="10"/>
  <c r="Q55"/>
  <c r="BC57" i="2"/>
  <c r="E56" s="1"/>
  <c r="G56"/>
  <c r="Q56" s="1"/>
  <c r="P56" i="10" s="1"/>
  <c r="BM54" i="2"/>
  <c r="BH58"/>
  <c r="J57" s="1"/>
  <c r="I57" i="10" s="1"/>
  <c r="L57" i="2"/>
  <c r="BG59"/>
  <c r="L58" s="1"/>
  <c r="BB58"/>
  <c r="I58"/>
  <c r="BJ59"/>
  <c r="BI59"/>
  <c r="K58" s="1"/>
  <c r="J58" i="10" s="1"/>
  <c r="BF60" i="2"/>
  <c r="AF54"/>
  <c r="AH52"/>
  <c r="O56"/>
  <c r="N56" i="10" s="1"/>
  <c r="BD58" i="2"/>
  <c r="F57" s="1"/>
  <c r="BA59"/>
  <c r="D57"/>
  <c r="U55"/>
  <c r="P56"/>
  <c r="O56" i="10" s="1"/>
  <c r="N56" i="2"/>
  <c r="M56" i="10" s="1"/>
  <c r="S56" i="2"/>
  <c r="R56" i="10" s="1"/>
  <c r="A56"/>
  <c r="A57" i="2"/>
  <c r="B57" s="1"/>
  <c r="K57" i="10" l="1"/>
  <c r="H56" i="2"/>
  <c r="R56" s="1"/>
  <c r="G55" i="10"/>
  <c r="D56"/>
  <c r="F56"/>
  <c r="AB57" i="2"/>
  <c r="C57" i="10"/>
  <c r="E57"/>
  <c r="AD56" i="2"/>
  <c r="Z56" i="10" s="1"/>
  <c r="X56"/>
  <c r="Y57"/>
  <c r="U57"/>
  <c r="X57" i="2"/>
  <c r="W57" i="10" s="1"/>
  <c r="V58" i="2"/>
  <c r="Q56" i="10"/>
  <c r="T55"/>
  <c r="BM55" i="2"/>
  <c r="AE54" i="10"/>
  <c r="AC58" i="2"/>
  <c r="H58" i="10"/>
  <c r="L57"/>
  <c r="AG54" i="2"/>
  <c r="AF54" i="10" s="1"/>
  <c r="AG54" s="1"/>
  <c r="M57" i="2"/>
  <c r="T57"/>
  <c r="S57" i="10" s="1"/>
  <c r="BH59" i="2"/>
  <c r="J58" s="1"/>
  <c r="I58" i="10" s="1"/>
  <c r="BC58" i="2"/>
  <c r="E57" s="1"/>
  <c r="G57"/>
  <c r="Q57" s="1"/>
  <c r="P57" i="10" s="1"/>
  <c r="BG60" i="2"/>
  <c r="BB59"/>
  <c r="I59"/>
  <c r="BI60"/>
  <c r="K59" s="1"/>
  <c r="J59" i="10" s="1"/>
  <c r="BF61" i="2"/>
  <c r="BJ60"/>
  <c r="T58"/>
  <c r="S58" i="10" s="1"/>
  <c r="P57" i="2"/>
  <c r="O57" i="10" s="1"/>
  <c r="AH53" i="2"/>
  <c r="AF55"/>
  <c r="U56"/>
  <c r="BD59"/>
  <c r="F58" s="1"/>
  <c r="BA60"/>
  <c r="D58"/>
  <c r="K58" i="10" s="1"/>
  <c r="N57" i="2"/>
  <c r="M57" i="10" s="1"/>
  <c r="S57" i="2"/>
  <c r="R57" i="10" s="1"/>
  <c r="A57"/>
  <c r="A58" i="2"/>
  <c r="B58" s="1"/>
  <c r="G56" i="10" l="1"/>
  <c r="F57"/>
  <c r="D57"/>
  <c r="H57" i="2"/>
  <c r="AB58"/>
  <c r="X58" i="10" s="1"/>
  <c r="E58"/>
  <c r="C58"/>
  <c r="Y58"/>
  <c r="O57" i="2"/>
  <c r="N57" i="10" s="1"/>
  <c r="Q57" s="1"/>
  <c r="AD57" i="2"/>
  <c r="Z57" i="10" s="1"/>
  <c r="X57"/>
  <c r="U58"/>
  <c r="V59" i="2"/>
  <c r="X58"/>
  <c r="W58" i="10" s="1"/>
  <c r="M58" i="2"/>
  <c r="BM56"/>
  <c r="AE55" i="10"/>
  <c r="T56"/>
  <c r="L58"/>
  <c r="AG55" i="2"/>
  <c r="AF55" i="10" s="1"/>
  <c r="AG55" s="1"/>
  <c r="AD58" i="2"/>
  <c r="Z58" i="10" s="1"/>
  <c r="AC59" i="2"/>
  <c r="H59" i="10"/>
  <c r="BH60" i="2"/>
  <c r="J59" s="1"/>
  <c r="I59" i="10" s="1"/>
  <c r="L59" i="2"/>
  <c r="BC59"/>
  <c r="E58" s="1"/>
  <c r="O58" s="1"/>
  <c r="N58" i="10" s="1"/>
  <c r="G58" i="2"/>
  <c r="Q58" s="1"/>
  <c r="P58" i="10" s="1"/>
  <c r="BG61" i="2"/>
  <c r="L60" s="1"/>
  <c r="BB60"/>
  <c r="BF62"/>
  <c r="I60"/>
  <c r="H60" i="10" s="1"/>
  <c r="BI61" i="2"/>
  <c r="K60" s="1"/>
  <c r="J60" i="10" s="1"/>
  <c r="BJ61" i="2"/>
  <c r="U57"/>
  <c r="R57"/>
  <c r="BD60"/>
  <c r="F59" s="1"/>
  <c r="BA61"/>
  <c r="D59"/>
  <c r="AF56"/>
  <c r="S58"/>
  <c r="R58" i="10" s="1"/>
  <c r="N58" i="2"/>
  <c r="M58" i="10" s="1"/>
  <c r="AH54" i="2"/>
  <c r="P58"/>
  <c r="O58" i="10" s="1"/>
  <c r="A58"/>
  <c r="A59" i="2"/>
  <c r="B59" s="1"/>
  <c r="G57" i="10" l="1"/>
  <c r="K59"/>
  <c r="L59" s="1"/>
  <c r="AB59" i="2"/>
  <c r="E59" i="10"/>
  <c r="C59"/>
  <c r="F58"/>
  <c r="D58"/>
  <c r="Y59"/>
  <c r="H58" i="2"/>
  <c r="U59" i="10"/>
  <c r="X59" i="2"/>
  <c r="W59" i="10" s="1"/>
  <c r="V60" i="2"/>
  <c r="BM57"/>
  <c r="AE56" i="10"/>
  <c r="Q58"/>
  <c r="T57"/>
  <c r="M59" i="2"/>
  <c r="AG56"/>
  <c r="AF56" i="10" s="1"/>
  <c r="AG56" s="1"/>
  <c r="AC60" i="2"/>
  <c r="T59"/>
  <c r="S59" i="10" s="1"/>
  <c r="BH61" i="2"/>
  <c r="J60" s="1"/>
  <c r="I60" i="10" s="1"/>
  <c r="BC60" i="2"/>
  <c r="E59" s="1"/>
  <c r="H59" s="1"/>
  <c r="G59"/>
  <c r="Q59" s="1"/>
  <c r="P59" i="10" s="1"/>
  <c r="BG62" i="2"/>
  <c r="L61" s="1"/>
  <c r="BB61"/>
  <c r="I61"/>
  <c r="BF63"/>
  <c r="BI62"/>
  <c r="K61" s="1"/>
  <c r="J61" i="10" s="1"/>
  <c r="BJ62" i="2"/>
  <c r="U58"/>
  <c r="P59"/>
  <c r="O59" i="10" s="1"/>
  <c r="BD61" i="2"/>
  <c r="F60" s="1"/>
  <c r="BA62"/>
  <c r="D60"/>
  <c r="K60" i="10" s="1"/>
  <c r="AH55" i="2"/>
  <c r="R58"/>
  <c r="S59"/>
  <c r="R59" i="10" s="1"/>
  <c r="N59" i="2"/>
  <c r="M59" i="10" s="1"/>
  <c r="AF57" i="2"/>
  <c r="AG57" s="1"/>
  <c r="AF57" i="10" s="1"/>
  <c r="AG57" s="1"/>
  <c r="A59"/>
  <c r="A60" i="2"/>
  <c r="B60" s="1"/>
  <c r="O59" l="1"/>
  <c r="N59" i="10" s="1"/>
  <c r="G58"/>
  <c r="AD59" i="2"/>
  <c r="Z59" i="10" s="1"/>
  <c r="X59"/>
  <c r="Y60"/>
  <c r="L60"/>
  <c r="AB60" i="2"/>
  <c r="C60" i="10"/>
  <c r="E60"/>
  <c r="D59"/>
  <c r="F59"/>
  <c r="U60"/>
  <c r="V61" i="2"/>
  <c r="X60"/>
  <c r="W60" i="10" s="1"/>
  <c r="M60" i="2"/>
  <c r="BM58"/>
  <c r="AE57" i="10"/>
  <c r="Q59"/>
  <c r="T58"/>
  <c r="AC61" i="2"/>
  <c r="H61" i="10"/>
  <c r="T60" i="2"/>
  <c r="S60" i="10" s="1"/>
  <c r="BH62" i="2"/>
  <c r="J61" s="1"/>
  <c r="I61" i="10" s="1"/>
  <c r="BC61" i="2"/>
  <c r="E60" s="1"/>
  <c r="G60"/>
  <c r="Q60" s="1"/>
  <c r="P60" i="10" s="1"/>
  <c r="BG63" i="2"/>
  <c r="L62" s="1"/>
  <c r="BB62"/>
  <c r="T61"/>
  <c r="S61" i="10" s="1"/>
  <c r="BF64" i="2"/>
  <c r="BI63"/>
  <c r="K62" s="1"/>
  <c r="J62" i="10" s="1"/>
  <c r="I62" i="2"/>
  <c r="BJ63"/>
  <c r="AF58"/>
  <c r="AG58" s="1"/>
  <c r="AF58" i="10" s="1"/>
  <c r="AG58" s="1"/>
  <c r="AH56" i="2"/>
  <c r="P60"/>
  <c r="O60" i="10" s="1"/>
  <c r="BD62" i="2"/>
  <c r="F61" s="1"/>
  <c r="D61"/>
  <c r="K61" i="10" s="1"/>
  <c r="BA63" i="2"/>
  <c r="U59"/>
  <c r="O60"/>
  <c r="N60" i="10" s="1"/>
  <c r="R59" i="2"/>
  <c r="N60"/>
  <c r="M60" i="10" s="1"/>
  <c r="S60" i="2"/>
  <c r="R60" i="10" s="1"/>
  <c r="A60"/>
  <c r="A61" i="2"/>
  <c r="B61" s="1"/>
  <c r="G59" i="10" l="1"/>
  <c r="AB61" i="2"/>
  <c r="C61" i="10"/>
  <c r="E61"/>
  <c r="AD60" i="2"/>
  <c r="Z60" i="10" s="1"/>
  <c r="X60"/>
  <c r="D60"/>
  <c r="F60"/>
  <c r="Y61"/>
  <c r="H60" i="2"/>
  <c r="U61" i="10"/>
  <c r="X61" i="2"/>
  <c r="W61" i="10" s="1"/>
  <c r="V62" i="2"/>
  <c r="L61" i="10"/>
  <c r="T59"/>
  <c r="AC62" i="2"/>
  <c r="H62" i="10"/>
  <c r="M61" i="2"/>
  <c r="Q60" i="10"/>
  <c r="BM59" i="2"/>
  <c r="AE58" i="10"/>
  <c r="BH63" i="2"/>
  <c r="J62" s="1"/>
  <c r="I62" i="10" s="1"/>
  <c r="BC62" i="2"/>
  <c r="E61" s="1"/>
  <c r="G61"/>
  <c r="Q61" s="1"/>
  <c r="P61" i="10" s="1"/>
  <c r="BG64" i="2"/>
  <c r="L63" s="1"/>
  <c r="BB63"/>
  <c r="BI64"/>
  <c r="K63" s="1"/>
  <c r="J63" i="10" s="1"/>
  <c r="I63" i="2"/>
  <c r="BF65"/>
  <c r="BJ64"/>
  <c r="P61"/>
  <c r="O61" i="10" s="1"/>
  <c r="AH57" i="2"/>
  <c r="U60"/>
  <c r="AF59"/>
  <c r="N61"/>
  <c r="M61" i="10" s="1"/>
  <c r="S61" i="2"/>
  <c r="R61" i="10" s="1"/>
  <c r="BD63" i="2"/>
  <c r="F62" s="1"/>
  <c r="D62"/>
  <c r="K62" i="10" s="1"/>
  <c r="BA64" i="2"/>
  <c r="R60"/>
  <c r="O61"/>
  <c r="N61" i="10" s="1"/>
  <c r="A61"/>
  <c r="A62" i="2"/>
  <c r="B62" s="1"/>
  <c r="Y62" i="10" l="1"/>
  <c r="H61" i="2"/>
  <c r="R61" s="1"/>
  <c r="AD61"/>
  <c r="Z61" i="10" s="1"/>
  <c r="X61"/>
  <c r="AB62" i="2"/>
  <c r="E62" i="10"/>
  <c r="C62"/>
  <c r="F61"/>
  <c r="D61"/>
  <c r="G60"/>
  <c r="U62"/>
  <c r="X62" i="2"/>
  <c r="W62" i="10" s="1"/>
  <c r="V63" i="2"/>
  <c r="Q61" i="10"/>
  <c r="BH64" i="2"/>
  <c r="J63" s="1"/>
  <c r="I63" i="10" s="1"/>
  <c r="I92" s="1"/>
  <c r="T60"/>
  <c r="BM60" i="2"/>
  <c r="AE59" i="10"/>
  <c r="M62" i="2"/>
  <c r="AG59"/>
  <c r="AF59" i="10" s="1"/>
  <c r="AG59" s="1"/>
  <c r="J92"/>
  <c r="AC63" i="2"/>
  <c r="H63" i="10"/>
  <c r="H92" s="1"/>
  <c r="L62"/>
  <c r="M63" i="2"/>
  <c r="T62"/>
  <c r="S62" i="10" s="1"/>
  <c r="BC63" i="2"/>
  <c r="E62" s="1"/>
  <c r="O62" s="1"/>
  <c r="N62" i="10" s="1"/>
  <c r="G62" i="2"/>
  <c r="Q62" s="1"/>
  <c r="P62" i="10" s="1"/>
  <c r="BP63" i="2"/>
  <c r="V65"/>
  <c r="BG65"/>
  <c r="BB64"/>
  <c r="BI65"/>
  <c r="K64" s="1"/>
  <c r="I64"/>
  <c r="BF66"/>
  <c r="BJ65"/>
  <c r="AF60"/>
  <c r="AG60" s="1"/>
  <c r="AF60" i="10" s="1"/>
  <c r="AG60" s="1"/>
  <c r="U61" i="2"/>
  <c r="BD64"/>
  <c r="F63" s="1"/>
  <c r="D63"/>
  <c r="K63" i="10" s="1"/>
  <c r="K92" s="1"/>
  <c r="BA65" i="2"/>
  <c r="AH58"/>
  <c r="P62"/>
  <c r="O62" i="10" s="1"/>
  <c r="AE62" i="2"/>
  <c r="N62"/>
  <c r="M62" i="10" s="1"/>
  <c r="BT61" i="2"/>
  <c r="BS63"/>
  <c r="BQ63"/>
  <c r="A63"/>
  <c r="B63" s="1"/>
  <c r="A62" i="10"/>
  <c r="F62" l="1"/>
  <c r="D62"/>
  <c r="H62" i="2"/>
  <c r="G61" i="10"/>
  <c r="AD62" i="2"/>
  <c r="Z62" i="10" s="1"/>
  <c r="X62"/>
  <c r="AB63" i="2"/>
  <c r="E63" i="10"/>
  <c r="E92" s="1"/>
  <c r="C63"/>
  <c r="Y63"/>
  <c r="Y92" s="1"/>
  <c r="U63"/>
  <c r="U92" s="1"/>
  <c r="V64" i="2"/>
  <c r="X64" s="1"/>
  <c r="X63"/>
  <c r="W63" i="10" s="1"/>
  <c r="W92" s="1"/>
  <c r="T63" i="2"/>
  <c r="S63" i="10" s="1"/>
  <c r="L63"/>
  <c r="L92" s="1"/>
  <c r="Q62"/>
  <c r="BM61" i="2"/>
  <c r="AE60" i="10"/>
  <c r="T61"/>
  <c r="AD62"/>
  <c r="AC64" i="2"/>
  <c r="BH65"/>
  <c r="J64" s="1"/>
  <c r="M64" s="1"/>
  <c r="L64"/>
  <c r="BC64"/>
  <c r="E63" s="1"/>
  <c r="G63"/>
  <c r="Q63" s="1"/>
  <c r="P63" i="10" s="1"/>
  <c r="P92" s="1"/>
  <c r="V66" i="2"/>
  <c r="X65"/>
  <c r="BG66"/>
  <c r="BV63"/>
  <c r="BB65"/>
  <c r="BR63"/>
  <c r="S62" s="1"/>
  <c r="R62" i="10" s="1"/>
  <c r="BI66" i="2"/>
  <c r="K65" s="1"/>
  <c r="BF67"/>
  <c r="I65"/>
  <c r="AD65" s="1"/>
  <c r="BJ66"/>
  <c r="BA66"/>
  <c r="D64"/>
  <c r="BD65"/>
  <c r="F64" s="1"/>
  <c r="R62"/>
  <c r="O63"/>
  <c r="N63" i="10" s="1"/>
  <c r="AF61" i="2"/>
  <c r="AG61" s="1"/>
  <c r="AF61" i="10" s="1"/>
  <c r="AG61" s="1"/>
  <c r="BV64" i="2"/>
  <c r="BU63"/>
  <c r="BT63"/>
  <c r="P63"/>
  <c r="O63" i="10" s="1"/>
  <c r="O92" s="1"/>
  <c r="AH59" i="2"/>
  <c r="BP64"/>
  <c r="AE63" s="1"/>
  <c r="N63"/>
  <c r="A63" i="10"/>
  <c r="A64" i="2"/>
  <c r="B64" s="1"/>
  <c r="G62" i="10" l="1"/>
  <c r="S63" i="2"/>
  <c r="R63" i="10" s="1"/>
  <c r="D63"/>
  <c r="F63"/>
  <c r="AB64" i="2"/>
  <c r="AD64" s="1"/>
  <c r="C64" i="10"/>
  <c r="H63" i="2"/>
  <c r="AD63"/>
  <c r="Z63" i="10" s="1"/>
  <c r="Z92" s="1"/>
  <c r="X63"/>
  <c r="X92" s="1"/>
  <c r="BM62" i="2"/>
  <c r="AE61" i="10"/>
  <c r="BQ64" i="2"/>
  <c r="M63" i="10"/>
  <c r="M92" s="1"/>
  <c r="N92"/>
  <c r="AD63"/>
  <c r="U62" i="2"/>
  <c r="T64"/>
  <c r="BH66"/>
  <c r="J65" s="1"/>
  <c r="L65"/>
  <c r="BC65"/>
  <c r="E64" s="1"/>
  <c r="D64" i="10" s="1"/>
  <c r="G64" i="2"/>
  <c r="Q64" s="1"/>
  <c r="V67"/>
  <c r="X66"/>
  <c r="BG67"/>
  <c r="L66" s="1"/>
  <c r="BB66"/>
  <c r="BR64"/>
  <c r="BF68"/>
  <c r="BI67"/>
  <c r="K66" s="1"/>
  <c r="I66"/>
  <c r="AD66" s="1"/>
  <c r="BJ67"/>
  <c r="T65"/>
  <c r="AH60"/>
  <c r="R63"/>
  <c r="AF62"/>
  <c r="BP65"/>
  <c r="AE64" s="1"/>
  <c r="N64"/>
  <c r="O64"/>
  <c r="BS64"/>
  <c r="P64"/>
  <c r="AE76"/>
  <c r="BD66"/>
  <c r="F65" s="1"/>
  <c r="BA67"/>
  <c r="D65"/>
  <c r="C65" i="10" s="1"/>
  <c r="A64"/>
  <c r="A65" i="2"/>
  <c r="B65" s="1"/>
  <c r="H64" l="1"/>
  <c r="G63" i="10"/>
  <c r="G92" s="1"/>
  <c r="F92"/>
  <c r="Q63"/>
  <c r="T62"/>
  <c r="AG62" i="2"/>
  <c r="AF62" i="10" s="1"/>
  <c r="AG62" s="1"/>
  <c r="Q92"/>
  <c r="BM63" i="2"/>
  <c r="AE62" i="10"/>
  <c r="BH67" i="2"/>
  <c r="J66" s="1"/>
  <c r="BC66"/>
  <c r="E65" s="1"/>
  <c r="D65" i="10" s="1"/>
  <c r="G65" i="2"/>
  <c r="Q65" s="1"/>
  <c r="X67"/>
  <c r="V91"/>
  <c r="BG68"/>
  <c r="BB67"/>
  <c r="U63"/>
  <c r="BR65"/>
  <c r="S64" s="1"/>
  <c r="BI68"/>
  <c r="K67" s="1"/>
  <c r="I67"/>
  <c r="AD67" s="1"/>
  <c r="BF69"/>
  <c r="BJ68"/>
  <c r="T66"/>
  <c r="BQ65"/>
  <c r="AE83"/>
  <c r="AD92" i="10" s="1"/>
  <c r="O65" i="2"/>
  <c r="AH61"/>
  <c r="P65"/>
  <c r="R64"/>
  <c r="BD67"/>
  <c r="F66" s="1"/>
  <c r="BA68"/>
  <c r="D66"/>
  <c r="C66" i="10" s="1"/>
  <c r="AF63" i="2"/>
  <c r="N65"/>
  <c r="S65"/>
  <c r="BS65"/>
  <c r="BU64"/>
  <c r="BT65"/>
  <c r="A65" i="10"/>
  <c r="A66" i="2"/>
  <c r="B66" s="1"/>
  <c r="T63" i="10" l="1"/>
  <c r="AG63" i="2"/>
  <c r="AF63" i="10" s="1"/>
  <c r="AG63" s="1"/>
  <c r="BM64" i="2"/>
  <c r="AE63" i="10"/>
  <c r="AE92" s="1"/>
  <c r="BH68" i="2"/>
  <c r="J67" s="1"/>
  <c r="L67"/>
  <c r="BC67"/>
  <c r="E66" s="1"/>
  <c r="D66" i="10" s="1"/>
  <c r="G66" i="2"/>
  <c r="Q66" s="1"/>
  <c r="X91"/>
  <c r="BG69"/>
  <c r="L68" s="1"/>
  <c r="BB68"/>
  <c r="U64"/>
  <c r="BF70"/>
  <c r="BI69"/>
  <c r="K68" s="1"/>
  <c r="BJ69"/>
  <c r="I68"/>
  <c r="AD68" s="1"/>
  <c r="R65"/>
  <c r="P66"/>
  <c r="AH62"/>
  <c r="BD68"/>
  <c r="F67" s="1"/>
  <c r="D67"/>
  <c r="C67" i="10" s="1"/>
  <c r="BA69" i="2"/>
  <c r="O66"/>
  <c r="U65"/>
  <c r="N66"/>
  <c r="S66"/>
  <c r="AF64"/>
  <c r="BM65" s="1"/>
  <c r="A66" i="10"/>
  <c r="A67" i="2"/>
  <c r="B67" s="1"/>
  <c r="AG64" l="1"/>
  <c r="BH69"/>
  <c r="J68" s="1"/>
  <c r="BC68"/>
  <c r="E67" s="1"/>
  <c r="D67" i="10" s="1"/>
  <c r="G67" i="2"/>
  <c r="Q67" s="1"/>
  <c r="T67"/>
  <c r="BG70"/>
  <c r="L69" s="1"/>
  <c r="BB69"/>
  <c r="BI70"/>
  <c r="K69" s="1"/>
  <c r="I69"/>
  <c r="AD69" s="1"/>
  <c r="BF71"/>
  <c r="BJ70"/>
  <c r="T68"/>
  <c r="R66"/>
  <c r="P67"/>
  <c r="N67"/>
  <c r="S67"/>
  <c r="AF65"/>
  <c r="BM66" s="1"/>
  <c r="O67"/>
  <c r="U66"/>
  <c r="BD69"/>
  <c r="F68" s="1"/>
  <c r="D68"/>
  <c r="C68" i="10" s="1"/>
  <c r="BA70" i="2"/>
  <c r="AH63"/>
  <c r="A67" i="10"/>
  <c r="A68" i="2"/>
  <c r="B68" s="1"/>
  <c r="BH70" l="1"/>
  <c r="J69" s="1"/>
  <c r="BC69"/>
  <c r="E68" s="1"/>
  <c r="G68"/>
  <c r="Q68" s="1"/>
  <c r="BG71"/>
  <c r="BB70"/>
  <c r="BI71"/>
  <c r="K70" s="1"/>
  <c r="I70"/>
  <c r="AD70" s="1"/>
  <c r="BF72"/>
  <c r="BJ71"/>
  <c r="AF66"/>
  <c r="BM67" s="1"/>
  <c r="AH64"/>
  <c r="BA71"/>
  <c r="D69"/>
  <c r="C69" i="10" s="1"/>
  <c r="BD70" i="2"/>
  <c r="F69" s="1"/>
  <c r="P68"/>
  <c r="R67"/>
  <c r="S68"/>
  <c r="N68"/>
  <c r="U67"/>
  <c r="A68" i="10"/>
  <c r="A69" i="2"/>
  <c r="B69" s="1"/>
  <c r="O68" l="1"/>
  <c r="D68" i="10"/>
  <c r="T69" i="2"/>
  <c r="BC70"/>
  <c r="E69" s="1"/>
  <c r="D69" i="10" s="1"/>
  <c r="G69" i="2"/>
  <c r="Q69" s="1"/>
  <c r="BH71"/>
  <c r="J70" s="1"/>
  <c r="L70"/>
  <c r="BG72"/>
  <c r="L71" s="1"/>
  <c r="BA72"/>
  <c r="BB71"/>
  <c r="BI72"/>
  <c r="K71" s="1"/>
  <c r="I71"/>
  <c r="AD71" s="1"/>
  <c r="BF73"/>
  <c r="BJ72"/>
  <c r="U68"/>
  <c r="N69"/>
  <c r="S69"/>
  <c r="AH65"/>
  <c r="R68"/>
  <c r="AF67"/>
  <c r="BM68" s="1"/>
  <c r="P69"/>
  <c r="O69"/>
  <c r="BD71"/>
  <c r="F70" s="1"/>
  <c r="D70"/>
  <c r="C70" i="10" s="1"/>
  <c r="A69"/>
  <c r="A70" i="2"/>
  <c r="B70" s="1"/>
  <c r="T70" l="1"/>
  <c r="BH72"/>
  <c r="J71" s="1"/>
  <c r="BC71"/>
  <c r="E70" s="1"/>
  <c r="D70" i="10" s="1"/>
  <c r="G70" i="2"/>
  <c r="Q70" s="1"/>
  <c r="BG73"/>
  <c r="BB72"/>
  <c r="BI73"/>
  <c r="K72" s="1"/>
  <c r="I72"/>
  <c r="AD72" s="1"/>
  <c r="BF74"/>
  <c r="BJ73"/>
  <c r="P70"/>
  <c r="R69"/>
  <c r="N70"/>
  <c r="S70"/>
  <c r="AF68"/>
  <c r="BM69" s="1"/>
  <c r="U69"/>
  <c r="O70"/>
  <c r="AH66"/>
  <c r="BA73"/>
  <c r="BD72"/>
  <c r="F71" s="1"/>
  <c r="D71"/>
  <c r="C71" i="10" s="1"/>
  <c r="A70"/>
  <c r="A71" i="2"/>
  <c r="B71" s="1"/>
  <c r="T71" l="1"/>
  <c r="BH73"/>
  <c r="J72" s="1"/>
  <c r="L72"/>
  <c r="BC72"/>
  <c r="E71" s="1"/>
  <c r="G71"/>
  <c r="Q71" s="1"/>
  <c r="S71"/>
  <c r="BG74"/>
  <c r="BB73"/>
  <c r="T72"/>
  <c r="BF75"/>
  <c r="I73"/>
  <c r="AD73" s="1"/>
  <c r="BI74"/>
  <c r="K73" s="1"/>
  <c r="BJ74"/>
  <c r="P71"/>
  <c r="BD73"/>
  <c r="F72" s="1"/>
  <c r="D72"/>
  <c r="C72" i="10" s="1"/>
  <c r="BA74" i="2"/>
  <c r="N71"/>
  <c r="R70"/>
  <c r="AF69"/>
  <c r="BM70" s="1"/>
  <c r="AH67"/>
  <c r="U70"/>
  <c r="A71" i="10"/>
  <c r="A72" i="2"/>
  <c r="B72" s="1"/>
  <c r="O71" l="1"/>
  <c r="D71" i="10"/>
  <c r="BH74" i="2"/>
  <c r="J73" s="1"/>
  <c r="L73"/>
  <c r="BC73"/>
  <c r="E72" s="1"/>
  <c r="G72"/>
  <c r="Q72" s="1"/>
  <c r="U71"/>
  <c r="S73"/>
  <c r="BG75"/>
  <c r="L74" s="1"/>
  <c r="BB74"/>
  <c r="BI75"/>
  <c r="K74" s="1"/>
  <c r="BJ75"/>
  <c r="BF76"/>
  <c r="I74"/>
  <c r="AD74" s="1"/>
  <c r="T73"/>
  <c r="AF70"/>
  <c r="BM71" s="1"/>
  <c r="N72"/>
  <c r="BD74"/>
  <c r="F73" s="1"/>
  <c r="BA75"/>
  <c r="D73"/>
  <c r="C73" i="10" s="1"/>
  <c r="AH68" i="2"/>
  <c r="P72"/>
  <c r="R71"/>
  <c r="O72"/>
  <c r="A72" i="10"/>
  <c r="A73" i="2"/>
  <c r="B73" s="1"/>
  <c r="S72" l="1"/>
  <c r="D72" i="10"/>
  <c r="U72" i="2"/>
  <c r="BH75"/>
  <c r="J74" s="1"/>
  <c r="BC74"/>
  <c r="E73" s="1"/>
  <c r="D73" i="10" s="1"/>
  <c r="G73" i="2"/>
  <c r="Q73" s="1"/>
  <c r="BG76"/>
  <c r="L75" s="1"/>
  <c r="BH76"/>
  <c r="J75" s="1"/>
  <c r="BB75"/>
  <c r="U73"/>
  <c r="BI76"/>
  <c r="K75" s="1"/>
  <c r="BJ76"/>
  <c r="I75"/>
  <c r="AD75" s="1"/>
  <c r="BF77"/>
  <c r="P73"/>
  <c r="BD75"/>
  <c r="F74" s="1"/>
  <c r="BA76"/>
  <c r="D74"/>
  <c r="C74" i="10" s="1"/>
  <c r="N73" i="2"/>
  <c r="R72"/>
  <c r="AH69"/>
  <c r="AF71"/>
  <c r="BM72" s="1"/>
  <c r="O73"/>
  <c r="A73" i="10"/>
  <c r="A74" i="2"/>
  <c r="B74" s="1"/>
  <c r="BC75" l="1"/>
  <c r="E74" s="1"/>
  <c r="G74"/>
  <c r="Q74" s="1"/>
  <c r="T74"/>
  <c r="BG77"/>
  <c r="L76" s="1"/>
  <c r="BB76"/>
  <c r="T75"/>
  <c r="BI77"/>
  <c r="K76" s="1"/>
  <c r="BJ77"/>
  <c r="I76"/>
  <c r="AD76" s="1"/>
  <c r="BF78"/>
  <c r="P74"/>
  <c r="BD76"/>
  <c r="F75" s="1"/>
  <c r="BA77"/>
  <c r="D75"/>
  <c r="C75" i="10" s="1"/>
  <c r="AF72" i="2"/>
  <c r="BM73" s="1"/>
  <c r="R73"/>
  <c r="N74"/>
  <c r="AH70"/>
  <c r="O74"/>
  <c r="A75"/>
  <c r="B75" s="1"/>
  <c r="A74" i="10"/>
  <c r="S74" i="2" l="1"/>
  <c r="D74" i="10"/>
  <c r="U74" i="2"/>
  <c r="BC76"/>
  <c r="E75" s="1"/>
  <c r="G75"/>
  <c r="Q75" s="1"/>
  <c r="BH77"/>
  <c r="J76" s="1"/>
  <c r="S76"/>
  <c r="BG78"/>
  <c r="BB77"/>
  <c r="BI78"/>
  <c r="K77" s="1"/>
  <c r="BJ78"/>
  <c r="I77"/>
  <c r="AD77" s="1"/>
  <c r="BF79"/>
  <c r="T76"/>
  <c r="BD77"/>
  <c r="F76" s="1"/>
  <c r="BA78"/>
  <c r="AF73"/>
  <c r="BM74" s="1"/>
  <c r="N75"/>
  <c r="D76"/>
  <c r="C76" i="10" s="1"/>
  <c r="R74" i="2"/>
  <c r="O75"/>
  <c r="AH71"/>
  <c r="P75"/>
  <c r="A75" i="10"/>
  <c r="A76" i="2"/>
  <c r="B76" s="1"/>
  <c r="S75" l="1"/>
  <c r="D75" i="10"/>
  <c r="U75" i="2"/>
  <c r="BC77"/>
  <c r="E76" s="1"/>
  <c r="G76"/>
  <c r="Q76" s="1"/>
  <c r="BH78"/>
  <c r="J77" s="1"/>
  <c r="T77" s="1"/>
  <c r="L77"/>
  <c r="BG79"/>
  <c r="L78" s="1"/>
  <c r="BB78"/>
  <c r="BJ79"/>
  <c r="BF80"/>
  <c r="BI79"/>
  <c r="K78" s="1"/>
  <c r="I78"/>
  <c r="U76"/>
  <c r="BD78"/>
  <c r="F77" s="1"/>
  <c r="BA79"/>
  <c r="D77"/>
  <c r="C77" i="10" s="1"/>
  <c r="AH72" i="2"/>
  <c r="P76"/>
  <c r="R75"/>
  <c r="AF74"/>
  <c r="BM75" s="1"/>
  <c r="N76"/>
  <c r="A76" i="10"/>
  <c r="A77" i="2"/>
  <c r="B77" s="1"/>
  <c r="O76" l="1"/>
  <c r="D76" i="10"/>
  <c r="AD78" i="2"/>
  <c r="BH79"/>
  <c r="J78" s="1"/>
  <c r="BC78"/>
  <c r="E77" s="1"/>
  <c r="G77"/>
  <c r="Q77" s="1"/>
  <c r="S78"/>
  <c r="BG80"/>
  <c r="BB79"/>
  <c r="T78"/>
  <c r="BI80"/>
  <c r="K79" s="1"/>
  <c r="BJ80"/>
  <c r="I79"/>
  <c r="BF81"/>
  <c r="P77"/>
  <c r="BA80"/>
  <c r="BD79"/>
  <c r="F78" s="1"/>
  <c r="D78"/>
  <c r="C78" i="10" s="1"/>
  <c r="N77" i="2"/>
  <c r="R76"/>
  <c r="AF75"/>
  <c r="BM76" s="1"/>
  <c r="AH73"/>
  <c r="A77" i="10"/>
  <c r="A78" i="2"/>
  <c r="B78" s="1"/>
  <c r="A78" i="10" s="1"/>
  <c r="S77" i="2" l="1"/>
  <c r="D77" i="10"/>
  <c r="AD79" i="2"/>
  <c r="O77"/>
  <c r="BH80"/>
  <c r="J79" s="1"/>
  <c r="L79"/>
  <c r="Q78"/>
  <c r="BC79"/>
  <c r="E78" s="1"/>
  <c r="D78" i="10" s="1"/>
  <c r="G78" i="2"/>
  <c r="U77"/>
  <c r="BG81"/>
  <c r="L80" s="1"/>
  <c r="BB80"/>
  <c r="U78"/>
  <c r="T79"/>
  <c r="BF82"/>
  <c r="BI81"/>
  <c r="K80" s="1"/>
  <c r="BJ81"/>
  <c r="I80"/>
  <c r="P78"/>
  <c r="R77"/>
  <c r="N78"/>
  <c r="BD80"/>
  <c r="F79" s="1"/>
  <c r="D79"/>
  <c r="C79" i="10" s="1"/>
  <c r="BA81" i="2"/>
  <c r="AH74"/>
  <c r="AF76"/>
  <c r="A79"/>
  <c r="B79" s="1"/>
  <c r="A79" i="10" s="1"/>
  <c r="AD80" i="2" l="1"/>
  <c r="BM77"/>
  <c r="O78"/>
  <c r="BH81"/>
  <c r="J80" s="1"/>
  <c r="BC80"/>
  <c r="E79" s="1"/>
  <c r="D79" i="10" s="1"/>
  <c r="G79" i="2"/>
  <c r="Q79" s="1"/>
  <c r="S79"/>
  <c r="S80"/>
  <c r="BG82"/>
  <c r="L81" s="1"/>
  <c r="BB81"/>
  <c r="I81"/>
  <c r="BF83"/>
  <c r="BJ82"/>
  <c r="BI82"/>
  <c r="K81" s="1"/>
  <c r="T80"/>
  <c r="N79"/>
  <c r="R78"/>
  <c r="BA82"/>
  <c r="D80"/>
  <c r="C80" i="10" s="1"/>
  <c r="BD81" i="2"/>
  <c r="F80" s="1"/>
  <c r="AF77"/>
  <c r="BM78" s="1"/>
  <c r="P79"/>
  <c r="AH75"/>
  <c r="A80"/>
  <c r="B80" s="1"/>
  <c r="AD81" l="1"/>
  <c r="O79"/>
  <c r="BH82"/>
  <c r="J81" s="1"/>
  <c r="BC81"/>
  <c r="E80" s="1"/>
  <c r="D80" i="10" s="1"/>
  <c r="G80" i="2"/>
  <c r="Q80"/>
  <c r="U79"/>
  <c r="BF84"/>
  <c r="BG83"/>
  <c r="BB82"/>
  <c r="A81"/>
  <c r="B81" s="1"/>
  <c r="A80" i="10"/>
  <c r="P80" i="2"/>
  <c r="U80"/>
  <c r="O80"/>
  <c r="BI84"/>
  <c r="BJ84"/>
  <c r="BF85"/>
  <c r="BJ83"/>
  <c r="BI83"/>
  <c r="K82" s="1"/>
  <c r="I82"/>
  <c r="BD82"/>
  <c r="F81" s="1"/>
  <c r="D81"/>
  <c r="C81" i="10" s="1"/>
  <c r="BA83" i="2"/>
  <c r="R79"/>
  <c r="AF78"/>
  <c r="R80"/>
  <c r="N80"/>
  <c r="AH76"/>
  <c r="AD82" l="1"/>
  <c r="BC82"/>
  <c r="E81" s="1"/>
  <c r="G81"/>
  <c r="T81"/>
  <c r="BM79"/>
  <c r="Q81"/>
  <c r="BH83"/>
  <c r="J82" s="1"/>
  <c r="L82"/>
  <c r="BG84"/>
  <c r="BG85"/>
  <c r="BB83"/>
  <c r="A82"/>
  <c r="B82" s="1"/>
  <c r="A81" i="10"/>
  <c r="P81" i="2"/>
  <c r="O81"/>
  <c r="K83"/>
  <c r="BJ85"/>
  <c r="BI85"/>
  <c r="K84" s="1"/>
  <c r="BF86"/>
  <c r="I84"/>
  <c r="T82"/>
  <c r="I83"/>
  <c r="AD83" s="1"/>
  <c r="BD83"/>
  <c r="F82" s="1"/>
  <c r="BA84"/>
  <c r="D82"/>
  <c r="C82" i="10" s="1"/>
  <c r="AF80" i="2"/>
  <c r="BM81" s="1"/>
  <c r="AF79"/>
  <c r="BM80" s="1"/>
  <c r="AH77"/>
  <c r="N81"/>
  <c r="R81"/>
  <c r="S81" l="1"/>
  <c r="D81" i="10"/>
  <c r="AD84" i="2"/>
  <c r="BH84"/>
  <c r="J83" s="1"/>
  <c r="L83"/>
  <c r="BH85"/>
  <c r="J84" s="1"/>
  <c r="L84"/>
  <c r="BC83"/>
  <c r="E82" s="1"/>
  <c r="D82" i="10" s="1"/>
  <c r="G82" i="2"/>
  <c r="Q82" s="1"/>
  <c r="U81"/>
  <c r="S82"/>
  <c r="BF87"/>
  <c r="BJ87" s="1"/>
  <c r="BG86"/>
  <c r="BB84"/>
  <c r="A83"/>
  <c r="B83" s="1"/>
  <c r="A82" i="10"/>
  <c r="BD84" i="2"/>
  <c r="F83" s="1"/>
  <c r="BA85"/>
  <c r="BJ86"/>
  <c r="BI86"/>
  <c r="K85" s="1"/>
  <c r="I85"/>
  <c r="T84"/>
  <c r="T83"/>
  <c r="N82"/>
  <c r="D83"/>
  <c r="C83" i="10" s="1"/>
  <c r="AF81" i="2"/>
  <c r="BM82" s="1"/>
  <c r="AH78"/>
  <c r="P82"/>
  <c r="O82"/>
  <c r="AD85" l="1"/>
  <c r="BF88"/>
  <c r="BI88" s="1"/>
  <c r="K87" s="1"/>
  <c r="BH86"/>
  <c r="J85" s="1"/>
  <c r="L85"/>
  <c r="BC84"/>
  <c r="E83" s="1"/>
  <c r="G83"/>
  <c r="Q83" s="1"/>
  <c r="U82"/>
  <c r="BG87"/>
  <c r="BI87"/>
  <c r="K86" s="1"/>
  <c r="BB85"/>
  <c r="A84"/>
  <c r="B84" s="1"/>
  <c r="A83" i="10"/>
  <c r="O83" i="2"/>
  <c r="R82"/>
  <c r="D84"/>
  <c r="C84" i="10" s="1"/>
  <c r="BD85" i="2"/>
  <c r="F84" s="1"/>
  <c r="BA86"/>
  <c r="T85"/>
  <c r="I86"/>
  <c r="P83"/>
  <c r="AH79"/>
  <c r="N83"/>
  <c r="S83" l="1"/>
  <c r="D83" i="10"/>
  <c r="AD86" i="2"/>
  <c r="U83"/>
  <c r="I87"/>
  <c r="BJ88"/>
  <c r="BG88"/>
  <c r="L87" s="1"/>
  <c r="BF89"/>
  <c r="I88" s="1"/>
  <c r="BC85"/>
  <c r="E84" s="1"/>
  <c r="G84"/>
  <c r="Q84" s="1"/>
  <c r="BH87"/>
  <c r="J86" s="1"/>
  <c r="L86"/>
  <c r="BH88"/>
  <c r="J87" s="1"/>
  <c r="BG89"/>
  <c r="BB86"/>
  <c r="BJ89"/>
  <c r="BI89"/>
  <c r="K88" s="1"/>
  <c r="BF90"/>
  <c r="AH80"/>
  <c r="AF82"/>
  <c r="BM83" s="1"/>
  <c r="R83"/>
  <c r="O84"/>
  <c r="P84"/>
  <c r="AH81"/>
  <c r="A85"/>
  <c r="B85" s="1"/>
  <c r="A84" i="10"/>
  <c r="N84" i="2"/>
  <c r="D85"/>
  <c r="C85" i="10" s="1"/>
  <c r="BD86" i="2"/>
  <c r="F85" s="1"/>
  <c r="BA87"/>
  <c r="S84" l="1"/>
  <c r="D84" i="10"/>
  <c r="AD88" i="2"/>
  <c r="AD87"/>
  <c r="U84"/>
  <c r="T86"/>
  <c r="BH89"/>
  <c r="J88" s="1"/>
  <c r="L88"/>
  <c r="BC86"/>
  <c r="E85" s="1"/>
  <c r="D85" i="10" s="1"/>
  <c r="G85" i="2"/>
  <c r="Q85" s="1"/>
  <c r="T87"/>
  <c r="S85"/>
  <c r="BF91"/>
  <c r="BJ91" s="1"/>
  <c r="BG90"/>
  <c r="BB87"/>
  <c r="AF83"/>
  <c r="S92"/>
  <c r="BI91"/>
  <c r="BF92"/>
  <c r="BH92" s="1"/>
  <c r="BJ90"/>
  <c r="BI90"/>
  <c r="K89" s="1"/>
  <c r="I89"/>
  <c r="BD87"/>
  <c r="F86" s="1"/>
  <c r="BA88"/>
  <c r="A86"/>
  <c r="B86" s="1"/>
  <c r="A86" i="10" s="1"/>
  <c r="A85"/>
  <c r="R84" i="2"/>
  <c r="P85"/>
  <c r="O85"/>
  <c r="N85"/>
  <c r="D86"/>
  <c r="C86" i="10" s="1"/>
  <c r="AD89" i="2" l="1"/>
  <c r="T88"/>
  <c r="BC87"/>
  <c r="E86" s="1"/>
  <c r="D86" i="10" s="1"/>
  <c r="G86" i="2"/>
  <c r="Q86" s="1"/>
  <c r="BH90"/>
  <c r="J89" s="1"/>
  <c r="L89"/>
  <c r="BM84"/>
  <c r="S86"/>
  <c r="U85"/>
  <c r="BG91"/>
  <c r="AH82"/>
  <c r="BB88"/>
  <c r="K90"/>
  <c r="BJ92"/>
  <c r="BI92"/>
  <c r="AF84"/>
  <c r="BM85" s="1"/>
  <c r="T89"/>
  <c r="I90"/>
  <c r="AD90" s="1"/>
  <c r="BD88"/>
  <c r="F87" s="1"/>
  <c r="D87"/>
  <c r="C87" i="10" s="1"/>
  <c r="BA89" i="2"/>
  <c r="R85"/>
  <c r="AH83"/>
  <c r="P86"/>
  <c r="A87"/>
  <c r="B87" s="1"/>
  <c r="N86"/>
  <c r="O86" l="1"/>
  <c r="BH91"/>
  <c r="J90" s="1"/>
  <c r="L90"/>
  <c r="L91" s="1"/>
  <c r="BC88"/>
  <c r="E87" s="1"/>
  <c r="G87"/>
  <c r="Q87" s="1"/>
  <c r="U86"/>
  <c r="BB89"/>
  <c r="K91"/>
  <c r="J91"/>
  <c r="I91"/>
  <c r="AD91" s="1"/>
  <c r="P87"/>
  <c r="A88"/>
  <c r="B88" s="1"/>
  <c r="A87" i="10"/>
  <c r="O87" i="2"/>
  <c r="K92"/>
  <c r="J92"/>
  <c r="N87"/>
  <c r="BD89"/>
  <c r="F88" s="1"/>
  <c r="D88"/>
  <c r="C88" i="10" s="1"/>
  <c r="BA90" i="2"/>
  <c r="T90"/>
  <c r="AF85"/>
  <c r="R86"/>
  <c r="S87" l="1"/>
  <c r="D87" i="10"/>
  <c r="U87" i="2"/>
  <c r="AH84"/>
  <c r="BC89"/>
  <c r="E88" s="1"/>
  <c r="G88"/>
  <c r="Q88" s="1"/>
  <c r="BM86"/>
  <c r="BA91"/>
  <c r="BA92" s="1"/>
  <c r="BA93" s="1"/>
  <c r="BB90"/>
  <c r="A89"/>
  <c r="B89" s="1"/>
  <c r="A88" i="10"/>
  <c r="P88" i="2"/>
  <c r="I92"/>
  <c r="AD92" s="1"/>
  <c r="O88"/>
  <c r="R87"/>
  <c r="T91"/>
  <c r="S92" i="10" s="1"/>
  <c r="N88" i="2"/>
  <c r="R88"/>
  <c r="BD90"/>
  <c r="F89" s="1"/>
  <c r="D89"/>
  <c r="C89" i="10" s="1"/>
  <c r="AF86" i="2"/>
  <c r="S88" l="1"/>
  <c r="D88" i="10"/>
  <c r="U88" i="2"/>
  <c r="BM87"/>
  <c r="BC90"/>
  <c r="E89" s="1"/>
  <c r="D89" i="10" s="1"/>
  <c r="G89" i="2"/>
  <c r="Q89" s="1"/>
  <c r="S89"/>
  <c r="BB91"/>
  <c r="BD91"/>
  <c r="F90" s="1"/>
  <c r="AF87"/>
  <c r="A90"/>
  <c r="B90" s="1"/>
  <c r="A89" i="10"/>
  <c r="T92" i="2"/>
  <c r="BD92"/>
  <c r="O89"/>
  <c r="AF88"/>
  <c r="BM89" s="1"/>
  <c r="P89"/>
  <c r="N89"/>
  <c r="R89"/>
  <c r="D90"/>
  <c r="C90" i="10" s="1"/>
  <c r="AH85" i="2"/>
  <c r="AH86"/>
  <c r="BM88" l="1"/>
  <c r="BC91"/>
  <c r="E90" s="1"/>
  <c r="D90" i="10" s="1"/>
  <c r="G90" i="2"/>
  <c r="G91" s="1"/>
  <c r="U89"/>
  <c r="S90"/>
  <c r="U92"/>
  <c r="A90" i="10"/>
  <c r="A91" i="2"/>
  <c r="B91" s="1"/>
  <c r="P90"/>
  <c r="O90"/>
  <c r="F91"/>
  <c r="D91"/>
  <c r="C91" i="10" s="1"/>
  <c r="C92" s="1"/>
  <c r="AF89" i="2"/>
  <c r="BM90" s="1"/>
  <c r="N90"/>
  <c r="E91" l="1"/>
  <c r="D91" i="10" s="1"/>
  <c r="D92" s="1"/>
  <c r="Q90" i="2"/>
  <c r="Q91"/>
  <c r="U90"/>
  <c r="S91"/>
  <c r="R92" i="10" s="1"/>
  <c r="AH87" i="2"/>
  <c r="AH88"/>
  <c r="R90"/>
  <c r="A92"/>
  <c r="B92" s="1"/>
  <c r="A91" i="10"/>
  <c r="D92" i="2"/>
  <c r="Q92" s="1"/>
  <c r="E92"/>
  <c r="P91"/>
  <c r="F92"/>
  <c r="N91"/>
  <c r="O91" l="1"/>
  <c r="U91"/>
  <c r="T92" i="10" s="1"/>
  <c r="P92" i="2"/>
  <c r="O92"/>
  <c r="R91"/>
  <c r="AF90"/>
  <c r="N92"/>
  <c r="A93"/>
  <c r="B93" s="1"/>
  <c r="A94" s="1"/>
  <c r="B94" s="1"/>
  <c r="A95" s="1"/>
  <c r="B95" s="1"/>
  <c r="AF91"/>
  <c r="AH89"/>
  <c r="BM91" l="1"/>
  <c r="R92"/>
  <c r="AF92"/>
  <c r="AH90"/>
  <c r="AF92" i="10" l="1"/>
  <c r="AH91" i="2"/>
  <c r="AG92" i="10" s="1"/>
  <c r="AH92" i="2"/>
</calcChain>
</file>

<file path=xl/sharedStrings.xml><?xml version="1.0" encoding="utf-8"?>
<sst xmlns="http://schemas.openxmlformats.org/spreadsheetml/2006/main" count="211" uniqueCount="130">
  <si>
    <t xml:space="preserve">    Post :  </t>
  </si>
  <si>
    <t>Month</t>
  </si>
  <si>
    <t>Pay Due</t>
  </si>
  <si>
    <t>Pay Drawn</t>
  </si>
  <si>
    <t>Pay Difference</t>
  </si>
  <si>
    <t>SI</t>
  </si>
  <si>
    <t>Income Tax</t>
  </si>
  <si>
    <t>Total Deduction</t>
  </si>
  <si>
    <t>Net Payment</t>
  </si>
  <si>
    <t>Bill No./Date</t>
  </si>
  <si>
    <t>Encashment Date</t>
  </si>
  <si>
    <t>Pay</t>
  </si>
  <si>
    <t>DA</t>
  </si>
  <si>
    <t>HRA</t>
  </si>
  <si>
    <t>Total</t>
  </si>
  <si>
    <t>Due</t>
  </si>
  <si>
    <t>Ded</t>
  </si>
  <si>
    <t>Diff.</t>
  </si>
  <si>
    <t>TOTAL</t>
  </si>
  <si>
    <t>.</t>
  </si>
  <si>
    <t>Corona relief fund</t>
  </si>
  <si>
    <t>Sr. No.</t>
  </si>
  <si>
    <t>Difference Arrear Sheet</t>
  </si>
  <si>
    <t>Office Name :-</t>
  </si>
  <si>
    <t>DATA ENTRY</t>
  </si>
  <si>
    <t>Name Of Employee :</t>
  </si>
  <si>
    <t xml:space="preserve">    Pay Matrix Level : </t>
  </si>
  <si>
    <t>Arrear From Date :</t>
  </si>
  <si>
    <t>to</t>
  </si>
  <si>
    <t>Posting Place :</t>
  </si>
  <si>
    <t>%</t>
  </si>
  <si>
    <t>Drawing &amp; Despersal Officer</t>
  </si>
  <si>
    <t>S.R.</t>
  </si>
  <si>
    <t>Date :</t>
  </si>
  <si>
    <t>For Copying And Necessary Action</t>
  </si>
  <si>
    <t>Treasury Officer / Deputy treasury  Officer</t>
  </si>
  <si>
    <t>Related Employee Sh./Smt./Mis.</t>
  </si>
  <si>
    <t>File Register</t>
  </si>
  <si>
    <t>In Words:</t>
  </si>
  <si>
    <t xml:space="preserve">परम पूज्य गुरुदेव वासुदेवजी महाराज </t>
  </si>
  <si>
    <t>S.I. Deduction Premium Amount :-</t>
  </si>
  <si>
    <t>डीडीओ का नाम :-</t>
  </si>
  <si>
    <t>डीडीओ का पद  :-</t>
  </si>
  <si>
    <t>निर्धारित पे मैट्रिक्स लेवल :-</t>
  </si>
  <si>
    <t>किस माह से एरियर बनाना है :-</t>
  </si>
  <si>
    <t>तथा किस माह तक एरियर बनाना है :-</t>
  </si>
  <si>
    <t>इन्कम टैक्स कटाना है तो % में लिखे :-</t>
  </si>
  <si>
    <t>NO</t>
  </si>
  <si>
    <t>Post</t>
  </si>
  <si>
    <t>Heeralal Jat</t>
  </si>
  <si>
    <t>Regular Pay</t>
  </si>
  <si>
    <t xml:space="preserve">यदि नियमित वेतन मिला हो तो यहाँ लिखें :- </t>
  </si>
  <si>
    <t xml:space="preserve"> फिक्स पे वेतन मिला हो तो यहाँ लिखें :-</t>
  </si>
  <si>
    <t>Fix Pay</t>
  </si>
  <si>
    <t>YES</t>
  </si>
  <si>
    <t>GPF / NPS :-</t>
  </si>
  <si>
    <t xml:space="preserve">किस तारीख से एरियर बनाना है :- 
(Date Format :- DD/MM/YYYY ).           </t>
  </si>
  <si>
    <t>यदि एरियर ड्रा के दौरान आपके वेतन में फिक्सेशन या एसीपी के कारण वेतन में बदलाव आया हो तो  YES सेलेक्ट करें :-</t>
  </si>
  <si>
    <t xml:space="preserve">जिस माह में वेतन में बदलाव आया है , वह माह सलेक्ट करें :- </t>
  </si>
  <si>
    <t xml:space="preserve">परिवर्तित वेतन यहाँ पर लिखें :- </t>
  </si>
  <si>
    <t>This Program Is Developed By :</t>
  </si>
  <si>
    <t>Mahatma Gandhi Government School Bar , PALI</t>
  </si>
  <si>
    <t>Senior Teacher</t>
  </si>
  <si>
    <t>V./P. :- Chandawal Nagar, Teh. - Sojat (Pali)</t>
  </si>
  <si>
    <t xml:space="preserve">यह एक्सेल प्रोग्राम इष्टदेव बजरंगबली व पाबूजी महाराज की असीम कृपा तथा गुरुदेव वासुदेवजी महाराज के आशीर्वाद और माता -पिता के शुभ आशीष से आप तक हाजिर किया जा रहा है </t>
  </si>
  <si>
    <t>Master Sheet :-</t>
  </si>
  <si>
    <t xml:space="preserve"> </t>
  </si>
  <si>
    <t>Arrear Sheet :-</t>
  </si>
  <si>
    <t>यहाँ पर मास्टर शीट पर जो एंट्री की गयी है उसका आउटपुट मिलेगा I यहाँ किसी भी प्रकार की एन्ट्री नहीं होगी I जो भी संशोधन करना है तो मास्टर शीट पर करना है I यह शीट fully ऑटोमेटेड है , यहाँ पर केवल प्रिंट निकलना है , जो A4 साइज़ में पेज सेट किया हुआ है I</t>
  </si>
  <si>
    <t>Unlock Arrear Sheet :-</t>
  </si>
  <si>
    <t>सूचना :-</t>
  </si>
  <si>
    <t xml:space="preserve">धन्यवाद </t>
  </si>
  <si>
    <t>हीरालाल जाट , वरिष्ठ अध्यापक (एक्सेल प्रोग्रामर )</t>
  </si>
  <si>
    <t xml:space="preserve">आपका दोस्त </t>
  </si>
  <si>
    <t>वैसे इस प्रोग्राम को तैयार करने में पूर्ण सावधानी बरती गयी है , फिर भी मानवीय त्रुटि होना संम्भव है I अतः आप अपने स्तर पर जरुर चेक कर लेवे I इस हेतु निर्माणकर्ता कतई जिम्मेदार नहीं होगा I यह आपकी सुविधा के लिए है I</t>
  </si>
  <si>
    <t>यह अनलॉक शीट इसलिए डाली गयी ताकि किसी भी अपवाद स्वरुप किसी कार्मिक का वेतन ड्रा (एरियर ) सही नहीं बैठ रहा है या फिर वेतन व कटोती में ज्यादा संशोधन है तो आप अनलॉक शीट काम में ले सकते है I कही पर त्रुटि रहने के समय काम ले सकते है I</t>
  </si>
  <si>
    <r>
      <rPr>
        <b/>
        <sz val="14"/>
        <color theme="1"/>
        <rFont val="Calibri"/>
        <family val="2"/>
        <scheme val="minor"/>
      </rPr>
      <t xml:space="preserve"> ::  </t>
    </r>
    <r>
      <rPr>
        <b/>
        <u val="double"/>
        <sz val="14"/>
        <color theme="1"/>
        <rFont val="Calibri"/>
        <family val="2"/>
        <scheme val="minor"/>
      </rPr>
      <t xml:space="preserve"> निर्देश </t>
    </r>
    <r>
      <rPr>
        <b/>
        <sz val="14"/>
        <color theme="1"/>
        <rFont val="Calibri"/>
        <family val="2"/>
        <scheme val="minor"/>
      </rPr>
      <t xml:space="preserve"> ::</t>
    </r>
  </si>
  <si>
    <t>S.I. Deduction Due Premium Amount :-</t>
  </si>
  <si>
    <t>G.P.F. Deduction Due Premium Amount :-</t>
  </si>
  <si>
    <t>G.P.F. Deduction Premium Amount :-</t>
  </si>
  <si>
    <t xml:space="preserve">परिवर्तित प्रीमियम राशि यहाँ पर लिखें :- </t>
  </si>
  <si>
    <t>यदि एरियर बनाने की अवधि के दौरान राज्य बीमा कटोती में वृद्धि हुई है तो YES सेलेक्ट करें :-</t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</si>
  <si>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S.I. Premium</t>
    </r>
    <r>
      <rPr>
        <b/>
        <sz val="11.5"/>
        <color rgb="FF0000CC"/>
        <rFont val="Calibri"/>
        <family val="2"/>
        <scheme val="minor"/>
      </rPr>
      <t xml:space="preserve"> में बदलाव आया है , वह माह सलेक्ट करें :- </t>
    </r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</si>
  <si>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G.P.F. Ded.</t>
    </r>
    <r>
      <rPr>
        <b/>
        <sz val="11.5"/>
        <color rgb="FF0000CC"/>
        <rFont val="Calibri"/>
        <family val="2"/>
        <scheme val="minor"/>
      </rPr>
      <t xml:space="preserve"> में वृद्धि करवाई  है , वह माह सलेक्ट करें :- </t>
    </r>
  </si>
  <si>
    <t>इस शीट पर आप अपने से सम्बंधित सूचना की एंट्री कर सकते है I सबसे पहले आप अपने विद्यालय का नाम तथा उसके बाद अपने डीडीओ का नाम व पद , उसके बाद अपना स्वयं का नाम व पद इनपुट करें I उसके बाद आपको किस माह से एरियर बनाना है , उस माह को सलेक्ट बटन से सलेक्ट करे तथा अगले कॉलम में किस माह तक एरियर बनाना है उसे सलेक्ट करें I मकान किराया दर , पे मेट्रिक्स लेवल और इनकम टैक्स कटवाना है तो प्रतिशत में लिखे अन्यथा शुन्य ही रहने देवे I उसके बाद वेतन का प्रकार लिखें , इसमे आप रेगुलर पे और फिक्स पे में से चयन करें I यदि आप फिक्स वेतन को सलेक्ट करते है तो फ़िक्स पे के वेतन वाला कॉलम खुल जायेगा और रेगुलर वेतन वाला कॉलम फ्रीज़ हो जायेगा I और यदि आप रेगुलर पे का आप्शन सलेक्ट करते है तो रेगुलर पे वाला आप्शन अनफ्रीज़ हो जायेगा I उसके बाद आप जिस दिनांक से वेतन बनाना चाहते है उस दिनांक को DD/MM/YYYY के फॉर्मेट में लिखें I नवीन वेतन का बेसिक पे लिखें , जिसके द्वारा एरियर की कैलकुलेशन होगी I उसके बाद यदि आप किसी पूर्व राजकीय सेवा में रहने के कारण एरियर बनाना है तो इसमे YES सलेक्ट करें I जैसे ही YES सलेक्ट करेंगे तो वेतन लिखने के लिए कॉलम अनफ्रीज़ हो जायेगा , जिसमे वेतन लिख पायेंगे I उसके बाद यदि आपके S.I. कटौती हो रही है तो S.I. कटौती को इन्द्राज करें I उसके बाद यदि आपके G.P.F. कटौती हो रही है तो पहले YES सलेक्ट करें तथा उसके बाद आप G.P.F. कटौती को इन्द्राज करें I अन्त में यदि एरियर बनाने के पीरियड में आपके वेतन में जुलाई की वेतन वृद्धि के अलावा ओर किसी प्रकार की वेतन वृद्धि हुई है तो YES सलेक्ट करे , YES सलेक्ट करते ही वेतन लिखने के लिए आप्शन शो हो जायेंगे I नियमित वेतन वृद्धि स्वतः होगी I
   मार्च 2020 के वेतन से कोरोना की कटौती हुई हो तो yes सेलेक्ट करे I जैसे ही yes सलेक्ट करेंगे दिनों की संख्या भरने के आप्शन शो हो जायेगा I वहा दिनों की संख्या सलेक्ट कर लेवे I</t>
  </si>
  <si>
    <t>https://youtu.be/e9tzJ3zCZPk</t>
  </si>
  <si>
    <t>You tube Video Link</t>
  </si>
  <si>
    <t>You tube Channal Link</t>
  </si>
  <si>
    <t>https://youtube.com/c/Heeralaljat</t>
  </si>
  <si>
    <t>Arrear inGPF-2004</t>
  </si>
  <si>
    <t>वैसे शीट पूरी मेहनत से तैयार की गयी है , फिर भी अगर कही पर त्रुटि रहती है तो जरुर अवगत करावे , इस हेतु जरुर संशोधित संस्करण निकाला जायेगा I</t>
  </si>
  <si>
    <t>GPF</t>
  </si>
  <si>
    <t xml:space="preserve">जो पूर्व में वेतन मिला है उसका प्रकार सेलेक्ट करें :- </t>
  </si>
  <si>
    <t>नया वेतन मिलने के दिनों की संख्या :- 
(आप सिर्फ़ चेक कर सकते है )</t>
  </si>
  <si>
    <t xml:space="preserve">नवीन निर्धारित वेतन (New Basic Salary) :- </t>
  </si>
  <si>
    <t>यदि एरियर बनाने की अवधि के दौरान GPF कटोती में वृद्धि हुई है तो YES सेलेक्ट करें :-</t>
  </si>
  <si>
    <t xml:space="preserve"> जुलाई 2021 से मकान किराया दर :-</t>
  </si>
  <si>
    <t>Update on</t>
  </si>
  <si>
    <t>Video No. 01 link :-</t>
  </si>
  <si>
    <t>Video No. 02 link :-</t>
  </si>
  <si>
    <t>https://youtu.be/KZNCz_sq6iQ</t>
  </si>
  <si>
    <t>जुलाई 2021 से पूर्व मकान किराया दर :-</t>
  </si>
  <si>
    <t xml:space="preserve">GPF-2004 के प्रीमियम राशि यहाँ पर लिखें :- </t>
  </si>
  <si>
    <t>HRA पुराना ही लिखे 
नए के लिए Cell no. D29</t>
  </si>
  <si>
    <t>यदि GPF-2004 की कटौती हो रही है तो YES सलेक्ट करे, नहीं तो NO सलेक्ट करें (1 अप्रैल 2022 से) :-</t>
  </si>
  <si>
    <t>You tube Video Link
Given Bleow</t>
  </si>
  <si>
    <t>https://youtu.be/ZmZ-D7xZTpA</t>
  </si>
  <si>
    <t>Video No. 03 link :-</t>
  </si>
  <si>
    <t>USHA PALIYA</t>
  </si>
  <si>
    <t>HEERALAL JAT</t>
  </si>
  <si>
    <t>RGHS</t>
  </si>
  <si>
    <r>
      <rPr>
        <b/>
        <sz val="14"/>
        <color rgb="FF0000CC"/>
        <rFont val="Calibri"/>
        <family val="2"/>
        <scheme val="minor"/>
      </rPr>
      <t xml:space="preserve">RGHS </t>
    </r>
    <r>
      <rPr>
        <b/>
        <sz val="11"/>
        <color rgb="FF0000CC"/>
        <rFont val="Calibri"/>
        <family val="2"/>
        <scheme val="minor"/>
      </rPr>
      <t>की दर  में परिवर्तन हुआ है तो लिखे :-</t>
    </r>
  </si>
  <si>
    <t>Last Update Date</t>
  </si>
  <si>
    <t>यदि कार्मिक के वेतन से राज्य बीमा कटोती हो रही है तो  YES सेलेक्ट करें :-</t>
  </si>
  <si>
    <r>
      <t xml:space="preserve">यदि कार्मिक की नियुक्ति </t>
    </r>
    <r>
      <rPr>
        <b/>
        <sz val="12"/>
        <color rgb="FFCC0099"/>
        <rFont val="Calibri"/>
        <family val="2"/>
        <scheme val="minor"/>
      </rPr>
      <t>01-01-2004</t>
    </r>
    <r>
      <rPr>
        <b/>
        <sz val="11"/>
        <color rgb="FFCC0099"/>
        <rFont val="Calibri"/>
        <family val="2"/>
        <scheme val="minor"/>
      </rPr>
      <t xml:space="preserve"> से पूर्व है तो    YES सेलेक्ट करें :-</t>
    </r>
  </si>
  <si>
    <t>DD</t>
  </si>
  <si>
    <t>MM</t>
  </si>
  <si>
    <t>YYYYY</t>
  </si>
  <si>
    <t>CMO</t>
  </si>
  <si>
    <t>MO</t>
  </si>
  <si>
    <t>Senior Medical officer, Community Health Center, Chandawal Nagar</t>
  </si>
  <si>
    <t>कार्मिक/अधिकारी का नाम :-</t>
  </si>
  <si>
    <t>कार्मिक/अधिकारी का पद :-</t>
  </si>
  <si>
    <t>NPA</t>
  </si>
  <si>
    <t>GPF-2004</t>
  </si>
  <si>
    <t>CM Corona Fund</t>
  </si>
  <si>
    <t>Nurse</t>
  </si>
  <si>
    <t>https://youtu.be/fTQ-UORJAX8</t>
  </si>
  <si>
    <t>New Update Video :-</t>
  </si>
  <si>
    <t>नोट :-  आप को जो भी एन्ट्री करनी है वो सब मास्टर शीट पर ही करनी है , एरियर शीट पर कुछ नहीं करना है I यदि आपको ड्राप डाउन लिस्ट में आपका पद नहीं मिल रहा है तो मास्टर शीट पर गुरुदेव की फोटो के नीचे टेबल दे रखी है , उसमे लिख लेवे , वह पद लिस्ट में ऐड हो जाएगा I</t>
  </si>
</sst>
</file>

<file path=xl/styles.xml><?xml version="1.0" encoding="utf-8"?>
<styleSheet xmlns="http://schemas.openxmlformats.org/spreadsheetml/2006/main">
  <numFmts count="4">
    <numFmt numFmtId="164" formatCode="[$-409]mmm/yy;@"/>
    <numFmt numFmtId="165" formatCode="dd/mm/yyyy"/>
    <numFmt numFmtId="166" formatCode="\L\-0"/>
    <numFmt numFmtId="167" formatCode="[$-409]mmmm/yy;@"/>
  </numFmts>
  <fonts count="88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8"/>
      <color indexed="8"/>
      <name val="Times New Roman"/>
      <family val="1"/>
    </font>
    <font>
      <b/>
      <sz val="12"/>
      <name val="Times New Roman"/>
      <family val="1"/>
    </font>
    <font>
      <sz val="14"/>
      <color theme="1"/>
      <name val="Kruti Dev 010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i/>
      <sz val="14"/>
      <color theme="1"/>
      <name val="Cambria"/>
      <family val="1"/>
      <scheme val="major"/>
    </font>
    <font>
      <sz val="14"/>
      <name val="Times New Roman"/>
      <family val="1"/>
    </font>
    <font>
      <b/>
      <i/>
      <sz val="18"/>
      <name val="Cambria"/>
      <family val="1"/>
      <scheme val="major"/>
    </font>
    <font>
      <b/>
      <i/>
      <u/>
      <sz val="16"/>
      <name val="Times New Roman"/>
      <family val="1"/>
    </font>
    <font>
      <b/>
      <sz val="14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DevLys 010"/>
    </font>
    <font>
      <sz val="12"/>
      <color theme="1"/>
      <name val="DevLys 010"/>
    </font>
    <font>
      <i/>
      <sz val="14"/>
      <color theme="1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3"/>
      <color theme="1"/>
      <name val="Cambria"/>
      <family val="1"/>
      <scheme val="major"/>
    </font>
    <font>
      <sz val="13"/>
      <name val="Times New Roman"/>
      <family val="1"/>
    </font>
    <font>
      <b/>
      <i/>
      <sz val="14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i/>
      <sz val="12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11.5"/>
      <color rgb="FF0000CC"/>
      <name val="Calibri"/>
      <family val="2"/>
      <scheme val="minor"/>
    </font>
    <font>
      <b/>
      <sz val="12"/>
      <color rgb="FFCC009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6"/>
      <color rgb="FF0000CC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i/>
      <u/>
      <sz val="16"/>
      <color theme="10"/>
      <name val="Calibri"/>
      <family val="2"/>
    </font>
    <font>
      <b/>
      <i/>
      <sz val="16"/>
      <color rgb="FFCC0066"/>
      <name val="Calibri"/>
      <family val="2"/>
      <scheme val="minor"/>
    </font>
    <font>
      <b/>
      <sz val="14"/>
      <color rgb="FFCC00CC"/>
      <name val="Cambria"/>
      <family val="1"/>
      <scheme val="major"/>
    </font>
    <font>
      <b/>
      <i/>
      <sz val="16"/>
      <color rgb="FF000099"/>
      <name val="Cambria"/>
      <family val="1"/>
      <scheme val="major"/>
    </font>
    <font>
      <b/>
      <i/>
      <sz val="16"/>
      <color rgb="FF660033"/>
      <name val="Cambria"/>
      <family val="1"/>
      <scheme val="major"/>
    </font>
    <font>
      <b/>
      <sz val="14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1"/>
      <color rgb="FFCC00CC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2.5"/>
      <color rgb="FF0000CC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u/>
      <sz val="16"/>
      <color theme="10"/>
      <name val="Calibri"/>
      <family val="2"/>
    </font>
    <font>
      <b/>
      <sz val="16"/>
      <color theme="1"/>
      <name val="Cambria"/>
      <family val="1"/>
      <scheme val="major"/>
    </font>
    <font>
      <b/>
      <sz val="16"/>
      <color rgb="FF0000CC"/>
      <name val="Cambria"/>
      <family val="1"/>
      <scheme val="major"/>
    </font>
    <font>
      <b/>
      <u/>
      <sz val="14"/>
      <color rgb="FF0000CC"/>
      <name val="Calibri"/>
      <family val="2"/>
      <scheme val="minor"/>
    </font>
    <font>
      <b/>
      <sz val="11"/>
      <name val="Times New Roman"/>
      <family val="1"/>
    </font>
    <font>
      <sz val="10"/>
      <color theme="0" tint="-0.34998626667073579"/>
      <name val="Times New Roman"/>
      <family val="1"/>
    </font>
    <font>
      <sz val="14"/>
      <color theme="0" tint="-0.34998626667073579"/>
      <name val="Times New Roman"/>
      <family val="1"/>
    </font>
    <font>
      <b/>
      <sz val="10"/>
      <color rgb="FFCC009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4"/>
      <color theme="10"/>
      <name val="Calibri"/>
      <family val="2"/>
    </font>
    <font>
      <b/>
      <u val="double"/>
      <sz val="14"/>
      <color rgb="FFCC0099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4"/>
      <color rgb="FF0000CC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sz val="12"/>
      <color theme="7" tint="-0.249977111117893"/>
      <name val="Calibri"/>
      <family val="2"/>
      <scheme val="minor"/>
    </font>
    <font>
      <sz val="10"/>
      <color theme="7" tint="-0.249977111117893"/>
      <name val="Times New Roman"/>
      <family val="1"/>
    </font>
    <font>
      <sz val="14"/>
      <color theme="7" tint="-0.249977111117893"/>
      <name val="Times New Roman"/>
      <family val="1"/>
    </font>
    <font>
      <sz val="11"/>
      <color theme="7" tint="-0.249977111117893"/>
      <name val="Times New Roman"/>
      <family val="1"/>
    </font>
    <font>
      <sz val="11"/>
      <color theme="7" tint="-0.249977111117893"/>
      <name val="Calibri"/>
      <family val="2"/>
      <scheme val="minor"/>
    </font>
    <font>
      <sz val="8"/>
      <color theme="7" tint="-0.249977111117893"/>
      <name val="Times New Roman"/>
      <family val="1"/>
    </font>
    <font>
      <b/>
      <u val="double"/>
      <sz val="20"/>
      <color rgb="FF0000CC"/>
      <name val="Cambria"/>
      <family val="1"/>
      <scheme val="major"/>
    </font>
    <font>
      <b/>
      <sz val="14"/>
      <color rgb="FF0000CC"/>
      <name val="Cambria"/>
      <family val="1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BFFC7"/>
        <bgColor indexed="64"/>
      </patternFill>
    </fill>
    <fill>
      <patternFill patternType="solid">
        <fgColor rgb="FF97FFB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CC0099"/>
      </left>
      <right style="thin">
        <color rgb="FFCC0099"/>
      </right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/>
      <bottom/>
      <diagonal/>
    </border>
    <border>
      <left style="thin">
        <color rgb="FFCC0099"/>
      </left>
      <right/>
      <top style="thin">
        <color rgb="FFCC0099"/>
      </top>
      <bottom style="thin">
        <color rgb="FFCC0099"/>
      </bottom>
      <diagonal/>
    </border>
    <border>
      <left/>
      <right/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 style="thin">
        <color rgb="FFCC0099"/>
      </top>
      <bottom style="thin">
        <color rgb="FFCC0099"/>
      </bottom>
      <diagonal/>
    </border>
    <border>
      <left style="medium">
        <color rgb="FF0000CC"/>
      </left>
      <right/>
      <top style="medium">
        <color rgb="FF0000CC"/>
      </top>
      <bottom/>
      <diagonal/>
    </border>
    <border>
      <left/>
      <right/>
      <top style="medium">
        <color rgb="FF0000CC"/>
      </top>
      <bottom/>
      <diagonal/>
    </border>
    <border>
      <left/>
      <right/>
      <top style="medium">
        <color rgb="FF0000CC"/>
      </top>
      <bottom style="thin">
        <color rgb="FFCC0099"/>
      </bottom>
      <diagonal/>
    </border>
    <border>
      <left/>
      <right style="medium">
        <color rgb="FF0000CC"/>
      </right>
      <top style="medium">
        <color rgb="FF0000CC"/>
      </top>
      <bottom/>
      <diagonal/>
    </border>
    <border>
      <left style="medium">
        <color rgb="FF0000CC"/>
      </left>
      <right/>
      <top/>
      <bottom/>
      <diagonal/>
    </border>
    <border>
      <left/>
      <right style="medium">
        <color rgb="FF0000CC"/>
      </right>
      <top/>
      <bottom/>
      <diagonal/>
    </border>
    <border>
      <left style="medium">
        <color rgb="FF0000CC"/>
      </left>
      <right/>
      <top/>
      <bottom style="medium">
        <color rgb="FF0000CC"/>
      </bottom>
      <diagonal/>
    </border>
    <border>
      <left/>
      <right/>
      <top/>
      <bottom style="medium">
        <color rgb="FF0000CC"/>
      </bottom>
      <diagonal/>
    </border>
    <border>
      <left/>
      <right style="medium">
        <color rgb="FF0000CC"/>
      </right>
      <top/>
      <bottom style="medium">
        <color rgb="FF0000CC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>
      <alignment vertical="top"/>
      <protection locked="0"/>
    </xf>
  </cellStyleXfs>
  <cellXfs count="287">
    <xf numFmtId="0" fontId="0" fillId="0" borderId="0" xfId="0"/>
    <xf numFmtId="0" fontId="29" fillId="0" borderId="0" xfId="0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0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18" fillId="0" borderId="0" xfId="0" applyFont="1" applyAlignment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20" fillId="0" borderId="0" xfId="0" applyFont="1" applyAlignment="1" applyProtection="1">
      <alignment vertical="center" shrinkToFi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23" fillId="2" borderId="0" xfId="0" applyFont="1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164" fontId="1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1" fontId="12" fillId="2" borderId="2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shrinkToFit="1"/>
      <protection hidden="1"/>
    </xf>
    <xf numFmtId="0" fontId="7" fillId="0" borderId="0" xfId="0" applyFont="1" applyAlignment="1" applyProtection="1">
      <alignment vertical="top" wrapText="1" readingOrder="1"/>
      <protection hidden="1"/>
    </xf>
    <xf numFmtId="0" fontId="0" fillId="0" borderId="0" xfId="0" applyAlignment="1" applyProtection="1">
      <protection hidden="1"/>
    </xf>
    <xf numFmtId="0" fontId="1" fillId="0" borderId="0" xfId="0" applyFont="1" applyAlignment="1" applyProtection="1">
      <alignment vertical="top" shrinkToFit="1"/>
      <protection hidden="1"/>
    </xf>
    <xf numFmtId="0" fontId="5" fillId="2" borderId="1" xfId="0" applyFont="1" applyFill="1" applyBorder="1" applyAlignment="1" applyProtection="1">
      <alignment horizontal="center" vertical="center" textRotation="90" shrinkToFit="1"/>
      <protection hidden="1"/>
    </xf>
    <xf numFmtId="0" fontId="5" fillId="2" borderId="0" xfId="0" applyFont="1" applyFill="1" applyBorder="1" applyAlignment="1" applyProtection="1">
      <alignment horizontal="center" vertical="center" shrinkToFit="1"/>
      <protection hidden="1"/>
    </xf>
    <xf numFmtId="0" fontId="13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0" xfId="0" applyFont="1" applyFill="1" applyBorder="1" applyAlignment="1" applyProtection="1">
      <alignment horizontal="center" vertical="center" textRotation="90" shrinkToFit="1"/>
      <protection hidden="1"/>
    </xf>
    <xf numFmtId="0" fontId="24" fillId="2" borderId="0" xfId="0" applyFont="1" applyFill="1" applyBorder="1" applyAlignment="1" applyProtection="1">
      <alignment horizontal="center" vertical="center" shrinkToFit="1"/>
      <protection hidden="1"/>
    </xf>
    <xf numFmtId="0" fontId="33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Alignment="1" applyProtection="1">
      <alignment vertical="center" shrinkToFit="1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right" vertical="center" shrinkToFit="1"/>
      <protection hidden="1"/>
    </xf>
    <xf numFmtId="0" fontId="14" fillId="2" borderId="2" xfId="0" applyFont="1" applyFill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37" fillId="3" borderId="0" xfId="0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28" fillId="3" borderId="0" xfId="0" applyFont="1" applyFill="1" applyBorder="1" applyAlignment="1" applyProtection="1">
      <alignment vertical="center"/>
      <protection hidden="1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0" fillId="4" borderId="0" xfId="0" applyFill="1" applyProtection="1">
      <protection hidden="1"/>
    </xf>
    <xf numFmtId="0" fontId="39" fillId="4" borderId="0" xfId="0" applyFont="1" applyFill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0" fontId="0" fillId="3" borderId="0" xfId="0" applyFill="1" applyBorder="1" applyProtection="1">
      <protection hidden="1"/>
    </xf>
    <xf numFmtId="0" fontId="39" fillId="5" borderId="0" xfId="0" applyFont="1" applyFill="1" applyAlignment="1" applyProtection="1">
      <alignment horizontal="center" vertical="center"/>
      <protection locked="0"/>
    </xf>
    <xf numFmtId="0" fontId="39" fillId="5" borderId="0" xfId="0" applyFont="1" applyFill="1" applyBorder="1" applyAlignment="1" applyProtection="1">
      <alignment horizontal="center" vertical="center"/>
      <protection locked="0"/>
    </xf>
    <xf numFmtId="164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32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horizontal="center" vertical="center" shrinkToFit="1"/>
      <protection hidden="1"/>
    </xf>
    <xf numFmtId="164" fontId="1" fillId="2" borderId="0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locked="0"/>
    </xf>
    <xf numFmtId="1" fontId="12" fillId="2" borderId="0" xfId="0" applyNumberFormat="1" applyFont="1" applyFill="1" applyBorder="1" applyAlignment="1" applyProtection="1">
      <alignment horizontal="center" vertical="center" shrinkToFit="1"/>
      <protection hidden="1"/>
    </xf>
    <xf numFmtId="0" fontId="14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34" fillId="2" borderId="0" xfId="0" applyFont="1" applyFill="1" applyBorder="1" applyAlignment="1" applyProtection="1">
      <alignment vertical="center" shrinkToFit="1"/>
      <protection hidden="1"/>
    </xf>
    <xf numFmtId="1" fontId="28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166" fontId="17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16" fillId="6" borderId="8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7" borderId="0" xfId="0" applyFill="1" applyProtection="1">
      <protection hidden="1"/>
    </xf>
    <xf numFmtId="0" fontId="0" fillId="8" borderId="0" xfId="0" applyFill="1" applyProtection="1">
      <protection hidden="1"/>
    </xf>
    <xf numFmtId="0" fontId="10" fillId="9" borderId="3" xfId="0" applyFont="1" applyFill="1" applyBorder="1" applyAlignment="1" applyProtection="1">
      <alignment horizontal="center" vertical="center"/>
      <protection hidden="1"/>
    </xf>
    <xf numFmtId="0" fontId="16" fillId="9" borderId="4" xfId="0" applyFont="1" applyFill="1" applyBorder="1" applyAlignment="1" applyProtection="1">
      <alignment horizontal="center" vertical="center"/>
      <protection hidden="1"/>
    </xf>
    <xf numFmtId="0" fontId="39" fillId="9" borderId="1" xfId="0" applyFont="1" applyFill="1" applyBorder="1" applyAlignment="1" applyProtection="1">
      <alignment vertical="justify" wrapText="1"/>
      <protection hidden="1"/>
    </xf>
    <xf numFmtId="0" fontId="0" fillId="10" borderId="0" xfId="0" applyFill="1" applyProtection="1">
      <protection hidden="1"/>
    </xf>
    <xf numFmtId="0" fontId="44" fillId="10" borderId="0" xfId="0" applyFont="1" applyFill="1" applyAlignment="1" applyProtection="1">
      <alignment wrapText="1"/>
      <protection hidden="1"/>
    </xf>
    <xf numFmtId="0" fontId="10" fillId="11" borderId="3" xfId="0" applyFont="1" applyFill="1" applyBorder="1" applyAlignment="1" applyProtection="1">
      <alignment horizontal="center" vertical="center"/>
      <protection hidden="1"/>
    </xf>
    <xf numFmtId="0" fontId="16" fillId="11" borderId="4" xfId="0" applyFont="1" applyFill="1" applyBorder="1" applyAlignment="1" applyProtection="1">
      <alignment horizontal="center" vertical="center"/>
      <protection hidden="1"/>
    </xf>
    <xf numFmtId="0" fontId="15" fillId="11" borderId="1" xfId="0" applyFont="1" applyFill="1" applyBorder="1" applyAlignment="1" applyProtection="1">
      <alignment vertical="center" wrapText="1"/>
      <protection hidden="1"/>
    </xf>
    <xf numFmtId="0" fontId="0" fillId="11" borderId="0" xfId="0" applyFill="1" applyProtection="1">
      <protection hidden="1"/>
    </xf>
    <xf numFmtId="0" fontId="10" fillId="12" borderId="3" xfId="0" applyFont="1" applyFill="1" applyBorder="1" applyAlignment="1" applyProtection="1">
      <alignment horizontal="center" vertical="center"/>
      <protection hidden="1"/>
    </xf>
    <xf numFmtId="0" fontId="16" fillId="12" borderId="4" xfId="0" applyFont="1" applyFill="1" applyBorder="1" applyAlignment="1" applyProtection="1">
      <alignment horizontal="center" vertical="center" wrapText="1"/>
      <protection hidden="1"/>
    </xf>
    <xf numFmtId="0" fontId="15" fillId="12" borderId="1" xfId="0" applyFont="1" applyFill="1" applyBorder="1" applyAlignment="1" applyProtection="1">
      <alignment vertical="center" wrapText="1"/>
      <protection hidden="1"/>
    </xf>
    <xf numFmtId="0" fontId="0" fillId="12" borderId="0" xfId="0" applyFill="1" applyProtection="1">
      <protection hidden="1"/>
    </xf>
    <xf numFmtId="0" fontId="0" fillId="13" borderId="3" xfId="0" applyFill="1" applyBorder="1" applyProtection="1">
      <protection hidden="1"/>
    </xf>
    <xf numFmtId="0" fontId="56" fillId="13" borderId="4" xfId="0" applyFont="1" applyFill="1" applyBorder="1" applyAlignment="1" applyProtection="1">
      <alignment horizontal="right" vertical="center"/>
      <protection hidden="1"/>
    </xf>
    <xf numFmtId="0" fontId="56" fillId="13" borderId="1" xfId="0" applyFont="1" applyFill="1" applyBorder="1" applyAlignment="1" applyProtection="1">
      <alignment vertical="center" wrapText="1"/>
      <protection hidden="1"/>
    </xf>
    <xf numFmtId="0" fontId="0" fillId="13" borderId="0" xfId="0" applyFill="1" applyProtection="1">
      <protection hidden="1"/>
    </xf>
    <xf numFmtId="0" fontId="0" fillId="15" borderId="0" xfId="0" applyFill="1" applyProtection="1">
      <protection hidden="1"/>
    </xf>
    <xf numFmtId="0" fontId="57" fillId="15" borderId="0" xfId="0" applyFont="1" applyFill="1" applyProtection="1">
      <protection hidden="1"/>
    </xf>
    <xf numFmtId="0" fontId="0" fillId="14" borderId="0" xfId="0" applyFill="1" applyProtection="1">
      <protection hidden="1"/>
    </xf>
    <xf numFmtId="0" fontId="0" fillId="0" borderId="0" xfId="0" applyProtection="1">
      <protection hidden="1"/>
    </xf>
    <xf numFmtId="0" fontId="18" fillId="8" borderId="0" xfId="0" applyFont="1" applyFill="1" applyAlignment="1" applyProtection="1">
      <alignment horizontal="right"/>
      <protection hidden="1"/>
    </xf>
    <xf numFmtId="0" fontId="0" fillId="0" borderId="0" xfId="0" applyProtection="1"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1" fillId="0" borderId="5" xfId="0" applyFont="1" applyFill="1" applyBorder="1" applyAlignment="1" applyProtection="1">
      <alignment horizontal="center" vertical="center" shrinkToFit="1"/>
      <protection hidden="1"/>
    </xf>
    <xf numFmtId="0" fontId="66" fillId="0" borderId="0" xfId="0" applyFont="1" applyAlignment="1" applyProtection="1">
      <alignment vertical="center" shrinkToFit="1"/>
      <protection hidden="1"/>
    </xf>
    <xf numFmtId="0" fontId="67" fillId="0" borderId="0" xfId="0" applyFont="1" applyAlignment="1" applyProtection="1">
      <alignment vertical="center" shrinkToFit="1"/>
      <protection hidden="1"/>
    </xf>
    <xf numFmtId="0" fontId="66" fillId="0" borderId="0" xfId="0" applyFont="1" applyAlignment="1" applyProtection="1">
      <alignment shrinkToFit="1"/>
      <protection hidden="1"/>
    </xf>
    <xf numFmtId="0" fontId="66" fillId="0" borderId="0" xfId="0" applyFont="1" applyAlignment="1" applyProtection="1">
      <alignment vertical="top" shrinkToFit="1"/>
      <protection hidden="1"/>
    </xf>
    <xf numFmtId="0" fontId="70" fillId="0" borderId="0" xfId="0" applyFont="1" applyAlignment="1" applyProtection="1">
      <alignment horizontal="center" vertical="center"/>
      <protection hidden="1"/>
    </xf>
    <xf numFmtId="165" fontId="41" fillId="0" borderId="0" xfId="0" applyNumberFormat="1" applyFont="1" applyAlignment="1" applyProtection="1">
      <alignment horizontal="center" vertical="center"/>
      <protection hidden="1"/>
    </xf>
    <xf numFmtId="0" fontId="60" fillId="8" borderId="0" xfId="0" applyFont="1" applyFill="1" applyAlignment="1" applyProtection="1">
      <alignment horizontal="left" vertical="center"/>
      <protection hidden="1"/>
    </xf>
    <xf numFmtId="0" fontId="71" fillId="8" borderId="0" xfId="1" applyFont="1" applyFill="1" applyAlignment="1" applyProtection="1">
      <alignment horizontal="left" vertical="center"/>
      <protection hidden="1"/>
    </xf>
    <xf numFmtId="0" fontId="41" fillId="4" borderId="0" xfId="0" applyFont="1" applyFill="1" applyBorder="1" applyAlignment="1" applyProtection="1">
      <alignment horizontal="right" vertical="center"/>
      <protection hidden="1"/>
    </xf>
    <xf numFmtId="0" fontId="59" fillId="4" borderId="0" xfId="0" applyFont="1" applyFill="1" applyBorder="1" applyAlignment="1" applyProtection="1">
      <alignment horizontal="right" vertical="center"/>
      <protection hidden="1"/>
    </xf>
    <xf numFmtId="0" fontId="0" fillId="3" borderId="13" xfId="0" applyFill="1" applyBorder="1" applyProtection="1">
      <protection hidden="1"/>
    </xf>
    <xf numFmtId="0" fontId="0" fillId="3" borderId="14" xfId="0" applyFill="1" applyBorder="1" applyProtection="1">
      <protection hidden="1"/>
    </xf>
    <xf numFmtId="0" fontId="71" fillId="3" borderId="14" xfId="1" applyFont="1" applyFill="1" applyBorder="1" applyAlignment="1" applyProtection="1">
      <protection hidden="1"/>
    </xf>
    <xf numFmtId="0" fontId="0" fillId="3" borderId="16" xfId="0" applyFill="1" applyBorder="1" applyProtection="1">
      <protection hidden="1"/>
    </xf>
    <xf numFmtId="0" fontId="0" fillId="4" borderId="17" xfId="0" applyFill="1" applyBorder="1" applyProtection="1">
      <protection hidden="1"/>
    </xf>
    <xf numFmtId="0" fontId="45" fillId="4" borderId="0" xfId="0" applyFont="1" applyFill="1" applyBorder="1" applyAlignment="1" applyProtection="1">
      <alignment horizontal="right" vertical="center"/>
      <protection hidden="1"/>
    </xf>
    <xf numFmtId="0" fontId="0" fillId="3" borderId="18" xfId="0" applyFill="1" applyBorder="1" applyProtection="1">
      <protection hidden="1"/>
    </xf>
    <xf numFmtId="0" fontId="0" fillId="3" borderId="17" xfId="0" applyFill="1" applyBorder="1" applyProtection="1">
      <protection hidden="1"/>
    </xf>
    <xf numFmtId="0" fontId="38" fillId="3" borderId="0" xfId="0" applyFont="1" applyFill="1" applyBorder="1" applyAlignment="1" applyProtection="1">
      <alignment horizontal="right" vertical="center"/>
      <protection hidden="1"/>
    </xf>
    <xf numFmtId="0" fontId="37" fillId="3" borderId="0" xfId="0" applyFont="1" applyFill="1" applyBorder="1" applyAlignment="1" applyProtection="1">
      <alignment horizontal="right"/>
      <protection hidden="1"/>
    </xf>
    <xf numFmtId="0" fontId="37" fillId="3" borderId="0" xfId="0" applyFont="1" applyFill="1" applyBorder="1" applyProtection="1">
      <protection hidden="1"/>
    </xf>
    <xf numFmtId="0" fontId="28" fillId="3" borderId="18" xfId="0" applyFont="1" applyFill="1" applyBorder="1" applyAlignment="1" applyProtection="1">
      <alignment vertical="center"/>
      <protection hidden="1"/>
    </xf>
    <xf numFmtId="0" fontId="37" fillId="3" borderId="18" xfId="0" applyFont="1" applyFill="1" applyBorder="1" applyProtection="1">
      <protection hidden="1"/>
    </xf>
    <xf numFmtId="0" fontId="37" fillId="3" borderId="17" xfId="0" applyFont="1" applyFill="1" applyBorder="1" applyAlignment="1" applyProtection="1">
      <alignment horizontal="right" vertical="center"/>
      <protection hidden="1"/>
    </xf>
    <xf numFmtId="0" fontId="40" fillId="3" borderId="17" xfId="0" applyFont="1" applyFill="1" applyBorder="1" applyAlignment="1" applyProtection="1">
      <alignment vertical="top" wrapText="1"/>
      <protection hidden="1"/>
    </xf>
    <xf numFmtId="0" fontId="40" fillId="3" borderId="0" xfId="0" applyFont="1" applyFill="1" applyBorder="1" applyAlignment="1" applyProtection="1">
      <alignment vertical="top" wrapText="1"/>
      <protection hidden="1"/>
    </xf>
    <xf numFmtId="0" fontId="42" fillId="4" borderId="0" xfId="0" applyFont="1" applyFill="1" applyBorder="1" applyAlignment="1" applyProtection="1">
      <alignment horizontal="right" vertical="center" wrapText="1"/>
      <protection hidden="1"/>
    </xf>
    <xf numFmtId="0" fontId="0" fillId="4" borderId="0" xfId="0" applyFill="1" applyBorder="1" applyProtection="1">
      <protection hidden="1"/>
    </xf>
    <xf numFmtId="0" fontId="0" fillId="3" borderId="20" xfId="0" applyFill="1" applyBorder="1" applyProtection="1">
      <protection hidden="1"/>
    </xf>
    <xf numFmtId="0" fontId="0" fillId="3" borderId="21" xfId="0" applyFill="1" applyBorder="1" applyProtection="1">
      <protection hidden="1"/>
    </xf>
    <xf numFmtId="0" fontId="0" fillId="3" borderId="19" xfId="0" applyFill="1" applyBorder="1" applyProtection="1">
      <protection hidden="1"/>
    </xf>
    <xf numFmtId="0" fontId="12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78" fillId="0" borderId="0" xfId="0" applyFont="1" applyAlignment="1" applyProtection="1">
      <alignment vertical="center" shrinkToFit="1"/>
      <protection hidden="1"/>
    </xf>
    <xf numFmtId="0" fontId="79" fillId="0" borderId="0" xfId="0" applyFont="1" applyAlignment="1" applyProtection="1">
      <alignment vertical="center" shrinkToFit="1"/>
      <protection hidden="1"/>
    </xf>
    <xf numFmtId="0" fontId="77" fillId="0" borderId="0" xfId="0" applyFont="1" applyAlignment="1" applyProtection="1">
      <protection hidden="1"/>
    </xf>
    <xf numFmtId="0" fontId="78" fillId="0" borderId="0" xfId="0" applyFont="1" applyAlignment="1" applyProtection="1">
      <alignment shrinkToFit="1"/>
      <protection hidden="1"/>
    </xf>
    <xf numFmtId="0" fontId="77" fillId="0" borderId="0" xfId="0" applyFont="1" applyProtection="1">
      <protection hidden="1"/>
    </xf>
    <xf numFmtId="0" fontId="78" fillId="0" borderId="0" xfId="0" applyFont="1" applyAlignment="1" applyProtection="1">
      <alignment vertical="top" shrinkToFit="1"/>
      <protection hidden="1"/>
    </xf>
    <xf numFmtId="0" fontId="38" fillId="4" borderId="0" xfId="0" applyFont="1" applyFill="1" applyBorder="1" applyAlignment="1" applyProtection="1">
      <alignment horizontal="right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38" fillId="4" borderId="0" xfId="0" applyFont="1" applyFill="1" applyBorder="1" applyAlignment="1" applyProtection="1">
      <alignment horizontal="right" vertical="center"/>
      <protection hidden="1"/>
    </xf>
    <xf numFmtId="0" fontId="63" fillId="4" borderId="0" xfId="0" applyFont="1" applyFill="1" applyAlignment="1" applyProtection="1">
      <alignment horizontal="center" vertical="center"/>
      <protection hidden="1"/>
    </xf>
    <xf numFmtId="0" fontId="62" fillId="4" borderId="0" xfId="0" applyFont="1" applyFill="1" applyAlignment="1" applyProtection="1">
      <alignment horizontal="center" vertical="center"/>
      <protection hidden="1"/>
    </xf>
    <xf numFmtId="0" fontId="61" fillId="4" borderId="0" xfId="1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14" borderId="0" xfId="0" applyFont="1" applyFill="1" applyProtection="1">
      <protection hidden="1"/>
    </xf>
    <xf numFmtId="0" fontId="0" fillId="0" borderId="0" xfId="0" applyProtection="1">
      <protection hidden="1"/>
    </xf>
    <xf numFmtId="0" fontId="80" fillId="3" borderId="0" xfId="0" applyFont="1" applyFill="1" applyBorder="1" applyAlignment="1" applyProtection="1">
      <alignment horizontal="center"/>
      <protection hidden="1"/>
    </xf>
    <xf numFmtId="1" fontId="16" fillId="0" borderId="8" xfId="0" applyNumberFormat="1" applyFont="1" applyFill="1" applyBorder="1" applyAlignment="1" applyProtection="1">
      <alignment horizontal="center" vertical="center"/>
      <protection locked="0"/>
    </xf>
    <xf numFmtId="1" fontId="16" fillId="0" borderId="12" xfId="0" applyNumberFormat="1" applyFont="1" applyFill="1" applyBorder="1" applyAlignment="1" applyProtection="1">
      <alignment horizontal="center" vertical="center"/>
      <protection locked="0"/>
    </xf>
    <xf numFmtId="0" fontId="38" fillId="4" borderId="0" xfId="0" applyFont="1" applyFill="1" applyBorder="1" applyAlignment="1" applyProtection="1">
      <alignment horizontal="right" vertical="center" wrapText="1"/>
      <protection hidden="1"/>
    </xf>
    <xf numFmtId="0" fontId="81" fillId="0" borderId="0" xfId="0" applyFont="1" applyAlignment="1" applyProtection="1">
      <alignment vertical="center" shrinkToFit="1"/>
      <protection hidden="1"/>
    </xf>
    <xf numFmtId="0" fontId="81" fillId="0" borderId="0" xfId="0" applyFont="1" applyFill="1" applyAlignment="1" applyProtection="1">
      <alignment vertical="center" shrinkToFit="1"/>
      <protection hidden="1"/>
    </xf>
    <xf numFmtId="14" fontId="81" fillId="0" borderId="0" xfId="0" applyNumberFormat="1" applyFont="1" applyFill="1" applyAlignment="1" applyProtection="1">
      <alignment vertical="center" shrinkToFit="1"/>
      <protection hidden="1"/>
    </xf>
    <xf numFmtId="0" fontId="82" fillId="0" borderId="0" xfId="0" applyFont="1" applyAlignment="1" applyProtection="1">
      <alignment vertical="center" shrinkToFit="1"/>
      <protection hidden="1"/>
    </xf>
    <xf numFmtId="0" fontId="82" fillId="0" borderId="0" xfId="0" applyFont="1" applyFill="1" applyAlignment="1" applyProtection="1">
      <alignment vertical="center" shrinkToFit="1"/>
      <protection hidden="1"/>
    </xf>
    <xf numFmtId="14" fontId="82" fillId="0" borderId="0" xfId="0" applyNumberFormat="1" applyFont="1" applyFill="1" applyAlignment="1" applyProtection="1">
      <alignment vertical="center" shrinkToFit="1"/>
      <protection hidden="1"/>
    </xf>
    <xf numFmtId="0" fontId="83" fillId="0" borderId="0" xfId="0" applyFont="1" applyFill="1" applyAlignment="1" applyProtection="1">
      <alignment vertical="center" shrinkToFit="1"/>
      <protection hidden="1"/>
    </xf>
    <xf numFmtId="14" fontId="81" fillId="0" borderId="10" xfId="0" applyNumberFormat="1" applyFont="1" applyFill="1" applyBorder="1" applyAlignment="1" applyProtection="1">
      <alignment vertical="center" shrinkToFit="1"/>
      <protection hidden="1"/>
    </xf>
    <xf numFmtId="14" fontId="81" fillId="0" borderId="11" xfId="0" applyNumberFormat="1" applyFont="1" applyFill="1" applyBorder="1" applyAlignment="1" applyProtection="1">
      <alignment vertical="center" shrinkToFit="1"/>
      <protection hidden="1"/>
    </xf>
    <xf numFmtId="0" fontId="81" fillId="0" borderId="11" xfId="0" applyFont="1" applyFill="1" applyBorder="1" applyAlignment="1" applyProtection="1">
      <alignment vertical="center" shrinkToFit="1"/>
      <protection hidden="1"/>
    </xf>
    <xf numFmtId="1" fontId="81" fillId="0" borderId="12" xfId="0" applyNumberFormat="1" applyFont="1" applyFill="1" applyBorder="1" applyAlignment="1" applyProtection="1">
      <alignment vertical="center" shrinkToFit="1"/>
      <protection hidden="1"/>
    </xf>
    <xf numFmtId="0" fontId="81" fillId="0" borderId="10" xfId="0" applyFont="1" applyFill="1" applyBorder="1" applyAlignment="1" applyProtection="1">
      <alignment vertical="center" shrinkToFit="1"/>
      <protection hidden="1"/>
    </xf>
    <xf numFmtId="0" fontId="81" fillId="0" borderId="12" xfId="0" applyFont="1" applyFill="1" applyBorder="1" applyAlignment="1" applyProtection="1">
      <alignment vertical="center" shrinkToFit="1"/>
      <protection hidden="1"/>
    </xf>
    <xf numFmtId="0" fontId="81" fillId="0" borderId="0" xfId="0" applyFont="1" applyFill="1" applyBorder="1" applyAlignment="1" applyProtection="1">
      <alignment vertical="center" shrinkToFit="1"/>
      <protection hidden="1"/>
    </xf>
    <xf numFmtId="0" fontId="84" fillId="0" borderId="0" xfId="0" applyFont="1" applyAlignment="1" applyProtection="1">
      <protection hidden="1"/>
    </xf>
    <xf numFmtId="0" fontId="85" fillId="0" borderId="0" xfId="0" applyFont="1" applyFill="1" applyAlignment="1" applyProtection="1">
      <alignment vertical="top" wrapText="1" readingOrder="1"/>
      <protection hidden="1"/>
    </xf>
    <xf numFmtId="0" fontId="81" fillId="0" borderId="0" xfId="0" applyFont="1" applyFill="1" applyAlignment="1" applyProtection="1">
      <alignment shrinkToFit="1"/>
      <protection hidden="1"/>
    </xf>
    <xf numFmtId="0" fontId="81" fillId="0" borderId="0" xfId="0" applyFont="1" applyFill="1" applyAlignment="1" applyProtection="1">
      <alignment horizontal="center" vertical="center" shrinkToFit="1"/>
      <protection hidden="1"/>
    </xf>
    <xf numFmtId="0" fontId="81" fillId="0" borderId="0" xfId="0" applyFont="1" applyAlignment="1" applyProtection="1">
      <alignment shrinkToFit="1"/>
      <protection hidden="1"/>
    </xf>
    <xf numFmtId="0" fontId="84" fillId="0" borderId="0" xfId="0" applyFont="1" applyProtection="1">
      <protection hidden="1"/>
    </xf>
    <xf numFmtId="0" fontId="84" fillId="0" borderId="0" xfId="0" applyFont="1" applyFill="1" applyProtection="1">
      <protection hidden="1"/>
    </xf>
    <xf numFmtId="0" fontId="81" fillId="0" borderId="0" xfId="0" applyFont="1" applyFill="1" applyAlignment="1" applyProtection="1">
      <alignment vertical="top" shrinkToFit="1"/>
      <protection hidden="1"/>
    </xf>
    <xf numFmtId="14" fontId="81" fillId="0" borderId="0" xfId="0" applyNumberFormat="1" applyFont="1" applyFill="1" applyAlignment="1" applyProtection="1">
      <alignment vertical="top" shrinkToFit="1"/>
      <protection hidden="1"/>
    </xf>
    <xf numFmtId="0" fontId="81" fillId="0" borderId="0" xfId="0" applyFont="1" applyAlignment="1" applyProtection="1">
      <alignment vertical="top" shrinkToFit="1"/>
      <protection hidden="1"/>
    </xf>
    <xf numFmtId="1" fontId="82" fillId="0" borderId="0" xfId="0" applyNumberFormat="1" applyFont="1" applyFill="1" applyAlignment="1" applyProtection="1">
      <alignment vertical="center" shrinkToFit="1"/>
      <protection hidden="1"/>
    </xf>
    <xf numFmtId="0" fontId="41" fillId="4" borderId="0" xfId="0" applyFont="1" applyFill="1" applyBorder="1" applyAlignment="1" applyProtection="1">
      <alignment horizontal="right" vertical="center"/>
      <protection hidden="1"/>
    </xf>
    <xf numFmtId="0" fontId="41" fillId="4" borderId="9" xfId="0" applyFont="1" applyFill="1" applyBorder="1" applyAlignment="1" applyProtection="1">
      <alignment horizontal="right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0" fillId="16" borderId="0" xfId="0" applyFill="1" applyProtection="1">
      <protection hidden="1"/>
    </xf>
    <xf numFmtId="0" fontId="28" fillId="16" borderId="0" xfId="0" applyFont="1" applyFill="1" applyBorder="1" applyAlignment="1" applyProtection="1">
      <alignment horizontal="left" vertical="center"/>
      <protection hidden="1"/>
    </xf>
    <xf numFmtId="0" fontId="37" fillId="16" borderId="0" xfId="0" applyFont="1" applyFill="1" applyProtection="1">
      <protection hidden="1"/>
    </xf>
    <xf numFmtId="0" fontId="28" fillId="16" borderId="0" xfId="0" applyFont="1" applyFill="1" applyBorder="1" applyAlignment="1" applyProtection="1">
      <alignment vertical="center"/>
      <protection hidden="1"/>
    </xf>
    <xf numFmtId="1" fontId="81" fillId="0" borderId="0" xfId="0" applyNumberFormat="1" applyFont="1" applyFill="1" applyBorder="1" applyAlignment="1" applyProtection="1">
      <alignment vertical="center" shrinkToFit="1"/>
      <protection hidden="1"/>
    </xf>
    <xf numFmtId="0" fontId="20" fillId="2" borderId="0" xfId="0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6" fillId="7" borderId="0" xfId="0" applyFont="1" applyFill="1" applyAlignment="1" applyProtection="1">
      <alignment horizontal="center" wrapText="1"/>
      <protection hidden="1"/>
    </xf>
    <xf numFmtId="0" fontId="55" fillId="8" borderId="0" xfId="0" applyFont="1" applyFill="1" applyAlignment="1" applyProtection="1">
      <alignment horizontal="center" vertical="center"/>
      <protection hidden="1"/>
    </xf>
    <xf numFmtId="0" fontId="16" fillId="0" borderId="10" xfId="0" applyFont="1" applyFill="1" applyBorder="1" applyAlignment="1" applyProtection="1">
      <alignment horizontal="center" vertical="center"/>
      <protection locked="0"/>
    </xf>
    <xf numFmtId="0" fontId="16" fillId="0" borderId="11" xfId="0" applyFont="1" applyFill="1" applyBorder="1" applyAlignment="1" applyProtection="1">
      <alignment horizontal="center" vertical="center"/>
      <protection locked="0"/>
    </xf>
    <xf numFmtId="0" fontId="16" fillId="0" borderId="12" xfId="0" applyFont="1" applyFill="1" applyBorder="1" applyAlignment="1" applyProtection="1">
      <alignment horizontal="center" vertical="center"/>
      <protection locked="0"/>
    </xf>
    <xf numFmtId="0" fontId="38" fillId="4" borderId="0" xfId="0" applyFont="1" applyFill="1" applyBorder="1" applyAlignment="1" applyProtection="1">
      <alignment horizontal="right" vertical="center"/>
      <protection hidden="1"/>
    </xf>
    <xf numFmtId="0" fontId="38" fillId="4" borderId="9" xfId="0" applyFont="1" applyFill="1" applyBorder="1" applyAlignment="1" applyProtection="1">
      <alignment horizontal="right" vertical="center"/>
      <protection hidden="1"/>
    </xf>
    <xf numFmtId="0" fontId="62" fillId="4" borderId="0" xfId="0" applyFont="1" applyFill="1" applyAlignment="1" applyProtection="1">
      <alignment horizontal="center" vertical="center"/>
      <protection hidden="1"/>
    </xf>
    <xf numFmtId="0" fontId="61" fillId="4" borderId="0" xfId="1" applyFont="1" applyFill="1" applyAlignment="1" applyProtection="1">
      <alignment horizontal="center" vertical="center"/>
      <protection hidden="1"/>
    </xf>
    <xf numFmtId="0" fontId="38" fillId="4" borderId="17" xfId="0" applyFont="1" applyFill="1" applyBorder="1" applyAlignment="1" applyProtection="1">
      <alignment horizontal="right" vertical="center"/>
      <protection hidden="1"/>
    </xf>
    <xf numFmtId="0" fontId="41" fillId="4" borderId="17" xfId="0" applyFont="1" applyFill="1" applyBorder="1" applyAlignment="1" applyProtection="1">
      <alignment horizontal="right" vertical="center"/>
      <protection hidden="1"/>
    </xf>
    <xf numFmtId="0" fontId="41" fillId="4" borderId="9" xfId="0" applyFont="1" applyFill="1" applyBorder="1" applyAlignment="1" applyProtection="1">
      <alignment horizontal="right" vertical="center"/>
      <protection hidden="1"/>
    </xf>
    <xf numFmtId="1" fontId="28" fillId="0" borderId="10" xfId="0" applyNumberFormat="1" applyFont="1" applyBorder="1" applyAlignment="1" applyProtection="1">
      <alignment horizontal="center" vertical="center"/>
      <protection locked="0"/>
    </xf>
    <xf numFmtId="1" fontId="28" fillId="0" borderId="11" xfId="0" applyNumberFormat="1" applyFont="1" applyBorder="1" applyAlignment="1" applyProtection="1">
      <alignment horizontal="center" vertical="center"/>
      <protection locked="0"/>
    </xf>
    <xf numFmtId="1" fontId="28" fillId="0" borderId="12" xfId="0" applyNumberFormat="1" applyFont="1" applyBorder="1" applyAlignment="1" applyProtection="1">
      <alignment horizontal="center" vertical="center"/>
      <protection locked="0"/>
    </xf>
    <xf numFmtId="0" fontId="49" fillId="4" borderId="0" xfId="1" applyFont="1" applyFill="1" applyAlignment="1" applyProtection="1">
      <alignment horizontal="center" vertical="center"/>
      <protection hidden="1"/>
    </xf>
    <xf numFmtId="0" fontId="47" fillId="4" borderId="0" xfId="0" applyFont="1" applyFill="1" applyAlignment="1" applyProtection="1">
      <alignment horizontal="center" vertical="center"/>
      <protection hidden="1"/>
    </xf>
    <xf numFmtId="0" fontId="16" fillId="4" borderId="0" xfId="0" applyFont="1" applyFill="1" applyAlignment="1" applyProtection="1">
      <alignment horizontal="center" vertical="center"/>
      <protection hidden="1"/>
    </xf>
    <xf numFmtId="0" fontId="54" fillId="4" borderId="0" xfId="0" applyFont="1" applyFill="1" applyAlignment="1" applyProtection="1">
      <alignment horizontal="center" vertical="top"/>
      <protection hidden="1"/>
    </xf>
    <xf numFmtId="0" fontId="53" fillId="4" borderId="0" xfId="0" applyFont="1" applyFill="1" applyAlignment="1" applyProtection="1">
      <alignment horizontal="center" vertical="center"/>
      <protection hidden="1"/>
    </xf>
    <xf numFmtId="0" fontId="52" fillId="4" borderId="0" xfId="0" applyFont="1" applyFill="1" applyAlignment="1" applyProtection="1">
      <alignment horizontal="center" vertical="center"/>
      <protection hidden="1"/>
    </xf>
    <xf numFmtId="0" fontId="51" fillId="4" borderId="0" xfId="0" applyFont="1" applyFill="1" applyAlignment="1" applyProtection="1">
      <alignment horizontal="center" vertical="center"/>
      <protection hidden="1"/>
    </xf>
    <xf numFmtId="0" fontId="50" fillId="4" borderId="0" xfId="0" applyFont="1" applyFill="1" applyAlignment="1" applyProtection="1">
      <alignment horizontal="center" vertical="center"/>
      <protection hidden="1"/>
    </xf>
    <xf numFmtId="0" fontId="59" fillId="4" borderId="0" xfId="0" applyFont="1" applyFill="1" applyBorder="1" applyAlignment="1" applyProtection="1">
      <alignment horizontal="right" vertical="center"/>
      <protection hidden="1"/>
    </xf>
    <xf numFmtId="0" fontId="59" fillId="4" borderId="9" xfId="0" applyFont="1" applyFill="1" applyBorder="1" applyAlignment="1" applyProtection="1">
      <alignment horizontal="right" vertical="center"/>
      <protection hidden="1"/>
    </xf>
    <xf numFmtId="0" fontId="39" fillId="3" borderId="0" xfId="0" applyFont="1" applyFill="1" applyAlignment="1" applyProtection="1">
      <alignment horizontal="center" vertical="center"/>
      <protection hidden="1"/>
    </xf>
    <xf numFmtId="0" fontId="46" fillId="4" borderId="17" xfId="0" applyFont="1" applyFill="1" applyBorder="1" applyAlignment="1" applyProtection="1">
      <alignment horizontal="right" vertical="top" wrapText="1"/>
      <protection hidden="1"/>
    </xf>
    <xf numFmtId="0" fontId="46" fillId="4" borderId="9" xfId="0" applyFont="1" applyFill="1" applyBorder="1" applyAlignment="1" applyProtection="1">
      <alignment horizontal="right" vertical="top" wrapText="1"/>
      <protection hidden="1"/>
    </xf>
    <xf numFmtId="0" fontId="19" fillId="0" borderId="10" xfId="0" applyFont="1" applyFill="1" applyBorder="1" applyAlignment="1" applyProtection="1">
      <alignment horizontal="left" vertical="center"/>
      <protection locked="0"/>
    </xf>
    <xf numFmtId="0" fontId="19" fillId="0" borderId="11" xfId="0" applyFont="1" applyFill="1" applyBorder="1" applyAlignment="1" applyProtection="1">
      <alignment horizontal="left" vertical="center"/>
      <protection locked="0"/>
    </xf>
    <xf numFmtId="0" fontId="19" fillId="0" borderId="12" xfId="0" applyFont="1" applyFill="1" applyBorder="1" applyAlignment="1" applyProtection="1">
      <alignment horizontal="left" vertical="center"/>
      <protection locked="0"/>
    </xf>
    <xf numFmtId="0" fontId="46" fillId="4" borderId="17" xfId="0" applyFont="1" applyFill="1" applyBorder="1" applyAlignment="1" applyProtection="1">
      <alignment horizontal="right" vertical="center" wrapText="1"/>
      <protection hidden="1"/>
    </xf>
    <xf numFmtId="0" fontId="46" fillId="4" borderId="9" xfId="0" applyFont="1" applyFill="1" applyBorder="1" applyAlignment="1" applyProtection="1">
      <alignment horizontal="right" vertical="center" wrapText="1"/>
      <protection hidden="1"/>
    </xf>
    <xf numFmtId="0" fontId="41" fillId="4" borderId="0" xfId="0" applyFont="1" applyFill="1" applyBorder="1" applyAlignment="1" applyProtection="1">
      <alignment horizontal="right" vertical="center"/>
      <protection hidden="1"/>
    </xf>
    <xf numFmtId="0" fontId="46" fillId="4" borderId="17" xfId="0" applyFont="1" applyFill="1" applyBorder="1" applyAlignment="1" applyProtection="1">
      <alignment horizontal="right" vertical="center"/>
      <protection hidden="1"/>
    </xf>
    <xf numFmtId="0" fontId="46" fillId="4" borderId="9" xfId="0" applyFont="1" applyFill="1" applyBorder="1" applyAlignment="1" applyProtection="1">
      <alignment horizontal="right" vertical="center"/>
      <protection hidden="1"/>
    </xf>
    <xf numFmtId="0" fontId="15" fillId="4" borderId="0" xfId="0" applyFont="1" applyFill="1" applyAlignment="1" applyProtection="1">
      <alignment horizontal="center" vertical="center" wrapText="1"/>
      <protection hidden="1"/>
    </xf>
    <xf numFmtId="0" fontId="16" fillId="0" borderId="10" xfId="0" applyFont="1" applyFill="1" applyBorder="1" applyAlignment="1" applyProtection="1">
      <alignment horizontal="left" vertical="center"/>
      <protection locked="0"/>
    </xf>
    <xf numFmtId="0" fontId="16" fillId="0" borderId="11" xfId="0" applyFont="1" applyFill="1" applyBorder="1" applyAlignment="1" applyProtection="1">
      <alignment horizontal="left" vertical="center"/>
      <protection locked="0"/>
    </xf>
    <xf numFmtId="0" fontId="16" fillId="0" borderId="12" xfId="0" applyFont="1" applyFill="1" applyBorder="1" applyAlignment="1" applyProtection="1">
      <alignment horizontal="left" vertical="center"/>
      <protection locked="0"/>
    </xf>
    <xf numFmtId="164" fontId="16" fillId="0" borderId="10" xfId="0" applyNumberFormat="1" applyFont="1" applyFill="1" applyBorder="1" applyAlignment="1" applyProtection="1">
      <alignment horizontal="center" vertical="center"/>
      <protection locked="0"/>
    </xf>
    <xf numFmtId="164" fontId="16" fillId="0" borderId="11" xfId="0" applyNumberFormat="1" applyFont="1" applyFill="1" applyBorder="1" applyAlignment="1" applyProtection="1">
      <alignment horizontal="center" vertical="center"/>
      <protection locked="0"/>
    </xf>
    <xf numFmtId="164" fontId="16" fillId="0" borderId="12" xfId="0" applyNumberFormat="1" applyFont="1" applyFill="1" applyBorder="1" applyAlignment="1" applyProtection="1">
      <alignment horizontal="center" vertical="center"/>
      <protection locked="0"/>
    </xf>
    <xf numFmtId="165" fontId="69" fillId="4" borderId="0" xfId="0" applyNumberFormat="1" applyFont="1" applyFill="1" applyAlignment="1" applyProtection="1">
      <alignment horizontal="center" vertical="center"/>
      <protection hidden="1"/>
    </xf>
    <xf numFmtId="0" fontId="73" fillId="16" borderId="0" xfId="0" applyFont="1" applyFill="1" applyAlignment="1" applyProtection="1">
      <alignment horizontal="center" vertical="center" wrapText="1"/>
      <protection hidden="1"/>
    </xf>
    <xf numFmtId="0" fontId="73" fillId="16" borderId="0" xfId="0" applyFont="1" applyFill="1" applyAlignment="1" applyProtection="1">
      <alignment horizontal="center" vertical="center"/>
      <protection hidden="1"/>
    </xf>
    <xf numFmtId="0" fontId="64" fillId="3" borderId="15" xfId="0" applyFont="1" applyFill="1" applyBorder="1" applyAlignment="1" applyProtection="1">
      <alignment horizontal="center" vertical="center"/>
      <protection hidden="1"/>
    </xf>
    <xf numFmtId="0" fontId="86" fillId="16" borderId="0" xfId="0" applyFont="1" applyFill="1" applyAlignment="1" applyProtection="1">
      <alignment horizontal="center" vertical="center"/>
      <protection hidden="1"/>
    </xf>
    <xf numFmtId="0" fontId="68" fillId="4" borderId="17" xfId="0" applyFont="1" applyFill="1" applyBorder="1" applyAlignment="1" applyProtection="1">
      <alignment horizontal="right" vertical="top" wrapText="1"/>
      <protection hidden="1"/>
    </xf>
    <xf numFmtId="0" fontId="68" fillId="4" borderId="9" xfId="0" applyFont="1" applyFill="1" applyBorder="1" applyAlignment="1" applyProtection="1">
      <alignment horizontal="right" vertical="top" wrapText="1"/>
      <protection hidden="1"/>
    </xf>
    <xf numFmtId="0" fontId="72" fillId="4" borderId="0" xfId="0" applyFont="1" applyFill="1" applyAlignment="1" applyProtection="1">
      <alignment horizontal="center" vertical="center" wrapText="1"/>
      <protection hidden="1"/>
    </xf>
    <xf numFmtId="0" fontId="21" fillId="2" borderId="0" xfId="0" applyFont="1" applyFill="1" applyBorder="1" applyAlignment="1" applyProtection="1">
      <alignment horizontal="center" vertical="center" shrinkToFit="1"/>
      <protection hidden="1"/>
    </xf>
    <xf numFmtId="0" fontId="22" fillId="2" borderId="0" xfId="0" applyFont="1" applyFill="1" applyBorder="1" applyAlignment="1" applyProtection="1">
      <alignment horizontal="center" vertical="center" shrinkToFit="1"/>
      <protection hidden="1"/>
    </xf>
    <xf numFmtId="0" fontId="65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0" fontId="20" fillId="2" borderId="0" xfId="0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Border="1" applyAlignment="1" applyProtection="1">
      <alignment horizontal="center" vertical="center"/>
      <protection hidden="1"/>
    </xf>
    <xf numFmtId="0" fontId="36" fillId="2" borderId="0" xfId="0" applyFont="1" applyFill="1" applyBorder="1" applyAlignment="1" applyProtection="1">
      <alignment horizontal="center" vertical="center"/>
      <protection hidden="1"/>
    </xf>
    <xf numFmtId="165" fontId="3" fillId="2" borderId="0" xfId="0" applyNumberFormat="1" applyFont="1" applyFill="1" applyBorder="1" applyAlignment="1" applyProtection="1">
      <alignment horizontal="left" vertical="center"/>
      <protection hidden="1"/>
    </xf>
    <xf numFmtId="166" fontId="74" fillId="0" borderId="0" xfId="0" applyNumberFormat="1" applyFont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center" vertical="center" textRotation="90" wrapText="1" shrinkToFit="1"/>
      <protection hidden="1"/>
    </xf>
    <xf numFmtId="166" fontId="17" fillId="0" borderId="0" xfId="0" applyNumberFormat="1" applyFont="1" applyBorder="1" applyAlignment="1" applyProtection="1">
      <alignment horizontal="left" vertical="center"/>
      <protection hidden="1"/>
    </xf>
    <xf numFmtId="167" fontId="3" fillId="2" borderId="0" xfId="0" applyNumberFormat="1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Border="1" applyAlignment="1" applyProtection="1">
      <alignment horizontal="left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 shrinkToFit="1"/>
      <protection hidden="1"/>
    </xf>
    <xf numFmtId="0" fontId="5" fillId="2" borderId="4" xfId="0" applyFont="1" applyFill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top" wrapText="1" readingOrder="1"/>
      <protection hidden="1"/>
    </xf>
    <xf numFmtId="0" fontId="0" fillId="0" borderId="0" xfId="0" applyProtection="1">
      <protection hidden="1"/>
    </xf>
    <xf numFmtId="0" fontId="35" fillId="0" borderId="7" xfId="0" applyFont="1" applyBorder="1" applyAlignment="1" applyProtection="1">
      <alignment horizontal="center" vertical="center"/>
      <protection hidden="1"/>
    </xf>
    <xf numFmtId="0" fontId="34" fillId="2" borderId="7" xfId="0" applyFont="1" applyFill="1" applyBorder="1" applyAlignment="1" applyProtection="1">
      <alignment horizontal="left" vertical="center" shrinkToFit="1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29" fillId="0" borderId="0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left" vertical="top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32" fillId="0" borderId="0" xfId="0" applyFont="1" applyBorder="1" applyAlignment="1" applyProtection="1">
      <alignment horizontal="center" vertical="center" wrapText="1"/>
      <protection hidden="1"/>
    </xf>
    <xf numFmtId="0" fontId="75" fillId="0" borderId="0" xfId="0" applyNumberFormat="1" applyFont="1" applyBorder="1" applyAlignment="1" applyProtection="1">
      <alignment horizontal="left" vertical="center"/>
      <protection hidden="1"/>
    </xf>
    <xf numFmtId="0" fontId="71" fillId="4" borderId="0" xfId="1" applyFont="1" applyFill="1" applyAlignment="1" applyProtection="1">
      <alignment horizontal="center" vertical="center"/>
      <protection hidden="1"/>
    </xf>
    <xf numFmtId="0" fontId="87" fillId="4" borderId="0" xfId="0" applyFont="1" applyFill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46">
    <dxf>
      <font>
        <color theme="0"/>
      </font>
    </dxf>
    <dxf>
      <font>
        <b/>
        <i val="0"/>
        <color rgb="FF0000CC"/>
      </font>
    </dxf>
    <dxf>
      <font>
        <b/>
        <i val="0"/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rgb="FFCCFFCC"/>
        </patternFill>
      </fill>
      <alignment horizontal="center" vertical="center" textRotation="0" wrapText="0" indent="0" relativeIndent="0" justifyLastLine="0" shrinkToFit="0" mergeCell="0" readingOrder="0"/>
      <protection locked="1" hidden="1"/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</dxfs>
  <tableStyles count="0" defaultTableStyle="TableStyleMedium9" defaultPivotStyle="PivotStyleLight16"/>
  <colors>
    <mruColors>
      <color rgb="FF0000CC"/>
      <color rgb="FFCC0099"/>
      <color rgb="FF9CFAC0"/>
      <color rgb="FF98FAB9"/>
      <color rgb="FF8BF9B5"/>
      <color rgb="FF90FAB3"/>
      <color rgb="FF86FAAD"/>
      <color rgb="FF66FF99"/>
      <color rgb="FF99FF99"/>
      <color rgb="FF9DF5B2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Unlock sheet'!A1"/><Relationship Id="rId7" Type="http://schemas.openxmlformats.org/officeDocument/2006/relationships/hyperlink" Target="#'Arrear Sheet'!A1"/><Relationship Id="rId2" Type="http://schemas.openxmlformats.org/officeDocument/2006/relationships/hyperlink" Target="#'Arrear Sheet'!A1"/><Relationship Id="rId1" Type="http://schemas.openxmlformats.org/officeDocument/2006/relationships/image" Target="../media/image1.jpeg"/><Relationship Id="rId6" Type="http://schemas.openxmlformats.org/officeDocument/2006/relationships/hyperlink" Target="#'How to Use'!A1"/><Relationship Id="rId5" Type="http://schemas.openxmlformats.org/officeDocument/2006/relationships/image" Target="../media/image2.jpeg"/><Relationship Id="rId4" Type="http://schemas.openxmlformats.org/officeDocument/2006/relationships/hyperlink" Target="#'How to Use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</xdr:row>
      <xdr:rowOff>19050</xdr:rowOff>
    </xdr:from>
    <xdr:to>
      <xdr:col>3</xdr:col>
      <xdr:colOff>1114426</xdr:colOff>
      <xdr:row>4</xdr:row>
      <xdr:rowOff>76200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11144250" y="638175"/>
          <a:ext cx="1019176" cy="59055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447675</xdr:colOff>
      <xdr:row>0</xdr:row>
      <xdr:rowOff>85725</xdr:rowOff>
    </xdr:from>
    <xdr:to>
      <xdr:col>15</xdr:col>
      <xdr:colOff>447675</xdr:colOff>
      <xdr:row>4</xdr:row>
      <xdr:rowOff>121104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85725"/>
          <a:ext cx="1485900" cy="1390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242985</xdr:colOff>
      <xdr:row>0</xdr:row>
      <xdr:rowOff>0</xdr:rowOff>
    </xdr:from>
    <xdr:to>
      <xdr:col>17</xdr:col>
      <xdr:colOff>913623</xdr:colOff>
      <xdr:row>5</xdr:row>
      <xdr:rowOff>116632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0" y="0"/>
          <a:ext cx="1875842" cy="18564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495690</xdr:colOff>
      <xdr:row>35</xdr:row>
      <xdr:rowOff>272142</xdr:rowOff>
    </xdr:from>
    <xdr:to>
      <xdr:col>3</xdr:col>
      <xdr:colOff>725650</xdr:colOff>
      <xdr:row>37</xdr:row>
      <xdr:rowOff>281863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1487068" y="12800433"/>
          <a:ext cx="2475138" cy="59288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FFFF00"/>
              </a:solidFill>
            </a:rPr>
            <a:t>Go  to  Arrear Sheet</a:t>
          </a:r>
        </a:p>
      </xdr:txBody>
    </xdr:sp>
    <xdr:clientData/>
  </xdr:twoCellAnchor>
  <xdr:twoCellAnchor>
    <xdr:from>
      <xdr:col>7</xdr:col>
      <xdr:colOff>2565919</xdr:colOff>
      <xdr:row>35</xdr:row>
      <xdr:rowOff>272144</xdr:rowOff>
    </xdr:from>
    <xdr:to>
      <xdr:col>10</xdr:col>
      <xdr:colOff>991378</xdr:colOff>
      <xdr:row>38</xdr:row>
      <xdr:rowOff>2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212883" y="12800435"/>
          <a:ext cx="3003291" cy="602603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6CF082"/>
              </a:solidFill>
            </a:rPr>
            <a:t>Unlock Sheet</a:t>
          </a:r>
        </a:p>
      </xdr:txBody>
    </xdr:sp>
    <xdr:clientData/>
  </xdr:twoCellAnchor>
  <xdr:twoCellAnchor>
    <xdr:from>
      <xdr:col>4</xdr:col>
      <xdr:colOff>320157</xdr:colOff>
      <xdr:row>35</xdr:row>
      <xdr:rowOff>272141</xdr:rowOff>
    </xdr:from>
    <xdr:to>
      <xdr:col>7</xdr:col>
      <xdr:colOff>2196582</xdr:colOff>
      <xdr:row>37</xdr:row>
      <xdr:rowOff>291581</xdr:rowOff>
    </xdr:to>
    <xdr:sp macro="" textlink="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4285667" y="12800432"/>
          <a:ext cx="3557879" cy="602603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/>
            <a:t>How  to</a:t>
          </a:r>
          <a:r>
            <a:rPr lang="en-US" sz="1800" b="1" baseline="0"/>
            <a:t> Use  Sheet</a:t>
          </a:r>
          <a:endParaRPr lang="en-US" sz="1800" b="1"/>
        </a:p>
      </xdr:txBody>
    </xdr:sp>
    <xdr:clientData/>
  </xdr:twoCellAnchor>
  <xdr:twoCellAnchor editAs="oneCell">
    <xdr:from>
      <xdr:col>10</xdr:col>
      <xdr:colOff>758113</xdr:colOff>
      <xdr:row>29</xdr:row>
      <xdr:rowOff>301304</xdr:rowOff>
    </xdr:from>
    <xdr:to>
      <xdr:col>11</xdr:col>
      <xdr:colOff>562516</xdr:colOff>
      <xdr:row>34</xdr:row>
      <xdr:rowOff>272145</xdr:rowOff>
    </xdr:to>
    <xdr:pic>
      <xdr:nvPicPr>
        <xdr:cNvPr id="9" name="Picture 8" descr="WhatsApp Image 2021-06-01 at 5.26.05 PM.jpe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82909" y="11041227"/>
          <a:ext cx="1262311" cy="1467626"/>
        </a:xfrm>
        <a:prstGeom prst="rect">
          <a:avLst/>
        </a:prstGeom>
      </xdr:spPr>
    </xdr:pic>
    <xdr:clientData/>
  </xdr:twoCellAnchor>
  <xdr:twoCellAnchor>
    <xdr:from>
      <xdr:col>14</xdr:col>
      <xdr:colOff>19440</xdr:colOff>
      <xdr:row>4</xdr:row>
      <xdr:rowOff>213828</xdr:rowOff>
    </xdr:from>
    <xdr:to>
      <xdr:col>14</xdr:col>
      <xdr:colOff>398495</xdr:colOff>
      <xdr:row>5</xdr:row>
      <xdr:rowOff>87475</xdr:rowOff>
    </xdr:to>
    <xdr:sp macro="" textlink="">
      <xdr:nvSpPr>
        <xdr:cNvPr id="8" name="Left Arrow 7"/>
        <xdr:cNvSpPr/>
      </xdr:nvSpPr>
      <xdr:spPr>
        <a:xfrm>
          <a:off x="13587705" y="1487068"/>
          <a:ext cx="379055" cy="252703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524848</xdr:colOff>
      <xdr:row>0</xdr:row>
      <xdr:rowOff>68036</xdr:rowOff>
    </xdr:from>
    <xdr:to>
      <xdr:col>2</xdr:col>
      <xdr:colOff>1030256</xdr:colOff>
      <xdr:row>0</xdr:row>
      <xdr:rowOff>291582</xdr:rowOff>
    </xdr:to>
    <xdr:sp macro="" textlink="">
      <xdr:nvSpPr>
        <xdr:cNvPr id="10" name="Left Arrow 9">
          <a:hlinkClick xmlns:r="http://schemas.openxmlformats.org/officeDocument/2006/relationships" r:id="rId6"/>
        </xdr:cNvPr>
        <xdr:cNvSpPr/>
      </xdr:nvSpPr>
      <xdr:spPr>
        <a:xfrm>
          <a:off x="1380154" y="68036"/>
          <a:ext cx="505408" cy="223546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1146889</xdr:colOff>
      <xdr:row>0</xdr:row>
      <xdr:rowOff>68036</xdr:rowOff>
    </xdr:from>
    <xdr:to>
      <xdr:col>2</xdr:col>
      <xdr:colOff>1652297</xdr:colOff>
      <xdr:row>0</xdr:row>
      <xdr:rowOff>272143</xdr:rowOff>
    </xdr:to>
    <xdr:sp macro="" textlink="">
      <xdr:nvSpPr>
        <xdr:cNvPr id="11" name="Right Arrow 10">
          <a:hlinkClick xmlns:r="http://schemas.openxmlformats.org/officeDocument/2006/relationships" r:id="rId7"/>
        </xdr:cNvPr>
        <xdr:cNvSpPr/>
      </xdr:nvSpPr>
      <xdr:spPr>
        <a:xfrm>
          <a:off x="2002195" y="68036"/>
          <a:ext cx="505408" cy="20410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6</xdr:row>
      <xdr:rowOff>0</xdr:rowOff>
    </xdr:from>
    <xdr:to>
      <xdr:col>39</xdr:col>
      <xdr:colOff>539037</xdr:colOff>
      <xdr:row>7</xdr:row>
      <xdr:rowOff>21577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5401925" y="159067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6</xdr:row>
      <xdr:rowOff>0</xdr:rowOff>
    </xdr:from>
    <xdr:to>
      <xdr:col>40</xdr:col>
      <xdr:colOff>539037</xdr:colOff>
      <xdr:row>8</xdr:row>
      <xdr:rowOff>97777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6764000" y="141922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Q10:Q23" totalsRowShown="0" headerRowDxfId="8" dataDxfId="7">
  <tableColumns count="1">
    <tableColumn id="1" name="Post" dataDxfId="6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fTQ-UORJAX8" TargetMode="External"/><Relationship Id="rId2" Type="http://schemas.openxmlformats.org/officeDocument/2006/relationships/hyperlink" Target="https://youtu.be/ZmZ-D7xZTpA" TargetMode="External"/><Relationship Id="rId1" Type="http://schemas.openxmlformats.org/officeDocument/2006/relationships/hyperlink" Target="https://youtu.be/KZNCz_sq6iQ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fTQ-UORJAX8" TargetMode="External"/><Relationship Id="rId2" Type="http://schemas.openxmlformats.org/officeDocument/2006/relationships/hyperlink" Target="https://youtube.com/c/Heeralaljat" TargetMode="External"/><Relationship Id="rId1" Type="http://schemas.openxmlformats.org/officeDocument/2006/relationships/hyperlink" Target="https://youtu.be/fTQ-UORJAX8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XFC24"/>
  <sheetViews>
    <sheetView showGridLines="0" showRowColHeaders="0" tabSelected="1" topLeftCell="B1" workbookViewId="0">
      <selection activeCell="D11" sqref="D11"/>
    </sheetView>
  </sheetViews>
  <sheetFormatPr defaultColWidth="9" defaultRowHeight="15" zeroHeight="1"/>
  <cols>
    <col min="1" max="1" width="7.25" style="73" customWidth="1"/>
    <col min="2" max="2" width="20.125" style="73" customWidth="1"/>
    <col min="3" max="3" width="120.875" style="73" customWidth="1"/>
    <col min="4" max="4" width="16.75" style="73" customWidth="1"/>
    <col min="5" max="16382" width="9" style="73" hidden="1" customWidth="1"/>
    <col min="16383" max="16383" width="8.75" style="73" hidden="1" customWidth="1"/>
    <col min="16384" max="16384" width="3.75" style="73" hidden="1" customWidth="1"/>
  </cols>
  <sheetData>
    <row r="1" spans="1:6" ht="24" customHeight="1">
      <c r="A1" s="76"/>
      <c r="B1" s="201" t="s">
        <v>64</v>
      </c>
      <c r="C1" s="201"/>
    </row>
    <row r="2" spans="1:6" ht="24.75" customHeight="1">
      <c r="A2" s="76"/>
      <c r="B2" s="201"/>
      <c r="C2" s="201"/>
    </row>
    <row r="3" spans="1:6">
      <c r="A3" s="77"/>
      <c r="B3" s="77"/>
      <c r="C3" s="77"/>
    </row>
    <row r="4" spans="1:6" ht="27" customHeight="1">
      <c r="A4" s="77"/>
      <c r="B4" s="202" t="s">
        <v>76</v>
      </c>
      <c r="C4" s="202"/>
    </row>
    <row r="5" spans="1:6" ht="18.75">
      <c r="A5" s="77"/>
      <c r="B5" s="99" t="s">
        <v>98</v>
      </c>
      <c r="C5" s="113" t="s">
        <v>85</v>
      </c>
    </row>
    <row r="6" spans="1:6" s="105" customFormat="1" ht="22.5" customHeight="1">
      <c r="A6" s="77"/>
      <c r="B6" s="99" t="s">
        <v>99</v>
      </c>
      <c r="C6" s="114" t="s">
        <v>100</v>
      </c>
    </row>
    <row r="7" spans="1:6" s="139" customFormat="1" ht="22.5" customHeight="1">
      <c r="A7" s="77"/>
      <c r="B7" s="99" t="s">
        <v>107</v>
      </c>
      <c r="C7" s="114" t="s">
        <v>106</v>
      </c>
    </row>
    <row r="8" spans="1:6" s="200" customFormat="1" ht="22.5" customHeight="1">
      <c r="A8" s="77"/>
      <c r="B8" s="99" t="s">
        <v>128</v>
      </c>
      <c r="C8" s="114" t="s">
        <v>127</v>
      </c>
    </row>
    <row r="9" spans="1:6" ht="206.25" customHeight="1">
      <c r="A9" s="78">
        <v>1</v>
      </c>
      <c r="B9" s="79" t="s">
        <v>65</v>
      </c>
      <c r="C9" s="80" t="s">
        <v>84</v>
      </c>
      <c r="F9" s="73" t="s">
        <v>66</v>
      </c>
    </row>
    <row r="10" spans="1:6" ht="15.75">
      <c r="A10" s="81"/>
      <c r="B10" s="81"/>
      <c r="C10" s="81"/>
      <c r="D10" s="111" t="s">
        <v>97</v>
      </c>
    </row>
    <row r="11" spans="1:6" ht="30">
      <c r="A11" s="81"/>
      <c r="B11" s="81"/>
      <c r="C11" s="82" t="s">
        <v>129</v>
      </c>
      <c r="D11" s="112">
        <v>45105</v>
      </c>
    </row>
    <row r="12" spans="1:6">
      <c r="A12" s="81"/>
      <c r="B12" s="81"/>
      <c r="C12" s="81" t="s">
        <v>66</v>
      </c>
    </row>
    <row r="13" spans="1:6" ht="37.5" customHeight="1">
      <c r="A13" s="83">
        <v>2</v>
      </c>
      <c r="B13" s="84" t="s">
        <v>67</v>
      </c>
      <c r="C13" s="85" t="s">
        <v>68</v>
      </c>
    </row>
    <row r="14" spans="1:6">
      <c r="A14" s="86"/>
      <c r="B14" s="86"/>
      <c r="C14" s="86"/>
    </row>
    <row r="15" spans="1:6" ht="37.5">
      <c r="A15" s="87">
        <v>3</v>
      </c>
      <c r="B15" s="88" t="s">
        <v>69</v>
      </c>
      <c r="C15" s="89" t="s">
        <v>75</v>
      </c>
    </row>
    <row r="16" spans="1:6">
      <c r="A16" s="90"/>
      <c r="B16" s="90"/>
      <c r="C16" s="90"/>
    </row>
    <row r="17" spans="1:3" ht="30">
      <c r="A17" s="91"/>
      <c r="B17" s="92" t="s">
        <v>70</v>
      </c>
      <c r="C17" s="93" t="s">
        <v>74</v>
      </c>
    </row>
    <row r="18" spans="1:3">
      <c r="A18" s="94"/>
      <c r="B18" s="94"/>
      <c r="C18" s="94"/>
    </row>
    <row r="19" spans="1:3">
      <c r="A19" s="95"/>
      <c r="B19" s="95"/>
      <c r="C19" s="96" t="s">
        <v>90</v>
      </c>
    </row>
    <row r="20" spans="1:3">
      <c r="A20" s="95"/>
      <c r="B20" s="95"/>
      <c r="C20" s="95"/>
    </row>
    <row r="21" spans="1:3">
      <c r="A21" s="97"/>
      <c r="B21" s="97"/>
      <c r="C21" s="157" t="s">
        <v>71</v>
      </c>
    </row>
    <row r="22" spans="1:3">
      <c r="A22" s="97"/>
      <c r="B22" s="97"/>
      <c r="C22" s="157" t="s">
        <v>73</v>
      </c>
    </row>
    <row r="23" spans="1:3">
      <c r="A23" s="97"/>
      <c r="B23" s="97"/>
      <c r="C23" s="157" t="s">
        <v>72</v>
      </c>
    </row>
    <row r="24" spans="1:3"/>
  </sheetData>
  <sheetProtection password="C1FB" sheet="1" objects="1" scenarios="1" selectLockedCells="1"/>
  <mergeCells count="2">
    <mergeCell ref="B1:C2"/>
    <mergeCell ref="B4:C4"/>
  </mergeCells>
  <hyperlinks>
    <hyperlink ref="C6" r:id="rId1"/>
    <hyperlink ref="C7" r:id="rId2"/>
    <hyperlink ref="C8" r:id="rId3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C00CC"/>
  </sheetPr>
  <dimension ref="A1:AI98"/>
  <sheetViews>
    <sheetView showGridLines="0" showRowColHeaders="0" zoomScale="98" zoomScaleNormal="98" workbookViewId="0">
      <selection activeCell="D3" sqref="D3:M3"/>
    </sheetView>
  </sheetViews>
  <sheetFormatPr defaultColWidth="0" defaultRowHeight="18" customHeight="1" zeroHeight="1"/>
  <cols>
    <col min="1" max="1" width="2.75" style="44" customWidth="1"/>
    <col min="2" max="2" width="10.25" style="41" customWidth="1"/>
    <col min="3" max="3" width="29.5" style="41" customWidth="1"/>
    <col min="4" max="4" width="9.625" style="41" customWidth="1"/>
    <col min="5" max="6" width="9.625" style="156" customWidth="1"/>
    <col min="7" max="7" width="2.875" style="44" customWidth="1"/>
    <col min="8" max="8" width="37.5" style="41" customWidth="1"/>
    <col min="9" max="9" width="19.625" style="41" customWidth="1"/>
    <col min="10" max="10" width="2.875" style="44" customWidth="1"/>
    <col min="11" max="11" width="19.125" style="41" customWidth="1"/>
    <col min="12" max="12" width="18.125" style="41" customWidth="1"/>
    <col min="13" max="13" width="15.75" style="41" customWidth="1"/>
    <col min="14" max="14" width="3" style="41" bestFit="1" customWidth="1"/>
    <col min="15" max="15" width="6" style="42" customWidth="1"/>
    <col min="16" max="16" width="15.375" style="41" customWidth="1"/>
    <col min="17" max="17" width="15.875" style="41" customWidth="1"/>
    <col min="18" max="18" width="14.625" style="41" customWidth="1"/>
    <col min="19" max="19" width="12.625" style="41" customWidth="1"/>
    <col min="20" max="34" width="9" style="41" hidden="1" customWidth="1"/>
    <col min="35" max="35" width="9" style="14" hidden="1" customWidth="1"/>
    <col min="36" max="16384" width="9" style="41" hidden="1"/>
  </cols>
  <sheetData>
    <row r="1" spans="1:35" ht="36" customHeight="1" thickBot="1">
      <c r="A1" s="194"/>
      <c r="B1" s="194"/>
      <c r="C1" s="194"/>
      <c r="D1" s="248" t="s">
        <v>24</v>
      </c>
      <c r="E1" s="248"/>
      <c r="F1" s="248"/>
      <c r="G1" s="248"/>
      <c r="H1" s="248"/>
      <c r="I1" s="248"/>
      <c r="J1" s="248"/>
      <c r="K1" s="248"/>
      <c r="L1" s="245" t="s">
        <v>105</v>
      </c>
      <c r="M1" s="246"/>
      <c r="N1" s="194"/>
      <c r="O1" s="194"/>
      <c r="P1" s="47"/>
      <c r="Q1" s="47"/>
      <c r="R1" s="47"/>
      <c r="S1" s="47"/>
    </row>
    <row r="2" spans="1:35" ht="21.75" customHeight="1">
      <c r="A2" s="194"/>
      <c r="B2" s="117"/>
      <c r="C2" s="118"/>
      <c r="D2" s="118"/>
      <c r="E2" s="118"/>
      <c r="F2" s="118"/>
      <c r="G2" s="118"/>
      <c r="H2" s="119"/>
      <c r="I2" s="118"/>
      <c r="J2" s="118"/>
      <c r="K2" s="118"/>
      <c r="L2" s="247"/>
      <c r="M2" s="247"/>
      <c r="N2" s="120"/>
      <c r="O2" s="194"/>
      <c r="P2" s="47"/>
      <c r="Q2" s="47"/>
      <c r="R2" s="47"/>
      <c r="S2" s="47"/>
    </row>
    <row r="3" spans="1:35" ht="30.95" customHeight="1">
      <c r="A3" s="194"/>
      <c r="B3" s="121"/>
      <c r="C3" s="122" t="s">
        <v>23</v>
      </c>
      <c r="D3" s="229" t="s">
        <v>120</v>
      </c>
      <c r="E3" s="230"/>
      <c r="F3" s="230"/>
      <c r="G3" s="230"/>
      <c r="H3" s="230"/>
      <c r="I3" s="230"/>
      <c r="J3" s="230"/>
      <c r="K3" s="230"/>
      <c r="L3" s="230"/>
      <c r="M3" s="231"/>
      <c r="N3" s="123"/>
      <c r="O3" s="194"/>
      <c r="P3" s="47"/>
      <c r="Q3" s="47"/>
      <c r="R3" s="47"/>
      <c r="S3" s="47"/>
      <c r="AI3" s="14">
        <v>42736</v>
      </c>
    </row>
    <row r="4" spans="1:35" ht="18.75">
      <c r="A4" s="194"/>
      <c r="B4" s="124"/>
      <c r="C4" s="125"/>
      <c r="D4" s="126"/>
      <c r="E4" s="126"/>
      <c r="F4" s="126"/>
      <c r="G4" s="126"/>
      <c r="H4" s="50"/>
      <c r="I4" s="127"/>
      <c r="J4" s="127"/>
      <c r="K4" s="50"/>
      <c r="L4" s="50"/>
      <c r="M4" s="127"/>
      <c r="N4" s="123"/>
      <c r="O4" s="194"/>
      <c r="P4" s="47"/>
      <c r="Q4" s="47"/>
      <c r="R4" s="47"/>
      <c r="S4" s="47"/>
      <c r="AI4" s="14">
        <v>42767</v>
      </c>
    </row>
    <row r="5" spans="1:35" ht="30" customHeight="1">
      <c r="A5" s="194"/>
      <c r="B5" s="121"/>
      <c r="C5" s="115" t="s">
        <v>41</v>
      </c>
      <c r="D5" s="238" t="s">
        <v>108</v>
      </c>
      <c r="E5" s="239"/>
      <c r="F5" s="240"/>
      <c r="G5" s="126"/>
      <c r="H5" s="115" t="s">
        <v>42</v>
      </c>
      <c r="I5" s="54" t="s">
        <v>118</v>
      </c>
      <c r="J5" s="50"/>
      <c r="K5" s="234" t="s">
        <v>101</v>
      </c>
      <c r="L5" s="212"/>
      <c r="M5" s="68">
        <v>8</v>
      </c>
      <c r="N5" s="128" t="s">
        <v>30</v>
      </c>
      <c r="O5" s="195"/>
      <c r="P5" s="237" t="s">
        <v>103</v>
      </c>
      <c r="Q5" s="49"/>
      <c r="R5" s="49"/>
      <c r="S5" s="49"/>
      <c r="AI5" s="14">
        <v>42795</v>
      </c>
    </row>
    <row r="6" spans="1:35" ht="18.75">
      <c r="A6" s="194"/>
      <c r="B6" s="124"/>
      <c r="C6" s="43"/>
      <c r="D6" s="127"/>
      <c r="E6" s="127"/>
      <c r="F6" s="127"/>
      <c r="G6" s="127"/>
      <c r="H6" s="126"/>
      <c r="I6" s="127"/>
      <c r="J6" s="50"/>
      <c r="K6" s="126"/>
      <c r="L6" s="126"/>
      <c r="M6" s="127"/>
      <c r="N6" s="129"/>
      <c r="O6" s="196"/>
      <c r="P6" s="237"/>
      <c r="Q6" s="48"/>
      <c r="R6" s="49"/>
      <c r="S6" s="49"/>
      <c r="AI6" s="14">
        <v>42826</v>
      </c>
    </row>
    <row r="7" spans="1:35" ht="30" customHeight="1">
      <c r="A7" s="194"/>
      <c r="B7" s="121"/>
      <c r="C7" s="189" t="s">
        <v>121</v>
      </c>
      <c r="D7" s="238" t="s">
        <v>109</v>
      </c>
      <c r="E7" s="239"/>
      <c r="F7" s="240"/>
      <c r="G7" s="127"/>
      <c r="H7" s="188" t="s">
        <v>122</v>
      </c>
      <c r="I7" s="54" t="s">
        <v>119</v>
      </c>
      <c r="J7" s="50"/>
      <c r="K7" s="234" t="s">
        <v>43</v>
      </c>
      <c r="L7" s="212"/>
      <c r="M7" s="72">
        <v>16</v>
      </c>
      <c r="N7" s="129"/>
      <c r="O7" s="196"/>
      <c r="P7" s="48"/>
      <c r="Q7" s="226" t="s">
        <v>39</v>
      </c>
      <c r="R7" s="226"/>
      <c r="S7" s="49"/>
      <c r="AI7" s="14">
        <v>42856</v>
      </c>
    </row>
    <row r="8" spans="1:35" ht="18.75">
      <c r="A8" s="194"/>
      <c r="B8" s="124"/>
      <c r="C8" s="43"/>
      <c r="D8" s="127"/>
      <c r="E8" s="127"/>
      <c r="F8" s="127"/>
      <c r="G8" s="127"/>
      <c r="H8" s="126"/>
      <c r="I8" s="127"/>
      <c r="J8" s="50"/>
      <c r="K8" s="126"/>
      <c r="L8" s="126"/>
      <c r="M8" s="127"/>
      <c r="N8" s="129"/>
      <c r="O8" s="196"/>
      <c r="P8" s="48"/>
      <c r="Q8" s="48"/>
      <c r="R8" s="49"/>
      <c r="S8" s="49"/>
      <c r="AI8" s="14">
        <v>42887</v>
      </c>
    </row>
    <row r="9" spans="1:35" ht="30" customHeight="1">
      <c r="A9" s="194"/>
      <c r="B9" s="235" t="s">
        <v>44</v>
      </c>
      <c r="C9" s="236"/>
      <c r="D9" s="241">
        <v>43556</v>
      </c>
      <c r="E9" s="242"/>
      <c r="F9" s="243"/>
      <c r="G9" s="127"/>
      <c r="H9" s="152" t="s">
        <v>45</v>
      </c>
      <c r="I9" s="53">
        <v>45231</v>
      </c>
      <c r="J9" s="50"/>
      <c r="K9" s="206" t="s">
        <v>46</v>
      </c>
      <c r="L9" s="207"/>
      <c r="M9" s="46">
        <v>0</v>
      </c>
      <c r="N9" s="128" t="s">
        <v>30</v>
      </c>
      <c r="O9" s="197"/>
      <c r="P9" s="48"/>
      <c r="Q9" s="48"/>
      <c r="R9" s="49"/>
      <c r="S9" s="49"/>
      <c r="AI9" s="14">
        <v>42917</v>
      </c>
    </row>
    <row r="10" spans="1:35" ht="18.75" customHeight="1">
      <c r="A10" s="194"/>
      <c r="B10" s="124"/>
      <c r="C10" s="43"/>
      <c r="D10" s="43"/>
      <c r="E10" s="43"/>
      <c r="F10" s="43"/>
      <c r="G10" s="127"/>
      <c r="H10" s="43"/>
      <c r="I10" s="43"/>
      <c r="J10" s="50"/>
      <c r="K10" s="43"/>
      <c r="L10" s="43"/>
      <c r="M10" s="43"/>
      <c r="N10" s="128"/>
      <c r="O10" s="197"/>
      <c r="P10" s="48"/>
      <c r="Q10" s="48" t="s">
        <v>48</v>
      </c>
      <c r="R10" s="49"/>
      <c r="S10" s="49"/>
      <c r="AI10" s="14">
        <v>42948</v>
      </c>
    </row>
    <row r="11" spans="1:35" ht="30" customHeight="1">
      <c r="A11" s="194"/>
      <c r="B11" s="232" t="s">
        <v>92</v>
      </c>
      <c r="C11" s="233"/>
      <c r="D11" s="203" t="s">
        <v>50</v>
      </c>
      <c r="E11" s="204"/>
      <c r="F11" s="205"/>
      <c r="G11" s="127"/>
      <c r="H11" s="152" t="s">
        <v>52</v>
      </c>
      <c r="I11" s="46">
        <v>23700</v>
      </c>
      <c r="J11" s="50"/>
      <c r="K11" s="206" t="s">
        <v>51</v>
      </c>
      <c r="L11" s="207"/>
      <c r="M11" s="46">
        <v>95900</v>
      </c>
      <c r="N11" s="129"/>
      <c r="O11" s="196"/>
      <c r="P11" s="48"/>
      <c r="Q11" s="51" t="s">
        <v>118</v>
      </c>
      <c r="R11" s="49"/>
      <c r="S11" s="49"/>
      <c r="AI11" s="14">
        <v>42979</v>
      </c>
    </row>
    <row r="12" spans="1:35" ht="18.75">
      <c r="A12" s="194"/>
      <c r="B12" s="130"/>
      <c r="C12" s="43"/>
      <c r="D12" s="159" t="s">
        <v>115</v>
      </c>
      <c r="E12" s="159" t="s">
        <v>116</v>
      </c>
      <c r="F12" s="159" t="s">
        <v>117</v>
      </c>
      <c r="G12" s="127"/>
      <c r="H12" s="43"/>
      <c r="I12" s="43"/>
      <c r="J12" s="50"/>
      <c r="K12" s="43"/>
      <c r="L12" s="43"/>
      <c r="M12" s="43"/>
      <c r="N12" s="129"/>
      <c r="O12" s="196"/>
      <c r="P12" s="48"/>
      <c r="Q12" s="52" t="s">
        <v>119</v>
      </c>
      <c r="R12" s="49"/>
      <c r="S12" s="49"/>
      <c r="AG12" s="14"/>
      <c r="AI12" s="14">
        <v>43009</v>
      </c>
    </row>
    <row r="13" spans="1:35" ht="30" customHeight="1">
      <c r="A13" s="194"/>
      <c r="B13" s="232" t="s">
        <v>56</v>
      </c>
      <c r="C13" s="233"/>
      <c r="D13" s="160">
        <v>11</v>
      </c>
      <c r="E13" s="160">
        <v>4</v>
      </c>
      <c r="F13" s="161">
        <v>2019</v>
      </c>
      <c r="G13" s="127"/>
      <c r="H13" s="162" t="s">
        <v>93</v>
      </c>
      <c r="I13" s="74">
        <f>IFERROR(IF('Arrear Sheet'!BA6="","",'Arrear Sheet'!BA6),"")</f>
        <v>20</v>
      </c>
      <c r="J13" s="50"/>
      <c r="K13" s="206" t="s">
        <v>94</v>
      </c>
      <c r="L13" s="207"/>
      <c r="M13" s="46">
        <v>101200</v>
      </c>
      <c r="N13" s="129"/>
      <c r="O13" s="196"/>
      <c r="P13" s="48"/>
      <c r="Q13" s="52" t="s">
        <v>126</v>
      </c>
      <c r="R13" s="49"/>
      <c r="S13" s="49"/>
      <c r="AG13" s="14"/>
      <c r="AI13" s="14">
        <v>43040</v>
      </c>
    </row>
    <row r="14" spans="1:35" ht="18.75">
      <c r="A14" s="194"/>
      <c r="B14" s="124"/>
      <c r="C14" s="43"/>
      <c r="D14" s="43"/>
      <c r="E14" s="43"/>
      <c r="F14" s="43"/>
      <c r="G14" s="43"/>
      <c r="H14" s="43"/>
      <c r="I14" s="43"/>
      <c r="J14" s="50"/>
      <c r="K14" s="43"/>
      <c r="L14" s="43"/>
      <c r="M14" s="43"/>
      <c r="N14" s="129"/>
      <c r="O14" s="196"/>
      <c r="P14" s="48"/>
      <c r="Q14" s="52"/>
      <c r="R14" s="49"/>
      <c r="S14" s="49"/>
      <c r="AG14" s="14"/>
      <c r="AI14" s="14">
        <v>43070</v>
      </c>
    </row>
    <row r="15" spans="1:35" ht="31.5" customHeight="1">
      <c r="A15" s="194"/>
      <c r="B15" s="227" t="s">
        <v>113</v>
      </c>
      <c r="C15" s="228"/>
      <c r="D15" s="203" t="s">
        <v>54</v>
      </c>
      <c r="E15" s="204"/>
      <c r="F15" s="205"/>
      <c r="G15" s="43"/>
      <c r="H15" s="116" t="s">
        <v>40</v>
      </c>
      <c r="I15" s="46">
        <v>2100</v>
      </c>
      <c r="J15" s="50"/>
      <c r="K15" s="224" t="s">
        <v>77</v>
      </c>
      <c r="L15" s="225"/>
      <c r="M15" s="46">
        <v>2100</v>
      </c>
      <c r="N15" s="129"/>
      <c r="O15" s="196"/>
      <c r="P15" s="48"/>
      <c r="Q15" s="52"/>
      <c r="R15" s="49"/>
      <c r="S15" s="49"/>
      <c r="AG15" s="14"/>
      <c r="AI15" s="14">
        <v>43101</v>
      </c>
    </row>
    <row r="16" spans="1:35" ht="18.75">
      <c r="A16" s="194"/>
      <c r="B16" s="131"/>
      <c r="C16" s="132"/>
      <c r="D16" s="43"/>
      <c r="E16" s="43"/>
      <c r="F16" s="43"/>
      <c r="G16" s="43"/>
      <c r="H16" s="43"/>
      <c r="I16" s="43"/>
      <c r="J16" s="50"/>
      <c r="K16" s="43"/>
      <c r="L16" s="43"/>
      <c r="M16" s="43"/>
      <c r="N16" s="129"/>
      <c r="O16" s="196"/>
      <c r="P16" s="48"/>
      <c r="Q16" s="52"/>
      <c r="R16" s="49"/>
      <c r="S16" s="49"/>
      <c r="AI16" s="14">
        <v>43132</v>
      </c>
    </row>
    <row r="17" spans="1:35" s="98" customFormat="1" ht="33.75" customHeight="1">
      <c r="A17" s="194"/>
      <c r="B17" s="249" t="s">
        <v>81</v>
      </c>
      <c r="C17" s="250"/>
      <c r="D17" s="203" t="s">
        <v>47</v>
      </c>
      <c r="E17" s="204"/>
      <c r="F17" s="205"/>
      <c r="G17" s="43"/>
      <c r="H17" s="133" t="s">
        <v>82</v>
      </c>
      <c r="I17" s="53">
        <v>43525</v>
      </c>
      <c r="J17" s="50"/>
      <c r="K17" s="234" t="s">
        <v>80</v>
      </c>
      <c r="L17" s="212"/>
      <c r="M17" s="46">
        <v>3000</v>
      </c>
      <c r="N17" s="129"/>
      <c r="O17" s="196"/>
      <c r="P17" s="48"/>
      <c r="Q17" s="52"/>
      <c r="R17" s="49"/>
      <c r="S17" s="49"/>
      <c r="AI17" s="14">
        <v>43160</v>
      </c>
    </row>
    <row r="18" spans="1:35" s="98" customFormat="1" ht="18.75">
      <c r="A18" s="194"/>
      <c r="B18" s="131"/>
      <c r="C18" s="132"/>
      <c r="D18" s="43"/>
      <c r="E18" s="43"/>
      <c r="F18" s="43"/>
      <c r="G18" s="43"/>
      <c r="H18" s="43"/>
      <c r="I18" s="43"/>
      <c r="J18" s="50"/>
      <c r="K18" s="43"/>
      <c r="L18" s="43"/>
      <c r="M18" s="43"/>
      <c r="N18" s="129"/>
      <c r="O18" s="196"/>
      <c r="P18" s="48"/>
      <c r="Q18" s="52"/>
      <c r="R18" s="49"/>
      <c r="S18" s="49"/>
      <c r="AI18" s="14">
        <v>43191</v>
      </c>
    </row>
    <row r="19" spans="1:35" ht="30.95" customHeight="1">
      <c r="A19" s="194"/>
      <c r="B19" s="227" t="s">
        <v>114</v>
      </c>
      <c r="C19" s="228"/>
      <c r="D19" s="203" t="s">
        <v>47</v>
      </c>
      <c r="E19" s="204"/>
      <c r="F19" s="205"/>
      <c r="G19" s="43"/>
      <c r="H19" s="116" t="s">
        <v>79</v>
      </c>
      <c r="I19" s="46">
        <v>3675</v>
      </c>
      <c r="J19" s="50"/>
      <c r="K19" s="224" t="s">
        <v>78</v>
      </c>
      <c r="L19" s="225"/>
      <c r="M19" s="46">
        <v>3675</v>
      </c>
      <c r="N19" s="129"/>
      <c r="O19" s="196"/>
      <c r="P19" s="48"/>
      <c r="Q19" s="52"/>
      <c r="R19" s="49"/>
      <c r="S19" s="49"/>
      <c r="AI19" s="14">
        <v>43221</v>
      </c>
    </row>
    <row r="20" spans="1:35" ht="18.75" customHeight="1">
      <c r="A20" s="194"/>
      <c r="B20" s="124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123"/>
      <c r="O20" s="194"/>
      <c r="P20" s="47"/>
      <c r="Q20" s="52"/>
      <c r="R20" s="47"/>
      <c r="S20" s="47"/>
      <c r="AI20" s="14">
        <v>43252</v>
      </c>
    </row>
    <row r="21" spans="1:35" s="98" customFormat="1" ht="32.1" customHeight="1">
      <c r="A21" s="194"/>
      <c r="B21" s="249" t="s">
        <v>95</v>
      </c>
      <c r="C21" s="250"/>
      <c r="D21" s="203" t="s">
        <v>47</v>
      </c>
      <c r="E21" s="204"/>
      <c r="F21" s="205"/>
      <c r="G21" s="50"/>
      <c r="H21" s="133" t="s">
        <v>83</v>
      </c>
      <c r="I21" s="53">
        <v>44287</v>
      </c>
      <c r="J21" s="50"/>
      <c r="K21" s="234" t="s">
        <v>80</v>
      </c>
      <c r="L21" s="212"/>
      <c r="M21" s="46">
        <v>5000</v>
      </c>
      <c r="N21" s="123"/>
      <c r="O21" s="194"/>
      <c r="P21" s="47"/>
      <c r="Q21" s="52"/>
      <c r="R21" s="47"/>
      <c r="S21" s="47"/>
      <c r="AI21" s="14">
        <v>43282</v>
      </c>
    </row>
    <row r="22" spans="1:35" s="98" customFormat="1" ht="18.75" customHeight="1">
      <c r="A22" s="194"/>
      <c r="B22" s="124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123"/>
      <c r="O22" s="194"/>
      <c r="P22" s="47"/>
      <c r="Q22" s="52"/>
      <c r="R22" s="47"/>
      <c r="S22" s="47"/>
      <c r="AI22" s="14">
        <v>43313</v>
      </c>
    </row>
    <row r="23" spans="1:35" s="70" customFormat="1" ht="45" customHeight="1">
      <c r="A23" s="194"/>
      <c r="B23" s="249" t="s">
        <v>57</v>
      </c>
      <c r="C23" s="250"/>
      <c r="D23" s="203" t="s">
        <v>47</v>
      </c>
      <c r="E23" s="204"/>
      <c r="F23" s="205"/>
      <c r="G23" s="50"/>
      <c r="H23" s="133" t="s">
        <v>58</v>
      </c>
      <c r="I23" s="53">
        <v>44287</v>
      </c>
      <c r="J23" s="50"/>
      <c r="K23" s="234" t="s">
        <v>59</v>
      </c>
      <c r="L23" s="212"/>
      <c r="M23" s="46">
        <v>41100</v>
      </c>
      <c r="N23" s="123"/>
      <c r="O23" s="194"/>
      <c r="P23" s="47"/>
      <c r="Q23" s="52"/>
      <c r="R23" s="47"/>
      <c r="S23" s="47"/>
      <c r="AI23" s="14">
        <v>43344</v>
      </c>
    </row>
    <row r="24" spans="1:35" s="75" customFormat="1" ht="18" customHeight="1">
      <c r="A24" s="194"/>
      <c r="B24" s="124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123"/>
      <c r="O24" s="194"/>
      <c r="P24" s="47"/>
      <c r="Q24" s="47"/>
      <c r="R24" s="47"/>
      <c r="S24" s="47"/>
      <c r="AI24" s="14">
        <v>43374</v>
      </c>
    </row>
    <row r="25" spans="1:35" s="42" customFormat="1" ht="24.75" customHeight="1">
      <c r="A25" s="194"/>
      <c r="B25" s="210" t="s">
        <v>96</v>
      </c>
      <c r="C25" s="207"/>
      <c r="D25" s="213">
        <f>IFERROR(IF(M5=8,9,IF(M5=16,18,0)),"")</f>
        <v>9</v>
      </c>
      <c r="E25" s="214"/>
      <c r="F25" s="215"/>
      <c r="G25" s="45" t="s">
        <v>30</v>
      </c>
      <c r="H25" s="206" t="s">
        <v>104</v>
      </c>
      <c r="I25" s="206"/>
      <c r="J25" s="206"/>
      <c r="K25" s="206"/>
      <c r="L25" s="207"/>
      <c r="M25" s="46" t="s">
        <v>54</v>
      </c>
      <c r="N25" s="123"/>
      <c r="O25" s="194"/>
      <c r="P25" s="47"/>
      <c r="Q25" s="47"/>
      <c r="R25" s="47"/>
      <c r="S25" s="47"/>
      <c r="AI25" s="14">
        <v>43405</v>
      </c>
    </row>
    <row r="26" spans="1:35" s="42" customFormat="1" ht="24.75" customHeight="1">
      <c r="A26" s="194"/>
      <c r="B26" s="124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123"/>
      <c r="O26" s="194"/>
      <c r="P26" s="47"/>
      <c r="Q26" s="47"/>
      <c r="R26" s="47"/>
      <c r="S26" s="47"/>
      <c r="AI26" s="14">
        <v>43435</v>
      </c>
    </row>
    <row r="27" spans="1:35" s="42" customFormat="1" ht="24.75" customHeight="1">
      <c r="A27" s="194"/>
      <c r="B27" s="211" t="s">
        <v>111</v>
      </c>
      <c r="C27" s="212"/>
      <c r="D27" s="203"/>
      <c r="E27" s="204"/>
      <c r="F27" s="205"/>
      <c r="G27" s="134"/>
      <c r="H27" s="148"/>
      <c r="I27" s="148"/>
      <c r="J27" s="134"/>
      <c r="K27" s="206" t="s">
        <v>102</v>
      </c>
      <c r="L27" s="207"/>
      <c r="M27" s="46">
        <v>2100</v>
      </c>
      <c r="N27" s="123"/>
      <c r="O27" s="194"/>
      <c r="P27" s="47"/>
      <c r="Q27" s="47"/>
      <c r="R27" s="47"/>
      <c r="S27" s="47"/>
      <c r="AI27" s="14">
        <v>43466</v>
      </c>
    </row>
    <row r="28" spans="1:35" s="42" customFormat="1" ht="24.75" customHeight="1" thickBot="1">
      <c r="A28" s="194"/>
      <c r="B28" s="137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6"/>
      <c r="O28" s="194"/>
      <c r="P28" s="47"/>
      <c r="Q28" s="47"/>
      <c r="R28" s="47"/>
      <c r="S28" s="47"/>
      <c r="AI28" s="14">
        <v>43497</v>
      </c>
    </row>
    <row r="29" spans="1:35" s="42" customFormat="1" ht="24.75" customHeight="1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47"/>
      <c r="Q29" s="47"/>
      <c r="R29" s="47"/>
      <c r="S29" s="47"/>
      <c r="AI29" s="14">
        <v>43525</v>
      </c>
    </row>
    <row r="30" spans="1:35" s="42" customFormat="1" ht="24.75" customHeight="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251" t="s">
        <v>112</v>
      </c>
      <c r="N30" s="251"/>
      <c r="O30" s="251"/>
      <c r="P30" s="47"/>
      <c r="Q30" s="47"/>
      <c r="R30" s="47"/>
      <c r="S30" s="47"/>
      <c r="AI30" s="14">
        <v>43556</v>
      </c>
    </row>
    <row r="31" spans="1:35" s="42" customFormat="1" ht="24.75" customHeight="1">
      <c r="A31" s="47"/>
      <c r="B31" s="47"/>
      <c r="C31" s="208" t="s">
        <v>86</v>
      </c>
      <c r="D31" s="208"/>
      <c r="E31" s="154"/>
      <c r="F31" s="154"/>
      <c r="G31" s="219" t="s">
        <v>60</v>
      </c>
      <c r="H31" s="219"/>
      <c r="I31" s="219"/>
      <c r="J31" s="47"/>
      <c r="K31" s="47"/>
      <c r="L31" s="47"/>
      <c r="M31" s="244">
        <v>45105</v>
      </c>
      <c r="N31" s="244"/>
      <c r="O31" s="244"/>
      <c r="P31" s="47"/>
      <c r="Q31" s="47"/>
      <c r="R31" s="47"/>
      <c r="S31" s="47"/>
      <c r="AI31" s="14">
        <v>43586</v>
      </c>
    </row>
    <row r="32" spans="1:35" ht="23.25" customHeight="1">
      <c r="A32" s="47"/>
      <c r="B32" s="47"/>
      <c r="C32" s="285" t="s">
        <v>127</v>
      </c>
      <c r="D32" s="286"/>
      <c r="E32" s="153"/>
      <c r="F32" s="153"/>
      <c r="G32" s="220" t="s">
        <v>49</v>
      </c>
      <c r="H32" s="220"/>
      <c r="I32" s="220"/>
      <c r="J32" s="47"/>
      <c r="K32" s="47"/>
      <c r="L32" s="47"/>
      <c r="M32" s="47"/>
      <c r="N32" s="47"/>
      <c r="O32" s="47"/>
      <c r="P32" s="47"/>
      <c r="Q32" s="47"/>
      <c r="R32" s="47"/>
      <c r="S32" s="47"/>
      <c r="AI32" s="14">
        <v>43617</v>
      </c>
    </row>
    <row r="33" spans="1:35" s="42" customFormat="1" ht="23.25" customHeight="1">
      <c r="A33" s="47"/>
      <c r="B33" s="47"/>
      <c r="C33" s="209"/>
      <c r="D33" s="209"/>
      <c r="E33" s="155"/>
      <c r="F33" s="155"/>
      <c r="G33" s="221" t="s">
        <v>62</v>
      </c>
      <c r="H33" s="221"/>
      <c r="I33" s="221"/>
      <c r="J33" s="47"/>
      <c r="K33" s="47"/>
      <c r="L33" s="47"/>
      <c r="M33" s="285" t="s">
        <v>127</v>
      </c>
      <c r="N33" s="285"/>
      <c r="O33" s="285"/>
      <c r="P33" s="285"/>
      <c r="Q33" s="47"/>
      <c r="R33" s="47"/>
      <c r="S33" s="47"/>
      <c r="AI33" s="14">
        <v>43647</v>
      </c>
    </row>
    <row r="34" spans="1:35" s="42" customFormat="1" ht="23.25" customHeight="1">
      <c r="A34" s="47"/>
      <c r="B34" s="47"/>
      <c r="C34" s="208" t="s">
        <v>87</v>
      </c>
      <c r="D34" s="208"/>
      <c r="E34" s="154"/>
      <c r="F34" s="154"/>
      <c r="G34" s="222" t="s">
        <v>61</v>
      </c>
      <c r="H34" s="222"/>
      <c r="I34" s="222"/>
      <c r="J34" s="47"/>
      <c r="K34" s="47"/>
      <c r="L34" s="47"/>
      <c r="M34" s="47"/>
      <c r="N34" s="47"/>
      <c r="O34" s="47"/>
      <c r="P34" s="47"/>
      <c r="Q34" s="47"/>
      <c r="R34" s="47"/>
      <c r="S34" s="47"/>
      <c r="AI34" s="14">
        <v>43678</v>
      </c>
    </row>
    <row r="35" spans="1:35" s="42" customFormat="1" ht="23.25" customHeight="1">
      <c r="A35" s="47"/>
      <c r="B35" s="47"/>
      <c r="C35" s="209" t="s">
        <v>88</v>
      </c>
      <c r="D35" s="208"/>
      <c r="E35" s="154"/>
      <c r="F35" s="154"/>
      <c r="G35" s="223" t="s">
        <v>63</v>
      </c>
      <c r="H35" s="223"/>
      <c r="I35" s="223"/>
      <c r="J35" s="47"/>
      <c r="K35" s="47"/>
      <c r="L35" s="47"/>
      <c r="M35" s="47"/>
      <c r="N35" s="47"/>
      <c r="O35" s="47"/>
      <c r="P35" s="47"/>
      <c r="Q35" s="47"/>
      <c r="R35" s="47"/>
      <c r="S35" s="47"/>
      <c r="AI35" s="14">
        <v>43709</v>
      </c>
    </row>
    <row r="36" spans="1:35" s="42" customFormat="1" ht="23.25" customHeight="1">
      <c r="A36" s="47"/>
      <c r="B36" s="47"/>
      <c r="C36" s="47"/>
      <c r="D36" s="47"/>
      <c r="E36" s="47"/>
      <c r="F36" s="47"/>
      <c r="G36" s="216"/>
      <c r="H36" s="217"/>
      <c r="I36" s="217"/>
      <c r="J36" s="47"/>
      <c r="K36" s="47"/>
      <c r="L36" s="47"/>
      <c r="M36" s="47"/>
      <c r="N36" s="47"/>
      <c r="O36" s="47"/>
      <c r="P36" s="47"/>
      <c r="Q36" s="47"/>
      <c r="R36" s="47"/>
      <c r="S36" s="47"/>
      <c r="AI36" s="14">
        <v>43739</v>
      </c>
    </row>
    <row r="37" spans="1:35" s="42" customFormat="1" ht="23.25" customHeight="1">
      <c r="A37" s="47"/>
      <c r="B37" s="47"/>
      <c r="C37" s="47"/>
      <c r="D37" s="47"/>
      <c r="E37" s="47"/>
      <c r="F37" s="47"/>
      <c r="G37" s="218"/>
      <c r="H37" s="218"/>
      <c r="I37" s="218"/>
      <c r="J37" s="47"/>
      <c r="K37" s="47"/>
      <c r="L37" s="47"/>
      <c r="M37" s="47"/>
      <c r="N37" s="47"/>
      <c r="O37" s="47"/>
      <c r="P37" s="47"/>
      <c r="Q37" s="47"/>
      <c r="R37" s="47"/>
      <c r="S37" s="47"/>
      <c r="AI37" s="14">
        <v>43770</v>
      </c>
    </row>
    <row r="38" spans="1:35" s="42" customFormat="1" ht="23.25" customHeight="1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AI38" s="14">
        <v>43800</v>
      </c>
    </row>
    <row r="39" spans="1:35" s="42" customFormat="1" ht="23.25" customHeight="1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AI39" s="14">
        <v>43831</v>
      </c>
    </row>
    <row r="40" spans="1:35" ht="18" hidden="1" customHeight="1">
      <c r="AI40" s="14">
        <v>43862</v>
      </c>
    </row>
    <row r="41" spans="1:35" ht="18" hidden="1" customHeight="1">
      <c r="AI41" s="14">
        <v>43891</v>
      </c>
    </row>
    <row r="42" spans="1:35" ht="18" hidden="1" customHeight="1">
      <c r="AI42" s="14">
        <v>43922</v>
      </c>
    </row>
    <row r="43" spans="1:35" ht="18" hidden="1" customHeight="1">
      <c r="AI43" s="14">
        <v>43952</v>
      </c>
    </row>
    <row r="44" spans="1:35" ht="18" hidden="1" customHeight="1">
      <c r="AI44" s="14">
        <v>43983</v>
      </c>
    </row>
    <row r="45" spans="1:35" ht="18" hidden="1" customHeight="1">
      <c r="AI45" s="14">
        <v>44013</v>
      </c>
    </row>
    <row r="46" spans="1:35" ht="18" hidden="1" customHeight="1">
      <c r="AI46" s="14">
        <v>44044</v>
      </c>
    </row>
    <row r="47" spans="1:35" ht="18" hidden="1" customHeight="1">
      <c r="AI47" s="14">
        <v>44075</v>
      </c>
    </row>
    <row r="48" spans="1:35" ht="18" hidden="1" customHeight="1">
      <c r="AI48" s="14">
        <v>44105</v>
      </c>
    </row>
    <row r="49" spans="35:35" ht="18" hidden="1" customHeight="1">
      <c r="AI49" s="14">
        <v>44136</v>
      </c>
    </row>
    <row r="50" spans="35:35" ht="18" hidden="1" customHeight="1">
      <c r="AI50" s="14">
        <v>44166</v>
      </c>
    </row>
    <row r="51" spans="35:35" ht="18" hidden="1" customHeight="1">
      <c r="AI51" s="14">
        <v>44197</v>
      </c>
    </row>
    <row r="52" spans="35:35" ht="18" hidden="1" customHeight="1">
      <c r="AI52" s="14">
        <v>44228</v>
      </c>
    </row>
    <row r="53" spans="35:35" ht="18" hidden="1" customHeight="1">
      <c r="AI53" s="14">
        <v>44256</v>
      </c>
    </row>
    <row r="54" spans="35:35" ht="18" hidden="1" customHeight="1">
      <c r="AI54" s="14">
        <v>44287</v>
      </c>
    </row>
    <row r="55" spans="35:35" ht="18" hidden="1" customHeight="1">
      <c r="AI55" s="14">
        <v>44317</v>
      </c>
    </row>
    <row r="56" spans="35:35" ht="18" hidden="1" customHeight="1">
      <c r="AI56" s="14">
        <v>44348</v>
      </c>
    </row>
    <row r="57" spans="35:35" ht="18" hidden="1" customHeight="1">
      <c r="AI57" s="14">
        <v>44378</v>
      </c>
    </row>
    <row r="58" spans="35:35" ht="18" hidden="1" customHeight="1">
      <c r="AI58" s="14">
        <v>44409</v>
      </c>
    </row>
    <row r="59" spans="35:35" ht="18" hidden="1" customHeight="1">
      <c r="AI59" s="14">
        <v>44440</v>
      </c>
    </row>
    <row r="60" spans="35:35" ht="18" hidden="1" customHeight="1">
      <c r="AI60" s="14">
        <v>44470</v>
      </c>
    </row>
    <row r="61" spans="35:35" ht="18" hidden="1" customHeight="1">
      <c r="AI61" s="14">
        <v>44501</v>
      </c>
    </row>
    <row r="62" spans="35:35" ht="18" hidden="1" customHeight="1">
      <c r="AI62" s="14">
        <v>44531</v>
      </c>
    </row>
    <row r="63" spans="35:35" ht="18" hidden="1" customHeight="1">
      <c r="AI63" s="14">
        <v>44562</v>
      </c>
    </row>
    <row r="64" spans="35:35" ht="18" hidden="1" customHeight="1">
      <c r="AI64" s="14">
        <v>44593</v>
      </c>
    </row>
    <row r="65" spans="35:35" ht="18" hidden="1" customHeight="1">
      <c r="AI65" s="14">
        <v>44621</v>
      </c>
    </row>
    <row r="66" spans="35:35" ht="18" hidden="1" customHeight="1">
      <c r="AI66" s="14">
        <v>44652</v>
      </c>
    </row>
    <row r="67" spans="35:35" ht="18" hidden="1" customHeight="1">
      <c r="AI67" s="14">
        <v>44682</v>
      </c>
    </row>
    <row r="68" spans="35:35" ht="18" hidden="1" customHeight="1">
      <c r="AI68" s="14">
        <v>44713</v>
      </c>
    </row>
    <row r="69" spans="35:35" ht="18" hidden="1" customHeight="1">
      <c r="AI69" s="14">
        <v>44743</v>
      </c>
    </row>
    <row r="70" spans="35:35" ht="18" hidden="1" customHeight="1">
      <c r="AI70" s="14">
        <v>44774</v>
      </c>
    </row>
    <row r="71" spans="35:35" ht="18" hidden="1" customHeight="1">
      <c r="AI71" s="14">
        <v>44805</v>
      </c>
    </row>
    <row r="72" spans="35:35" ht="18" hidden="1" customHeight="1">
      <c r="AI72" s="14">
        <v>44835</v>
      </c>
    </row>
    <row r="73" spans="35:35" ht="18" hidden="1" customHeight="1">
      <c r="AI73" s="14">
        <v>44866</v>
      </c>
    </row>
    <row r="74" spans="35:35" ht="18" hidden="1" customHeight="1">
      <c r="AI74" s="14">
        <v>44896</v>
      </c>
    </row>
    <row r="75" spans="35:35" ht="18" hidden="1" customHeight="1">
      <c r="AI75" s="14">
        <v>44927</v>
      </c>
    </row>
    <row r="76" spans="35:35" ht="18" hidden="1" customHeight="1">
      <c r="AI76" s="14">
        <v>44958</v>
      </c>
    </row>
    <row r="77" spans="35:35" ht="18" hidden="1" customHeight="1">
      <c r="AI77" s="14">
        <v>44986</v>
      </c>
    </row>
    <row r="78" spans="35:35" ht="18" hidden="1" customHeight="1">
      <c r="AI78" s="14">
        <v>45017</v>
      </c>
    </row>
    <row r="79" spans="35:35" ht="18" hidden="1" customHeight="1">
      <c r="AI79" s="14">
        <v>45047</v>
      </c>
    </row>
    <row r="80" spans="35:35" ht="18" hidden="1" customHeight="1">
      <c r="AI80" s="14">
        <v>45078</v>
      </c>
    </row>
    <row r="81" spans="35:35" ht="18" hidden="1" customHeight="1">
      <c r="AI81" s="14">
        <v>45108</v>
      </c>
    </row>
    <row r="82" spans="35:35" ht="18" hidden="1" customHeight="1">
      <c r="AI82" s="14">
        <v>45139</v>
      </c>
    </row>
    <row r="83" spans="35:35" ht="18" hidden="1" customHeight="1">
      <c r="AI83" s="14">
        <v>45170</v>
      </c>
    </row>
    <row r="84" spans="35:35" ht="18" hidden="1" customHeight="1">
      <c r="AI84" s="14">
        <v>45200</v>
      </c>
    </row>
    <row r="85" spans="35:35" ht="18" hidden="1" customHeight="1">
      <c r="AI85" s="14">
        <v>45231</v>
      </c>
    </row>
    <row r="86" spans="35:35" ht="18" hidden="1" customHeight="1">
      <c r="AI86" s="14">
        <v>45261</v>
      </c>
    </row>
    <row r="87" spans="35:35" ht="18" hidden="1" customHeight="1">
      <c r="AI87" s="14">
        <v>45292</v>
      </c>
    </row>
    <row r="88" spans="35:35" ht="18" hidden="1" customHeight="1">
      <c r="AI88" s="14">
        <v>45323</v>
      </c>
    </row>
    <row r="89" spans="35:35" ht="18" hidden="1" customHeight="1">
      <c r="AI89" s="14">
        <v>45352</v>
      </c>
    </row>
    <row r="90" spans="35:35" ht="18" hidden="1" customHeight="1">
      <c r="AI90" s="14">
        <v>45383</v>
      </c>
    </row>
    <row r="91" spans="35:35" ht="18" hidden="1" customHeight="1">
      <c r="AI91" s="14">
        <v>45413</v>
      </c>
    </row>
    <row r="92" spans="35:35" ht="18" hidden="1" customHeight="1">
      <c r="AI92" s="14">
        <v>45444</v>
      </c>
    </row>
    <row r="93" spans="35:35" ht="18" hidden="1" customHeight="1">
      <c r="AI93" s="14">
        <v>45474</v>
      </c>
    </row>
    <row r="94" spans="35:35" ht="18" hidden="1" customHeight="1">
      <c r="AI94" s="14">
        <v>45505</v>
      </c>
    </row>
    <row r="95" spans="35:35" ht="18" hidden="1" customHeight="1">
      <c r="AI95" s="14">
        <v>45536</v>
      </c>
    </row>
    <row r="96" spans="35:35" ht="18" hidden="1" customHeight="1">
      <c r="AI96" s="14">
        <v>45566</v>
      </c>
    </row>
    <row r="97" spans="35:35" ht="18" hidden="1" customHeight="1">
      <c r="AI97" s="14">
        <v>45597</v>
      </c>
    </row>
    <row r="98" spans="35:35" ht="18" hidden="1" customHeight="1">
      <c r="AI98" s="14">
        <v>45627</v>
      </c>
    </row>
  </sheetData>
  <sheetProtection password="C1FB" sheet="1" objects="1" scenarios="1" selectLockedCells="1"/>
  <mergeCells count="54">
    <mergeCell ref="M33:P33"/>
    <mergeCell ref="M31:O31"/>
    <mergeCell ref="H25:L25"/>
    <mergeCell ref="L1:M1"/>
    <mergeCell ref="L2:M2"/>
    <mergeCell ref="K13:L13"/>
    <mergeCell ref="K15:L15"/>
    <mergeCell ref="D1:K1"/>
    <mergeCell ref="C31:D31"/>
    <mergeCell ref="B17:C17"/>
    <mergeCell ref="K17:L17"/>
    <mergeCell ref="M30:O30"/>
    <mergeCell ref="B21:C21"/>
    <mergeCell ref="K21:L21"/>
    <mergeCell ref="B23:C23"/>
    <mergeCell ref="K23:L23"/>
    <mergeCell ref="B19:C19"/>
    <mergeCell ref="K19:L19"/>
    <mergeCell ref="Q7:R7"/>
    <mergeCell ref="B15:C15"/>
    <mergeCell ref="D3:M3"/>
    <mergeCell ref="B11:C11"/>
    <mergeCell ref="K11:L11"/>
    <mergeCell ref="K5:L5"/>
    <mergeCell ref="B9:C9"/>
    <mergeCell ref="K7:L7"/>
    <mergeCell ref="K9:L9"/>
    <mergeCell ref="P5:P6"/>
    <mergeCell ref="B13:C13"/>
    <mergeCell ref="D5:F5"/>
    <mergeCell ref="D7:F7"/>
    <mergeCell ref="D9:F9"/>
    <mergeCell ref="D11:F11"/>
    <mergeCell ref="G36:I36"/>
    <mergeCell ref="G37:I37"/>
    <mergeCell ref="G31:I31"/>
    <mergeCell ref="G32:I32"/>
    <mergeCell ref="G33:I33"/>
    <mergeCell ref="G34:I34"/>
    <mergeCell ref="G35:I35"/>
    <mergeCell ref="K27:L27"/>
    <mergeCell ref="C32:D32"/>
    <mergeCell ref="C34:D34"/>
    <mergeCell ref="C35:D35"/>
    <mergeCell ref="B25:C25"/>
    <mergeCell ref="C33:D33"/>
    <mergeCell ref="B27:C27"/>
    <mergeCell ref="D25:F25"/>
    <mergeCell ref="D27:F27"/>
    <mergeCell ref="D15:F15"/>
    <mergeCell ref="D17:F17"/>
    <mergeCell ref="D19:F19"/>
    <mergeCell ref="D21:F21"/>
    <mergeCell ref="D23:F23"/>
  </mergeCells>
  <conditionalFormatting sqref="I19">
    <cfRule type="expression" dxfId="45" priority="130" stopIfTrue="1">
      <formula>$D19=""</formula>
    </cfRule>
    <cfRule type="expression" dxfId="44" priority="131" stopIfTrue="1">
      <formula>$D19="NO"</formula>
    </cfRule>
  </conditionalFormatting>
  <conditionalFormatting sqref="M19">
    <cfRule type="expression" dxfId="43" priority="128" stopIfTrue="1">
      <formula>$D19=""</formula>
    </cfRule>
    <cfRule type="expression" dxfId="42" priority="129" stopIfTrue="1">
      <formula>$D19="NO"</formula>
    </cfRule>
  </conditionalFormatting>
  <conditionalFormatting sqref="I15">
    <cfRule type="expression" dxfId="41" priority="124" stopIfTrue="1">
      <formula>$D15=""</formula>
    </cfRule>
    <cfRule type="expression" dxfId="40" priority="125" stopIfTrue="1">
      <formula>$D15="NO"</formula>
    </cfRule>
  </conditionalFormatting>
  <conditionalFormatting sqref="M15">
    <cfRule type="expression" dxfId="39" priority="120" stopIfTrue="1">
      <formula>$D15=""</formula>
    </cfRule>
    <cfRule type="expression" dxfId="38" priority="121" stopIfTrue="1">
      <formula>$D15="NO"</formula>
    </cfRule>
  </conditionalFormatting>
  <conditionalFormatting sqref="I11">
    <cfRule type="expression" dxfId="37" priority="42" stopIfTrue="1">
      <formula>$D11=""</formula>
    </cfRule>
    <cfRule type="expression" dxfId="36" priority="43" stopIfTrue="1">
      <formula>$D11="Regular Pay"</formula>
    </cfRule>
  </conditionalFormatting>
  <conditionalFormatting sqref="M11">
    <cfRule type="expression" dxfId="35" priority="40" stopIfTrue="1">
      <formula>$D11=""</formula>
    </cfRule>
    <cfRule type="expression" dxfId="34" priority="41" stopIfTrue="1">
      <formula>$D11="Fix Pay"</formula>
    </cfRule>
  </conditionalFormatting>
  <conditionalFormatting sqref="I13">
    <cfRule type="expression" dxfId="33" priority="37" stopIfTrue="1">
      <formula>$D$13=""</formula>
    </cfRule>
  </conditionalFormatting>
  <conditionalFormatting sqref="G23:M23">
    <cfRule type="expression" dxfId="32" priority="35" stopIfTrue="1">
      <formula>$D23=""</formula>
    </cfRule>
    <cfRule type="expression" dxfId="31" priority="36" stopIfTrue="1">
      <formula>$D23="NO"</formula>
    </cfRule>
  </conditionalFormatting>
  <conditionalFormatting sqref="H17">
    <cfRule type="expression" dxfId="30" priority="27" stopIfTrue="1">
      <formula>$D17=""</formula>
    </cfRule>
    <cfRule type="expression" dxfId="29" priority="28" stopIfTrue="1">
      <formula>$D17="NO"</formula>
    </cfRule>
  </conditionalFormatting>
  <conditionalFormatting sqref="I17">
    <cfRule type="expression" dxfId="28" priority="25" stopIfTrue="1">
      <formula>$D17=""</formula>
    </cfRule>
    <cfRule type="expression" dxfId="27" priority="26" stopIfTrue="1">
      <formula>$D17="NO"</formula>
    </cfRule>
  </conditionalFormatting>
  <conditionalFormatting sqref="K17:L17">
    <cfRule type="expression" dxfId="26" priority="23" stopIfTrue="1">
      <formula>$D17=""</formula>
    </cfRule>
    <cfRule type="expression" dxfId="25" priority="24" stopIfTrue="1">
      <formula>$D17="NO"</formula>
    </cfRule>
  </conditionalFormatting>
  <conditionalFormatting sqref="M17">
    <cfRule type="expression" dxfId="24" priority="21" stopIfTrue="1">
      <formula>$D17=""</formula>
    </cfRule>
    <cfRule type="expression" dxfId="23" priority="22" stopIfTrue="1">
      <formula>$D17="NO"</formula>
    </cfRule>
  </conditionalFormatting>
  <conditionalFormatting sqref="H21">
    <cfRule type="expression" dxfId="22" priority="19" stopIfTrue="1">
      <formula>$D21=""</formula>
    </cfRule>
    <cfRule type="expression" dxfId="21" priority="20" stopIfTrue="1">
      <formula>$D21="NO"</formula>
    </cfRule>
  </conditionalFormatting>
  <conditionalFormatting sqref="I21">
    <cfRule type="expression" dxfId="20" priority="17" stopIfTrue="1">
      <formula>$D21=""</formula>
    </cfRule>
    <cfRule type="expression" dxfId="19" priority="18" stopIfTrue="1">
      <formula>$D21="NO"</formula>
    </cfRule>
  </conditionalFormatting>
  <conditionalFormatting sqref="K21:L21">
    <cfRule type="expression" dxfId="18" priority="15" stopIfTrue="1">
      <formula>$D21=""</formula>
    </cfRule>
    <cfRule type="expression" dxfId="17" priority="16" stopIfTrue="1">
      <formula>$D21="NO"</formula>
    </cfRule>
  </conditionalFormatting>
  <conditionalFormatting sqref="M21">
    <cfRule type="expression" dxfId="16" priority="13" stopIfTrue="1">
      <formula>$D21=""</formula>
    </cfRule>
    <cfRule type="expression" dxfId="15" priority="14" stopIfTrue="1">
      <formula>$D21="NO"</formula>
    </cfRule>
  </conditionalFormatting>
  <conditionalFormatting sqref="K27:L27">
    <cfRule type="expression" dxfId="14" priority="9" stopIfTrue="1">
      <formula>$M25=""</formula>
    </cfRule>
    <cfRule type="expression" dxfId="13" priority="10" stopIfTrue="1">
      <formula>$M25="NO"</formula>
    </cfRule>
  </conditionalFormatting>
  <conditionalFormatting sqref="M27">
    <cfRule type="expression" dxfId="12" priority="7" stopIfTrue="1">
      <formula>$M25=""</formula>
    </cfRule>
    <cfRule type="expression" dxfId="11" priority="8" stopIfTrue="1">
      <formula>$M25="NO"</formula>
    </cfRule>
  </conditionalFormatting>
  <conditionalFormatting sqref="D27">
    <cfRule type="expression" dxfId="10" priority="5" stopIfTrue="1">
      <formula>$M25=""</formula>
    </cfRule>
    <cfRule type="expression" dxfId="9" priority="6" stopIfTrue="1">
      <formula>$M25="NO"</formula>
    </cfRule>
  </conditionalFormatting>
  <dataValidations count="19">
    <dataValidation type="custom" allowBlank="1" showInputMessage="1" showErrorMessage="1" errorTitle="Select SI Ded. &quot;YES&quot;" error="पहले राज्य बीमा की कटोती में yes सेलेक्ट करे " sqref="M15 I15">
      <formula1>$D15="YES"</formula1>
    </dataValidation>
    <dataValidation type="custom" allowBlank="1" showInputMessage="1" showErrorMessage="1" errorTitle="Select GPF Ded. &quot;YES&quot;" error="पहले जीपीएफ की कटोती में yes सेलेक्ट करे " sqref="M19 I19">
      <formula1>$D19="YES"</formula1>
    </dataValidation>
    <dataValidation type="custom" allowBlank="1" showInputMessage="1" showErrorMessage="1" errorTitle="Select Fix Pay" error="कार्मिक का वेतन नियमित है, इसलिए यहाँ राशि नहीं लिखी जाएगी  " sqref="I11">
      <formula1>$D11="Fix Pay"</formula1>
    </dataValidation>
    <dataValidation type="custom" allowBlank="1" showInputMessage="1" showErrorMessage="1" errorTitle="Select Regular Pay" error="कार्मिक फिक्स वेतन पर  है, इसलिए यहाँ राशि नहीं लिखी जाएगी  " sqref="M11">
      <formula1>$D11="Regular Pay"</formula1>
    </dataValidation>
    <dataValidation type="custom" allowBlank="1" showInputMessage="1" showErrorMessage="1" errorTitle="Select  &quot;YES&quot;" error="पहले वेतन वृद्धि वाले कॉलम  में yes सेलेक्ट करे " sqref="M23 M17 M21">
      <formula1>$D17="YES"</formula1>
    </dataValidation>
    <dataValidation type="list" allowBlank="1" showInputMessage="1" showErrorMessage="1" sqref="M25 D19 D15 D17 D23 D21">
      <formula1>"YES,NO"</formula1>
    </dataValidation>
    <dataValidation type="custom" allowBlank="1" showInputMessage="1" showErrorMessage="1" errorTitle="Select  &quot;YES&quot;" error="पहले वेतन वृद्धि वाले कॉलम  में yes सेलेक्ट करे " sqref="M27">
      <formula1>$M25="YES"</formula1>
    </dataValidation>
    <dataValidation type="whole" allowBlank="1" showInputMessage="1" showErrorMessage="1" sqref="D27">
      <formula1>0</formula1>
      <formula2>5000</formula2>
    </dataValidation>
    <dataValidation type="list" allowBlank="1" showInputMessage="1" showErrorMessage="1" sqref="I23 I9 D9 I17 I21">
      <formula1>month</formula1>
    </dataValidation>
    <dataValidation type="custom" allowBlank="1" showInputMessage="1" showErrorMessage="1" errorTitle="भाई साहब वेतन अंको में लिखना है" error="salary should be written in numbers" sqref="M9 M13">
      <formula1>ISNUMBER(M9)=TRUE</formula1>
    </dataValidation>
    <dataValidation type="list" allowBlank="1" showInputMessage="1" showErrorMessage="1" errorTitle="Select Pay" error="यहाँ पर नियमित या फिक्स वेतन में से सेलेक्ट करें " sqref="D11">
      <formula1>"Fix Pay,Regular Pay"</formula1>
    </dataValidation>
    <dataValidation type="whole" allowBlank="1" showInputMessage="1" showErrorMessage="1" errorTitle="write Date format" error="आप इस कॉलम में 2017 व 2023  के मध्य किसी भी वर्ष को लिख सकते हैं " sqref="F13">
      <formula1>2017</formula1>
      <formula2>2023</formula2>
    </dataValidation>
    <dataValidation type="list" allowBlank="1" showInputMessage="1" showErrorMessage="1" sqref="I7 I5">
      <formula1>post</formula1>
    </dataValidation>
    <dataValidation type="custom" allowBlank="1" showInputMessage="1" showErrorMessage="1" sqref="D5 D7">
      <formula1>ISTEXT(D5)=TRUE</formula1>
    </dataValidation>
    <dataValidation type="whole" allowBlank="1" showInputMessage="1" showErrorMessage="1" errorTitle="पे मैट्रिक्स लेवल " error="पे मैट्रिक्स लेवल 1 से 24 के मध्य ही है" sqref="M7">
      <formula1>1</formula1>
      <formula2>24</formula2>
    </dataValidation>
    <dataValidation type="list" allowBlank="1" showInputMessage="1" showErrorMessage="1" sqref="M5">
      <formula1>"0, 8, 16"</formula1>
    </dataValidation>
    <dataValidation type="whole" allowBlank="1" showInputMessage="1" showErrorMessage="1" errorTitle="write Date format" error="आप इस कॉलम में 0 व 31 के मध्य किसी भी दिनांक को लिख सकते हैं " sqref="D13">
      <formula1>0</formula1>
      <formula2>31</formula2>
    </dataValidation>
    <dataValidation type="whole" allowBlank="1" showInputMessage="1" showErrorMessage="1" errorTitle="write Date format" error="आप इस कॉलम में 0 व 12 के मध्य किसी भी माह के क्रम को लिख सकते हैं " sqref="E13">
      <formula1>0</formula1>
      <formula2>12</formula2>
    </dataValidation>
    <dataValidation type="list" allowBlank="1" showInputMessage="1" showErrorMessage="1" sqref="D25:F25">
      <formula1>"0, 9, 18"</formula1>
    </dataValidation>
  </dataValidations>
  <hyperlinks>
    <hyperlink ref="C32" r:id="rId1"/>
    <hyperlink ref="C35" r:id="rId2"/>
    <hyperlink ref="M33" r:id="rId3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CG125"/>
  <sheetViews>
    <sheetView showGridLines="0" view="pageBreakPreview" topLeftCell="B1" zoomScaleSheetLayoutView="100" workbookViewId="0">
      <selection activeCell="H17" sqref="H17"/>
    </sheetView>
  </sheetViews>
  <sheetFormatPr defaultColWidth="9.125" defaultRowHeight="12.75"/>
  <cols>
    <col min="1" max="1" width="4.75" style="107" hidden="1" customWidth="1"/>
    <col min="2" max="2" width="4.5" style="15" customWidth="1"/>
    <col min="3" max="3" width="9.25" style="37" customWidth="1"/>
    <col min="4" max="4" width="8.625" style="38" customWidth="1"/>
    <col min="5" max="18" width="6.875" style="38" customWidth="1"/>
    <col min="19" max="21" width="6.625" style="38" customWidth="1"/>
    <col min="22" max="30" width="6.125" style="38" customWidth="1"/>
    <col min="31" max="31" width="6.25" style="38" customWidth="1"/>
    <col min="32" max="32" width="6.5" style="38" customWidth="1"/>
    <col min="33" max="33" width="8.5" style="15" customWidth="1"/>
    <col min="34" max="34" width="8.75" style="15" customWidth="1"/>
    <col min="35" max="35" width="7.625" style="15" customWidth="1"/>
    <col min="36" max="36" width="9.25" style="15" customWidth="1"/>
    <col min="37" max="40" width="9.125" style="15" customWidth="1"/>
    <col min="41" max="41" width="9.125" style="142" customWidth="1"/>
    <col min="42" max="42" width="9.125" style="163" hidden="1" customWidth="1"/>
    <col min="43" max="83" width="9.125" style="164" hidden="1" customWidth="1"/>
    <col min="84" max="84" width="9.125" style="163" hidden="1" customWidth="1"/>
    <col min="85" max="85" width="9.125" style="142" customWidth="1"/>
    <col min="86" max="86" width="9.125" style="15" customWidth="1"/>
    <col min="87" max="16384" width="9.125" style="15"/>
  </cols>
  <sheetData>
    <row r="1" spans="1:85" ht="22.5">
      <c r="C1" s="252" t="str">
        <f>IF('Master Sheet'!D3="","",CONCATENATE("Office ",'Master Sheet'!D3,))</f>
        <v>Office Senior Medical officer, Community Health Center, Chandawal Nagar</v>
      </c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R1" s="165">
        <v>44621</v>
      </c>
      <c r="AU1" s="165">
        <v>43891</v>
      </c>
      <c r="AW1" s="165">
        <f>'Master Sheet'!D9</f>
        <v>43556</v>
      </c>
      <c r="AY1" s="164">
        <f>'Master Sheet'!M27</f>
        <v>2100</v>
      </c>
      <c r="BY1" s="165">
        <v>44621</v>
      </c>
    </row>
    <row r="2" spans="1:85" ht="20.25">
      <c r="C2" s="253" t="s">
        <v>22</v>
      </c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R2" s="164" t="s">
        <v>124</v>
      </c>
      <c r="AW2" s="164">
        <f>IFERROR(IF(AW1="",0,MONTH(AW1)),"")</f>
        <v>4</v>
      </c>
      <c r="BA2" s="164">
        <f>IF(AU4=AU3,29,IF(AW2=1,31,IF(AW2=2,28,IF(AW2=3,31,IF(AW2=4,30,IF(AW2=5,31,IF(AW2=6,30,IF(AW2=7,31,IF(AW2=8,31,IF(AW2=9,30,IF(AW2=10,31,IF(AW2=11,30,IF(AW2=12,31,0)))))))))))))</f>
        <v>30</v>
      </c>
      <c r="BD2" s="165">
        <v>42917</v>
      </c>
      <c r="BE2" s="165">
        <v>45108</v>
      </c>
    </row>
    <row r="3" spans="1:85" s="16" customFormat="1" ht="24" customHeight="1">
      <c r="A3" s="108"/>
      <c r="C3" s="257"/>
      <c r="D3" s="257"/>
      <c r="E3" s="257"/>
      <c r="F3" s="257" t="s">
        <v>25</v>
      </c>
      <c r="G3" s="257"/>
      <c r="H3" s="257"/>
      <c r="I3" s="262" t="str">
        <f>IFERROR(UPPER('Master Sheet'!D7),"")</f>
        <v>HEERALAL JAT</v>
      </c>
      <c r="J3" s="262"/>
      <c r="K3" s="262"/>
      <c r="L3" s="262"/>
      <c r="M3" s="262"/>
      <c r="N3" s="262"/>
      <c r="O3" s="258" t="s">
        <v>0</v>
      </c>
      <c r="P3" s="258"/>
      <c r="Q3" s="266" t="str">
        <f>IFERROR(UPPER('Master Sheet'!I7),"")</f>
        <v>MO</v>
      </c>
      <c r="R3" s="266"/>
      <c r="S3" s="266"/>
      <c r="T3" s="266"/>
      <c r="U3" s="259" t="s">
        <v>26</v>
      </c>
      <c r="V3" s="259"/>
      <c r="W3" s="259"/>
      <c r="X3" s="259"/>
      <c r="Y3" s="264" t="str">
        <f>IFERROR(CONCATENATE("L - ",'Master Sheet'!M7),"")</f>
        <v>L - 16</v>
      </c>
      <c r="Z3" s="264"/>
      <c r="AA3" s="141"/>
      <c r="AB3" s="190"/>
      <c r="AC3" s="190"/>
      <c r="AD3" s="190"/>
      <c r="AE3" s="101"/>
      <c r="AF3" s="259" t="s">
        <v>55</v>
      </c>
      <c r="AG3" s="259"/>
      <c r="AH3" s="259"/>
      <c r="AI3" s="260" t="str">
        <f>IF($AU$18=$AU$20,"GPF","GPF-2004")</f>
        <v>GPF-2004</v>
      </c>
      <c r="AJ3" s="260"/>
      <c r="AO3" s="143"/>
      <c r="AP3" s="166"/>
      <c r="AQ3" s="167"/>
      <c r="AR3" s="167"/>
      <c r="AS3" s="167">
        <f>MONTH(AW10)</f>
        <v>5</v>
      </c>
      <c r="AT3" s="167"/>
      <c r="AU3" s="168">
        <f>'Master Sheet'!D9</f>
        <v>43556</v>
      </c>
      <c r="AV3" s="167"/>
      <c r="AW3" s="167">
        <f>IFERROR(IF(AU6="",0,MONTH(AU6)),"")</f>
        <v>4</v>
      </c>
      <c r="AX3" s="167"/>
      <c r="AY3" s="167"/>
      <c r="AZ3" s="167"/>
      <c r="BA3" s="169">
        <f>IF(AU4=AU3,29,IF(AW2=1,31,IF(AW2=2,28,IF(AW2=3,31,IF(AW2=4,30,IF(AW2=5,31,IF(AW2=6,30,IF(AW2=7,31,IF(AW2=8,31,IF(AW2=9,30,IF(AW2=10,31,IF(AW2=11,30,IF(AW2=12,31,0)))))))))))))</f>
        <v>30</v>
      </c>
      <c r="BB3" s="169"/>
      <c r="BC3" s="167"/>
      <c r="BD3" s="165">
        <v>43282</v>
      </c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6"/>
      <c r="CG3" s="143"/>
    </row>
    <row r="4" spans="1:85" s="16" customFormat="1" ht="24" customHeight="1">
      <c r="A4" s="108"/>
      <c r="C4" s="257"/>
      <c r="D4" s="257"/>
      <c r="E4" s="257"/>
      <c r="F4" s="71"/>
      <c r="G4" s="71"/>
      <c r="H4" s="17"/>
      <c r="I4" s="257" t="s">
        <v>27</v>
      </c>
      <c r="J4" s="257"/>
      <c r="K4" s="257"/>
      <c r="L4" s="257"/>
      <c r="M4" s="257"/>
      <c r="N4" s="257"/>
      <c r="O4" s="257"/>
      <c r="P4" s="265">
        <f>IFERROR('Master Sheet'!D9,"")</f>
        <v>43556</v>
      </c>
      <c r="Q4" s="265"/>
      <c r="R4" s="265"/>
      <c r="S4" s="265"/>
      <c r="T4" s="18" t="s">
        <v>28</v>
      </c>
      <c r="U4" s="265">
        <f>IFERROR('Master Sheet'!I9,"")</f>
        <v>45231</v>
      </c>
      <c r="V4" s="265"/>
      <c r="W4" s="265"/>
      <c r="X4" s="258" t="s">
        <v>29</v>
      </c>
      <c r="Y4" s="258"/>
      <c r="Z4" s="258"/>
      <c r="AA4" s="261"/>
      <c r="AB4" s="261"/>
      <c r="AC4" s="261"/>
      <c r="AD4" s="261"/>
      <c r="AE4" s="261"/>
      <c r="AF4" s="261"/>
      <c r="AG4" s="261"/>
      <c r="AH4" s="261"/>
      <c r="AI4" s="261"/>
      <c r="AJ4" s="261"/>
      <c r="AO4" s="143"/>
      <c r="AP4" s="166"/>
      <c r="AQ4" s="167"/>
      <c r="AR4" s="167" t="str">
        <f>IF(AI3="GPF"," GPF","GPF-2004")</f>
        <v>GPF-2004</v>
      </c>
      <c r="AS4" s="167">
        <f>MONTH(AV6)</f>
        <v>11</v>
      </c>
      <c r="AT4" s="167"/>
      <c r="AU4" s="168">
        <v>43862</v>
      </c>
      <c r="AV4" s="187">
        <f>'Master Sheet'!D13</f>
        <v>11</v>
      </c>
      <c r="AW4" s="167">
        <f>IFERROR(IF(AV4="",0,AV4-1),"")</f>
        <v>10</v>
      </c>
      <c r="AX4" s="167"/>
      <c r="AY4" s="167"/>
      <c r="AZ4" s="167"/>
      <c r="BA4" s="167">
        <f>IFERROR(SUM(BA3-AW4),"")</f>
        <v>20</v>
      </c>
      <c r="BB4" s="167"/>
      <c r="BC4" s="167"/>
      <c r="BD4" s="165">
        <v>43647</v>
      </c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6"/>
      <c r="CG4" s="143"/>
    </row>
    <row r="5" spans="1:85" ht="12.75" customHeight="1"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20"/>
      <c r="P5" s="20"/>
      <c r="Q5" s="20"/>
      <c r="R5" s="20"/>
      <c r="S5" s="21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BD5" s="165">
        <v>44013</v>
      </c>
    </row>
    <row r="6" spans="1:85" ht="25.5" customHeight="1">
      <c r="B6" s="256" t="s">
        <v>21</v>
      </c>
      <c r="C6" s="254" t="s">
        <v>1</v>
      </c>
      <c r="D6" s="254" t="s">
        <v>2</v>
      </c>
      <c r="E6" s="254"/>
      <c r="F6" s="254"/>
      <c r="G6" s="254"/>
      <c r="H6" s="254"/>
      <c r="I6" s="254" t="s">
        <v>3</v>
      </c>
      <c r="J6" s="254"/>
      <c r="K6" s="254"/>
      <c r="L6" s="254"/>
      <c r="M6" s="254"/>
      <c r="N6" s="254" t="s">
        <v>4</v>
      </c>
      <c r="O6" s="254"/>
      <c r="P6" s="254"/>
      <c r="Q6" s="254"/>
      <c r="R6" s="254"/>
      <c r="S6" s="254" t="str">
        <f>IF($AU$18=$AU$20,"GPF","NPS/GPF-2004")</f>
        <v>NPS/GPF-2004</v>
      </c>
      <c r="T6" s="254"/>
      <c r="U6" s="254"/>
      <c r="V6" s="255" t="s">
        <v>5</v>
      </c>
      <c r="W6" s="255"/>
      <c r="X6" s="255"/>
      <c r="Y6" s="254" t="s">
        <v>110</v>
      </c>
      <c r="Z6" s="254"/>
      <c r="AA6" s="254"/>
      <c r="AB6" s="254" t="s">
        <v>125</v>
      </c>
      <c r="AC6" s="254"/>
      <c r="AD6" s="254"/>
      <c r="AE6" s="263" t="str">
        <f>CONCATENATE("GPF In ",AR4)</f>
        <v>GPF In GPF-2004</v>
      </c>
      <c r="AF6" s="256" t="s">
        <v>6</v>
      </c>
      <c r="AG6" s="256" t="s">
        <v>7</v>
      </c>
      <c r="AH6" s="256" t="s">
        <v>8</v>
      </c>
      <c r="AI6" s="256" t="s">
        <v>9</v>
      </c>
      <c r="AJ6" s="256" t="s">
        <v>10</v>
      </c>
      <c r="AS6" s="165">
        <v>44075</v>
      </c>
      <c r="AT6" s="165">
        <v>44105</v>
      </c>
      <c r="AU6" s="170">
        <f>IF('Master Sheet'!D9="","",'Master Sheet'!D9)</f>
        <v>43556</v>
      </c>
      <c r="AV6" s="171">
        <f>IF('Master Sheet'!I9="","",'Master Sheet'!I9)</f>
        <v>45231</v>
      </c>
      <c r="AW6" s="172">
        <f>IFERROR(IF(AV4="",0,DAY(AV4)-1),"")</f>
        <v>10</v>
      </c>
      <c r="AX6" s="172"/>
      <c r="AY6" s="172"/>
      <c r="AZ6" s="172"/>
      <c r="BA6" s="173">
        <f>IFERROR(SUM(BA2-AW4),"")</f>
        <v>20</v>
      </c>
      <c r="BB6" s="198"/>
      <c r="BD6" s="165">
        <v>44378</v>
      </c>
    </row>
    <row r="7" spans="1:85" ht="45.75" customHeight="1">
      <c r="B7" s="256"/>
      <c r="C7" s="254"/>
      <c r="D7" s="103" t="s">
        <v>11</v>
      </c>
      <c r="E7" s="103" t="s">
        <v>12</v>
      </c>
      <c r="F7" s="103" t="s">
        <v>13</v>
      </c>
      <c r="G7" s="191" t="s">
        <v>123</v>
      </c>
      <c r="H7" s="103" t="s">
        <v>14</v>
      </c>
      <c r="I7" s="103" t="s">
        <v>11</v>
      </c>
      <c r="J7" s="103" t="s">
        <v>12</v>
      </c>
      <c r="K7" s="103" t="s">
        <v>13</v>
      </c>
      <c r="L7" s="191" t="s">
        <v>123</v>
      </c>
      <c r="M7" s="103" t="s">
        <v>14</v>
      </c>
      <c r="N7" s="103" t="s">
        <v>11</v>
      </c>
      <c r="O7" s="103" t="s">
        <v>12</v>
      </c>
      <c r="P7" s="103" t="s">
        <v>13</v>
      </c>
      <c r="Q7" s="191" t="s">
        <v>123</v>
      </c>
      <c r="R7" s="103" t="s">
        <v>14</v>
      </c>
      <c r="S7" s="103" t="s">
        <v>15</v>
      </c>
      <c r="T7" s="103" t="s">
        <v>16</v>
      </c>
      <c r="U7" s="103" t="s">
        <v>17</v>
      </c>
      <c r="V7" s="103" t="s">
        <v>15</v>
      </c>
      <c r="W7" s="103" t="s">
        <v>16</v>
      </c>
      <c r="X7" s="103" t="s">
        <v>17</v>
      </c>
      <c r="Y7" s="140" t="s">
        <v>15</v>
      </c>
      <c r="Z7" s="140" t="s">
        <v>16</v>
      </c>
      <c r="AA7" s="140" t="s">
        <v>17</v>
      </c>
      <c r="AB7" s="191" t="s">
        <v>15</v>
      </c>
      <c r="AC7" s="191" t="s">
        <v>16</v>
      </c>
      <c r="AD7" s="191" t="s">
        <v>17</v>
      </c>
      <c r="AE7" s="263"/>
      <c r="AF7" s="256"/>
      <c r="AG7" s="256"/>
      <c r="AH7" s="256"/>
      <c r="AI7" s="256"/>
      <c r="AJ7" s="256"/>
      <c r="AR7" s="164">
        <f>IF(AS7="NO",28,31)</f>
        <v>31</v>
      </c>
      <c r="AS7" s="164" t="str">
        <f>IF('Master Sheet'!M25="","",'Master Sheet'!M25)</f>
        <v>YES</v>
      </c>
      <c r="AT7" s="165"/>
      <c r="AU7" s="174">
        <f>IF('Master Sheet'!M9="","",'Master Sheet'!M9)</f>
        <v>0</v>
      </c>
      <c r="AV7" s="172"/>
      <c r="AW7" s="175">
        <f>IF('Master Sheet'!M5="","",'Master Sheet'!M5)</f>
        <v>8</v>
      </c>
      <c r="AX7" s="176"/>
      <c r="AY7" s="176"/>
      <c r="BA7" s="164">
        <f>IF('Master Sheet'!D25="","",'Master Sheet'!D25)</f>
        <v>9</v>
      </c>
      <c r="BC7" s="165">
        <v>44378</v>
      </c>
      <c r="BD7" s="165">
        <v>44743</v>
      </c>
      <c r="BQ7" s="164">
        <f>ROUND(ROUND(O8*3%,0)*10%,0)</f>
        <v>2</v>
      </c>
    </row>
    <row r="8" spans="1:85" s="25" customFormat="1" ht="21" customHeight="1">
      <c r="A8" s="109">
        <f>IF(LEN(C8)&gt;=2,1,0)</f>
        <v>1</v>
      </c>
      <c r="B8" s="60">
        <f>IFERROR(IF(A8="","",IF(A8=0,"",A8)),"")</f>
        <v>1</v>
      </c>
      <c r="C8" s="61">
        <f>IFERROR(IF(AZ9="","",AZ9),"")</f>
        <v>43556</v>
      </c>
      <c r="D8" s="62">
        <f>IFERROR(IF(BA9="","",BA9),"")</f>
        <v>67467</v>
      </c>
      <c r="E8" s="62">
        <f>IFERROR(IF(BC9="","",BC9),"")</f>
        <v>9715</v>
      </c>
      <c r="F8" s="62">
        <f>IFERROR(IF(OR(C8=$AS$16,C8=$AS$17,C8=$AS$18,C8=$AS$19,C8=$AS$20,C8=$AS$21,C8=$AS$22,C8=$AS$23,C8=$AS$24),0,IF(BD9="","",BD9)),"")</f>
        <v>5397</v>
      </c>
      <c r="G8" s="62">
        <f>IFERROR(IF(BB9="","",BB9),"")</f>
        <v>13493</v>
      </c>
      <c r="H8" s="62">
        <f>IF(C8="","",SUM(D8:G8))</f>
        <v>96072</v>
      </c>
      <c r="I8" s="62">
        <f>IFERROR(IF(BF9="","",BF9),"")</f>
        <v>63933</v>
      </c>
      <c r="J8" s="62">
        <f>IFERROR(IF(BH9="","",BH9),"")</f>
        <v>9206</v>
      </c>
      <c r="K8" s="62">
        <f>IFERROR(IF(OR(C8=$AS$16,C8=$AS$17,C8=$AS$18,C8=$AS$19,C8=$AS$20,C8=$AS$21,C8=$AS$22,C8=$AS$23,C8=$AS$24),0,IF(BI9="","",BI9)),"")</f>
        <v>5115</v>
      </c>
      <c r="L8" s="62">
        <f>IFERROR(IF(BG9="","",BG9),"")</f>
        <v>12787</v>
      </c>
      <c r="M8" s="62">
        <f>IF(C8="","",SUM(I8:L8))</f>
        <v>91041</v>
      </c>
      <c r="N8" s="62">
        <f>IFERROR(IF(C8="","",IF(D8="","",IF(I8="","",SUM(D8-I8)))),"")</f>
        <v>3534</v>
      </c>
      <c r="O8" s="62">
        <f>IFERROR(IF(C8="","",IF(E8="","",IF(J8="","",SUM(E8-J8)))),"")</f>
        <v>509</v>
      </c>
      <c r="P8" s="62">
        <f>IFERROR(IF(C8="","",IF(F8="","",IF(K8="","",SUM(F8-K8)))),"")</f>
        <v>282</v>
      </c>
      <c r="Q8" s="62">
        <f>IFERROR(IF(D8="","",IF(G8="","",IF(L8="","",SUM(G8-L8)))),"")</f>
        <v>706</v>
      </c>
      <c r="R8" s="62">
        <f>IFERROR(IF(C8="","",IF(H8="","",IF(M8="","",SUM(H8-M8)))),"")</f>
        <v>5031</v>
      </c>
      <c r="S8" s="62">
        <f>IF(C8="","",IF(AND(C8&gt;$AR$1,$AI$3=$AR$2),BW9,IF($AU$18=$AU$20,SUM(BJ9+BR9),ROUND((D8+E8)*10%,0))))</f>
        <v>7718</v>
      </c>
      <c r="T8" s="62">
        <f>IFERROR(IF(C8="","",IF(I8="","",IF(J8="","",IF(AND(C8&gt;$AR$1,$AI$3=$AR$2),BW9,IF($AU$18=$AU$20,$AU$21,ROUND((I8+J8)*10%,0)))))),"")</f>
        <v>7314</v>
      </c>
      <c r="U8" s="62">
        <f>IFERROR(IF(C8="","",SUM(S8-T8)),"")</f>
        <v>404</v>
      </c>
      <c r="V8" s="63">
        <f>IFERROR(IF(C8="","",IF($AU$16=$AU$17,0,IF($AU$19=$AU$20,$AU$25,0))),"")</f>
        <v>2100</v>
      </c>
      <c r="W8" s="63">
        <f>IFERROR(IF(C8="","",IF($AU$16=$AU$17,0,IF($AU$19=$AU$20,$AU$24,0))),"")</f>
        <v>2100</v>
      </c>
      <c r="X8" s="62">
        <f>IFERROR(IF(C8="","",SUM(V8-W8)),"")</f>
        <v>0</v>
      </c>
      <c r="Y8" s="62" t="str">
        <f>IFERROR(IF(C8="","",IF($AU$16=$AU$17,0,BZ8)),"")</f>
        <v/>
      </c>
      <c r="Z8" s="62" t="str">
        <f>IFERROR(IF(C8="","",IF($AU$16=$AU$17,0,BY8)),"")</f>
        <v/>
      </c>
      <c r="AA8" s="62" t="str">
        <f t="shared" ref="AA8:AA39" si="0">IFERROR(IF(C8="","",SUM(Y8-Z8)),"")</f>
        <v/>
      </c>
      <c r="AB8" s="62" t="str">
        <f>IFERROR(IF(C8="","",IF(D8="","",IF(C8=$AU$1,ROUND(D8*5/31,0.01),""))),"")</f>
        <v/>
      </c>
      <c r="AC8" s="62" t="str">
        <f>IFERROR(IF(C8="","",IF(I8="","",IF(C8=$AU$1,ROUND(I8*5/31,0.01),""))),"")</f>
        <v/>
      </c>
      <c r="AD8" s="62" t="str">
        <f>IFERROR(IF(I8="","",SUM(AB8-AC8)),"")</f>
        <v/>
      </c>
      <c r="AE8" s="62" t="str">
        <f>IFERROR(IF(BO9="","",IF(AND(AI3="NPS",BO9="YES"),SUM(BP9+BW9),"")),"")</f>
        <v/>
      </c>
      <c r="AF8" s="62">
        <f>IFERROR(IF(C8="","",ROUND(R8*$AU$7%,0)),"")</f>
        <v>0</v>
      </c>
      <c r="AG8" s="62">
        <f>IFERROR(IF(C8="","",IF($AI$3="GPF",SUM(U8,X8,AA8,AD8,AE8,AF8),SUM(U8,X8,AA8,AD8,AE8,AF8))),"")</f>
        <v>404</v>
      </c>
      <c r="AH8" s="64">
        <f>IFERROR(IF(C8="","",SUM(R8-AG8)),"")</f>
        <v>4627</v>
      </c>
      <c r="AI8" s="65"/>
      <c r="AJ8" s="66"/>
      <c r="AL8" s="26"/>
      <c r="AM8" s="27"/>
      <c r="AN8" s="27"/>
      <c r="AO8" s="144"/>
      <c r="AP8" s="177"/>
      <c r="AQ8" s="178"/>
      <c r="AR8" s="178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80" t="s">
        <v>91</v>
      </c>
      <c r="BS8" s="179"/>
      <c r="BT8" s="179"/>
      <c r="BU8" s="179"/>
      <c r="BV8" s="179"/>
      <c r="BW8" s="179"/>
      <c r="BX8" s="179"/>
      <c r="BY8" s="179" t="str">
        <f>IF(AZ9="","",IF(AZ9="TOTAL","",IF($AU$16=$AU$17,0,IF(AND(AZ9=$BY$1),IF($AU$14&lt;18001,135,IF($AU$14&lt;33501,220,IF($AU$14&lt;54001,330,440))),IF(AND(AZ9&gt;$BY$1),IF($AU$14&lt;18001,265,IF($AU$14&lt;33501,440,IF($AU$14&lt;54001,658,875))),"")))))</f>
        <v/>
      </c>
      <c r="BZ8" s="179" t="str">
        <f>IF(AZ9="","",IF(AZ9="TOTAL","",IF($AU$16=$AU$17,0,IF(AND(AZ9&gt;$BY$1,$AI$3=$AR$2,'Master Sheet'!$D$27&gt;0),'Master Sheet'!$D$27,IF(AND(AZ9=$BY$1),IF($AU$9&lt;18001,135,IF($AU$9&lt;33501,220,IF($AU$9&lt;54001,330,440))),IF(AND(AZ9&gt;$BY$1),IF($AU$9&lt;18001,265,IF($AU$9&lt;33501,440,IF($AU$9&lt;54001,658,875))),""))))))</f>
        <v/>
      </c>
      <c r="CA8" s="179"/>
      <c r="CB8" s="179"/>
      <c r="CC8" s="179"/>
      <c r="CD8" s="179"/>
      <c r="CE8" s="179"/>
      <c r="CF8" s="181"/>
      <c r="CG8" s="145"/>
    </row>
    <row r="9" spans="1:85" s="28" customFormat="1" ht="21" customHeight="1">
      <c r="A9" s="110">
        <f>IF(C9="TOTAL","",IF(LEN(C9)&gt;=2,B8+1,0))</f>
        <v>2</v>
      </c>
      <c r="B9" s="60">
        <f t="shared" ref="B9:B72" si="1">IFERROR(IF(A9="","",IF(A9=0,"",A9)),"")</f>
        <v>2</v>
      </c>
      <c r="C9" s="61">
        <f t="shared" ref="C9:C10" si="2">IFERROR(IF(AZ10="","",AZ10),"")</f>
        <v>43586</v>
      </c>
      <c r="D9" s="62">
        <f>IFERROR(IF($C9="TOTAL",SUM($D$8:D8),IF(BA10="","",BA10)),"")</f>
        <v>101200</v>
      </c>
      <c r="E9" s="62">
        <f>IFERROR(IF($C9="TOTAL",SUM($E$8:E8),IF(BC10="","",BC10)),"")</f>
        <v>14573</v>
      </c>
      <c r="F9" s="62">
        <f>IFERROR(IF($C9="TOTAL",SUM($F$8:F8),IF(OR(C9=$AS$16,C9=$AS$17,C9=$AS$18,C9=$AS$19,C9=$AS$20,C9=$AS$21,C9=$AS$22,C9=$AS$23,C9=$AS$24),0,IF(BD10="","",BD10))),"")</f>
        <v>8096</v>
      </c>
      <c r="G9" s="62">
        <f>IFERROR(IF($C9="TOTAL",SUM($G$8:G8),IF(BB10="","",BB10)),"")</f>
        <v>20240</v>
      </c>
      <c r="H9" s="62">
        <f t="shared" ref="H9:H72" si="3">IF(C9="","",SUM(D9:G9))</f>
        <v>144109</v>
      </c>
      <c r="I9" s="62">
        <f>IFERROR(IF($C9="TOTAL",SUM($I$8:I8),IF(BF10="","",BF10)),"")</f>
        <v>95900</v>
      </c>
      <c r="J9" s="62">
        <f>IFERROR(IF($C9="TOTAL",SUM($J$8:J8),IF(BH10="","",BH10)),"")</f>
        <v>13810</v>
      </c>
      <c r="K9" s="62">
        <f>IFERROR(IF($C9="TOTAL",SUM($K$8:K8),IF(OR(C9=$AS$16,C9=$AS$17,C9=$AS$18,C9=$AS$19,C9=$AS$20,C9=$AS$21,C9=$AS$22,C9=$AS$23,C9=$AS$24),0,IF(BI10="","",BI10))),"")</f>
        <v>7672</v>
      </c>
      <c r="L9" s="62">
        <f>IFERROR(IF($C9="TOTAL",SUM($L$8:L8),IF(BG10="","",BG10)),"")</f>
        <v>19180</v>
      </c>
      <c r="M9" s="62">
        <f t="shared" ref="M9:M72" si="4">IF(C9="","",SUM(I9:L9))</f>
        <v>136562</v>
      </c>
      <c r="N9" s="62">
        <f>IFERROR(IF(C9="","",IF(D9="","",IF(I9="","",IF($C9="TOTAL",SUM($N$8:N8),SUM(D9-I9))))),"")</f>
        <v>5300</v>
      </c>
      <c r="O9" s="62">
        <f>IFERROR(IF(C9="","",IF(E9="","",IF(J9="","",IF($C9="TOTAL",SUM($O$8:O8),SUM(E9-J9))))),"")</f>
        <v>763</v>
      </c>
      <c r="P9" s="62">
        <f>IFERROR(IF(C9="","",IF(F9="","",IF(K9="","",IF($C9="TOTAL",SUM($P$8:P8),SUM(F9-K9))))),"")</f>
        <v>424</v>
      </c>
      <c r="Q9" s="62">
        <f t="shared" ref="Q9:Q72" si="5">IFERROR(IF(D9="","",IF(G9="","",IF(L9="","",SUM(G9-L9)))),"")</f>
        <v>1060</v>
      </c>
      <c r="R9" s="62">
        <f t="shared" ref="R9" si="6">IFERROR(IF(C9="","",IF(H9="","",IF(M9="","",SUM(H9-M9)))),"")</f>
        <v>7547</v>
      </c>
      <c r="S9" s="62">
        <f>IFERROR(IF(C9="","",IF(AND(C9&gt;$AR$1,$AI$3=$AR$2),BW10,IF($AU$18=$AU$20,SUM(BJ10+BR10),ROUND((D9+E9)*10%,0)))),"")</f>
        <v>11577</v>
      </c>
      <c r="T9" s="62">
        <f>IFERROR(IF(C9="","",IF(I9="","",IF(J9="","",IF(AND(C9&gt;$AR$1,$AI$3=$AR$2),BW10,IF($AU$18=$AU$20,$AU$21,ROUND((I9+J9)*10%,0)))))),"")</f>
        <v>10971</v>
      </c>
      <c r="U9" s="62">
        <f t="shared" ref="U9" si="7">IFERROR(IF(C9="","",SUM(S9-T9)),"")</f>
        <v>606</v>
      </c>
      <c r="V9" s="63">
        <f>IFERROR(IF(C9="","",IF($AU$16=$AU$17,0,IF($C9="TOTAL",SUM($V$8:V8),IF($AU$19=$AU$31,0,IF(AND($AU$32=$AU$20,C9=$AU$33),$AU$34,V8))))),"")</f>
        <v>2100</v>
      </c>
      <c r="W9" s="63">
        <f>IFERROR(IF(C9="","",IF($AU$16=$AU$17,0,IF($C9="TOTAL",SUM($W$8:W8),IF($AU$19=$AU$20,$AU$24,0)))),"")</f>
        <v>2100</v>
      </c>
      <c r="X9" s="62">
        <f>IFERROR(IF(C9="","",SUM(V9-W9)),"")</f>
        <v>0</v>
      </c>
      <c r="Y9" s="62" t="str">
        <f>IFERROR(IF(C9="","",IF($AU$16=$AU$17,0,IF($C9="TOTAL",SUM($Y$8:Y8),BZ9))),"")</f>
        <v/>
      </c>
      <c r="Z9" s="62" t="str">
        <f>IFERROR(IF(C9="","",IF($AU$16=$AU$17,0,IF($C9="TOTAL",SUM($Z$8:Z8),BY9))),"")</f>
        <v/>
      </c>
      <c r="AA9" s="62" t="str">
        <f t="shared" si="0"/>
        <v/>
      </c>
      <c r="AB9" s="62" t="str">
        <f>IFERROR(IF(C9="","",IF(D9="","",IF($C9="TOTAL",SUM($AB$8:AB8),IF(C9=$AU$1,ROUND(D9*5/31,0.01),"")))),"")</f>
        <v/>
      </c>
      <c r="AC9" s="62" t="str">
        <f>IFERROR(IF(C9="","",IF(I9="","",IF($C9="TOTAL",SUM($AC$8:AC8),IF(C9=$AU$1,ROUND(I9*5/31,0.01),"")))),"")</f>
        <v/>
      </c>
      <c r="AD9" s="62" t="str">
        <f>IFERROR(IF(I9="","",SUM(AB9-AC9)),"")</f>
        <v/>
      </c>
      <c r="AE9" s="62" t="str">
        <f>IFERROR(IF(C9="","",IF(AND(BP10="",BW10=""),"",IF($C9="TOTAL",SUM($AE$8:AE8),BP10))),"")</f>
        <v/>
      </c>
      <c r="AF9" s="62">
        <f>IFERROR(IF(C9="","",IF($C9="TOTAL",SUM($AF$8:AF8),ROUND(R9*$AU$7%,0))),"")</f>
        <v>0</v>
      </c>
      <c r="AG9" s="62">
        <f t="shared" ref="AG9:AG72" si="8">IFERROR(IF(C9="","",IF($AI$3="GPF",SUM(U9,X9,AA9,AD9,AE9,AF9),SUM(U9,X9,AA9,AD9,AE9,AF9))),"")</f>
        <v>606</v>
      </c>
      <c r="AH9" s="64">
        <f>IFERROR(IF(C9="","",IF($C9="TOTAL",SUM($AH$8:AH8),SUM(R9-AG9))),"")</f>
        <v>6941</v>
      </c>
      <c r="AI9" s="65"/>
      <c r="AJ9" s="65"/>
      <c r="AL9" s="6"/>
      <c r="AM9" s="6"/>
      <c r="AN9" s="6"/>
      <c r="AO9" s="146"/>
      <c r="AP9" s="182"/>
      <c r="AQ9" s="183">
        <f>IF(OR(AZ9=$AT$9,AZ9=$AT$10,AZ9=$AT$11,AZ9=$AT$12,AZ9=$AT$13,AZ9=$AT$14),4,IF(OR(AZ9=$AT$15,AZ9=$AT$16,AZ9=$AT$17,AZ9=$AT$18,AZ9=$AT$19,AZ9=$AT$20),5,IF(OR(AZ9=$AT$21,AZ9=$AT$22,AZ9=$AT$23,AZ9=$AT$24,AZ9=$AT$25,AZ9=$AT$26),7,IF(OR(AZ9=$AT$27,AZ9=$AT$28,AZ9=$AT$29,AZ9=$AT$30,AZ9=$AT$31,AZ9=$AT$32),9,IF(OR(AZ9=$AT$33,AZ9=$AT$34,AZ9=$AT$35,AZ9=$AT$36,AZ9=$AT$37,AZ9=$AT$38),12,IF(OR(AZ9=$AT$39,AZ9=$AT$40,AZ9=$AT$41,AZ9=$AT$42,AZ9=$AT$43,AZ9=$AT$44,AZ9=$AT$45,AZ9=$AT$46,AZ9=$AT$47,AZ9=$AT$48,AZ9=$AT$49,AZ9=$AT$50,AZ9=$AT$51,AZ9=$AT$52,AZ9=$AT$53,AZ9=$AT$54,AZ9=$AT$55,AZ9=$AT$56,AZ9=$AT$57,AZ9=$AT$58,AZ9=$AT$59,AZ9=$AT$60,AZ9=$AT$61,AZ9=$AT$62),17,IF(OR(AZ9=$AT$63,AZ9=$AT$64,AZ9=$AT$65,AZ9=$AT$66,AZ9=$AT$67,AZ9=$AT$68),31,IF(OR(AZ9=$AT$69,AZ9=$AT$70,AZ9=$AT$71,AZ9=$AT$72,AZ9=$AT$73,AZ9=$AT$74),34,IF(OR(AZ9=$AT$75,AZ9=$AT$76,AZ9=$AT$77,AZ9=$AT$78,AZ9=$AT$79,AZ9=$AT$80),38,42)))))))))</f>
        <v>12</v>
      </c>
      <c r="AR9" s="183">
        <f>IF(OR(AZ9=$AT$9,AZ9=$AT$10,AZ9=$AT$11,AZ9=$AT$12,AZ9=$AT$13,AZ9=$AT$14),4,IF(OR(AZ9=$AT$15,AZ9=$AT$16,AZ9=$AT$17,AZ9=$AT$18,AZ9=$AT$19,AZ9=$AT$20),5,IF(OR(AZ9=$AT$21,AZ9=$AT$22,AZ9=$AT$23,AZ9=$AT$24,AZ9=$AT$25,AZ9=$AT$26),7,IF(OR(AZ9=$AT$27,AZ9=$AT$28,AZ9=$AT$29,AZ9=$AT$30,AZ9=$AT$31,AZ9=$AT$32),9,IF(OR(AZ9=$AT$33,AZ9=$AT$34,AZ9=$AT$35,AZ9=$AT$36,AZ9=$AT$37,AZ9=$AT$38),12,IF(OR(AZ9=$AT$39,AZ9=$AT$40,AZ9=$AT$41,AZ9=$AT$42,AZ9=$AT$43,AZ9=$AT$44,AZ9=$AT$45,AZ9=$AT$46,AZ9=$AT$47,AZ9=$AT$48,AZ9=$AT$49,AZ9=$AT$50,AZ9=$AT$51,AZ9=$AT$52,AZ9=$AT$53,AZ9=$AT$54,AZ9=$AT$55,AZ9=$AT$56,AZ9=$AT$57,AZ9=$AT$58,AZ9=$AT$59,AZ9=$AT$60,AZ9=$AT$61,AZ9=$AT$62),17,IF(OR(AZ9=$AT$63,AZ9=$AT$64,AZ9=$AT$65,AZ9=$AT$66,AZ9=$AT$67,AZ9=$AT$68),31,IF(OR(AZ9=$AT$69,AZ9=$AT$70,AZ9=$AT$71,AZ9=$AT$72,AZ9=$AT$73,AZ9=$AT$74),34,IF(OR(AZ9=$AT$75,AZ9=$AT$76,AZ9=$AT$77,AZ9=$AT$78,AZ9=$AT$79,AZ9=$AT$80),38,42)))))))))</f>
        <v>12</v>
      </c>
      <c r="AS9" s="184"/>
      <c r="AT9" s="185">
        <v>42736</v>
      </c>
      <c r="AU9" s="184">
        <f>'Master Sheet'!M13</f>
        <v>101200</v>
      </c>
      <c r="AV9" s="185">
        <f>IF(AND($AU$6&gt;$AV$6),"",DATE(YEAR(AU6),MONTH(AU6),DAY(AU6)))</f>
        <v>43556</v>
      </c>
      <c r="AW9" s="185">
        <f>IF(AND(AV9=""),"",IF(AND(AV9=$AT$9),$AT$9,IF(AND(AV9=$AT$10),$AT$10,IF(AND(AV9=$AT$11),$AT$11,IF(AND(AV9=$AT$12),$AT$12,IF(AND(AV9=$AT$13),$AT$13,IF(AND(AV9=$AT$14),$AT$14,IF(AND(AV9=$AT$15),$AT$15,IF(AND(AV9=$AT$16),$AT$16,IF(AND(AV9=$AT$17),$AT$17,IF(AND(AV9=$AT$18),$AT$18,IF(AND(AV9=$AT$19),$AT$19,IF(AND(AV9=$AT$20),$AT$20,IF(AND(AV9=$AT$21),$AT$21,IF(AND(AV9=$AT$22),$AT$22,IF(AND(AV9=$AT$23),$AT$23,IF(AND(AV9=$AT$24),$AT$24,IF(AND(AV9=$AT$25),$AT$25,IF(AND(AV9=$AT$26),$AT$26,IF(AND(AV9=$AT$27),$AT$27,IF(AND(AV9=$AT$28),$AT$28,IF(AND(AV9=$AT$29),$AT$29,IF(AND(AV9=$AT$30),$AT$30,IF(AND(AV9=$AT$31),$AT$31,IF(AND(AV9=$AT$32),$AT$32,IF(AND(AV9=$AT$33),$AT$33,IF(AND(AV9=$AT$34),$AT$34,IF(AND(AV9=$AT$35),$AT$35,IF(AND(AV9=$AT$36),$AT$36,IF(AND(AV9=$AT$37),$AT$37,IF(AND(AV9=$AT$38),$AT$38,IF(AND(AV9=$AT$39),$AT$39,IF(AND(AV9=$AT$40),$AT$40,IF(AND(AV9=$AT$41),$AT$41,IF(AND(AV9=$AT$42),$AT$42,IF(AND(AV9=$AT$43),$AT$43,IF(AND(AV9=$AT$44),$AT$44,IF(AND(AV9=$AT$45),$AT$45,IF(AND(AV9=$AT$46),$AT$46,IF(AND(AV9=$AT$47),$AT$47,IF(AND(AV9=$AT$48),$AT$48,IF(AND(AV9=$AT$49),$AT$49,IF(AND(AV9=$AT$50),$AT$50,IF(AND(AV9=$AT$51),$AT$51,IF(AND(AV9=$AT$52),$AT$52,IF(AND(AV9=$AT$53),$AT$53,IF(AND(AV9=$AT$54),$AT$54,IF(AND(AV9=$AT$55),$AT$55,IF(AND(AV9=$AT$56),$AT$56,IF(AND(AV9=$AT$57),$AT$57,IF(AND(AV9=$AT$58),$AT$58,IF(AND(AV9=$AT$59),$AT$59,IF(AND(AV9=$AT$60),$AT$60,IF(AND(AV9=$AT$61),$AT$61,IF(AND(AV9=$AT$62),$AT$62,IF(AND(AV9=$AT$63),$AT$63,IF(AND(AV9=$AT$64),$AT$64,IF(AND(AV9=$AT$65),$AT$65,IF(AND(AV9=$AT$66),$AT$66,IF(AND(AV9=$AT$67),$AT$67,IF(AND(AV9=$AT$68),$AT$68,IF(AND(AV9=$AT$69),$AT$69,IF(AND(AV9=$AT$70),$AT$70,IF(AND(AV9=$AT$71),$AT$71,""))))))))))))))))))))))))))))))))))))))))))))))))))))))))))))))))</f>
        <v>43556</v>
      </c>
      <c r="AX9" s="185" t="str">
        <f>IF(AND(AV9=""),"",IF(AND(AV9=$AT$72),$AU$72,IF(AND(AV9=$AT$73),$AU$73,IF(AND(AV9=$AT$74),$AU$74,IF(AND(AV9=$AT$75),$AU$75,IF(AND(AV9=$AT$76),$AU$76,IF(AND(AV9=$AT$77),$AU$77,IF(AND(AV9=$AT$78),$AU$78,IF(AND(AV9=$AT$79),$AU$79,IF(AND(AV9=$AT$80),$AU$80,IF(AND(AV9=$AT$81),$AU$81,IF(AND(AV9=$AT$82),$AU$82,IF(AND(AV9=$AT$83),$AU$83,IF(AND(AV9=$AT$84),$AU$84,IF(AND(AV9=$AT$85),$AU$85,IF(AND(AV9=$AT$86),$AU$86,IF(AND(AV9=$AT$87),$AU$87,IF(AND(AV9=$AT$88),$AU$88,IF(AND(AV9=$AT$89),$AU$89,IF(AND(AV9=$AT$90),$AU$90,IF(AND(AV9=$AT$91),$AU$91,IF(AND(AV9=$AT$92),$AU$92,""))))))))))))))))))))))</f>
        <v/>
      </c>
      <c r="AY9" s="185">
        <f>IFERROR(IF(AND(AW9="",AX9=""),"",IF(AW9="",AX9,AW9)),"")</f>
        <v>43556</v>
      </c>
      <c r="AZ9" s="185">
        <f>IFERROR(IF(AND(AW9="",AY9=""),"",IF(AY9&gt;$AV$6,"",AY9)),"")</f>
        <v>43556</v>
      </c>
      <c r="BA9" s="184">
        <f>IF(AZ9="","",ROUND((AU9/BA3)*BA6,0))</f>
        <v>67467</v>
      </c>
      <c r="BB9" s="184">
        <f>IF(AZ9="","",IF(AZ9="TOTAL","",ROUND((BA9*20/100),0.01)))</f>
        <v>13493</v>
      </c>
      <c r="BC9" s="184">
        <f>IF(AZ9="","",IF(AZ9="TOTAL","",ROUND((BA9+BB9)*AQ9%,0)))</f>
        <v>9715</v>
      </c>
      <c r="BD9" s="184">
        <f t="shared" ref="BD9" si="9">IF(AZ9="","",IF(AZ9="TOTAL","",IF(AZ9&gt;=$BC$7,ROUND(BA9*$BA$7%,0),ROUND(BA9*$AW$7%,0))))</f>
        <v>5397</v>
      </c>
      <c r="BE9" s="184"/>
      <c r="BF9" s="184">
        <f>IF(AZ9="","",IF(AND($AU$10="",$AU$14=""),"",IF(AU26=AU20,ROUND((AU27/BA3)*BA6,0),IF($AU$13=$AU$15,ROUND(($AU$14/BA3)*BA6,0),ROUND(($AU$10/BA3)*BA6,0)))))</f>
        <v>63933</v>
      </c>
      <c r="BG9" s="184">
        <f>IF(AZ9="","",IF(AZ9="TOTAL","",ROUND((BF9*20/100),0.01)))</f>
        <v>12787</v>
      </c>
      <c r="BH9" s="184">
        <f>IF(AZ9="","",IF(BF9="","",IF($AU$16=$AU$17,0,ROUND((BF9+BG9)*AR9%,0))))</f>
        <v>9206</v>
      </c>
      <c r="BI9" s="184">
        <f>IF(AZ9="","",IF(BF9="","",IF($AU$16=$AU$17,0,IF(AZ9&gt;=$BC$7,ROUND(BF9*$BA$7%,0),ROUND(BF9*$AW$7%,0)))))</f>
        <v>5115</v>
      </c>
      <c r="BJ9" s="184">
        <f>IF(AZ9="","",IF(AZ9="TOTAL","",IF(BF9="","",IF($AU$16=$AU$17,0,IF(OR(C8=$AS$16,C8=$AS$17,C8=$AS$18,C8=$AS$19,C8=$AS$20,C8=$AS$21,C8=$AS$22,C8=$AS$23,C8=$AS$24),SUM(BM9+$AU$22),$AU$22)))))</f>
        <v>3675</v>
      </c>
      <c r="BK9" s="184"/>
      <c r="BL9" s="184"/>
      <c r="BM9" s="184">
        <f>IF(AZ9="","",IF(AZ9="TOTAL","",IF(BF9="","",SUM(R8)-SUM(($AU$22-$AU$21)+SUM(X8,AA8,AF8)))))</f>
        <v>5031</v>
      </c>
      <c r="BN9" s="184">
        <f>IF(AZ9="","",IF(AZ9="TOTAL","",IF(AND($AU$20=$AU$36,C9=$AU$37),$AU$38,$AU$22)))</f>
        <v>3675</v>
      </c>
      <c r="BO9" s="184" t="str">
        <f>IF(OR(AZ9=$AT$63,AZ9=$AT$64,AZ9=$AT$65),"YES","")</f>
        <v/>
      </c>
      <c r="BP9" s="184" t="str">
        <f t="shared" ref="BP9:BP40" si="10">IF(BO9="","",IF($AU$16=$AU$17,ROUND((D8)*3%,0),IF(OR(AZ9=$AT$63,AZ9=$AT$64,AZ9=$AT$65),SUM(ROUND((D8-I8)*3%,0)),IF(OR(AZ9=$AT$69,AZ9=$AT$70,AZ9=$AT$71),SUM(ROUND((D8-I8)*3%,0)),""))))</f>
        <v/>
      </c>
      <c r="BQ9" s="184">
        <f t="shared" ref="BQ9:BQ40" si="11">IFERROR(IF(AND($AU$16=$AU$17,BO9="YES"),ROUND(ROUND(D8*3%,0)*10%,0),IF(AND($AU$16=$AU$15,BO9="YES",$AS$7="NO"),ROUND(ROUND((N8+I8)*3%,0)*10%,0),IF(AND($AU$16=$AU$15,BO9="YES",$AS$7="YES"),ROUND(ROUND((N8+O8)*3%,0)*10%,0),0))),"")</f>
        <v>0</v>
      </c>
      <c r="BR9" s="184">
        <f t="shared" ref="BR9:BR40" si="12">IF(AND($AU$16=$AU$17,BO9="YES"),ROUND(D8*3%,0),IF(AND($AU$16=$AU$15,BO9="YES",$AS$7="NO"),ROUND((N8+I8)*3%,0),IF(AND($AU$16=$AU$15,BO9="YES",$AS$7="YES"),ROUND((N8+O8)*3%,0),0)))</f>
        <v>0</v>
      </c>
      <c r="BS9" s="184" t="str">
        <f>IF(AND($AU$16=$AU$17,BO9="YES"),ROUND(ROUND(D8*3%,0)*10%,0),IF(AND($AU$16=$AU$15,BO9="YES",$AS$7="NO"),ROUND(ROUND((N8+I8)*3%,0)*10%,0),IF(AND($AU$16=$AU$15,BO9="YES",$AS$7="YES"),ROUND(ROUND((N8+O8)*3%,0)*10%,0),"")))</f>
        <v/>
      </c>
      <c r="BT9" s="184"/>
      <c r="BU9" s="184"/>
      <c r="BV9" s="184"/>
      <c r="BW9" s="184" t="str">
        <f>IF(AZ9="","",IF(AZ9="TOTAL","",IF(AND(AZ9&gt;$AR$1,$AI$3=$AR$2),$AY$1,"")))</f>
        <v/>
      </c>
      <c r="BX9" s="184"/>
      <c r="BY9" s="179" t="str">
        <f>IF(AZ10="","",IF(AZ10="TOTAL","",IF($AU$16=$AU$17,0,IF(AND(AZ10=$BY$1),IF($AU$14&lt;18001,135,IF($AU$14&lt;33501,220,IF($AU$14&lt;54001,330,440))),IF(AND(AZ10&gt;$BY$1),IF($AU$14&lt;18001,265,IF($AU$14&lt;33501,440,IF($AU$14&lt;54001,658,875))),"")))))</f>
        <v/>
      </c>
      <c r="BZ9" s="179" t="str">
        <f>IF(AZ10="","",IF(AZ10="TOTAL","",IF($AU$16=$AU$17,0,IF(AND(AZ10&gt;$BY$1,$AI$3=$AR$2,'Master Sheet'!$D$27&gt;0),'Master Sheet'!$D$27,IF(AND(AZ10=$BY$1),IF($AU$9&lt;18001,135,IF($AU$9&lt;33501,220,IF($AU$9&lt;54001,330,440))),IF(AND(AZ10&gt;$BY$1),IF($AU$9&lt;18001,265,IF($AU$9&lt;33501,440,IF($AU$9&lt;54001,658,875))),""))))))</f>
        <v/>
      </c>
      <c r="CA9" s="184"/>
      <c r="CB9" s="184"/>
      <c r="CC9" s="184"/>
      <c r="CD9" s="184"/>
      <c r="CE9" s="184"/>
      <c r="CF9" s="186"/>
      <c r="CG9" s="147"/>
    </row>
    <row r="10" spans="1:85" s="28" customFormat="1" ht="21" customHeight="1">
      <c r="A10" s="110">
        <f>IF(C10="TOTAL","",IF(B9="","",IF(LEN(C10)&gt;=2,B9+1,0)))</f>
        <v>3</v>
      </c>
      <c r="B10" s="60">
        <f t="shared" si="1"/>
        <v>3</v>
      </c>
      <c r="C10" s="61">
        <f t="shared" si="2"/>
        <v>43617</v>
      </c>
      <c r="D10" s="62">
        <f>IFERROR(IF($C9="TOTAL","अक्षरें राशि :-",IF($C10="TOTAL",SUM($D$8:D9),IF(BA11="","",BA11))),"")</f>
        <v>101200</v>
      </c>
      <c r="E10" s="62">
        <f>IFERROR(IF($C10="TOTAL",SUM($E$8:E9),IF(BC11="","",BC11)),"")</f>
        <v>14573</v>
      </c>
      <c r="F10" s="62">
        <f>IFERROR(IF($C10="TOTAL",SUM($F$8:F9),IF(OR(C10=$AS$16,C10=$AS$17,C10=$AS$18,C10=$AS$19,C10=$AS$20,C10=$AS$21,C10=$AS$22,C10=$AS$23,C10=$AS$24),0,IF(BD11="","",BD11))),"")</f>
        <v>8096</v>
      </c>
      <c r="G10" s="62">
        <f>IFERROR(IF($C10="TOTAL",SUM($G$8:G9),IF(BB11="","",BB11)),"")</f>
        <v>20240</v>
      </c>
      <c r="H10" s="62">
        <f t="shared" si="3"/>
        <v>144109</v>
      </c>
      <c r="I10" s="62">
        <f>IFERROR(IF($C10="TOTAL",SUM($I$8:I9),IF(BF11="","",BF11)),"")</f>
        <v>95900</v>
      </c>
      <c r="J10" s="62">
        <f>IFERROR(IF($C10="TOTAL",SUM($J$8:J9),IF(BH11="","",BH11)),"")</f>
        <v>13810</v>
      </c>
      <c r="K10" s="62">
        <f>IFERROR(IF($C10="TOTAL",SUM($K$8:K9),IF(OR(C10=$AS$16,C10=$AS$17,C10=$AS$18,C10=$AS$19,C10=$AS$20,C10=$AS$21,C10=$AS$22,C10=$AS$23,C10=$AS$24),0,IF(BI11="","",BI11))),"")</f>
        <v>7672</v>
      </c>
      <c r="L10" s="62">
        <f>IFERROR(IF($C10="TOTAL",SUM($L$8:L9),IF(BG11="","",BG11)),"")</f>
        <v>19180</v>
      </c>
      <c r="M10" s="62">
        <f t="shared" si="4"/>
        <v>136562</v>
      </c>
      <c r="N10" s="62">
        <f>IFERROR(IF(C10="","",IF(D10="","",IF(I10="","",IF($C10="TOTAL",SUM($N$8:N9),SUM(D10-I10))))),"")</f>
        <v>5300</v>
      </c>
      <c r="O10" s="62">
        <f>IFERROR(IF(C10="","",IF(E10="","",IF(J10="","",IF($C10="TOTAL",SUM($O$8:O9),SUM(E10-J10))))),"")</f>
        <v>763</v>
      </c>
      <c r="P10" s="62">
        <f>IFERROR(IF(C10="","",IF(F10="","",IF(K10="","",IF($C10="TOTAL",SUM($P$8:P9),SUM(F10-K10))))),"")</f>
        <v>424</v>
      </c>
      <c r="Q10" s="62">
        <f t="shared" si="5"/>
        <v>1060</v>
      </c>
      <c r="R10" s="62">
        <f t="shared" ref="R10:R68" si="13">IFERROR(IF(C10="","",IF(H10="","",IF(M10="","",SUM(H10-M10)))),"")</f>
        <v>7547</v>
      </c>
      <c r="S10" s="62">
        <f>IFERROR(IF(C10="","",IF($C10="TOTAL",SUM($S$8:S9),IF(AND(C10&gt;$AR$1,$AI$3=$AR$2),BW11,IF($AU$18=$AU$20,SUM(BJ11+BR11),ROUND((D10+E10)*10%,0))))),"")</f>
        <v>11577</v>
      </c>
      <c r="T10" s="62">
        <f>IFERROR(IF(C10="","",IF(I10="","",IF(J10="","",IF($C10="TOTAL",SUM($T$8:T9),IF(AND(C10&gt;$AR$1,$AI$3=$AR$2),BW11,IF($AU$18=$AU$20,$AU$21,ROUND((I10+J10)*10%,0))))))),"")</f>
        <v>10971</v>
      </c>
      <c r="U10" s="62">
        <f t="shared" ref="U10:U68" si="14">IFERROR(IF(C10="","",SUM(S10-T10)),"")</f>
        <v>606</v>
      </c>
      <c r="V10" s="63">
        <f>IFERROR(IF(C10="","",IF($AU$16=$AU$17,0,IF($C10="TOTAL",SUM($V$8:V9),IF($AU$19=$AU$31,0,IF(AND($AU$32=$AU$20,C10=$AU$33),$AU$34,V9))))),"")</f>
        <v>2100</v>
      </c>
      <c r="W10" s="63">
        <f>IFERROR(IF(C10="","",IF($AU$16=$AU$17,0,IF($C10="TOTAL",SUM($W$8:W9),IF($AU$19=$AU$20,$AU$24,0)))),"")</f>
        <v>2100</v>
      </c>
      <c r="X10" s="62">
        <f t="shared" ref="X10:X68" si="15">IFERROR(IF(C10="","",SUM(V10-W10)),"")</f>
        <v>0</v>
      </c>
      <c r="Y10" s="62" t="str">
        <f>IFERROR(IF(C10="","",IF($AU$16=$AU$17,0,IF($C10="TOTAL",SUM($Y$8:Y9),BZ10))),"")</f>
        <v/>
      </c>
      <c r="Z10" s="62" t="str">
        <f>IFERROR(IF(C10="","",IF($AU$16=$AU$17,0,IF($C10="TOTAL",SUM($Z$8:Z9),BY10))),"")</f>
        <v/>
      </c>
      <c r="AA10" s="62" t="str">
        <f t="shared" si="0"/>
        <v/>
      </c>
      <c r="AB10" s="62" t="str">
        <f>IFERROR(IF(C10="","",IF(D10="","",IF($C10="TOTAL",SUM($AB$8:AB9),IF(C10=$AU$1,ROUND(D10*5/31,0.01),"")))),"")</f>
        <v/>
      </c>
      <c r="AC10" s="62" t="str">
        <f>IFERROR(IF(C10="","",IF(I10="","",IF($C10="TOTAL",SUM($AC$8:AC9),IF(C10=$AU$1,ROUND(I10*5/31,0.01),"")))),"")</f>
        <v/>
      </c>
      <c r="AD10" s="62" t="str">
        <f t="shared" ref="AD10:AD73" si="16">IFERROR(IF(I10="","",SUM(AB10-AC10)),"")</f>
        <v/>
      </c>
      <c r="AE10" s="62" t="str">
        <f>IFERROR(IF(C10="","",IF(AND(BP11="",BW11=""),"",IF($C10="TOTAL",SUM($AE$8:AE9),BP11))),"")</f>
        <v/>
      </c>
      <c r="AF10" s="62">
        <f>IFERROR(IF(C10="","",IF($C10="TOTAL",SUM($AF$8:AF9),ROUND(R10*$AU$7%,0))),"")</f>
        <v>0</v>
      </c>
      <c r="AG10" s="62">
        <f t="shared" si="8"/>
        <v>606</v>
      </c>
      <c r="AH10" s="64">
        <f>IFERROR(IF(C10="","",IF($C10="TOTAL",SUM($AH$8:AH9),SUM(R10-AG10))),"")</f>
        <v>6941</v>
      </c>
      <c r="AI10" s="65"/>
      <c r="AJ10" s="65"/>
      <c r="AL10" s="6"/>
      <c r="AM10" s="6"/>
      <c r="AN10" s="6"/>
      <c r="AO10" s="146"/>
      <c r="AP10" s="182"/>
      <c r="AQ10" s="183">
        <f t="shared" ref="AQ10:AQ73" si="17">IF(OR(AZ10=$AT$9,AZ10=$AT$10,AZ10=$AT$11,AZ10=$AT$12,AZ10=$AT$13,AZ10=$AT$14),4,IF(OR(AZ10=$AT$15,AZ10=$AT$16,AZ10=$AT$17,AZ10=$AT$18,AZ10=$AT$19,AZ10=$AT$20),5,IF(OR(AZ10=$AT$21,AZ10=$AT$22,AZ10=$AT$23,AZ10=$AT$24,AZ10=$AT$25,AZ10=$AT$26),7,IF(OR(AZ10=$AT$27,AZ10=$AT$28,AZ10=$AT$29,AZ10=$AT$30,AZ10=$AT$31,AZ10=$AT$32),9,IF(OR(AZ10=$AT$33,AZ10=$AT$34,AZ10=$AT$35,AZ10=$AT$36,AZ10=$AT$37,AZ10=$AT$38),12,IF(OR(AZ10=$AT$39,AZ10=$AT$40,AZ10=$AT$41,AZ10=$AT$42,AZ10=$AT$43,AZ10=$AT$44,AZ10=$AT$45,AZ10=$AT$46,AZ10=$AT$47,AZ10=$AT$48,AZ10=$AT$49,AZ10=$AT$50,AZ10=$AT$51,AZ10=$AT$52,AZ10=$AT$53,AZ10=$AT$54,AZ10=$AT$55,AZ10=$AT$56,AZ10=$AT$57,AZ10=$AT$58,AZ10=$AT$59,AZ10=$AT$60,AZ10=$AT$61,AZ10=$AT$62),17,IF(OR(AZ10=$AT$63,AZ10=$AT$64,AZ10=$AT$65,AZ10=$AT$66,AZ10=$AT$67,AZ10=$AT$68),31,IF(OR(AZ10=$AT$69,AZ10=$AT$70,AZ10=$AT$71,AZ10=$AT$72,AZ10=$AT$73,AZ10=$AT$74),34,IF(OR(AZ10=$AT$75,AZ10=$AT$76,AZ10=$AT$77,AZ10=$AT$78,AZ10=$AT$79,AZ10=$AT$80),38,42)))))))))</f>
        <v>12</v>
      </c>
      <c r="AR10" s="183">
        <f t="shared" ref="AR10:AR73" si="18">IF(OR(AZ10=$AT$9,AZ10=$AT$10,AZ10=$AT$11,AZ10=$AT$12,AZ10=$AT$13,AZ10=$AT$14),4,IF(OR(AZ10=$AT$15,AZ10=$AT$16,AZ10=$AT$17,AZ10=$AT$18,AZ10=$AT$19,AZ10=$AT$20),5,IF(OR(AZ10=$AT$21,AZ10=$AT$22,AZ10=$AT$23,AZ10=$AT$24,AZ10=$AT$25,AZ10=$AT$26),7,IF(OR(AZ10=$AT$27,AZ10=$AT$28,AZ10=$AT$29,AZ10=$AT$30,AZ10=$AT$31,AZ10=$AT$32),9,IF(OR(AZ10=$AT$33,AZ10=$AT$34,AZ10=$AT$35,AZ10=$AT$36,AZ10=$AT$37,AZ10=$AT$38),12,IF(OR(AZ10=$AT$39,AZ10=$AT$40,AZ10=$AT$41,AZ10=$AT$42,AZ10=$AT$43,AZ10=$AT$44,AZ10=$AT$45,AZ10=$AT$46,AZ10=$AT$47,AZ10=$AT$48,AZ10=$AT$49,AZ10=$AT$50,AZ10=$AT$51,AZ10=$AT$52,AZ10=$AT$53,AZ10=$AT$54,AZ10=$AT$55,AZ10=$AT$56,AZ10=$AT$57,AZ10=$AT$58,AZ10=$AT$59,AZ10=$AT$60,AZ10=$AT$61,AZ10=$AT$62),17,IF(OR(AZ10=$AT$63,AZ10=$AT$64,AZ10=$AT$65,AZ10=$AT$66,AZ10=$AT$67,AZ10=$AT$68),31,IF(OR(AZ10=$AT$69,AZ10=$AT$70,AZ10=$AT$71,AZ10=$AT$72,AZ10=$AT$73,AZ10=$AT$74),34,IF(OR(AZ10=$AT$75,AZ10=$AT$76,AZ10=$AT$77,AZ10=$AT$78,AZ10=$AT$79,AZ10=$AT$80),38,42)))))))))</f>
        <v>12</v>
      </c>
      <c r="AS10" s="184"/>
      <c r="AT10" s="185">
        <v>42767</v>
      </c>
      <c r="AU10" s="184">
        <f>'Master Sheet'!I11</f>
        <v>23700</v>
      </c>
      <c r="AV10" s="185">
        <f t="shared" ref="AV10:AV19" si="19">IF(AND($AU$6&gt;$AV$6),"",DATE(YEAR(AV9),MONTH(AV9)+1,DAY(AV9)))</f>
        <v>43586</v>
      </c>
      <c r="AW10" s="185">
        <f>IF(AND(AV10=""),"",IF(AND(AV10=$AT$9),$AT$9,IF(AND(AV10=$AT$10),$AT$10,IF(AND(AV10=$AT$11),$AT$11,IF(AND(AV10=$AT$12),$AT$12,IF(AND(AV10=$AT$13),$AT$13,IF(AND(AV10=$AT$14),$AT$14,IF(AND(AV10=$AT$15),$AT$15,IF(AND(AV10=$AT$16),$AT$16,IF(AND(AV10=$AT$17),$AT$17,IF(AND(AV10=$AT$18),$AT$18,IF(AND(AV10=$AT$19),$AT$19,IF(AND(AV10=$AT$20),$AT$20,IF(AND(AV10=$AT$21),$AT$21,IF(AND(AV10=$AT$22),$AT$22,IF(AND(AV10=$AT$23),$AT$23,IF(AND(AV10=$AT$24),$AT$24,IF(AND(AV10=$AT$25),$AT$25,IF(AND(AV10=$AT$26),$AT$26,IF(AND(AV10=$AT$27),$AT$27,IF(AND(AV10=$AT$28),$AT$28,IF(AND(AV10=$AT$29),$AT$29,IF(AND(AV10=$AT$30),$AT$30,IF(AND(AV10=$AT$31),$AT$31,IF(AND(AV10=$AT$32),$AT$32,IF(AND(AV10=$AT$33),$AT$33,IF(AND(AV10=$AT$34),$AT$34,IF(AND(AV10=$AT$35),$AT$35,IF(AND(AV10=$AT$36),$AT$36,IF(AND(AV10=$AT$37),$AT$37,IF(AND(AV10=$AT$38),$AT$38,IF(AND(AV10=$AT$39),$AT$39,IF(AND(AV10=$AT$40),$AT$40,IF(AND(AV10=$AT$41),$AT$41,IF(AND(AV10=$AT$42),$AT$42,IF(AND(AV10=$AT$43),$AT$43,IF(AND(AV10=$AT$44),$AT$44,IF(AND(AV10=$AT$45),$AT$45,IF(AND(AV10=$AT$46),$AT$46,IF(AND(AV10=$AT$47),$AT$47,IF(AND(AV10=$AT$48),$AT$48,IF(AND(AV10=$AT$49),$AT$49,IF(AND(AV10=$AT$50),$AT$50,IF(AND(AV10=$AT$51),$AT$51,IF(AND(AV10=$AT$52),$AT$52,IF(AND(AV10=$AT$53),$AT$53,IF(AND(AV10=$AT$54),$AT$54,IF(AND(AV10=$AT$55),$AT$55,IF(AND(AV10=$AT$56),$AT$56,IF(AND(AV10=$AT$57),$AT$57,IF(AND(AV10=$AT$58),$AT$58,IF(AND(AV10=$AT$59),$AT$59,IF(AND(AV10=$AT$60),$AT$60,IF(AND(AV10=$AT$61),$AT$61,IF(AND(AV10=$AT$62),$AT$62,IF(AND(AV10=$AT$63),$AT$63,IF(AND(AV10=$AT$64),$AT$64,IF(AND(AV10=$AT$65),$AT$65,IF(AND(AV10=$AT$66),$AT$66,IF(AND(AV10=$AT$67),$AT$67,IF(AND(AV10=$AT$68),$AT$68,IF(AND(AV10=$AT$69),$AT$69,IF(AND(AV10=$AT$70),$AT$70,IF(AND(AV10=$AT$71),$AT$71,""))))))))))))))))))))))))))))))))))))))))))))))))))))))))))))))))</f>
        <v>43586</v>
      </c>
      <c r="AX10" s="185" t="str">
        <f t="shared" ref="AX10:AX71" si="20">IF(AND(AV10=""),"",IF(AND(AV10=$AT$72),$AU$72,IF(AND(AV10=$AT$73),$AU$73,IF(AND(AV10=$AT$74),$AU$74,IF(AND(AV10=$AT$75),$AU$75,IF(AND(AV10=$AT$76),$AU$76,IF(AND(AV10=$AT$77),$AU$77,IF(AND(AV10=$AT$78),$AU$78,IF(AND(AV10=$AT$79),$AU$79,IF(AND(AV10=$AT$80),$AU$80,IF(AND(AV10=$AT$81),$AU$81,IF(AND(AV10=$AT$82),$AU$82,IF(AND(AV10=$AT$83),$AU$83,IF(AND(AV10=$AT$84),$AU$84,IF(AND(AV10=$AT$85),$AU$85,IF(AND(AV10=$AT$86),$AU$86,IF(AND(AV10=$AT$87),$AU$87,IF(AND(AV10=$AT$88),$AU$88,IF(AND(AV10=$AT$89),$AU$89,IF(AND(AV10=$AT$90),$AU$90,IF(AND(AV10=$AT$91),$AU$91,IF(AND(AV10=$AT$92),$AU$92,""))))))))))))))))))))))</f>
        <v/>
      </c>
      <c r="AY10" s="185">
        <f t="shared" ref="AY10:AY73" si="21">IFERROR(IF(AND(AW10="",AX10=""),"",IF(AW10="",AX10,AW10)),"")</f>
        <v>43586</v>
      </c>
      <c r="AZ10" s="185">
        <f>IFERROR(IF(AY10="","",IF(DATE(YEAR(AY10),MONTH(AY10),DAY(AY10))=DATE(YEAR($AV$6),MONTH($AV$6)+1,DAY($AV$6)),"TOTAL",IF(AY10&gt;$AV$6,"",AY10))),"")</f>
        <v>43586</v>
      </c>
      <c r="BA10" s="184">
        <f>IFERROR(IF(AZ10="","",IF(AND($AU$20=$AU$28,$AU$30=AZ10),$AU$29,IF(OR(AZ10=$BD$2,AZ10=$BD$3,AZ10=$BD$4,AZ10=$BD$5,AZ10=$BD$6,AZ10=$BD$7,AZ10=$BE$2),MROUND(AU9*1.03,100),AU9))),"")</f>
        <v>101200</v>
      </c>
      <c r="BB10" s="184">
        <f t="shared" ref="BB10:BB73" si="22">IF(AZ10="","",IF(AZ10="TOTAL","",ROUND((BA10*20/100),0.01)))</f>
        <v>20240</v>
      </c>
      <c r="BC10" s="184">
        <f t="shared" ref="BC10:BC73" si="23">IF(AZ10="","",IF(AZ10="TOTAL","",ROUND((BA10+BB10)*AQ10%,0)))</f>
        <v>14573</v>
      </c>
      <c r="BD10" s="184">
        <f>IF(AZ10="","",IF(AZ10="TOTAL","",IF(AZ10&gt;=$BC$7,ROUND(BA10*$BA$7%,0),ROUND(BA10*$AW$7%,0))))</f>
        <v>8096</v>
      </c>
      <c r="BE10" s="184"/>
      <c r="BF10" s="184">
        <f>IFERROR(IF(AZ10="","",IF(AZ10="TOTAL","",IF($AU$16=$AU$17,$AU$10,IF($AU$20=$AU$26,BK10,BL10)))),"")</f>
        <v>95900</v>
      </c>
      <c r="BG10" s="184">
        <f t="shared" ref="BG10:BG73" si="24">IF(AZ10="","",IF(AZ10="TOTAL","",ROUND((BF10*20/100),0.01)))</f>
        <v>19180</v>
      </c>
      <c r="BH10" s="184">
        <f t="shared" ref="BH10:BH73" si="25">IF(AZ10="","",IF(BF10="","",IF($AU$16=$AU$17,0,ROUND((BF10+BG10)*AR10%,0))))</f>
        <v>13810</v>
      </c>
      <c r="BI10" s="184">
        <f>IF(AZ10="","",IF(AZ10="TOTAL","",IF(BF10="","",IF($AU$16=$AU$17,0,IF(AZ10&gt;=$BC$7,ROUND(BF10*$BA$7%,0),ROUND(BF10*$AW$7%,0))))))</f>
        <v>7672</v>
      </c>
      <c r="BJ10" s="184">
        <f t="shared" ref="BJ10:BJ41" si="26">IF(AZ10="","",IF(AZ10="TOTAL","",IF(BF10="","",IF($AU$16=$AU$17,0,IF(OR(C9=$AS$16,C9=$AS$17,C9=$AS$18,C9=$AS$19,C9=$AS$20,C9=$AS$21,C9=$AS$22,C9=$AS$23,C9=$AS$24),SUM(BM10+BN10),BN10)))))</f>
        <v>3675</v>
      </c>
      <c r="BK10" s="184">
        <f>IF(OR(AZ10=$BD$2,AZ10=$BD$3,AZ10=$BD$4,AZ10=$BD$5,AZ10=$BD$6),MROUND(AU27*1.03,100),AU27)</f>
        <v>0</v>
      </c>
      <c r="BL10" s="184">
        <f>IF(OR(AZ10=$BD$2,AZ10=$BD$3,AZ10=$BD$4,AZ10=$BD$5,AZ10=$BD$6),MROUND(AU14*1.03,100),AU14)</f>
        <v>95900</v>
      </c>
      <c r="BM10" s="184">
        <f t="shared" ref="BM10:BM73" si="27">IF(AZ10="","",IF(AZ10="TOTAL","",IF(BF10="","",SUM(R9)-SUM(($AU$22-$AU$21)+SUM(X9,AA9,AF9)))))</f>
        <v>7547</v>
      </c>
      <c r="BN10" s="184">
        <f t="shared" ref="BN10:BN41" si="28">IF(AZ9="","",IF(AZ9="TOTAL","",IF(AND($AU$20=$AU$36,C10=$AU$37),$AU$38,BN9)))</f>
        <v>3675</v>
      </c>
      <c r="BO10" s="184" t="str">
        <f t="shared" ref="BO10:BO73" si="29">IF(OR(AZ10=$AT$63,AZ10=$AT$64,AZ10=$AT$65),"YES","")</f>
        <v/>
      </c>
      <c r="BP10" s="184" t="str">
        <f t="shared" si="10"/>
        <v/>
      </c>
      <c r="BQ10" s="184">
        <f t="shared" si="11"/>
        <v>0</v>
      </c>
      <c r="BR10" s="184">
        <f t="shared" si="12"/>
        <v>0</v>
      </c>
      <c r="BS10" s="184"/>
      <c r="BT10" s="184"/>
      <c r="BU10" s="184"/>
      <c r="BV10" s="184"/>
      <c r="BW10" s="184" t="str">
        <f t="shared" ref="BW10:BW73" si="30">IF(AZ10="","",IF(AZ10="TOTAL","",IF(AND(AZ10&gt;$AR$1,$AI$3=$AR$2),$AY$1,"")))</f>
        <v/>
      </c>
      <c r="BX10" s="184"/>
      <c r="BY10" s="179" t="str">
        <f t="shared" ref="BY10:BY73" si="31">IF(AZ11="","",IF(AZ11="TOTAL","",IF($AU$16=$AU$17,0,IF(AND(AZ11=$BY$1),IF($AU$14&lt;18001,135,IF($AU$14&lt;33501,220,IF($AU$14&lt;54001,330,440))),IF(AND(AZ11&gt;$BY$1),IF($AU$14&lt;18001,265,IF($AU$14&lt;33501,440,IF($AU$14&lt;54001,658,875))),"")))))</f>
        <v/>
      </c>
      <c r="BZ10" s="179" t="str">
        <f>IF(AZ11="","",IF(AZ11="TOTAL","",IF($AU$16=$AU$17,0,IF(AND(AZ11&gt;$BY$1,$AI$3=$AR$2,'Master Sheet'!$D$27&gt;0),'Master Sheet'!$D$27,IF(AND(AZ11=$BY$1),IF($AU$9&lt;18001,135,IF($AU$9&lt;33501,220,IF($AU$9&lt;54001,330,440))),IF(AND(AZ11&gt;$BY$1),IF($AU$9&lt;18001,265,IF($AU$9&lt;33501,440,IF($AU$9&lt;54001,658,875))),""))))))</f>
        <v/>
      </c>
      <c r="CA10" s="184"/>
      <c r="CB10" s="184"/>
      <c r="CC10" s="184"/>
      <c r="CD10" s="184"/>
      <c r="CE10" s="184"/>
      <c r="CF10" s="186"/>
      <c r="CG10" s="147"/>
    </row>
    <row r="11" spans="1:85" s="28" customFormat="1" ht="21" customHeight="1">
      <c r="A11" s="110">
        <f t="shared" ref="A11:A75" si="32">IF(C11="TOTAL","",IF(B10="","",IF(LEN(C11)&gt;=2,B10+1,0)))</f>
        <v>4</v>
      </c>
      <c r="B11" s="60">
        <f t="shared" si="1"/>
        <v>4</v>
      </c>
      <c r="C11" s="61">
        <f t="shared" ref="C11:C65" si="33">IFERROR(IF(AZ12="","",AZ12),"")</f>
        <v>43647</v>
      </c>
      <c r="D11" s="62">
        <f>IFERROR(IF($C10="TOTAL","अक्षरें राशि :-",IF($C11="TOTAL",SUM($D$8:D10),IF(BA12="","",BA12))),"")</f>
        <v>104200</v>
      </c>
      <c r="E11" s="62">
        <f>IFERROR(IF($C11="TOTAL",SUM($E$8:E10),IF(BC12="","",BC12)),"")</f>
        <v>21257</v>
      </c>
      <c r="F11" s="62">
        <f>IFERROR(IF($C11="TOTAL",SUM($F$8:F10),IF(OR(C11=$AS$16,C11=$AS$17,C11=$AS$18,C11=$AS$19,C11=$AS$20,C11=$AS$21,C11=$AS$22,C11=$AS$23,C11=$AS$24),0,IF(BD12="","",BD12))),"")</f>
        <v>8336</v>
      </c>
      <c r="G11" s="62">
        <f>IFERROR(IF($C11="TOTAL",SUM($G$8:G10),IF(BB12="","",BB12)),"")</f>
        <v>20840</v>
      </c>
      <c r="H11" s="62">
        <f t="shared" si="3"/>
        <v>154633</v>
      </c>
      <c r="I11" s="62">
        <f>IFERROR(IF($C11="TOTAL",SUM($I$8:I10),IF(BF12="","",BF12)),"")</f>
        <v>98800</v>
      </c>
      <c r="J11" s="62">
        <f>IFERROR(IF($C11="TOTAL",SUM($J$8:J10),IF(BH12="","",BH12)),"")</f>
        <v>20155</v>
      </c>
      <c r="K11" s="62">
        <f>IFERROR(IF($C11="TOTAL",SUM($K$8:K10),IF(OR(C11=$AS$16,C11=$AS$17,C11=$AS$18,C11=$AS$19,C11=$AS$20,C11=$AS$21,C11=$AS$22,C11=$AS$23,C11=$AS$24),0,IF(BI12="","",BI12))),"")</f>
        <v>7904</v>
      </c>
      <c r="L11" s="62">
        <f>IFERROR(IF($C11="TOTAL",SUM($L$8:L10),IF(BG12="","",BG12)),"")</f>
        <v>19760</v>
      </c>
      <c r="M11" s="62">
        <f t="shared" si="4"/>
        <v>146619</v>
      </c>
      <c r="N11" s="62">
        <f>IFERROR(IF(C11="","",IF(D11="","",IF(I11="","",IF($C11="TOTAL",SUM($N$8:N10),SUM(D11-I11))))),"")</f>
        <v>5400</v>
      </c>
      <c r="O11" s="62">
        <f>IFERROR(IF(C11="","",IF(E11="","",IF(J11="","",IF($C11="TOTAL",SUM($O$8:O10),SUM(E11-J11))))),"")</f>
        <v>1102</v>
      </c>
      <c r="P11" s="62">
        <f>IFERROR(IF(C11="","",IF(F11="","",IF(K11="","",IF($C11="TOTAL",SUM($P$8:P10),SUM(F11-K11))))),"")</f>
        <v>432</v>
      </c>
      <c r="Q11" s="62">
        <f t="shared" si="5"/>
        <v>1080</v>
      </c>
      <c r="R11" s="62">
        <f t="shared" si="13"/>
        <v>8014</v>
      </c>
      <c r="S11" s="62">
        <f>IFERROR(IF(C11="","",IF($C11="TOTAL",SUM($S$8:S10),IF(AND(C11&gt;$AR$1,$AI$3=$AR$2),BW12,IF($AU$18=$AU$20,SUM(BJ12+BR12),ROUND((D11+E11)*10%,0))))),"")</f>
        <v>12546</v>
      </c>
      <c r="T11" s="62">
        <f>IFERROR(IF(C11="","",IF(I11="","",IF(J11="","",IF($C11="TOTAL",SUM($T$8:T10),IF(AND(C11&gt;$AR$1,$AI$3=$AR$2),BW12,IF($AU$18=$AU$20,$AU$21,ROUND((I11+J11)*10%,0))))))),"")</f>
        <v>11896</v>
      </c>
      <c r="U11" s="62">
        <f t="shared" si="14"/>
        <v>650</v>
      </c>
      <c r="V11" s="63">
        <f>IFERROR(IF(C11="","",IF($AU$16=$AU$17,0,IF($C11="TOTAL",SUM($V$8:V10),IF($AU$19=$AU$31,0,IF(AND($AU$32=$AU$20,C11=$AU$33),$AU$34,V10))))),"")</f>
        <v>2100</v>
      </c>
      <c r="W11" s="63">
        <f>IFERROR(IF(C11="","",IF($AU$16=$AU$17,0,IF($C11="TOTAL",SUM($W$8:W10),IF($AU$19=$AU$20,$AU$24,0)))),"")</f>
        <v>2100</v>
      </c>
      <c r="X11" s="62">
        <f t="shared" si="15"/>
        <v>0</v>
      </c>
      <c r="Y11" s="62" t="str">
        <f>IFERROR(IF(C11="","",IF($AU$16=$AU$17,0,IF($C11="TOTAL",SUM($Y$8:Y10),BZ11))),"")</f>
        <v/>
      </c>
      <c r="Z11" s="62" t="str">
        <f>IFERROR(IF(C11="","",IF($AU$16=$AU$17,0,IF($C11="TOTAL",SUM($Z$8:Z10),BY11))),"")</f>
        <v/>
      </c>
      <c r="AA11" s="62" t="str">
        <f t="shared" si="0"/>
        <v/>
      </c>
      <c r="AB11" s="62" t="str">
        <f>IFERROR(IF(C11="","",IF(D11="","",IF($C11="TOTAL",SUM($AB$8:AB10),IF(C11=$AU$1,ROUND(D11*5/31,0.01),"")))),"")</f>
        <v/>
      </c>
      <c r="AC11" s="62" t="str">
        <f>IFERROR(IF(C11="","",IF(I11="","",IF($C11="TOTAL",SUM($AC$8:AC10),IF(C11=$AU$1,ROUND(I11*5/31,0.01),"")))),"")</f>
        <v/>
      </c>
      <c r="AD11" s="62" t="str">
        <f t="shared" si="16"/>
        <v/>
      </c>
      <c r="AE11" s="62" t="str">
        <f>IFERROR(IF(C11="","",IF(AND(BP12="",BW12=""),"",IF($C11="TOTAL",SUM($AE$8:AE10),BP12))),"")</f>
        <v/>
      </c>
      <c r="AF11" s="62">
        <f>IFERROR(IF(C11="","",IF($C11="TOTAL",SUM($AF$8:AF10),ROUND(R11*$AU$7%,0))),"")</f>
        <v>0</v>
      </c>
      <c r="AG11" s="62">
        <f t="shared" si="8"/>
        <v>650</v>
      </c>
      <c r="AH11" s="64">
        <f>IFERROR(IF(C11="","",IF($C11="TOTAL",SUM($AH$8:AH10),SUM(R11-AG11))),"")</f>
        <v>7364</v>
      </c>
      <c r="AI11" s="65"/>
      <c r="AJ11" s="65"/>
      <c r="AL11" s="6"/>
      <c r="AM11" s="6"/>
      <c r="AN11" s="6"/>
      <c r="AO11" s="146"/>
      <c r="AP11" s="182"/>
      <c r="AQ11" s="183">
        <f t="shared" si="17"/>
        <v>12</v>
      </c>
      <c r="AR11" s="183">
        <f t="shared" si="18"/>
        <v>12</v>
      </c>
      <c r="AS11" s="184">
        <f>IF(BC9="","",ROUND((AU11+BC9)*10%,0))</f>
        <v>7718</v>
      </c>
      <c r="AT11" s="185">
        <v>42795</v>
      </c>
      <c r="AU11" s="184">
        <f>IFERROR(ROUND((AU9/BA3)*BA6,0),"")</f>
        <v>67467</v>
      </c>
      <c r="AV11" s="185">
        <f t="shared" si="19"/>
        <v>43617</v>
      </c>
      <c r="AW11" s="185">
        <f t="shared" ref="AW11:AW73" si="34">IF(AND(AV11=""),"",IF(AND(AV11=$AT$9),$AT$9,IF(AND(AV11=$AT$10),$AT$10,IF(AND(AV11=$AT$11),$AT$11,IF(AND(AV11=$AT$12),$AT$12,IF(AND(AV11=$AT$13),$AT$13,IF(AND(AV11=$AT$14),$AT$14,IF(AND(AV11=$AT$15),$AT$15,IF(AND(AV11=$AT$16),$AT$16,IF(AND(AV11=$AT$17),$AT$17,IF(AND(AV11=$AT$18),$AT$18,IF(AND(AV11=$AT$19),$AT$19,IF(AND(AV11=$AT$20),$AT$20,IF(AND(AV11=$AT$21),$AT$21,IF(AND(AV11=$AT$22),$AT$22,IF(AND(AV11=$AT$23),$AT$23,IF(AND(AV11=$AT$24),$AT$24,IF(AND(AV11=$AT$25),$AT$25,IF(AND(AV11=$AT$26),$AT$26,IF(AND(AV11=$AT$27),$AT$27,IF(AND(AV11=$AT$28),$AT$28,IF(AND(AV11=$AT$29),$AT$29,IF(AND(AV11=$AT$30),$AT$30,IF(AND(AV11=$AT$31),$AT$31,IF(AND(AV11=$AT$32),$AT$32,IF(AND(AV11=$AT$33),$AT$33,IF(AND(AV11=$AT$34),$AT$34,IF(AND(AV11=$AT$35),$AT$35,IF(AND(AV11=$AT$36),$AT$36,IF(AND(AV11=$AT$37),$AT$37,IF(AND(AV11=$AT$38),$AT$38,IF(AND(AV11=$AT$39),$AT$39,IF(AND(AV11=$AT$40),$AT$40,IF(AND(AV11=$AT$41),$AT$41,IF(AND(AV11=$AT$42),$AT$42,IF(AND(AV11=$AT$43),$AT$43,IF(AND(AV11=$AT$44),$AT$44,IF(AND(AV11=$AT$45),$AT$45,IF(AND(AV11=$AT$46),$AT$46,IF(AND(AV11=$AT$47),$AT$47,IF(AND(AV11=$AT$48),$AT$48,IF(AND(AV11=$AT$49),$AT$49,IF(AND(AV11=$AT$50),$AT$50,IF(AND(AV11=$AT$51),$AT$51,IF(AND(AV11=$AT$52),$AT$52,IF(AND(AV11=$AT$53),$AT$53,IF(AND(AV11=$AT$54),$AT$54,IF(AND(AV11=$AT$55),$AT$55,IF(AND(AV11=$AT$56),$AT$56,IF(AND(AV11=$AT$57),$AT$57,IF(AND(AV11=$AT$58),$AT$58,IF(AND(AV11=$AT$59),$AT$59,IF(AND(AV11=$AT$60),$AT$60,IF(AND(AV11=$AT$61),$AT$61,IF(AND(AV11=$AT$62),$AT$62,IF(AND(AV11=$AT$63),$AT$63,IF(AND(AV11=$AT$64),$AT$64,IF(AND(AV11=$AT$65),$AT$65,IF(AND(AV11=$AT$66),$AT$66,IF(AND(AV11=$AT$67),$AT$67,IF(AND(AV11=$AT$68),$AT$68,IF(AND(AV11=$AT$69),$AT$69,IF(AND(AV11=$AT$70),$AT$70,IF(AND(AV11=$AT$71),$AT$71,""))))))))))))))))))))))))))))))))))))))))))))))))))))))))))))))))</f>
        <v>43617</v>
      </c>
      <c r="AX11" s="185" t="str">
        <f t="shared" si="20"/>
        <v/>
      </c>
      <c r="AY11" s="185">
        <f>IFERROR(IF(AND(AW11="",AX11=""),"",IF(AW11="",AX11,AW11)),"")</f>
        <v>43617</v>
      </c>
      <c r="AZ11" s="185">
        <f>IFERROR(IF(AY11="","",IF(DATE(YEAR(AY11),MONTH(AY11),DAY(AY11))=DATE(YEAR($AV$6),MONTH($AV$6)+1,DAY($AV$6)),"TOTAL",IF(AY11&gt;$AV$6,"",AY11))),"")</f>
        <v>43617</v>
      </c>
      <c r="BA11" s="184">
        <f>IFERROR(IF(AZ11="","",IF(AND($AU$20=$AU$28,$AU$30=AZ11),$AU$29,IF(OR(AZ11=$BD$2,AZ11=$BD$3,AZ11=$BD$4,AZ11=$BD$5,AZ11=$BD$6,AZ11=$BD$7,AZ11=$BE$2),MROUND(BA10*1.03,100),BA10))),"")</f>
        <v>101200</v>
      </c>
      <c r="BB11" s="184">
        <f t="shared" si="22"/>
        <v>20240</v>
      </c>
      <c r="BC11" s="184">
        <f t="shared" si="23"/>
        <v>14573</v>
      </c>
      <c r="BD11" s="184">
        <f>IF(AZ11="","",IF(AZ11="TOTAL","",IF(AZ11&gt;=$BC$7,ROUND(BA11*$BA$7%,0),ROUND(BA11*$AW$7%,0))))</f>
        <v>8096</v>
      </c>
      <c r="BE11" s="184"/>
      <c r="BF11" s="184">
        <f>IFERROR(IF(AZ11="","",IF(AZ11="TOTAL","",IF($AU$16=$AU$17,$AU$10,IF(OR(AZ11=$BD$2,AZ11=$BD$3,AZ11=$BD$4,AZ11=$BD$5,AZ11=$BD$6,AZ11=$BD$7,AZ11=$BE$2),MROUND(BF10*1.03,100),BF10)))),"")</f>
        <v>95900</v>
      </c>
      <c r="BG11" s="184">
        <f t="shared" si="24"/>
        <v>19180</v>
      </c>
      <c r="BH11" s="184">
        <f t="shared" si="25"/>
        <v>13810</v>
      </c>
      <c r="BI11" s="184">
        <f>IF(AZ11="","",IF(AZ11="TOTAL","",IF(BF11="","",IF($AU$16=$AU$17,0,IF(AZ11&gt;=$BC$7,ROUND(BF11*$BA$7%,0),ROUND(BF11*$AW$7%,0))))))</f>
        <v>7672</v>
      </c>
      <c r="BJ11" s="184">
        <f t="shared" si="26"/>
        <v>3675</v>
      </c>
      <c r="BK11" s="184">
        <f>IF(OR(AZ11=$BD$2,AZ11=$BD$3,AZ11=$BD$4,AZ11=$BD$5,AZ11=$BD$6),MROUND(BK10*1.03,100),BK10)</f>
        <v>0</v>
      </c>
      <c r="BL11" s="184">
        <f>IF(OR(AZ11=$BD$2,AZ11=$BD$3,AZ11=$BD$4,AZ11=$BD$5,AZ11=$BD$6),MROUND(BL10*1.03,100),BL10)</f>
        <v>95900</v>
      </c>
      <c r="BM11" s="184">
        <f t="shared" si="27"/>
        <v>7547</v>
      </c>
      <c r="BN11" s="184">
        <f t="shared" si="28"/>
        <v>3675</v>
      </c>
      <c r="BO11" s="184" t="str">
        <f t="shared" si="29"/>
        <v/>
      </c>
      <c r="BP11" s="184" t="str">
        <f t="shared" si="10"/>
        <v/>
      </c>
      <c r="BQ11" s="184">
        <f t="shared" si="11"/>
        <v>0</v>
      </c>
      <c r="BR11" s="184">
        <f t="shared" si="12"/>
        <v>0</v>
      </c>
      <c r="BS11" s="184"/>
      <c r="BT11" s="184"/>
      <c r="BU11" s="184"/>
      <c r="BV11" s="184"/>
      <c r="BW11" s="184" t="str">
        <f t="shared" si="30"/>
        <v/>
      </c>
      <c r="BX11" s="184"/>
      <c r="BY11" s="179" t="str">
        <f t="shared" si="31"/>
        <v/>
      </c>
      <c r="BZ11" s="179" t="str">
        <f>IF(AZ12="","",IF(AZ12="TOTAL","",IF($AU$16=$AU$17,0,IF(AND(AZ12&gt;$BY$1,$AI$3=$AR$2,'Master Sheet'!$D$27&gt;0),'Master Sheet'!$D$27,IF(AND(AZ12=$BY$1),IF($AU$9&lt;18001,135,IF($AU$9&lt;33501,220,IF($AU$9&lt;54001,330,440))),IF(AND(AZ12&gt;$BY$1),IF($AU$9&lt;18001,265,IF($AU$9&lt;33501,440,IF($AU$9&lt;54001,658,875))),""))))))</f>
        <v/>
      </c>
      <c r="CA11" s="184"/>
      <c r="CB11" s="184"/>
      <c r="CC11" s="184"/>
      <c r="CD11" s="184"/>
      <c r="CE11" s="184"/>
      <c r="CF11" s="186"/>
      <c r="CG11" s="147"/>
    </row>
    <row r="12" spans="1:85" s="28" customFormat="1" ht="21" customHeight="1">
      <c r="A12" s="110">
        <f t="shared" si="32"/>
        <v>5</v>
      </c>
      <c r="B12" s="60">
        <f t="shared" si="1"/>
        <v>5</v>
      </c>
      <c r="C12" s="61">
        <f t="shared" si="33"/>
        <v>43678</v>
      </c>
      <c r="D12" s="62">
        <f>IFERROR(IF($C11="TOTAL","अक्षरें राशि :-",IF($C12="TOTAL",SUM($D$8:D11),IF(BA13="","",BA13))),"")</f>
        <v>104200</v>
      </c>
      <c r="E12" s="62">
        <f>IFERROR(IF($C12="TOTAL",SUM($E$8:E11),IF(BC13="","",BC13)),"")</f>
        <v>21257</v>
      </c>
      <c r="F12" s="62">
        <f>IFERROR(IF($C12="TOTAL",SUM($F$8:F11),IF(OR(C12=$AS$16,C12=$AS$17,C12=$AS$18,C12=$AS$19,C12=$AS$20,C12=$AS$21,C12=$AS$22,C12=$AS$23,C12=$AS$24),0,IF(BD13="","",BD13))),"")</f>
        <v>8336</v>
      </c>
      <c r="G12" s="62">
        <f>IFERROR(IF($C12="TOTAL",SUM($G$8:G11),IF(BB13="","",BB13)),"")</f>
        <v>20840</v>
      </c>
      <c r="H12" s="62">
        <f t="shared" si="3"/>
        <v>154633</v>
      </c>
      <c r="I12" s="62">
        <f>IFERROR(IF($C12="TOTAL",SUM($I$8:I11),IF(BF13="","",BF13)),"")</f>
        <v>98800</v>
      </c>
      <c r="J12" s="62">
        <f>IFERROR(IF($C12="TOTAL",SUM($J$8:J11),IF(BH13="","",BH13)),"")</f>
        <v>20155</v>
      </c>
      <c r="K12" s="62">
        <f>IFERROR(IF($C12="TOTAL",SUM($K$8:K11),IF(OR(C12=$AS$16,C12=$AS$17,C12=$AS$18,C12=$AS$19,C12=$AS$20,C12=$AS$21,C12=$AS$22,C12=$AS$23,C12=$AS$24),0,IF(BI13="","",BI13))),"")</f>
        <v>7904</v>
      </c>
      <c r="L12" s="62">
        <f>IFERROR(IF($C12="TOTAL",SUM($L$8:L11),IF(BG13="","",BG13)),"")</f>
        <v>19760</v>
      </c>
      <c r="M12" s="62">
        <f t="shared" si="4"/>
        <v>146619</v>
      </c>
      <c r="N12" s="62">
        <f>IFERROR(IF(C12="","",IF(D12="","",IF(I12="","",IF($C12="TOTAL",SUM($N$8:N11),SUM(D12-I12))))),"")</f>
        <v>5400</v>
      </c>
      <c r="O12" s="62">
        <f>IFERROR(IF(C12="","",IF(E12="","",IF(J12="","",IF($C12="TOTAL",SUM($O$8:O11),SUM(E12-J12))))),"")</f>
        <v>1102</v>
      </c>
      <c r="P12" s="62">
        <f>IFERROR(IF(C12="","",IF(F12="","",IF(K12="","",IF($C12="TOTAL",SUM($P$8:P11),SUM(F12-K12))))),"")</f>
        <v>432</v>
      </c>
      <c r="Q12" s="62">
        <f t="shared" si="5"/>
        <v>1080</v>
      </c>
      <c r="R12" s="62">
        <f t="shared" si="13"/>
        <v>8014</v>
      </c>
      <c r="S12" s="62">
        <f>IFERROR(IF(C12="","",IF($C12="TOTAL",SUM($S$8:S11),IF(AND(C12&gt;$AR$1,$AI$3=$AR$2),BW13,IF($AU$18=$AU$20,SUM(BJ13+BR13),ROUND((D12+E12)*10%,0))))),"")</f>
        <v>12546</v>
      </c>
      <c r="T12" s="62">
        <f>IFERROR(IF(C12="","",IF(I12="","",IF(J12="","",IF($C12="TOTAL",SUM($T$8:T11),IF(AND(C12&gt;$AR$1,$AI$3=$AR$2),BW13,IF($AU$18=$AU$20,$AU$21,ROUND((I12+J12)*10%,0))))))),"")</f>
        <v>11896</v>
      </c>
      <c r="U12" s="62">
        <f t="shared" si="14"/>
        <v>650</v>
      </c>
      <c r="V12" s="63">
        <f>IFERROR(IF(C12="","",IF($AU$16=$AU$17,0,IF($C12="TOTAL",SUM($V$8:V11),IF($AU$19=$AU$31,0,IF(AND($AU$32=$AU$20,C12=$AU$33),$AU$34,V11))))),"")</f>
        <v>2100</v>
      </c>
      <c r="W12" s="63">
        <f>IFERROR(IF(C12="","",IF($AU$16=$AU$17,0,IF($C12="TOTAL",SUM($W$8:W11),IF($AU$19=$AU$20,$AU$24,0)))),"")</f>
        <v>2100</v>
      </c>
      <c r="X12" s="62">
        <f t="shared" si="15"/>
        <v>0</v>
      </c>
      <c r="Y12" s="62" t="str">
        <f>IFERROR(IF(C12="","",IF($AU$16=$AU$17,0,IF($C12="TOTAL",SUM($Y$8:Y11),BZ12))),"")</f>
        <v/>
      </c>
      <c r="Z12" s="62" t="str">
        <f>IFERROR(IF(C12="","",IF($AU$16=$AU$17,0,IF($C12="TOTAL",SUM($Z$8:Z11),BY12))),"")</f>
        <v/>
      </c>
      <c r="AA12" s="62" t="str">
        <f t="shared" si="0"/>
        <v/>
      </c>
      <c r="AB12" s="62" t="str">
        <f>IFERROR(IF(C12="","",IF(D12="","",IF($C12="TOTAL",SUM($AB$8:AB11),IF(C12=$AU$1,ROUND(D12*5/31,0.01),"")))),"")</f>
        <v/>
      </c>
      <c r="AC12" s="62" t="str">
        <f>IFERROR(IF(C12="","",IF(I12="","",IF($C12="TOTAL",SUM($AC$8:AC11),IF(C12=$AU$1,ROUND(I12*5/31,0.01),"")))),"")</f>
        <v/>
      </c>
      <c r="AD12" s="62" t="str">
        <f t="shared" si="16"/>
        <v/>
      </c>
      <c r="AE12" s="62" t="str">
        <f>IFERROR(IF(C12="","",IF(AND(BP13="",BW13=""),"",IF($C12="TOTAL",SUM($AE$8:AE11),BP13))),"")</f>
        <v/>
      </c>
      <c r="AF12" s="62">
        <f>IFERROR(IF(C12="","",IF($C12="TOTAL",SUM($AF$8:AF11),ROUND(R12*$AU$7%,0))),"")</f>
        <v>0</v>
      </c>
      <c r="AG12" s="62">
        <f t="shared" si="8"/>
        <v>650</v>
      </c>
      <c r="AH12" s="64">
        <f>IFERROR(IF(C12="","",IF($C12="TOTAL",SUM($AH$8:AH11),SUM(R12-AG12))),"")</f>
        <v>7364</v>
      </c>
      <c r="AI12" s="65"/>
      <c r="AJ12" s="65"/>
      <c r="AL12" s="6"/>
      <c r="AM12" s="6"/>
      <c r="AN12" s="6"/>
      <c r="AO12" s="146"/>
      <c r="AP12" s="182"/>
      <c r="AQ12" s="183">
        <f t="shared" si="17"/>
        <v>17</v>
      </c>
      <c r="AR12" s="183">
        <f t="shared" si="18"/>
        <v>17</v>
      </c>
      <c r="AS12" s="184">
        <f>ROUND((AU12)*10%,0)</f>
        <v>3197</v>
      </c>
      <c r="AT12" s="185">
        <v>42826</v>
      </c>
      <c r="AU12" s="184">
        <f>IFERROR(IF($AU$13=$AU$15,ROUND((AU14/BA3)*AW6,0),ROUND((AU10/BA3)*AW6,0)),"")</f>
        <v>31967</v>
      </c>
      <c r="AV12" s="185">
        <f t="shared" si="19"/>
        <v>43647</v>
      </c>
      <c r="AW12" s="185">
        <f t="shared" si="34"/>
        <v>43647</v>
      </c>
      <c r="AX12" s="185" t="str">
        <f t="shared" si="20"/>
        <v/>
      </c>
      <c r="AY12" s="185">
        <f t="shared" si="21"/>
        <v>43647</v>
      </c>
      <c r="AZ12" s="185">
        <f t="shared" ref="AZ12:AZ72" si="35">IFERROR(IF(AY12="","",IF(DATE(YEAR(AY12),MONTH(AY12),DAY(AY12))=DATE(YEAR($AV$6),MONTH($AV$6)+1,DAY($AV$6)),"TOTAL",IF(AY12&gt;$AV$6,"",AY12))),"")</f>
        <v>43647</v>
      </c>
      <c r="BA12" s="184">
        <f t="shared" ref="BA12:BA75" si="36">IFERROR(IF(AZ12="","",IF(AND($AU$20=$AU$28,$AU$30=AZ12),$AU$29,IF(OR(AZ12=$BD$2,AZ12=$BD$3,AZ12=$BD$4,AZ12=$BD$5,AZ12=$BD$6,AZ12=$BD$7,AZ12=$BE$2),MROUND(BA11*1.03,100),BA11))),"")</f>
        <v>104200</v>
      </c>
      <c r="BB12" s="184">
        <f t="shared" si="22"/>
        <v>20840</v>
      </c>
      <c r="BC12" s="184">
        <f t="shared" si="23"/>
        <v>21257</v>
      </c>
      <c r="BD12" s="184">
        <f t="shared" ref="BD12:BD75" si="37">IF(AZ12="","",IF(AZ12="TOTAL","",IF(AZ12&gt;=$BC$7,ROUND(BA12*$BA$7%,0),ROUND(BA12*$AW$7%,0))))</f>
        <v>8336</v>
      </c>
      <c r="BE12" s="184"/>
      <c r="BF12" s="184">
        <f t="shared" ref="BF12:BF75" si="38">IFERROR(IF(AZ12="","",IF(AZ12="TOTAL","",IF($AU$16=$AU$17,$AU$10,IF(OR(AZ12=$BD$2,AZ12=$BD$3,AZ12=$BD$4,AZ12=$BD$5,AZ12=$BD$6,AZ12=$BD$7,AZ12=$BE$2),MROUND(BF11*1.03,100),BF11)))),"")</f>
        <v>98800</v>
      </c>
      <c r="BG12" s="184">
        <f t="shared" si="24"/>
        <v>19760</v>
      </c>
      <c r="BH12" s="184">
        <f t="shared" si="25"/>
        <v>20155</v>
      </c>
      <c r="BI12" s="184">
        <f t="shared" ref="BI12:BI75" si="39">IF(AZ12="","",IF(AZ12="TOTAL","",IF(BF12="","",IF($AU$16=$AU$17,0,IF(AZ12&gt;=$BC$7,ROUND(BF12*$BA$7%,0),ROUND(BF12*$AW$7%,0))))))</f>
        <v>7904</v>
      </c>
      <c r="BJ12" s="184">
        <f t="shared" si="26"/>
        <v>3675</v>
      </c>
      <c r="BK12" s="184"/>
      <c r="BL12" s="184"/>
      <c r="BM12" s="184">
        <f t="shared" si="27"/>
        <v>8014</v>
      </c>
      <c r="BN12" s="184">
        <f t="shared" si="28"/>
        <v>3675</v>
      </c>
      <c r="BO12" s="184" t="str">
        <f t="shared" si="29"/>
        <v/>
      </c>
      <c r="BP12" s="184" t="str">
        <f t="shared" si="10"/>
        <v/>
      </c>
      <c r="BQ12" s="184">
        <f t="shared" si="11"/>
        <v>0</v>
      </c>
      <c r="BR12" s="184">
        <f t="shared" si="12"/>
        <v>0</v>
      </c>
      <c r="BS12" s="184"/>
      <c r="BT12" s="184"/>
      <c r="BU12" s="184"/>
      <c r="BV12" s="184"/>
      <c r="BW12" s="184" t="str">
        <f t="shared" si="30"/>
        <v/>
      </c>
      <c r="BX12" s="184"/>
      <c r="BY12" s="179" t="str">
        <f t="shared" si="31"/>
        <v/>
      </c>
      <c r="BZ12" s="179" t="str">
        <f>IF(AZ13="","",IF(AZ13="TOTAL","",IF($AU$16=$AU$17,0,IF(AND(AZ13&gt;$BY$1,$AI$3=$AR$2,'Master Sheet'!$D$27&gt;0),'Master Sheet'!$D$27,IF(AND(AZ13=$BY$1),IF($AU$9&lt;18001,135,IF($AU$9&lt;33501,220,IF($AU$9&lt;54001,330,440))),IF(AND(AZ13&gt;$BY$1),IF($AU$9&lt;18001,265,IF($AU$9&lt;33501,440,IF($AU$9&lt;54001,658,875))),""))))))</f>
        <v/>
      </c>
      <c r="CA12" s="184"/>
      <c r="CB12" s="184"/>
      <c r="CC12" s="184"/>
      <c r="CD12" s="184"/>
      <c r="CE12" s="184"/>
      <c r="CF12" s="186"/>
      <c r="CG12" s="147"/>
    </row>
    <row r="13" spans="1:85" s="28" customFormat="1" ht="21" customHeight="1">
      <c r="A13" s="110">
        <f t="shared" si="32"/>
        <v>6</v>
      </c>
      <c r="B13" s="60">
        <f t="shared" si="1"/>
        <v>6</v>
      </c>
      <c r="C13" s="61">
        <f t="shared" si="33"/>
        <v>43709</v>
      </c>
      <c r="D13" s="62">
        <f>IFERROR(IF($C12="TOTAL","अक्षरें राशि :-",IF($C13="TOTAL",SUM($D$8:D12),IF(BA14="","",BA14))),"")</f>
        <v>104200</v>
      </c>
      <c r="E13" s="62">
        <f>IFERROR(IF($C13="TOTAL",SUM($E$8:E12),IF(BC14="","",BC14)),"")</f>
        <v>21257</v>
      </c>
      <c r="F13" s="62">
        <f>IFERROR(IF($C13="TOTAL",SUM($F$8:F12),IF(OR(C13=$AS$16,C13=$AS$17,C13=$AS$18,C13=$AS$19,C13=$AS$20,C13=$AS$21,C13=$AS$22,C13=$AS$23,C13=$AS$24),0,IF(BD14="","",BD14))),"")</f>
        <v>8336</v>
      </c>
      <c r="G13" s="62">
        <f>IFERROR(IF($C13="TOTAL",SUM($G$8:G12),IF(BB14="","",BB14)),"")</f>
        <v>20840</v>
      </c>
      <c r="H13" s="62">
        <f t="shared" si="3"/>
        <v>154633</v>
      </c>
      <c r="I13" s="62">
        <f>IFERROR(IF($C13="TOTAL",SUM($I$8:I12),IF(BF14="","",BF14)),"")</f>
        <v>98800</v>
      </c>
      <c r="J13" s="62">
        <f>IFERROR(IF($C13="TOTAL",SUM($J$8:J12),IF(BH14="","",BH14)),"")</f>
        <v>20155</v>
      </c>
      <c r="K13" s="62">
        <f>IFERROR(IF($C13="TOTAL",SUM($K$8:K12),IF(OR(C13=$AS$16,C13=$AS$17,C13=$AS$18,C13=$AS$19,C13=$AS$20,C13=$AS$21,C13=$AS$22,C13=$AS$23,C13=$AS$24),0,IF(BI14="","",BI14))),"")</f>
        <v>7904</v>
      </c>
      <c r="L13" s="62">
        <f>IFERROR(IF($C13="TOTAL",SUM($L$8:L12),IF(BG14="","",BG14)),"")</f>
        <v>19760</v>
      </c>
      <c r="M13" s="62">
        <f t="shared" si="4"/>
        <v>146619</v>
      </c>
      <c r="N13" s="62">
        <f>IFERROR(IF(C13="","",IF(D13="","",IF(I13="","",IF($C13="TOTAL",SUM($N$8:N12),SUM(D13-I13))))),"")</f>
        <v>5400</v>
      </c>
      <c r="O13" s="62">
        <f>IFERROR(IF(C13="","",IF(E13="","",IF(J13="","",IF($C13="TOTAL",SUM($O$8:O12),SUM(E13-J13))))),"")</f>
        <v>1102</v>
      </c>
      <c r="P13" s="62">
        <f>IFERROR(IF(C13="","",IF(F13="","",IF(K13="","",IF($C13="TOTAL",SUM($P$8:P12),SUM(F13-K13))))),"")</f>
        <v>432</v>
      </c>
      <c r="Q13" s="62">
        <f t="shared" si="5"/>
        <v>1080</v>
      </c>
      <c r="R13" s="62">
        <f t="shared" si="13"/>
        <v>8014</v>
      </c>
      <c r="S13" s="62">
        <f>IFERROR(IF(C13="","",IF($C13="TOTAL",SUM($S$8:S12),IF(AND(C13&gt;$AR$1,$AI$3=$AR$2),BW14,IF($AU$18=$AU$20,SUM(BJ14+BR14),ROUND((D13+E13)*10%,0))))),"")</f>
        <v>12546</v>
      </c>
      <c r="T13" s="62">
        <f>IFERROR(IF(C13="","",IF(I13="","",IF(J13="","",IF($C13="TOTAL",SUM($T$8:T12),IF(AND(C13&gt;$AR$1,$AI$3=$AR$2),BW14,IF($AU$18=$AU$20,$AU$21,ROUND((I13+J13)*10%,0))))))),"")</f>
        <v>11896</v>
      </c>
      <c r="U13" s="62">
        <f t="shared" si="14"/>
        <v>650</v>
      </c>
      <c r="V13" s="63">
        <f>IFERROR(IF(C13="","",IF($AU$16=$AU$17,0,IF($C13="TOTAL",SUM($V$8:V12),IF($AU$19=$AU$31,0,IF(AND($AU$32=$AU$20,C13=$AU$33),$AU$34,V12))))),"")</f>
        <v>2100</v>
      </c>
      <c r="W13" s="63">
        <f>IFERROR(IF(C13="","",IF($AU$16=$AU$17,0,IF($C13="TOTAL",SUM($W$8:W12),IF($AU$19=$AU$20,$AU$24,0)))),"")</f>
        <v>2100</v>
      </c>
      <c r="X13" s="62">
        <f t="shared" si="15"/>
        <v>0</v>
      </c>
      <c r="Y13" s="62" t="str">
        <f>IFERROR(IF(C13="","",IF($AU$16=$AU$17,0,IF($C13="TOTAL",SUM($Y$8:Y12),BZ13))),"")</f>
        <v/>
      </c>
      <c r="Z13" s="62" t="str">
        <f>IFERROR(IF(C13="","",IF($AU$16=$AU$17,0,IF($C13="TOTAL",SUM($Z$8:Z12),BY13))),"")</f>
        <v/>
      </c>
      <c r="AA13" s="62" t="str">
        <f t="shared" si="0"/>
        <v/>
      </c>
      <c r="AB13" s="62" t="str">
        <f>IFERROR(IF(C13="","",IF(D13="","",IF($C13="TOTAL",SUM($AB$8:AB12),IF(C13=$AU$1,ROUND(D13*5/31,0.01),"")))),"")</f>
        <v/>
      </c>
      <c r="AC13" s="62" t="str">
        <f>IFERROR(IF(C13="","",IF(I13="","",IF($C13="TOTAL",SUM($AC$8:AC12),IF(C13=$AU$1,ROUND(I13*5/31,0.01),"")))),"")</f>
        <v/>
      </c>
      <c r="AD13" s="62" t="str">
        <f t="shared" si="16"/>
        <v/>
      </c>
      <c r="AE13" s="62" t="str">
        <f>IFERROR(IF(C13="","",IF(AND(BP14="",BW14=""),"",IF($C13="TOTAL",SUM($AE$8:AE12),BP14))),"")</f>
        <v/>
      </c>
      <c r="AF13" s="62">
        <f>IFERROR(IF(C13="","",IF($C13="TOTAL",SUM($AF$8:AF12),ROUND(R13*$AU$7%,0))),"")</f>
        <v>0</v>
      </c>
      <c r="AG13" s="62">
        <f t="shared" si="8"/>
        <v>650</v>
      </c>
      <c r="AH13" s="64">
        <f>IFERROR(IF(C13="","",IF($C13="TOTAL",SUM($AH$8:AH12),SUM(R13-AG13))),"")</f>
        <v>7364</v>
      </c>
      <c r="AI13" s="65"/>
      <c r="AJ13" s="65"/>
      <c r="AL13" s="6"/>
      <c r="AM13" s="6"/>
      <c r="AN13" s="6"/>
      <c r="AO13" s="146"/>
      <c r="AP13" s="182"/>
      <c r="AQ13" s="183">
        <f t="shared" si="17"/>
        <v>17</v>
      </c>
      <c r="AR13" s="183">
        <f t="shared" si="18"/>
        <v>17</v>
      </c>
      <c r="AS13" s="184"/>
      <c r="AT13" s="185">
        <v>42856</v>
      </c>
      <c r="AU13" s="180" t="str">
        <f>'Master Sheet'!D11</f>
        <v>Regular Pay</v>
      </c>
      <c r="AV13" s="185">
        <f t="shared" si="19"/>
        <v>43678</v>
      </c>
      <c r="AW13" s="185">
        <f t="shared" si="34"/>
        <v>43678</v>
      </c>
      <c r="AX13" s="185" t="str">
        <f t="shared" si="20"/>
        <v/>
      </c>
      <c r="AY13" s="185">
        <f t="shared" si="21"/>
        <v>43678</v>
      </c>
      <c r="AZ13" s="185">
        <f t="shared" si="35"/>
        <v>43678</v>
      </c>
      <c r="BA13" s="184">
        <f t="shared" si="36"/>
        <v>104200</v>
      </c>
      <c r="BB13" s="184">
        <f t="shared" si="22"/>
        <v>20840</v>
      </c>
      <c r="BC13" s="184">
        <f t="shared" si="23"/>
        <v>21257</v>
      </c>
      <c r="BD13" s="184">
        <f t="shared" si="37"/>
        <v>8336</v>
      </c>
      <c r="BE13" s="184"/>
      <c r="BF13" s="184">
        <f t="shared" si="38"/>
        <v>98800</v>
      </c>
      <c r="BG13" s="184">
        <f t="shared" si="24"/>
        <v>19760</v>
      </c>
      <c r="BH13" s="184">
        <f t="shared" si="25"/>
        <v>20155</v>
      </c>
      <c r="BI13" s="184">
        <f t="shared" si="39"/>
        <v>7904</v>
      </c>
      <c r="BJ13" s="184">
        <f t="shared" si="26"/>
        <v>3675</v>
      </c>
      <c r="BK13" s="184"/>
      <c r="BL13" s="184"/>
      <c r="BM13" s="184">
        <f t="shared" si="27"/>
        <v>8014</v>
      </c>
      <c r="BN13" s="184">
        <f t="shared" si="28"/>
        <v>3675</v>
      </c>
      <c r="BO13" s="184" t="str">
        <f t="shared" si="29"/>
        <v/>
      </c>
      <c r="BP13" s="184" t="str">
        <f t="shared" si="10"/>
        <v/>
      </c>
      <c r="BQ13" s="184">
        <f t="shared" si="11"/>
        <v>0</v>
      </c>
      <c r="BR13" s="184">
        <f t="shared" si="12"/>
        <v>0</v>
      </c>
      <c r="BS13" s="184"/>
      <c r="BT13" s="184"/>
      <c r="BU13" s="184"/>
      <c r="BV13" s="184"/>
      <c r="BW13" s="184" t="str">
        <f t="shared" si="30"/>
        <v/>
      </c>
      <c r="BX13" s="184"/>
      <c r="BY13" s="179" t="str">
        <f t="shared" si="31"/>
        <v/>
      </c>
      <c r="BZ13" s="179" t="str">
        <f>IF(AZ14="","",IF(AZ14="TOTAL","",IF($AU$16=$AU$17,0,IF(AND(AZ14&gt;$BY$1,$AI$3=$AR$2,'Master Sheet'!$D$27&gt;0),'Master Sheet'!$D$27,IF(AND(AZ14=$BY$1),IF($AU$9&lt;18001,135,IF($AU$9&lt;33501,220,IF($AU$9&lt;54001,330,440))),IF(AND(AZ14&gt;$BY$1),IF($AU$9&lt;18001,265,IF($AU$9&lt;33501,440,IF($AU$9&lt;54001,658,875))),""))))))</f>
        <v/>
      </c>
      <c r="CA13" s="184"/>
      <c r="CB13" s="184"/>
      <c r="CC13" s="184"/>
      <c r="CD13" s="184"/>
      <c r="CE13" s="184"/>
      <c r="CF13" s="186"/>
      <c r="CG13" s="147"/>
    </row>
    <row r="14" spans="1:85" s="28" customFormat="1" ht="21" customHeight="1">
      <c r="A14" s="110">
        <f t="shared" si="32"/>
        <v>7</v>
      </c>
      <c r="B14" s="60">
        <f t="shared" si="1"/>
        <v>7</v>
      </c>
      <c r="C14" s="61">
        <f t="shared" si="33"/>
        <v>43739</v>
      </c>
      <c r="D14" s="62">
        <f>IFERROR(IF($C13="TOTAL","अक्षरें राशि :-",IF($C14="TOTAL",SUM($D$8:D13),IF(BA15="","",BA15))),"")</f>
        <v>104200</v>
      </c>
      <c r="E14" s="62">
        <f>IFERROR(IF($C14="TOTAL",SUM($E$8:E13),IF(BC15="","",BC15)),"")</f>
        <v>21257</v>
      </c>
      <c r="F14" s="62">
        <f>IFERROR(IF($C14="TOTAL",SUM($F$8:F13),IF(OR(C14=$AS$16,C14=$AS$17,C14=$AS$18,C14=$AS$19,C14=$AS$20,C14=$AS$21,C14=$AS$22,C14=$AS$23,C14=$AS$24),0,IF(BD15="","",BD15))),"")</f>
        <v>8336</v>
      </c>
      <c r="G14" s="62">
        <f>IFERROR(IF($C14="TOTAL",SUM($G$8:G13),IF(BB15="","",BB15)),"")</f>
        <v>20840</v>
      </c>
      <c r="H14" s="62">
        <f t="shared" si="3"/>
        <v>154633</v>
      </c>
      <c r="I14" s="62">
        <f>IFERROR(IF($C14="TOTAL",SUM($I$8:I13),IF(BF15="","",BF15)),"")</f>
        <v>98800</v>
      </c>
      <c r="J14" s="62">
        <f>IFERROR(IF($C14="TOTAL",SUM($J$8:J13),IF(BH15="","",BH15)),"")</f>
        <v>20155</v>
      </c>
      <c r="K14" s="62">
        <f>IFERROR(IF($C14="TOTAL",SUM($K$8:K13),IF(OR(C14=$AS$16,C14=$AS$17,C14=$AS$18,C14=$AS$19,C14=$AS$20,C14=$AS$21,C14=$AS$22,C14=$AS$23,C14=$AS$24),0,IF(BI15="","",BI15))),"")</f>
        <v>7904</v>
      </c>
      <c r="L14" s="62">
        <f>IFERROR(IF($C14="TOTAL",SUM($L$8:L13),IF(BG15="","",BG15)),"")</f>
        <v>19760</v>
      </c>
      <c r="M14" s="62">
        <f t="shared" si="4"/>
        <v>146619</v>
      </c>
      <c r="N14" s="62">
        <f>IFERROR(IF(C14="","",IF(D14="","",IF(I14="","",IF($C14="TOTAL",SUM($N$8:N13),SUM(D14-I14))))),"")</f>
        <v>5400</v>
      </c>
      <c r="O14" s="62">
        <f>IFERROR(IF(C14="","",IF(E14="","",IF(J14="","",IF($C14="TOTAL",SUM($O$8:O13),SUM(E14-J14))))),"")</f>
        <v>1102</v>
      </c>
      <c r="P14" s="62">
        <f>IFERROR(IF(C14="","",IF(F14="","",IF(K14="","",IF($C14="TOTAL",SUM($P$8:P13),SUM(F14-K14))))),"")</f>
        <v>432</v>
      </c>
      <c r="Q14" s="62">
        <f t="shared" si="5"/>
        <v>1080</v>
      </c>
      <c r="R14" s="62">
        <f t="shared" si="13"/>
        <v>8014</v>
      </c>
      <c r="S14" s="62">
        <f>IFERROR(IF(C14="","",IF($C14="TOTAL",SUM($S$8:S13),IF(AND(C14&gt;$AR$1,$AI$3=$AR$2),BW15,IF($AU$18=$AU$20,SUM(BJ15+BR15),ROUND((D14+E14)*10%,0))))),"")</f>
        <v>12546</v>
      </c>
      <c r="T14" s="62">
        <f>IFERROR(IF(C14="","",IF(I14="","",IF(J14="","",IF($C14="TOTAL",SUM($T$8:T13),IF(AND(C14&gt;$AR$1,$AI$3=$AR$2),BW15,IF($AU$18=$AU$20,$AU$21,ROUND((I14+J14)*10%,0))))))),"")</f>
        <v>11896</v>
      </c>
      <c r="U14" s="62">
        <f t="shared" si="14"/>
        <v>650</v>
      </c>
      <c r="V14" s="63">
        <f>IFERROR(IF(C14="","",IF($AU$16=$AU$17,0,IF($C14="TOTAL",SUM($V$8:V13),IF($AU$19=$AU$31,0,IF(AND($AU$32=$AU$20,C14=$AU$33),$AU$34,V13))))),"")</f>
        <v>2100</v>
      </c>
      <c r="W14" s="63">
        <f>IFERROR(IF(C14="","",IF($AU$16=$AU$17,0,IF($C14="TOTAL",SUM($W$8:W13),IF($AU$19=$AU$20,$AU$24,0)))),"")</f>
        <v>2100</v>
      </c>
      <c r="X14" s="62">
        <f t="shared" si="15"/>
        <v>0</v>
      </c>
      <c r="Y14" s="62" t="str">
        <f>IFERROR(IF(C14="","",IF($AU$16=$AU$17,0,IF($C14="TOTAL",SUM($Y$8:Y13),BZ14))),"")</f>
        <v/>
      </c>
      <c r="Z14" s="62" t="str">
        <f>IFERROR(IF(C14="","",IF($AU$16=$AU$17,0,IF($C14="TOTAL",SUM($Z$8:Z13),BY14))),"")</f>
        <v/>
      </c>
      <c r="AA14" s="62" t="str">
        <f t="shared" si="0"/>
        <v/>
      </c>
      <c r="AB14" s="62" t="str">
        <f>IFERROR(IF(C14="","",IF(D14="","",IF($C14="TOTAL",SUM($AB$8:AB13),IF(C14=$AU$1,ROUND(D14*5/31,0.01),"")))),"")</f>
        <v/>
      </c>
      <c r="AC14" s="62" t="str">
        <f>IFERROR(IF(C14="","",IF(I14="","",IF($C14="TOTAL",SUM($AC$8:AC13),IF(C14=$AU$1,ROUND(I14*5/31,0.01),"")))),"")</f>
        <v/>
      </c>
      <c r="AD14" s="62" t="str">
        <f t="shared" si="16"/>
        <v/>
      </c>
      <c r="AE14" s="62" t="str">
        <f>IFERROR(IF(C14="","",IF(AND(BP15="",BW15=""),"",IF($C14="TOTAL",SUM($AE$8:AE13),BP15))),"")</f>
        <v/>
      </c>
      <c r="AF14" s="62">
        <f>IFERROR(IF(C14="","",IF($C14="TOTAL",SUM($AF$8:AF13),ROUND(R14*$AU$7%,0))),"")</f>
        <v>0</v>
      </c>
      <c r="AG14" s="62">
        <f t="shared" si="8"/>
        <v>650</v>
      </c>
      <c r="AH14" s="64">
        <f>IFERROR(IF(C14="","",IF($C14="TOTAL",SUM($AH$8:AH13),SUM(R14-AG14))),"")</f>
        <v>7364</v>
      </c>
      <c r="AI14" s="65"/>
      <c r="AJ14" s="65"/>
      <c r="AL14" s="6"/>
      <c r="AM14" s="6"/>
      <c r="AN14" s="6"/>
      <c r="AO14" s="146"/>
      <c r="AP14" s="182"/>
      <c r="AQ14" s="183">
        <f t="shared" si="17"/>
        <v>17</v>
      </c>
      <c r="AR14" s="183">
        <f t="shared" si="18"/>
        <v>17</v>
      </c>
      <c r="AS14" s="184"/>
      <c r="AT14" s="185">
        <v>42887</v>
      </c>
      <c r="AU14" s="184">
        <f>'Master Sheet'!M11</f>
        <v>95900</v>
      </c>
      <c r="AV14" s="185">
        <f t="shared" si="19"/>
        <v>43709</v>
      </c>
      <c r="AW14" s="185">
        <f t="shared" si="34"/>
        <v>43709</v>
      </c>
      <c r="AX14" s="185" t="str">
        <f t="shared" si="20"/>
        <v/>
      </c>
      <c r="AY14" s="185">
        <f t="shared" si="21"/>
        <v>43709</v>
      </c>
      <c r="AZ14" s="185">
        <f t="shared" si="35"/>
        <v>43709</v>
      </c>
      <c r="BA14" s="184">
        <f t="shared" si="36"/>
        <v>104200</v>
      </c>
      <c r="BB14" s="184">
        <f t="shared" si="22"/>
        <v>20840</v>
      </c>
      <c r="BC14" s="184">
        <f t="shared" si="23"/>
        <v>21257</v>
      </c>
      <c r="BD14" s="184">
        <f t="shared" si="37"/>
        <v>8336</v>
      </c>
      <c r="BE14" s="184"/>
      <c r="BF14" s="184">
        <f t="shared" si="38"/>
        <v>98800</v>
      </c>
      <c r="BG14" s="184">
        <f t="shared" si="24"/>
        <v>19760</v>
      </c>
      <c r="BH14" s="184">
        <f t="shared" si="25"/>
        <v>20155</v>
      </c>
      <c r="BI14" s="184">
        <f t="shared" si="39"/>
        <v>7904</v>
      </c>
      <c r="BJ14" s="184">
        <f t="shared" si="26"/>
        <v>3675</v>
      </c>
      <c r="BK14" s="184"/>
      <c r="BL14" s="184"/>
      <c r="BM14" s="184">
        <f t="shared" si="27"/>
        <v>8014</v>
      </c>
      <c r="BN14" s="184">
        <f t="shared" si="28"/>
        <v>3675</v>
      </c>
      <c r="BO14" s="184" t="str">
        <f t="shared" si="29"/>
        <v/>
      </c>
      <c r="BP14" s="184" t="str">
        <f t="shared" si="10"/>
        <v/>
      </c>
      <c r="BQ14" s="184">
        <f t="shared" si="11"/>
        <v>0</v>
      </c>
      <c r="BR14" s="184">
        <f t="shared" si="12"/>
        <v>0</v>
      </c>
      <c r="BS14" s="184"/>
      <c r="BT14" s="184"/>
      <c r="BU14" s="184"/>
      <c r="BV14" s="184"/>
      <c r="BW14" s="184" t="str">
        <f t="shared" si="30"/>
        <v/>
      </c>
      <c r="BX14" s="184"/>
      <c r="BY14" s="179" t="str">
        <f t="shared" si="31"/>
        <v/>
      </c>
      <c r="BZ14" s="179" t="str">
        <f>IF(AZ15="","",IF(AZ15="TOTAL","",IF($AU$16=$AU$17,0,IF(AND(AZ15&gt;$BY$1,$AI$3=$AR$2,'Master Sheet'!$D$27&gt;0),'Master Sheet'!$D$27,IF(AND(AZ15=$BY$1),IF($AU$9&lt;18001,135,IF($AU$9&lt;33501,220,IF($AU$9&lt;54001,330,440))),IF(AND(AZ15&gt;$BY$1),IF($AU$9&lt;18001,265,IF($AU$9&lt;33501,440,IF($AU$9&lt;54001,658,875))),""))))))</f>
        <v/>
      </c>
      <c r="CA14" s="184"/>
      <c r="CB14" s="184"/>
      <c r="CC14" s="184"/>
      <c r="CD14" s="184"/>
      <c r="CE14" s="184"/>
      <c r="CF14" s="186"/>
      <c r="CG14" s="147"/>
    </row>
    <row r="15" spans="1:85" s="28" customFormat="1" ht="21" customHeight="1">
      <c r="A15" s="110">
        <f t="shared" si="32"/>
        <v>8</v>
      </c>
      <c r="B15" s="60">
        <f t="shared" si="1"/>
        <v>8</v>
      </c>
      <c r="C15" s="61">
        <f t="shared" si="33"/>
        <v>43770</v>
      </c>
      <c r="D15" s="62">
        <f>IFERROR(IF($C14="TOTAL","अक्षरें राशि :-",IF($C15="TOTAL",SUM($D$8:D14),IF(BA16="","",BA16))),"")</f>
        <v>104200</v>
      </c>
      <c r="E15" s="62">
        <f>IFERROR(IF($C15="TOTAL",SUM($E$8:E14),IF(BC16="","",BC16)),"")</f>
        <v>21257</v>
      </c>
      <c r="F15" s="62">
        <f>IFERROR(IF($C15="TOTAL",SUM($F$8:F14),IF(OR(C15=$AS$16,C15=$AS$17,C15=$AS$18,C15=$AS$19,C15=$AS$20,C15=$AS$21,C15=$AS$22,C15=$AS$23,C15=$AS$24),0,IF(BD16="","",BD16))),"")</f>
        <v>8336</v>
      </c>
      <c r="G15" s="62">
        <f>IFERROR(IF($C15="TOTAL",SUM($G$8:G14),IF(BB16="","",BB16)),"")</f>
        <v>20840</v>
      </c>
      <c r="H15" s="62">
        <f t="shared" si="3"/>
        <v>154633</v>
      </c>
      <c r="I15" s="62">
        <f>IFERROR(IF($C15="TOTAL",SUM($I$8:I14),IF(BF16="","",BF16)),"")</f>
        <v>98800</v>
      </c>
      <c r="J15" s="62">
        <f>IFERROR(IF($C15="TOTAL",SUM($J$8:J14),IF(BH16="","",BH16)),"")</f>
        <v>20155</v>
      </c>
      <c r="K15" s="62">
        <f>IFERROR(IF($C15="TOTAL",SUM($K$8:K14),IF(OR(C15=$AS$16,C15=$AS$17,C15=$AS$18,C15=$AS$19,C15=$AS$20,C15=$AS$21,C15=$AS$22,C15=$AS$23,C15=$AS$24),0,IF(BI16="","",BI16))),"")</f>
        <v>7904</v>
      </c>
      <c r="L15" s="62">
        <f>IFERROR(IF($C15="TOTAL",SUM($L$8:L14),IF(BG16="","",BG16)),"")</f>
        <v>19760</v>
      </c>
      <c r="M15" s="62">
        <f t="shared" si="4"/>
        <v>146619</v>
      </c>
      <c r="N15" s="62">
        <f>IFERROR(IF(C15="","",IF(D15="","",IF(I15="","",IF($C15="TOTAL",SUM($N$8:N14),SUM(D15-I15))))),"")</f>
        <v>5400</v>
      </c>
      <c r="O15" s="62">
        <f>IFERROR(IF(C15="","",IF(E15="","",IF(J15="","",IF($C15="TOTAL",SUM($O$8:O14),SUM(E15-J15))))),"")</f>
        <v>1102</v>
      </c>
      <c r="P15" s="62">
        <f>IFERROR(IF(C15="","",IF(F15="","",IF(K15="","",IF($C15="TOTAL",SUM($P$8:P14),SUM(F15-K15))))),"")</f>
        <v>432</v>
      </c>
      <c r="Q15" s="62">
        <f t="shared" si="5"/>
        <v>1080</v>
      </c>
      <c r="R15" s="62">
        <f t="shared" si="13"/>
        <v>8014</v>
      </c>
      <c r="S15" s="62">
        <f>IFERROR(IF(C15="","",IF($C15="TOTAL",SUM($S$8:S14),IF(AND(C15&gt;$AR$1,$AI$3=$AR$2),BW16,IF($AU$18=$AU$20,SUM(BJ16+BR16),ROUND((D15+E15)*10%,0))))),"")</f>
        <v>12546</v>
      </c>
      <c r="T15" s="62">
        <f>IFERROR(IF(C15="","",IF(I15="","",IF(J15="","",IF($C15="TOTAL",SUM($T$8:T14),IF(AND(C15&gt;$AR$1,$AI$3=$AR$2),BW16,IF($AU$18=$AU$20,$AU$21,ROUND((I15+J15)*10%,0))))))),"")</f>
        <v>11896</v>
      </c>
      <c r="U15" s="62">
        <f t="shared" si="14"/>
        <v>650</v>
      </c>
      <c r="V15" s="63">
        <f>IFERROR(IF(C15="","",IF($AU$16=$AU$17,0,IF($C15="TOTAL",SUM($V$8:V14),IF($AU$19=$AU$31,0,IF(AND($AU$32=$AU$20,C15=$AU$33),$AU$34,V14))))),"")</f>
        <v>2100</v>
      </c>
      <c r="W15" s="63">
        <f>IFERROR(IF(C15="","",IF($AU$16=$AU$17,0,IF($C15="TOTAL",SUM($W$8:W14),IF($AU$19=$AU$20,$AU$24,0)))),"")</f>
        <v>2100</v>
      </c>
      <c r="X15" s="62">
        <f t="shared" si="15"/>
        <v>0</v>
      </c>
      <c r="Y15" s="62" t="str">
        <f>IFERROR(IF(C15="","",IF($AU$16=$AU$17,0,IF($C15="TOTAL",SUM($Y$8:Y14),BZ15))),"")</f>
        <v/>
      </c>
      <c r="Z15" s="62" t="str">
        <f>IFERROR(IF(C15="","",IF($AU$16=$AU$17,0,IF($C15="TOTAL",SUM($Z$8:Z14),BY15))),"")</f>
        <v/>
      </c>
      <c r="AA15" s="62" t="str">
        <f t="shared" si="0"/>
        <v/>
      </c>
      <c r="AB15" s="62" t="str">
        <f>IFERROR(IF(C15="","",IF(D15="","",IF($C15="TOTAL",SUM($AB$8:AB14),IF(C15=$AU$1,ROUND(D15*5/31,0.01),"")))),"")</f>
        <v/>
      </c>
      <c r="AC15" s="62" t="str">
        <f>IFERROR(IF(C15="","",IF(I15="","",IF($C15="TOTAL",SUM($AC$8:AC14),IF(C15=$AU$1,ROUND(I15*5/31,0.01),"")))),"")</f>
        <v/>
      </c>
      <c r="AD15" s="62" t="str">
        <f t="shared" si="16"/>
        <v/>
      </c>
      <c r="AE15" s="62" t="str">
        <f>IFERROR(IF(C15="","",IF(AND(BP16="",BW16=""),"",IF($C15="TOTAL",SUM($AE$8:AE14),BP16))),"")</f>
        <v/>
      </c>
      <c r="AF15" s="62">
        <f>IFERROR(IF(C15="","",IF($C15="TOTAL",SUM($AF$8:AF14),ROUND(R15*$AU$7%,0))),"")</f>
        <v>0</v>
      </c>
      <c r="AG15" s="62">
        <f t="shared" si="8"/>
        <v>650</v>
      </c>
      <c r="AH15" s="64">
        <f>IFERROR(IF(C15="","",IF($C15="TOTAL",SUM($AH$8:AH14),SUM(R15-AG15))),"")</f>
        <v>7364</v>
      </c>
      <c r="AI15" s="65"/>
      <c r="AJ15" s="65"/>
      <c r="AL15" s="6"/>
      <c r="AM15" s="6"/>
      <c r="AN15" s="6"/>
      <c r="AO15" s="146"/>
      <c r="AP15" s="182"/>
      <c r="AQ15" s="183">
        <f t="shared" si="17"/>
        <v>17</v>
      </c>
      <c r="AR15" s="183">
        <f t="shared" si="18"/>
        <v>17</v>
      </c>
      <c r="AS15" s="184"/>
      <c r="AT15" s="185">
        <v>42917</v>
      </c>
      <c r="AU15" s="180" t="s">
        <v>50</v>
      </c>
      <c r="AV15" s="185">
        <f t="shared" si="19"/>
        <v>43739</v>
      </c>
      <c r="AW15" s="185">
        <f t="shared" si="34"/>
        <v>43739</v>
      </c>
      <c r="AX15" s="185" t="str">
        <f t="shared" si="20"/>
        <v/>
      </c>
      <c r="AY15" s="185">
        <f t="shared" si="21"/>
        <v>43739</v>
      </c>
      <c r="AZ15" s="185">
        <f t="shared" si="35"/>
        <v>43739</v>
      </c>
      <c r="BA15" s="184">
        <f t="shared" si="36"/>
        <v>104200</v>
      </c>
      <c r="BB15" s="184">
        <f t="shared" si="22"/>
        <v>20840</v>
      </c>
      <c r="BC15" s="184">
        <f t="shared" si="23"/>
        <v>21257</v>
      </c>
      <c r="BD15" s="184">
        <f t="shared" si="37"/>
        <v>8336</v>
      </c>
      <c r="BE15" s="184"/>
      <c r="BF15" s="184">
        <f t="shared" si="38"/>
        <v>98800</v>
      </c>
      <c r="BG15" s="184">
        <f t="shared" si="24"/>
        <v>19760</v>
      </c>
      <c r="BH15" s="184">
        <f t="shared" si="25"/>
        <v>20155</v>
      </c>
      <c r="BI15" s="184">
        <f t="shared" si="39"/>
        <v>7904</v>
      </c>
      <c r="BJ15" s="184">
        <f t="shared" si="26"/>
        <v>3675</v>
      </c>
      <c r="BK15" s="184"/>
      <c r="BL15" s="184"/>
      <c r="BM15" s="184">
        <f t="shared" si="27"/>
        <v>8014</v>
      </c>
      <c r="BN15" s="184">
        <f t="shared" si="28"/>
        <v>3675</v>
      </c>
      <c r="BO15" s="184" t="str">
        <f t="shared" si="29"/>
        <v/>
      </c>
      <c r="BP15" s="184" t="str">
        <f t="shared" si="10"/>
        <v/>
      </c>
      <c r="BQ15" s="184">
        <f t="shared" si="11"/>
        <v>0</v>
      </c>
      <c r="BR15" s="184">
        <f t="shared" si="12"/>
        <v>0</v>
      </c>
      <c r="BS15" s="184"/>
      <c r="BT15" s="184"/>
      <c r="BU15" s="184"/>
      <c r="BV15" s="184"/>
      <c r="BW15" s="184" t="str">
        <f t="shared" si="30"/>
        <v/>
      </c>
      <c r="BX15" s="184"/>
      <c r="BY15" s="179" t="str">
        <f t="shared" si="31"/>
        <v/>
      </c>
      <c r="BZ15" s="179" t="str">
        <f>IF(AZ16="","",IF(AZ16="TOTAL","",IF($AU$16=$AU$17,0,IF(AND(AZ16&gt;$BY$1,$AI$3=$AR$2,'Master Sheet'!$D$27&gt;0),'Master Sheet'!$D$27,IF(AND(AZ16=$BY$1),IF($AU$9&lt;18001,135,IF($AU$9&lt;33501,220,IF($AU$9&lt;54001,330,440))),IF(AND(AZ16&gt;$BY$1),IF($AU$9&lt;18001,265,IF($AU$9&lt;33501,440,IF($AU$9&lt;54001,658,875))),""))))))</f>
        <v/>
      </c>
      <c r="CA15" s="184"/>
      <c r="CB15" s="184"/>
      <c r="CC15" s="184"/>
      <c r="CD15" s="184"/>
      <c r="CE15" s="184"/>
      <c r="CF15" s="186"/>
      <c r="CG15" s="147"/>
    </row>
    <row r="16" spans="1:85" s="28" customFormat="1" ht="21" customHeight="1">
      <c r="A16" s="110">
        <f t="shared" si="32"/>
        <v>9</v>
      </c>
      <c r="B16" s="60">
        <f t="shared" si="1"/>
        <v>9</v>
      </c>
      <c r="C16" s="61">
        <f t="shared" si="33"/>
        <v>43800</v>
      </c>
      <c r="D16" s="62">
        <f>IFERROR(IF($C15="TOTAL","अक्षरें राशि :-",IF($C16="TOTAL",SUM($D$8:D15),IF(BA17="","",BA17))),"")</f>
        <v>104200</v>
      </c>
      <c r="E16" s="62">
        <f>IFERROR(IF($C16="TOTAL",SUM($E$8:E15),IF(BC17="","",BC17)),"")</f>
        <v>21257</v>
      </c>
      <c r="F16" s="62">
        <f>IFERROR(IF($C16="TOTAL",SUM($F$8:F15),IF(OR(C16=$AS$16,C16=$AS$17,C16=$AS$18,C16=$AS$19,C16=$AS$20,C16=$AS$21,C16=$AS$22,C16=$AS$23,C16=$AS$24),0,IF(BD17="","",BD17))),"")</f>
        <v>8336</v>
      </c>
      <c r="G16" s="62">
        <f>IFERROR(IF($C16="TOTAL",SUM($G$8:G15),IF(BB17="","",BB17)),"")</f>
        <v>20840</v>
      </c>
      <c r="H16" s="62">
        <f t="shared" si="3"/>
        <v>154633</v>
      </c>
      <c r="I16" s="62">
        <f>IFERROR(IF($C16="TOTAL",SUM($I$8:I15),IF(BF17="","",BF17)),"")</f>
        <v>98800</v>
      </c>
      <c r="J16" s="62">
        <f>IFERROR(IF($C16="TOTAL",SUM($J$8:J15),IF(BH17="","",BH17)),"")</f>
        <v>20155</v>
      </c>
      <c r="K16" s="62">
        <f>IFERROR(IF($C16="TOTAL",SUM($K$8:K15),IF(OR(C16=$AS$16,C16=$AS$17,C16=$AS$18,C16=$AS$19,C16=$AS$20,C16=$AS$21,C16=$AS$22,C16=$AS$23,C16=$AS$24),0,IF(BI17="","",BI17))),"")</f>
        <v>7904</v>
      </c>
      <c r="L16" s="62">
        <f>IFERROR(IF($C16="TOTAL",SUM($L$8:L15),IF(BG17="","",BG17)),"")</f>
        <v>19760</v>
      </c>
      <c r="M16" s="62">
        <f t="shared" si="4"/>
        <v>146619</v>
      </c>
      <c r="N16" s="62">
        <f>IFERROR(IF(C16="","",IF(D16="","",IF(I16="","",IF($C16="TOTAL",SUM($N$8:N15),SUM(D16-I16))))),"")</f>
        <v>5400</v>
      </c>
      <c r="O16" s="62">
        <f>IFERROR(IF(C16="","",IF(E16="","",IF(J16="","",IF($C16="TOTAL",SUM($O$8:O15),SUM(E16-J16))))),"")</f>
        <v>1102</v>
      </c>
      <c r="P16" s="62">
        <f>IFERROR(IF(C16="","",IF(F16="","",IF(K16="","",IF($C16="TOTAL",SUM($P$8:P15),SUM(F16-K16))))),"")</f>
        <v>432</v>
      </c>
      <c r="Q16" s="62">
        <f t="shared" si="5"/>
        <v>1080</v>
      </c>
      <c r="R16" s="62">
        <f t="shared" si="13"/>
        <v>8014</v>
      </c>
      <c r="S16" s="62">
        <f>IFERROR(IF(C16="","",IF($C16="TOTAL",SUM($S$8:S15),IF(AND(C16&gt;$AR$1,$AI$3=$AR$2),BW17,IF($AU$18=$AU$20,SUM(BJ17+BR17),ROUND((D16+E16)*10%,0))))),"")</f>
        <v>12546</v>
      </c>
      <c r="T16" s="62">
        <f>IFERROR(IF(C16="","",IF(I16="","",IF(J16="","",IF($C16="TOTAL",SUM($T$8:T15),IF(AND(C16&gt;$AR$1,$AI$3=$AR$2),BW17,IF($AU$18=$AU$20,$AU$21,ROUND((I16+J16)*10%,0))))))),"")</f>
        <v>11896</v>
      </c>
      <c r="U16" s="62">
        <f t="shared" si="14"/>
        <v>650</v>
      </c>
      <c r="V16" s="63">
        <f>IFERROR(IF(C16="","",IF($AU$16=$AU$17,0,IF($C16="TOTAL",SUM($V$8:V15),IF($AU$19=$AU$31,0,IF(AND($AU$32=$AU$20,C16=$AU$33),$AU$34,V15))))),"")</f>
        <v>2100</v>
      </c>
      <c r="W16" s="63">
        <f>IFERROR(IF(C16="","",IF($AU$16=$AU$17,0,IF($C16="TOTAL",SUM($W$8:W15),IF($AU$19=$AU$20,$AU$24,0)))),"")</f>
        <v>2100</v>
      </c>
      <c r="X16" s="62">
        <f t="shared" si="15"/>
        <v>0</v>
      </c>
      <c r="Y16" s="62" t="str">
        <f>IFERROR(IF(C16="","",IF($AU$16=$AU$17,0,IF($C16="TOTAL",SUM($Y$8:Y15),BZ16))),"")</f>
        <v/>
      </c>
      <c r="Z16" s="62" t="str">
        <f>IFERROR(IF(C16="","",IF($AU$16=$AU$17,0,IF($C16="TOTAL",SUM($Z$8:Z15),BY16))),"")</f>
        <v/>
      </c>
      <c r="AA16" s="62" t="str">
        <f t="shared" si="0"/>
        <v/>
      </c>
      <c r="AB16" s="62" t="str">
        <f>IFERROR(IF(C16="","",IF(D16="","",IF($C16="TOTAL",SUM($AB$8:AB15),IF(C16=$AU$1,ROUND(D16*5/31,0.01),"")))),"")</f>
        <v/>
      </c>
      <c r="AC16" s="62" t="str">
        <f>IFERROR(IF(C16="","",IF(I16="","",IF($C16="TOTAL",SUM($AC$8:AC15),IF(C16=$AU$1,ROUND(I16*5/31,0.01),"")))),"")</f>
        <v/>
      </c>
      <c r="AD16" s="62" t="str">
        <f t="shared" si="16"/>
        <v/>
      </c>
      <c r="AE16" s="62" t="str">
        <f>IFERROR(IF(C16="","",IF(AND(BP17="",BW17=""),"",IF($C16="TOTAL",SUM($AE$8:AE15),BP17))),"")</f>
        <v/>
      </c>
      <c r="AF16" s="62">
        <f>IFERROR(IF(C16="","",IF($C16="TOTAL",SUM($AF$8:AF15),ROUND(R16*$AU$7%,0))),"")</f>
        <v>0</v>
      </c>
      <c r="AG16" s="62">
        <f t="shared" si="8"/>
        <v>650</v>
      </c>
      <c r="AH16" s="64">
        <f>IFERROR(IF(C16="","",IF($C16="TOTAL",SUM($AH$8:AH15),SUM(R16-AG16))),"")</f>
        <v>7364</v>
      </c>
      <c r="AI16" s="65"/>
      <c r="AJ16" s="65"/>
      <c r="AL16" s="6"/>
      <c r="AM16" s="6"/>
      <c r="AN16" s="6"/>
      <c r="AO16" s="146"/>
      <c r="AP16" s="182"/>
      <c r="AQ16" s="183">
        <f t="shared" si="17"/>
        <v>17</v>
      </c>
      <c r="AR16" s="183">
        <f t="shared" si="18"/>
        <v>17</v>
      </c>
      <c r="AS16" s="185">
        <v>42736</v>
      </c>
      <c r="AT16" s="185">
        <v>42948</v>
      </c>
      <c r="AU16" s="184" t="str">
        <f>'Master Sheet'!D11</f>
        <v>Regular Pay</v>
      </c>
      <c r="AV16" s="185">
        <f t="shared" si="19"/>
        <v>43770</v>
      </c>
      <c r="AW16" s="185">
        <f t="shared" si="34"/>
        <v>43770</v>
      </c>
      <c r="AX16" s="185" t="str">
        <f t="shared" si="20"/>
        <v/>
      </c>
      <c r="AY16" s="185">
        <f t="shared" si="21"/>
        <v>43770</v>
      </c>
      <c r="AZ16" s="185">
        <f t="shared" si="35"/>
        <v>43770</v>
      </c>
      <c r="BA16" s="184">
        <f t="shared" si="36"/>
        <v>104200</v>
      </c>
      <c r="BB16" s="184">
        <f t="shared" si="22"/>
        <v>20840</v>
      </c>
      <c r="BC16" s="184">
        <f t="shared" si="23"/>
        <v>21257</v>
      </c>
      <c r="BD16" s="184">
        <f t="shared" si="37"/>
        <v>8336</v>
      </c>
      <c r="BE16" s="184"/>
      <c r="BF16" s="184">
        <f t="shared" si="38"/>
        <v>98800</v>
      </c>
      <c r="BG16" s="184">
        <f t="shared" si="24"/>
        <v>19760</v>
      </c>
      <c r="BH16" s="184">
        <f t="shared" si="25"/>
        <v>20155</v>
      </c>
      <c r="BI16" s="184">
        <f t="shared" si="39"/>
        <v>7904</v>
      </c>
      <c r="BJ16" s="184">
        <f t="shared" si="26"/>
        <v>3675</v>
      </c>
      <c r="BK16" s="184"/>
      <c r="BL16" s="184"/>
      <c r="BM16" s="184">
        <f t="shared" si="27"/>
        <v>8014</v>
      </c>
      <c r="BN16" s="184">
        <f t="shared" si="28"/>
        <v>3675</v>
      </c>
      <c r="BO16" s="184" t="str">
        <f t="shared" si="29"/>
        <v/>
      </c>
      <c r="BP16" s="184" t="str">
        <f t="shared" si="10"/>
        <v/>
      </c>
      <c r="BQ16" s="184">
        <f t="shared" si="11"/>
        <v>0</v>
      </c>
      <c r="BR16" s="184">
        <f t="shared" si="12"/>
        <v>0</v>
      </c>
      <c r="BS16" s="184"/>
      <c r="BT16" s="184"/>
      <c r="BU16" s="184"/>
      <c r="BV16" s="184"/>
      <c r="BW16" s="184" t="str">
        <f t="shared" si="30"/>
        <v/>
      </c>
      <c r="BX16" s="184"/>
      <c r="BY16" s="179" t="str">
        <f t="shared" si="31"/>
        <v/>
      </c>
      <c r="BZ16" s="179" t="str">
        <f>IF(AZ17="","",IF(AZ17="TOTAL","",IF($AU$16=$AU$17,0,IF(AND(AZ17&gt;$BY$1,$AI$3=$AR$2,'Master Sheet'!$D$27&gt;0),'Master Sheet'!$D$27,IF(AND(AZ17=$BY$1),IF($AU$9&lt;18001,135,IF($AU$9&lt;33501,220,IF($AU$9&lt;54001,330,440))),IF(AND(AZ17&gt;$BY$1),IF($AU$9&lt;18001,265,IF($AU$9&lt;33501,440,IF($AU$9&lt;54001,658,875))),""))))))</f>
        <v/>
      </c>
      <c r="CA16" s="184"/>
      <c r="CB16" s="184"/>
      <c r="CC16" s="184"/>
      <c r="CD16" s="184"/>
      <c r="CE16" s="184"/>
      <c r="CF16" s="186"/>
      <c r="CG16" s="147"/>
    </row>
    <row r="17" spans="1:85" s="28" customFormat="1" ht="21" customHeight="1">
      <c r="A17" s="110">
        <f t="shared" si="32"/>
        <v>10</v>
      </c>
      <c r="B17" s="60">
        <f t="shared" si="1"/>
        <v>10</v>
      </c>
      <c r="C17" s="61">
        <f t="shared" si="33"/>
        <v>43831</v>
      </c>
      <c r="D17" s="62">
        <f>IFERROR(IF($C16="TOTAL","अक्षरें राशि :-",IF($C17="TOTAL",SUM($D$8:D16),IF(BA18="","",BA18))),"")</f>
        <v>104200</v>
      </c>
      <c r="E17" s="62">
        <f>IFERROR(IF($C17="TOTAL",SUM($E$8:E16),IF(BC18="","",BC18)),"")</f>
        <v>21257</v>
      </c>
      <c r="F17" s="62">
        <f>IFERROR(IF($C17="TOTAL",SUM($F$8:F16),IF(OR(C17=$AS$16,C17=$AS$17,C17=$AS$18,C17=$AS$19,C17=$AS$20,C17=$AS$21,C17=$AS$22,C17=$AS$23,C17=$AS$24),0,IF(BD18="","",BD18))),"")</f>
        <v>8336</v>
      </c>
      <c r="G17" s="62">
        <f>IFERROR(IF($C17="TOTAL",SUM($G$8:G16),IF(BB18="","",BB18)),"")</f>
        <v>20840</v>
      </c>
      <c r="H17" s="62">
        <f t="shared" si="3"/>
        <v>154633</v>
      </c>
      <c r="I17" s="62">
        <f>IFERROR(IF($C17="TOTAL",SUM($I$8:I16),IF(BF18="","",BF18)),"")</f>
        <v>98800</v>
      </c>
      <c r="J17" s="62">
        <f>IFERROR(IF($C17="TOTAL",SUM($J$8:J16),IF(BH18="","",BH18)),"")</f>
        <v>20155</v>
      </c>
      <c r="K17" s="62">
        <f>IFERROR(IF($C17="TOTAL",SUM($K$8:K16),IF(OR(C17=$AS$16,C17=$AS$17,C17=$AS$18,C17=$AS$19,C17=$AS$20,C17=$AS$21,C17=$AS$22,C17=$AS$23,C17=$AS$24),0,IF(BI18="","",BI18))),"")</f>
        <v>7904</v>
      </c>
      <c r="L17" s="62">
        <f>IFERROR(IF($C17="TOTAL",SUM($L$8:L16),IF(BG18="","",BG18)),"")</f>
        <v>19760</v>
      </c>
      <c r="M17" s="62">
        <f t="shared" si="4"/>
        <v>146619</v>
      </c>
      <c r="N17" s="62">
        <f>IFERROR(IF(C17="","",IF(D17="","",IF(I17="","",IF($C17="TOTAL",SUM($N$8:N16),SUM(D17-I17))))),"")</f>
        <v>5400</v>
      </c>
      <c r="O17" s="62">
        <f>IFERROR(IF(C17="","",IF(E17="","",IF(J17="","",IF($C17="TOTAL",SUM($O$8:O16),SUM(E17-J17))))),"")</f>
        <v>1102</v>
      </c>
      <c r="P17" s="62">
        <f>IFERROR(IF(C17="","",IF(F17="","",IF(K17="","",IF($C17="TOTAL",SUM($P$8:P16),SUM(F17-K17))))),"")</f>
        <v>432</v>
      </c>
      <c r="Q17" s="62">
        <f t="shared" si="5"/>
        <v>1080</v>
      </c>
      <c r="R17" s="62">
        <f t="shared" si="13"/>
        <v>8014</v>
      </c>
      <c r="S17" s="62">
        <f>IFERROR(IF(C17="","",IF($C17="TOTAL",SUM($S$8:S16),IF(AND(C17&gt;$AR$1,$AI$3=$AR$2),BW18,IF($AU$18=$AU$20,SUM(BJ18+BR18),ROUND((D17+E17)*10%,0))))),"")</f>
        <v>12546</v>
      </c>
      <c r="T17" s="62">
        <f>IFERROR(IF(C17="","",IF(I17="","",IF(J17="","",IF($C17="TOTAL",SUM($T$8:T16),IF(AND(C17&gt;$AR$1,$AI$3=$AR$2),BW18,IF($AU$18=$AU$20,$AU$21,ROUND((I17+J17)*10%,0))))))),"")</f>
        <v>11896</v>
      </c>
      <c r="U17" s="62">
        <f t="shared" si="14"/>
        <v>650</v>
      </c>
      <c r="V17" s="63">
        <f>IFERROR(IF(C17="","",IF($AU$16=$AU$17,0,IF($C17="TOTAL",SUM($V$8:V16),IF($AU$19=$AU$31,0,IF(AND($AU$32=$AU$20,C17=$AU$33),$AU$34,V16))))),"")</f>
        <v>2100</v>
      </c>
      <c r="W17" s="63">
        <f>IFERROR(IF(C17="","",IF($AU$16=$AU$17,0,IF($C17="TOTAL",SUM($W$8:W16),IF($AU$19=$AU$20,$AU$24,0)))),"")</f>
        <v>2100</v>
      </c>
      <c r="X17" s="62">
        <f t="shared" si="15"/>
        <v>0</v>
      </c>
      <c r="Y17" s="62" t="str">
        <f>IFERROR(IF(C17="","",IF($AU$16=$AU$17,0,IF($C17="TOTAL",SUM($Y$8:Y16),BZ17))),"")</f>
        <v/>
      </c>
      <c r="Z17" s="62" t="str">
        <f>IFERROR(IF(C17="","",IF($AU$16=$AU$17,0,IF($C17="TOTAL",SUM($Z$8:Z16),BY17))),"")</f>
        <v/>
      </c>
      <c r="AA17" s="62" t="str">
        <f t="shared" si="0"/>
        <v/>
      </c>
      <c r="AB17" s="62" t="str">
        <f>IFERROR(IF(C17="","",IF(D17="","",IF($C17="TOTAL",SUM($AB$8:AB16),IF(C17=$AU$1,ROUND(D17*5/31,0.01),"")))),"")</f>
        <v/>
      </c>
      <c r="AC17" s="62" t="str">
        <f>IFERROR(IF(C17="","",IF(I17="","",IF($C17="TOTAL",SUM($AC$8:AC16),IF(C17=$AU$1,ROUND(I17*5/31,0.01),"")))),"")</f>
        <v/>
      </c>
      <c r="AD17" s="62" t="str">
        <f t="shared" si="16"/>
        <v/>
      </c>
      <c r="AE17" s="62" t="str">
        <f>IFERROR(IF(C17="","",IF(AND(BP18="",BW18=""),"",IF($C17="TOTAL",SUM($AE$8:AE16),BP18))),"")</f>
        <v/>
      </c>
      <c r="AF17" s="62">
        <f>IFERROR(IF(C17="","",IF($C17="TOTAL",SUM($AF$8:AF16),ROUND(R17*$AU$7%,0))),"")</f>
        <v>0</v>
      </c>
      <c r="AG17" s="62">
        <f t="shared" si="8"/>
        <v>650</v>
      </c>
      <c r="AH17" s="64">
        <f>IFERROR(IF(C17="","",IF($C17="TOTAL",SUM($AH$8:AH16),SUM(R17-AG17))),"")</f>
        <v>7364</v>
      </c>
      <c r="AI17" s="65"/>
      <c r="AJ17" s="65"/>
      <c r="AL17" s="6"/>
      <c r="AM17" s="6"/>
      <c r="AN17" s="6"/>
      <c r="AO17" s="146"/>
      <c r="AP17" s="182"/>
      <c r="AQ17" s="183">
        <f t="shared" si="17"/>
        <v>17</v>
      </c>
      <c r="AR17" s="183">
        <f t="shared" si="18"/>
        <v>17</v>
      </c>
      <c r="AS17" s="185">
        <v>42767</v>
      </c>
      <c r="AT17" s="185">
        <v>42979</v>
      </c>
      <c r="AU17" s="184" t="s">
        <v>53</v>
      </c>
      <c r="AV17" s="185">
        <f t="shared" si="19"/>
        <v>43800</v>
      </c>
      <c r="AW17" s="185">
        <f t="shared" si="34"/>
        <v>43800</v>
      </c>
      <c r="AX17" s="185" t="str">
        <f t="shared" si="20"/>
        <v/>
      </c>
      <c r="AY17" s="185">
        <f t="shared" si="21"/>
        <v>43800</v>
      </c>
      <c r="AZ17" s="185">
        <f t="shared" si="35"/>
        <v>43800</v>
      </c>
      <c r="BA17" s="184">
        <f t="shared" si="36"/>
        <v>104200</v>
      </c>
      <c r="BB17" s="184">
        <f t="shared" si="22"/>
        <v>20840</v>
      </c>
      <c r="BC17" s="184">
        <f t="shared" si="23"/>
        <v>21257</v>
      </c>
      <c r="BD17" s="184">
        <f t="shared" si="37"/>
        <v>8336</v>
      </c>
      <c r="BE17" s="184"/>
      <c r="BF17" s="184">
        <f t="shared" si="38"/>
        <v>98800</v>
      </c>
      <c r="BG17" s="184">
        <f t="shared" si="24"/>
        <v>19760</v>
      </c>
      <c r="BH17" s="184">
        <f t="shared" si="25"/>
        <v>20155</v>
      </c>
      <c r="BI17" s="184">
        <f t="shared" si="39"/>
        <v>7904</v>
      </c>
      <c r="BJ17" s="184">
        <f t="shared" si="26"/>
        <v>3675</v>
      </c>
      <c r="BK17" s="184"/>
      <c r="BL17" s="184"/>
      <c r="BM17" s="184">
        <f t="shared" si="27"/>
        <v>8014</v>
      </c>
      <c r="BN17" s="184">
        <f t="shared" si="28"/>
        <v>3675</v>
      </c>
      <c r="BO17" s="184" t="str">
        <f t="shared" si="29"/>
        <v/>
      </c>
      <c r="BP17" s="184" t="str">
        <f t="shared" si="10"/>
        <v/>
      </c>
      <c r="BQ17" s="184">
        <f t="shared" si="11"/>
        <v>0</v>
      </c>
      <c r="BR17" s="184">
        <f t="shared" si="12"/>
        <v>0</v>
      </c>
      <c r="BS17" s="184"/>
      <c r="BT17" s="184"/>
      <c r="BU17" s="184"/>
      <c r="BV17" s="184"/>
      <c r="BW17" s="184" t="str">
        <f t="shared" si="30"/>
        <v/>
      </c>
      <c r="BX17" s="184"/>
      <c r="BY17" s="179" t="str">
        <f t="shared" si="31"/>
        <v/>
      </c>
      <c r="BZ17" s="179" t="str">
        <f>IF(AZ18="","",IF(AZ18="TOTAL","",IF($AU$16=$AU$17,0,IF(AND(AZ18&gt;$BY$1,$AI$3=$AR$2,'Master Sheet'!$D$27&gt;0),'Master Sheet'!$D$27,IF(AND(AZ18=$BY$1),IF($AU$9&lt;18001,135,IF($AU$9&lt;33501,220,IF($AU$9&lt;54001,330,440))),IF(AND(AZ18&gt;$BY$1),IF($AU$9&lt;18001,265,IF($AU$9&lt;33501,440,IF($AU$9&lt;54001,658,875))),""))))))</f>
        <v/>
      </c>
      <c r="CA17" s="184"/>
      <c r="CB17" s="184"/>
      <c r="CC17" s="184"/>
      <c r="CD17" s="184"/>
      <c r="CE17" s="184"/>
      <c r="CF17" s="186"/>
      <c r="CG17" s="147"/>
    </row>
    <row r="18" spans="1:85" s="28" customFormat="1" ht="21" customHeight="1">
      <c r="A18" s="110">
        <f t="shared" si="32"/>
        <v>11</v>
      </c>
      <c r="B18" s="60">
        <f t="shared" si="1"/>
        <v>11</v>
      </c>
      <c r="C18" s="61">
        <f t="shared" si="33"/>
        <v>43862</v>
      </c>
      <c r="D18" s="62">
        <f>IFERROR(IF($C17="TOTAL","अक्षरें राशि :-",IF($C18="TOTAL",SUM($D$8:D17),IF(BA19="","",BA19))),"")</f>
        <v>104200</v>
      </c>
      <c r="E18" s="62">
        <f>IFERROR(IF($C18="TOTAL",SUM($E$8:E17),IF(BC19="","",BC19)),"")</f>
        <v>21257</v>
      </c>
      <c r="F18" s="62">
        <f>IFERROR(IF($C18="TOTAL",SUM($F$8:F17),IF(OR(C18=$AS$16,C18=$AS$17,C18=$AS$18,C18=$AS$19,C18=$AS$20,C18=$AS$21,C18=$AS$22,C18=$AS$23,C18=$AS$24),0,IF(BD19="","",BD19))),"")</f>
        <v>8336</v>
      </c>
      <c r="G18" s="62">
        <f>IFERROR(IF($C18="TOTAL",SUM($G$8:G17),IF(BB19="","",BB19)),"")</f>
        <v>20840</v>
      </c>
      <c r="H18" s="62">
        <f t="shared" si="3"/>
        <v>154633</v>
      </c>
      <c r="I18" s="62">
        <f>IFERROR(IF($C18="TOTAL",SUM($I$8:I17),IF(BF19="","",BF19)),"")</f>
        <v>98800</v>
      </c>
      <c r="J18" s="62">
        <f>IFERROR(IF($C18="TOTAL",SUM($J$8:J17),IF(BH19="","",BH19)),"")</f>
        <v>20155</v>
      </c>
      <c r="K18" s="62">
        <f>IFERROR(IF($C18="TOTAL",SUM($K$8:K17),IF(OR(C18=$AS$16,C18=$AS$17,C18=$AS$18,C18=$AS$19,C18=$AS$20,C18=$AS$21,C18=$AS$22,C18=$AS$23,C18=$AS$24),0,IF(BI19="","",BI19))),"")</f>
        <v>7904</v>
      </c>
      <c r="L18" s="62">
        <f>IFERROR(IF($C18="TOTAL",SUM($L$8:L17),IF(BG19="","",BG19)),"")</f>
        <v>19760</v>
      </c>
      <c r="M18" s="62">
        <f t="shared" si="4"/>
        <v>146619</v>
      </c>
      <c r="N18" s="62">
        <f>IFERROR(IF(C18="","",IF(D18="","",IF(I18="","",IF($C18="TOTAL",SUM($N$8:N17),SUM(D18-I18))))),"")</f>
        <v>5400</v>
      </c>
      <c r="O18" s="62">
        <f>IFERROR(IF(C18="","",IF(E18="","",IF(J18="","",IF($C18="TOTAL",SUM($O$8:O17),SUM(E18-J18))))),"")</f>
        <v>1102</v>
      </c>
      <c r="P18" s="62">
        <f>IFERROR(IF(C18="","",IF(F18="","",IF(K18="","",IF($C18="TOTAL",SUM($P$8:P17),SUM(F18-K18))))),"")</f>
        <v>432</v>
      </c>
      <c r="Q18" s="62">
        <f t="shared" si="5"/>
        <v>1080</v>
      </c>
      <c r="R18" s="62">
        <f t="shared" si="13"/>
        <v>8014</v>
      </c>
      <c r="S18" s="62">
        <f>IFERROR(IF(C18="","",IF($C18="TOTAL",SUM($S$8:S17),IF(AND(C18&gt;$AR$1,$AI$3=$AR$2),BW19,IF($AU$18=$AU$20,SUM(BJ19+BR19),ROUND((D18+E18)*10%,0))))),"")</f>
        <v>12546</v>
      </c>
      <c r="T18" s="62">
        <f>IFERROR(IF(C18="","",IF(I18="","",IF(J18="","",IF($C18="TOTAL",SUM($T$8:T17),IF(AND(C18&gt;$AR$1,$AI$3=$AR$2),BW19,IF($AU$18=$AU$20,$AU$21,ROUND((I18+J18)*10%,0))))))),"")</f>
        <v>11896</v>
      </c>
      <c r="U18" s="62">
        <f t="shared" si="14"/>
        <v>650</v>
      </c>
      <c r="V18" s="63">
        <f>IFERROR(IF(C18="","",IF($AU$16=$AU$17,0,IF($C18="TOTAL",SUM($V$8:V17),IF($AU$19=$AU$31,0,IF(AND($AU$32=$AU$20,C18=$AU$33),$AU$34,V17))))),"")</f>
        <v>2100</v>
      </c>
      <c r="W18" s="63">
        <f>IFERROR(IF(C18="","",IF($AU$16=$AU$17,0,IF($C18="TOTAL",SUM($W$8:W17),IF($AU$19=$AU$20,$AU$24,0)))),"")</f>
        <v>2100</v>
      </c>
      <c r="X18" s="62">
        <f t="shared" si="15"/>
        <v>0</v>
      </c>
      <c r="Y18" s="62" t="str">
        <f>IFERROR(IF(C18="","",IF($AU$16=$AU$17,0,IF($C18="TOTAL",SUM($Y$8:Y17),BZ18))),"")</f>
        <v/>
      </c>
      <c r="Z18" s="62" t="str">
        <f>IFERROR(IF(C18="","",IF($AU$16=$AU$17,0,IF($C18="TOTAL",SUM($Z$8:Z17),BY18))),"")</f>
        <v/>
      </c>
      <c r="AA18" s="62" t="str">
        <f t="shared" si="0"/>
        <v/>
      </c>
      <c r="AB18" s="62" t="str">
        <f>IFERROR(IF(C18="","",IF(D18="","",IF($C18="TOTAL",SUM($AB$8:AB17),IF(C18=$AU$1,ROUND(D18*5/31,0.01),"")))),"")</f>
        <v/>
      </c>
      <c r="AC18" s="62" t="str">
        <f>IFERROR(IF(C18="","",IF(I18="","",IF($C18="TOTAL",SUM($AC$8:AC17),IF(C18=$AU$1,ROUND(I18*5/31,0.01),"")))),"")</f>
        <v/>
      </c>
      <c r="AD18" s="62" t="str">
        <f t="shared" si="16"/>
        <v/>
      </c>
      <c r="AE18" s="62" t="str">
        <f>IFERROR(IF(C18="","",IF(AND(BP19="",BW19=""),"",IF($C18="TOTAL",SUM($AE$8:AE17),BP19))),"")</f>
        <v/>
      </c>
      <c r="AF18" s="62">
        <f>IFERROR(IF(C18="","",IF($C18="TOTAL",SUM($AF$8:AF17),ROUND(R18*$AU$7%,0))),"")</f>
        <v>0</v>
      </c>
      <c r="AG18" s="62">
        <f t="shared" si="8"/>
        <v>650</v>
      </c>
      <c r="AH18" s="64">
        <f>IFERROR(IF(C18="","",IF($C18="TOTAL",SUM($AH$8:AH17),SUM(R18-AG18))),"")</f>
        <v>7364</v>
      </c>
      <c r="AI18" s="32"/>
      <c r="AJ18" s="32"/>
      <c r="AL18" s="26"/>
      <c r="AM18" s="27"/>
      <c r="AN18" s="27"/>
      <c r="AO18" s="144"/>
      <c r="AP18" s="177"/>
      <c r="AQ18" s="183">
        <f t="shared" si="17"/>
        <v>17</v>
      </c>
      <c r="AR18" s="183">
        <f t="shared" si="18"/>
        <v>17</v>
      </c>
      <c r="AS18" s="185">
        <v>42795</v>
      </c>
      <c r="AT18" s="185">
        <v>43009</v>
      </c>
      <c r="AU18" s="184" t="str">
        <f>'Master Sheet'!D19</f>
        <v>NO</v>
      </c>
      <c r="AV18" s="185">
        <f t="shared" si="19"/>
        <v>43831</v>
      </c>
      <c r="AW18" s="185">
        <f t="shared" si="34"/>
        <v>43831</v>
      </c>
      <c r="AX18" s="185" t="str">
        <f t="shared" si="20"/>
        <v/>
      </c>
      <c r="AY18" s="185">
        <f t="shared" si="21"/>
        <v>43831</v>
      </c>
      <c r="AZ18" s="185">
        <f t="shared" si="35"/>
        <v>43831</v>
      </c>
      <c r="BA18" s="184">
        <f t="shared" si="36"/>
        <v>104200</v>
      </c>
      <c r="BB18" s="184">
        <f t="shared" si="22"/>
        <v>20840</v>
      </c>
      <c r="BC18" s="184">
        <f t="shared" si="23"/>
        <v>21257</v>
      </c>
      <c r="BD18" s="184">
        <f t="shared" si="37"/>
        <v>8336</v>
      </c>
      <c r="BE18" s="184"/>
      <c r="BF18" s="184">
        <f t="shared" si="38"/>
        <v>98800</v>
      </c>
      <c r="BG18" s="184">
        <f t="shared" si="24"/>
        <v>19760</v>
      </c>
      <c r="BH18" s="184">
        <f t="shared" si="25"/>
        <v>20155</v>
      </c>
      <c r="BI18" s="184">
        <f t="shared" si="39"/>
        <v>7904</v>
      </c>
      <c r="BJ18" s="184">
        <f t="shared" si="26"/>
        <v>3675</v>
      </c>
      <c r="BK18" s="184"/>
      <c r="BL18" s="184"/>
      <c r="BM18" s="184">
        <f t="shared" si="27"/>
        <v>8014</v>
      </c>
      <c r="BN18" s="184">
        <f t="shared" si="28"/>
        <v>3675</v>
      </c>
      <c r="BO18" s="184" t="str">
        <f t="shared" si="29"/>
        <v/>
      </c>
      <c r="BP18" s="184" t="str">
        <f t="shared" si="10"/>
        <v/>
      </c>
      <c r="BQ18" s="184">
        <f t="shared" si="11"/>
        <v>0</v>
      </c>
      <c r="BR18" s="184">
        <f t="shared" si="12"/>
        <v>0</v>
      </c>
      <c r="BS18" s="184"/>
      <c r="BT18" s="184"/>
      <c r="BU18" s="184"/>
      <c r="BV18" s="184"/>
      <c r="BW18" s="184" t="str">
        <f t="shared" si="30"/>
        <v/>
      </c>
      <c r="BX18" s="184"/>
      <c r="BY18" s="179" t="str">
        <f t="shared" si="31"/>
        <v/>
      </c>
      <c r="BZ18" s="179" t="str">
        <f>IF(AZ19="","",IF(AZ19="TOTAL","",IF($AU$16=$AU$17,0,IF(AND(AZ19&gt;$BY$1,$AI$3=$AR$2,'Master Sheet'!$D$27&gt;0),'Master Sheet'!$D$27,IF(AND(AZ19=$BY$1),IF($AU$9&lt;18001,135,IF($AU$9&lt;33501,220,IF($AU$9&lt;54001,330,440))),IF(AND(AZ19&gt;$BY$1),IF($AU$9&lt;18001,265,IF($AU$9&lt;33501,440,IF($AU$9&lt;54001,658,875))),""))))))</f>
        <v/>
      </c>
      <c r="CA18" s="184"/>
      <c r="CB18" s="184"/>
      <c r="CC18" s="184"/>
      <c r="CD18" s="184"/>
      <c r="CE18" s="184"/>
      <c r="CF18" s="186"/>
      <c r="CG18" s="147"/>
    </row>
    <row r="19" spans="1:85" s="28" customFormat="1" ht="21" customHeight="1">
      <c r="A19" s="110">
        <f t="shared" si="32"/>
        <v>12</v>
      </c>
      <c r="B19" s="60">
        <f t="shared" si="1"/>
        <v>12</v>
      </c>
      <c r="C19" s="61">
        <f t="shared" si="33"/>
        <v>43891</v>
      </c>
      <c r="D19" s="62">
        <f>IFERROR(IF($C18="TOTAL","अक्षरें राशि :-",IF($C19="TOTAL",SUM($D$8:D18),IF(BA20="","",BA20))),"")</f>
        <v>104200</v>
      </c>
      <c r="E19" s="62">
        <f>IFERROR(IF($C19="TOTAL",SUM($E$8:E18),IF(BC20="","",BC20)),"")</f>
        <v>21257</v>
      </c>
      <c r="F19" s="62">
        <f>IFERROR(IF($C19="TOTAL",SUM($F$8:F18),IF(OR(C19=$AS$16,C19=$AS$17,C19=$AS$18,C19=$AS$19,C19=$AS$20,C19=$AS$21,C19=$AS$22,C19=$AS$23,C19=$AS$24),0,IF(BD20="","",BD20))),"")</f>
        <v>8336</v>
      </c>
      <c r="G19" s="62">
        <f>IFERROR(IF($C19="TOTAL",SUM($G$8:G18),IF(BB20="","",BB20)),"")</f>
        <v>20840</v>
      </c>
      <c r="H19" s="62">
        <f t="shared" si="3"/>
        <v>154633</v>
      </c>
      <c r="I19" s="62">
        <f>IFERROR(IF($C19="TOTAL",SUM($I$8:I18),IF(BF20="","",BF20)),"")</f>
        <v>98800</v>
      </c>
      <c r="J19" s="62">
        <f>IFERROR(IF($C19="TOTAL",SUM($J$8:J18),IF(BH20="","",BH20)),"")</f>
        <v>20155</v>
      </c>
      <c r="K19" s="62">
        <f>IFERROR(IF($C19="TOTAL",SUM($K$8:K18),IF(OR(C19=$AS$16,C19=$AS$17,C19=$AS$18,C19=$AS$19,C19=$AS$20,C19=$AS$21,C19=$AS$22,C19=$AS$23,C19=$AS$24),0,IF(BI20="","",BI20))),"")</f>
        <v>7904</v>
      </c>
      <c r="L19" s="62">
        <f>IFERROR(IF($C19="TOTAL",SUM($L$8:L18),IF(BG20="","",BG20)),"")</f>
        <v>19760</v>
      </c>
      <c r="M19" s="62">
        <f t="shared" si="4"/>
        <v>146619</v>
      </c>
      <c r="N19" s="62">
        <f>IFERROR(IF(C19="","",IF(D19="","",IF(I19="","",IF($C19="TOTAL",SUM($N$8:N18),SUM(D19-I19))))),"")</f>
        <v>5400</v>
      </c>
      <c r="O19" s="62">
        <f>IFERROR(IF(C19="","",IF(E19="","",IF(J19="","",IF($C19="TOTAL",SUM($O$8:O18),SUM(E19-J19))))),"")</f>
        <v>1102</v>
      </c>
      <c r="P19" s="62">
        <f>IFERROR(IF(C19="","",IF(F19="","",IF(K19="","",IF($C19="TOTAL",SUM($P$8:P18),SUM(F19-K19))))),"")</f>
        <v>432</v>
      </c>
      <c r="Q19" s="62">
        <f t="shared" si="5"/>
        <v>1080</v>
      </c>
      <c r="R19" s="62">
        <f t="shared" si="13"/>
        <v>8014</v>
      </c>
      <c r="S19" s="62">
        <f>IFERROR(IF(C19="","",IF($C19="TOTAL",SUM($S$8:S18),IF(AND(C19&gt;$AR$1,$AI$3=$AR$2),BW20,IF($AU$18=$AU$20,SUM(BJ20+BR20),ROUND((D19+E19)*10%,0))))),"")</f>
        <v>12546</v>
      </c>
      <c r="T19" s="62">
        <f>IFERROR(IF(C19="","",IF(I19="","",IF(J19="","",IF($C19="TOTAL",SUM($T$8:T18),IF(AND(C19&gt;$AR$1,$AI$3=$AR$2),BW20,IF($AU$18=$AU$20,$AU$21,ROUND((I19+J19)*10%,0))))))),"")</f>
        <v>11896</v>
      </c>
      <c r="U19" s="62">
        <f t="shared" si="14"/>
        <v>650</v>
      </c>
      <c r="V19" s="63">
        <f>IFERROR(IF(C19="","",IF($AU$16=$AU$17,0,IF($C19="TOTAL",SUM($V$8:V18),IF($AU$19=$AU$31,0,IF(AND($AU$32=$AU$20,C19=$AU$33),$AU$34,V18))))),"")</f>
        <v>2100</v>
      </c>
      <c r="W19" s="63">
        <f>IFERROR(IF(C19="","",IF($AU$16=$AU$17,0,IF($C19="TOTAL",SUM($W$8:W18),IF($AU$19=$AU$20,$AU$24,0)))),"")</f>
        <v>2100</v>
      </c>
      <c r="X19" s="62">
        <f t="shared" si="15"/>
        <v>0</v>
      </c>
      <c r="Y19" s="62" t="str">
        <f>IFERROR(IF(C19="","",IF($AU$16=$AU$17,0,IF($C19="TOTAL",SUM($Y$8:Y18),BZ19))),"")</f>
        <v/>
      </c>
      <c r="Z19" s="62" t="str">
        <f>IFERROR(IF(C19="","",IF($AU$16=$AU$17,0,IF($C19="TOTAL",SUM($Z$8:Z18),BY19))),"")</f>
        <v/>
      </c>
      <c r="AA19" s="62" t="str">
        <f t="shared" si="0"/>
        <v/>
      </c>
      <c r="AB19" s="62">
        <f>IFERROR(IF(C19="","",IF(D19="","",IF($C19="TOTAL",SUM($AB$8:AB18),IF(C19=$AU$1,ROUND(D19*5/31,0.01),"")))),"")</f>
        <v>16806</v>
      </c>
      <c r="AC19" s="62">
        <f>IFERROR(IF(C19="","",IF(I19="","",IF($C19="TOTAL",SUM($AC$8:AC18),IF(C19=$AU$1,ROUND(I19*5/31,0.01),"")))),"")</f>
        <v>15935</v>
      </c>
      <c r="AD19" s="62">
        <f t="shared" si="16"/>
        <v>871</v>
      </c>
      <c r="AE19" s="62" t="str">
        <f>IFERROR(IF(C19="","",IF(AND(BP20="",BW20=""),"",IF($C19="TOTAL",SUM($AE$8:AE18),BP20))),"")</f>
        <v/>
      </c>
      <c r="AF19" s="62">
        <f>IFERROR(IF(C19="","",IF($C19="TOTAL",SUM($AF$8:AF18),ROUND(R19*$AU$7%,0))),"")</f>
        <v>0</v>
      </c>
      <c r="AG19" s="62">
        <f t="shared" si="8"/>
        <v>1521</v>
      </c>
      <c r="AH19" s="64">
        <f>IFERROR(IF(C19="","",IF($C19="TOTAL",SUM($AH$8:AH18),SUM(R19-AG19))),"")</f>
        <v>6493</v>
      </c>
      <c r="AI19" s="67"/>
      <c r="AJ19" s="32"/>
      <c r="AL19" s="26"/>
      <c r="AM19" s="27"/>
      <c r="AN19" s="27"/>
      <c r="AO19" s="144"/>
      <c r="AP19" s="177"/>
      <c r="AQ19" s="183">
        <f t="shared" si="17"/>
        <v>17</v>
      </c>
      <c r="AR19" s="183">
        <f t="shared" si="18"/>
        <v>17</v>
      </c>
      <c r="AS19" s="185">
        <v>42826</v>
      </c>
      <c r="AT19" s="185">
        <v>43040</v>
      </c>
      <c r="AU19" s="184" t="str">
        <f>'Master Sheet'!D15</f>
        <v>YES</v>
      </c>
      <c r="AV19" s="185">
        <f t="shared" si="19"/>
        <v>43862</v>
      </c>
      <c r="AW19" s="185">
        <f t="shared" si="34"/>
        <v>43862</v>
      </c>
      <c r="AX19" s="185" t="str">
        <f t="shared" si="20"/>
        <v/>
      </c>
      <c r="AY19" s="185">
        <f t="shared" si="21"/>
        <v>43862</v>
      </c>
      <c r="AZ19" s="185">
        <f t="shared" si="35"/>
        <v>43862</v>
      </c>
      <c r="BA19" s="184">
        <f t="shared" si="36"/>
        <v>104200</v>
      </c>
      <c r="BB19" s="184">
        <f t="shared" si="22"/>
        <v>20840</v>
      </c>
      <c r="BC19" s="184">
        <f t="shared" si="23"/>
        <v>21257</v>
      </c>
      <c r="BD19" s="184">
        <f t="shared" si="37"/>
        <v>8336</v>
      </c>
      <c r="BE19" s="184"/>
      <c r="BF19" s="184">
        <f t="shared" si="38"/>
        <v>98800</v>
      </c>
      <c r="BG19" s="184">
        <f t="shared" si="24"/>
        <v>19760</v>
      </c>
      <c r="BH19" s="184">
        <f t="shared" si="25"/>
        <v>20155</v>
      </c>
      <c r="BI19" s="184">
        <f t="shared" si="39"/>
        <v>7904</v>
      </c>
      <c r="BJ19" s="184">
        <f t="shared" si="26"/>
        <v>3675</v>
      </c>
      <c r="BK19" s="184"/>
      <c r="BL19" s="184"/>
      <c r="BM19" s="184">
        <f t="shared" si="27"/>
        <v>8014</v>
      </c>
      <c r="BN19" s="184">
        <f t="shared" si="28"/>
        <v>3675</v>
      </c>
      <c r="BO19" s="184" t="str">
        <f t="shared" si="29"/>
        <v/>
      </c>
      <c r="BP19" s="184" t="str">
        <f t="shared" si="10"/>
        <v/>
      </c>
      <c r="BQ19" s="184">
        <f t="shared" si="11"/>
        <v>0</v>
      </c>
      <c r="BR19" s="184">
        <f t="shared" si="12"/>
        <v>0</v>
      </c>
      <c r="BS19" s="184"/>
      <c r="BT19" s="184"/>
      <c r="BU19" s="184"/>
      <c r="BV19" s="184"/>
      <c r="BW19" s="184" t="str">
        <f t="shared" si="30"/>
        <v/>
      </c>
      <c r="BX19" s="184"/>
      <c r="BY19" s="179" t="str">
        <f t="shared" si="31"/>
        <v/>
      </c>
      <c r="BZ19" s="179" t="str">
        <f>IF(AZ20="","",IF(AZ20="TOTAL","",IF($AU$16=$AU$17,0,IF(AND(AZ20&gt;$BY$1,$AI$3=$AR$2,'Master Sheet'!$D$27&gt;0),'Master Sheet'!$D$27,IF(AND(AZ20=$BY$1),IF($AU$9&lt;18001,135,IF($AU$9&lt;33501,220,IF($AU$9&lt;54001,330,440))),IF(AND(AZ20&gt;$BY$1),IF($AU$9&lt;18001,265,IF($AU$9&lt;33501,440,IF($AU$9&lt;54001,658,875))),""))))))</f>
        <v/>
      </c>
      <c r="CA19" s="184"/>
      <c r="CB19" s="184"/>
      <c r="CC19" s="184"/>
      <c r="CD19" s="184"/>
      <c r="CE19" s="184"/>
      <c r="CF19" s="186"/>
      <c r="CG19" s="147"/>
    </row>
    <row r="20" spans="1:85" s="28" customFormat="1" ht="21" customHeight="1">
      <c r="A20" s="110">
        <f t="shared" si="32"/>
        <v>13</v>
      </c>
      <c r="B20" s="60">
        <f t="shared" si="1"/>
        <v>13</v>
      </c>
      <c r="C20" s="61">
        <f t="shared" si="33"/>
        <v>43922</v>
      </c>
      <c r="D20" s="62">
        <f>IFERROR(IF($C19="TOTAL","अक्षरें राशि :-",IF($C20="TOTAL",SUM($D$8:D19),IF(BA21="","",BA21))),"")</f>
        <v>104200</v>
      </c>
      <c r="E20" s="62">
        <f>IFERROR(IF($C20="TOTAL",SUM($E$8:E19),IF(BC21="","",BC21)),"")</f>
        <v>21257</v>
      </c>
      <c r="F20" s="62">
        <f>IFERROR(IF($C20="TOTAL",SUM($F$8:F19),IF(OR(C20=$AS$16,C20=$AS$17,C20=$AS$18,C20=$AS$19,C20=$AS$20,C20=$AS$21,C20=$AS$22,C20=$AS$23,C20=$AS$24),0,IF(BD21="","",BD21))),"")</f>
        <v>8336</v>
      </c>
      <c r="G20" s="62">
        <f>IFERROR(IF($C20="TOTAL",SUM($G$8:G19),IF(BB21="","",BB21)),"")</f>
        <v>20840</v>
      </c>
      <c r="H20" s="62">
        <f t="shared" si="3"/>
        <v>154633</v>
      </c>
      <c r="I20" s="62">
        <f>IFERROR(IF($C20="TOTAL",SUM($I$8:I19),IF(BF21="","",BF21)),"")</f>
        <v>98800</v>
      </c>
      <c r="J20" s="62">
        <f>IFERROR(IF($C20="TOTAL",SUM($J$8:J19),IF(BH21="","",BH21)),"")</f>
        <v>20155</v>
      </c>
      <c r="K20" s="62">
        <f>IFERROR(IF($C20="TOTAL",SUM($K$8:K19),IF(OR(C20=$AS$16,C20=$AS$17,C20=$AS$18,C20=$AS$19,C20=$AS$20,C20=$AS$21,C20=$AS$22,C20=$AS$23,C20=$AS$24),0,IF(BI21="","",BI21))),"")</f>
        <v>7904</v>
      </c>
      <c r="L20" s="62">
        <f>IFERROR(IF($C20="TOTAL",SUM($L$8:L19),IF(BG21="","",BG21)),"")</f>
        <v>19760</v>
      </c>
      <c r="M20" s="62">
        <f t="shared" si="4"/>
        <v>146619</v>
      </c>
      <c r="N20" s="62">
        <f>IFERROR(IF(C20="","",IF(D20="","",IF(I20="","",IF($C20="TOTAL",SUM($N$8:N19),SUM(D20-I20))))),"")</f>
        <v>5400</v>
      </c>
      <c r="O20" s="62">
        <f>IFERROR(IF(C20="","",IF(E20="","",IF(J20="","",IF($C20="TOTAL",SUM($O$8:O19),SUM(E20-J20))))),"")</f>
        <v>1102</v>
      </c>
      <c r="P20" s="62">
        <f>IFERROR(IF(C20="","",IF(F20="","",IF(K20="","",IF($C20="TOTAL",SUM($P$8:P19),SUM(F20-K20))))),"")</f>
        <v>432</v>
      </c>
      <c r="Q20" s="62">
        <f t="shared" si="5"/>
        <v>1080</v>
      </c>
      <c r="R20" s="62">
        <f t="shared" si="13"/>
        <v>8014</v>
      </c>
      <c r="S20" s="62">
        <f>IFERROR(IF(C20="","",IF($C20="TOTAL",SUM($S$8:S19),IF(AND(C20&gt;$AR$1,$AI$3=$AR$2),BW21,IF($AU$18=$AU$20,SUM(BJ21+BR21),ROUND((D20+E20)*10%,0))))),"")</f>
        <v>12546</v>
      </c>
      <c r="T20" s="62">
        <f>IFERROR(IF(C20="","",IF(I20="","",IF(J20="","",IF($C20="TOTAL",SUM($T$8:T19),IF(AND(C20&gt;$AR$1,$AI$3=$AR$2),BW21,IF($AU$18=$AU$20,$AU$21,ROUND((I20+J20)*10%,0))))))),"")</f>
        <v>11896</v>
      </c>
      <c r="U20" s="62">
        <f t="shared" si="14"/>
        <v>650</v>
      </c>
      <c r="V20" s="63">
        <f>IFERROR(IF(C20="","",IF($AU$16=$AU$17,0,IF($C20="TOTAL",SUM($V$8:V19),IF($AU$19=$AU$31,0,IF(AND($AU$32=$AU$20,C20=$AU$33),$AU$34,V19))))),"")</f>
        <v>2100</v>
      </c>
      <c r="W20" s="63">
        <f>IFERROR(IF(C20="","",IF($AU$16=$AU$17,0,IF($C20="TOTAL",SUM($W$8:W19),IF($AU$19=$AU$20,$AU$24,0)))),"")</f>
        <v>2100</v>
      </c>
      <c r="X20" s="62">
        <f t="shared" si="15"/>
        <v>0</v>
      </c>
      <c r="Y20" s="62" t="str">
        <f>IFERROR(IF(C20="","",IF($AU$16=$AU$17,0,IF($C20="TOTAL",SUM($Y$8:Y19),BZ20))),"")</f>
        <v/>
      </c>
      <c r="Z20" s="62" t="str">
        <f>IFERROR(IF(C20="","",IF($AU$16=$AU$17,0,IF($C20="TOTAL",SUM($Z$8:Z19),BY20))),"")</f>
        <v/>
      </c>
      <c r="AA20" s="62" t="str">
        <f t="shared" si="0"/>
        <v/>
      </c>
      <c r="AB20" s="62" t="str">
        <f>IFERROR(IF(C20="","",IF(D20="","",IF($C20="TOTAL",SUM($AB$8:AB19),IF(C20=$AU$1,ROUND(D20*5/31,0.01),"")))),"")</f>
        <v/>
      </c>
      <c r="AC20" s="62" t="str">
        <f>IFERROR(IF(C20="","",IF(I20="","",IF($C20="TOTAL",SUM($AC$8:AC19),IF(C20=$AU$1,ROUND(I20*5/31,0.01),"")))),"")</f>
        <v/>
      </c>
      <c r="AD20" s="62" t="str">
        <f t="shared" si="16"/>
        <v/>
      </c>
      <c r="AE20" s="62" t="str">
        <f>IFERROR(IF(C20="","",IF(AND(BP21="",BW21=""),"",IF($C20="TOTAL",SUM($AE$8:AE19),BP21))),"")</f>
        <v/>
      </c>
      <c r="AF20" s="62">
        <f>IFERROR(IF(C20="","",IF($C20="TOTAL",SUM($AF$8:AF19),ROUND(R20*$AU$7%,0))),"")</f>
        <v>0</v>
      </c>
      <c r="AG20" s="62">
        <f t="shared" si="8"/>
        <v>650</v>
      </c>
      <c r="AH20" s="64">
        <f>IFERROR(IF(C20="","",IF($C20="TOTAL",SUM($AH$8:AH19),SUM(R20-AG20))),"")</f>
        <v>7364</v>
      </c>
      <c r="AI20" s="58"/>
      <c r="AJ20" s="32"/>
      <c r="AL20" s="26"/>
      <c r="AM20" s="27"/>
      <c r="AN20" s="27"/>
      <c r="AO20" s="144"/>
      <c r="AP20" s="177"/>
      <c r="AQ20" s="183">
        <f t="shared" si="17"/>
        <v>17</v>
      </c>
      <c r="AR20" s="183">
        <f t="shared" si="18"/>
        <v>17</v>
      </c>
      <c r="AS20" s="185">
        <v>42856</v>
      </c>
      <c r="AT20" s="185">
        <v>43070</v>
      </c>
      <c r="AU20" s="184" t="s">
        <v>54</v>
      </c>
      <c r="AV20" s="185">
        <f t="shared" ref="AV20:AV83" si="40">IF(AND($AU$6&gt;$AV$6),"",DATE(YEAR(AV19),MONTH(AV19)+1,DAY(AV19)))</f>
        <v>43891</v>
      </c>
      <c r="AW20" s="185">
        <f t="shared" si="34"/>
        <v>43891</v>
      </c>
      <c r="AX20" s="185" t="str">
        <f t="shared" si="20"/>
        <v/>
      </c>
      <c r="AY20" s="185">
        <f t="shared" si="21"/>
        <v>43891</v>
      </c>
      <c r="AZ20" s="185">
        <f t="shared" si="35"/>
        <v>43891</v>
      </c>
      <c r="BA20" s="184">
        <f t="shared" si="36"/>
        <v>104200</v>
      </c>
      <c r="BB20" s="184">
        <f t="shared" si="22"/>
        <v>20840</v>
      </c>
      <c r="BC20" s="184">
        <f t="shared" si="23"/>
        <v>21257</v>
      </c>
      <c r="BD20" s="184">
        <f t="shared" si="37"/>
        <v>8336</v>
      </c>
      <c r="BE20" s="184"/>
      <c r="BF20" s="184">
        <f t="shared" si="38"/>
        <v>98800</v>
      </c>
      <c r="BG20" s="184">
        <f t="shared" si="24"/>
        <v>19760</v>
      </c>
      <c r="BH20" s="184">
        <f t="shared" si="25"/>
        <v>20155</v>
      </c>
      <c r="BI20" s="184">
        <f t="shared" si="39"/>
        <v>7904</v>
      </c>
      <c r="BJ20" s="184">
        <f t="shared" si="26"/>
        <v>3675</v>
      </c>
      <c r="BK20" s="184"/>
      <c r="BL20" s="184"/>
      <c r="BM20" s="184">
        <f t="shared" si="27"/>
        <v>8014</v>
      </c>
      <c r="BN20" s="184">
        <f t="shared" si="28"/>
        <v>3675</v>
      </c>
      <c r="BO20" s="184" t="str">
        <f t="shared" si="29"/>
        <v/>
      </c>
      <c r="BP20" s="184" t="str">
        <f t="shared" si="10"/>
        <v/>
      </c>
      <c r="BQ20" s="184">
        <f t="shared" si="11"/>
        <v>0</v>
      </c>
      <c r="BR20" s="184">
        <f t="shared" si="12"/>
        <v>0</v>
      </c>
      <c r="BS20" s="184"/>
      <c r="BT20" s="184"/>
      <c r="BU20" s="184"/>
      <c r="BV20" s="184"/>
      <c r="BW20" s="184" t="str">
        <f t="shared" si="30"/>
        <v/>
      </c>
      <c r="BX20" s="184"/>
      <c r="BY20" s="179" t="str">
        <f t="shared" si="31"/>
        <v/>
      </c>
      <c r="BZ20" s="179" t="str">
        <f>IF(AZ21="","",IF(AZ21="TOTAL","",IF($AU$16=$AU$17,0,IF(AND(AZ21&gt;$BY$1,$AI$3=$AR$2,'Master Sheet'!$D$27&gt;0),'Master Sheet'!$D$27,IF(AND(AZ21=$BY$1),IF($AU$9&lt;18001,135,IF($AU$9&lt;33501,220,IF($AU$9&lt;54001,330,440))),IF(AND(AZ21&gt;$BY$1),IF($AU$9&lt;18001,265,IF($AU$9&lt;33501,440,IF($AU$9&lt;54001,658,875))),""))))))</f>
        <v/>
      </c>
      <c r="CA20" s="184"/>
      <c r="CB20" s="184"/>
      <c r="CC20" s="184"/>
      <c r="CD20" s="184"/>
      <c r="CE20" s="184"/>
      <c r="CF20" s="186"/>
      <c r="CG20" s="147"/>
    </row>
    <row r="21" spans="1:85" s="28" customFormat="1" ht="21" customHeight="1">
      <c r="A21" s="110">
        <f t="shared" si="32"/>
        <v>14</v>
      </c>
      <c r="B21" s="60">
        <f t="shared" si="1"/>
        <v>14</v>
      </c>
      <c r="C21" s="61">
        <f t="shared" si="33"/>
        <v>43952</v>
      </c>
      <c r="D21" s="62">
        <f>IFERROR(IF($C20="TOTAL","अक्षरें राशि :-",IF($C21="TOTAL",SUM($D$8:D20),IF(BA22="","",BA22))),"")</f>
        <v>104200</v>
      </c>
      <c r="E21" s="62">
        <f>IFERROR(IF($C21="TOTAL",SUM($E$8:E20),IF(BC22="","",BC22)),"")</f>
        <v>21257</v>
      </c>
      <c r="F21" s="62">
        <f>IFERROR(IF($C21="TOTAL",SUM($F$8:F20),IF(OR(C21=$AS$16,C21=$AS$17,C21=$AS$18,C21=$AS$19,C21=$AS$20,C21=$AS$21,C21=$AS$22,C21=$AS$23,C21=$AS$24),0,IF(BD22="","",BD22))),"")</f>
        <v>8336</v>
      </c>
      <c r="G21" s="62">
        <f>IFERROR(IF($C21="TOTAL",SUM($G$8:G20),IF(BB22="","",BB22)),"")</f>
        <v>20840</v>
      </c>
      <c r="H21" s="62">
        <f t="shared" si="3"/>
        <v>154633</v>
      </c>
      <c r="I21" s="62">
        <f>IFERROR(IF($C21="TOTAL",SUM($I$8:I20),IF(BF22="","",BF22)),"")</f>
        <v>98800</v>
      </c>
      <c r="J21" s="62">
        <f>IFERROR(IF($C21="TOTAL",SUM($J$8:J20),IF(BH22="","",BH22)),"")</f>
        <v>20155</v>
      </c>
      <c r="K21" s="62">
        <f>IFERROR(IF($C21="TOTAL",SUM($K$8:K20),IF(OR(C21=$AS$16,C21=$AS$17,C21=$AS$18,C21=$AS$19,C21=$AS$20,C21=$AS$21,C21=$AS$22,C21=$AS$23,C21=$AS$24),0,IF(BI22="","",BI22))),"")</f>
        <v>7904</v>
      </c>
      <c r="L21" s="62">
        <f>IFERROR(IF($C21="TOTAL",SUM($L$8:L20),IF(BG22="","",BG22)),"")</f>
        <v>19760</v>
      </c>
      <c r="M21" s="62">
        <f t="shared" si="4"/>
        <v>146619</v>
      </c>
      <c r="N21" s="62">
        <f>IFERROR(IF(C21="","",IF(D21="","",IF(I21="","",IF($C21="TOTAL",SUM($N$8:N20),SUM(D21-I21))))),"")</f>
        <v>5400</v>
      </c>
      <c r="O21" s="62">
        <f>IFERROR(IF(C21="","",IF(E21="","",IF(J21="","",IF($C21="TOTAL",SUM($O$8:O20),SUM(E21-J21))))),"")</f>
        <v>1102</v>
      </c>
      <c r="P21" s="62">
        <f>IFERROR(IF(C21="","",IF(F21="","",IF(K21="","",IF($C21="TOTAL",SUM($P$8:P20),SUM(F21-K21))))),"")</f>
        <v>432</v>
      </c>
      <c r="Q21" s="62">
        <f t="shared" si="5"/>
        <v>1080</v>
      </c>
      <c r="R21" s="62">
        <f t="shared" si="13"/>
        <v>8014</v>
      </c>
      <c r="S21" s="62">
        <f>IFERROR(IF(C21="","",IF($C21="TOTAL",SUM($S$8:S20),IF(AND(C21&gt;$AR$1,$AI$3=$AR$2),BW22,IF($AU$18=$AU$20,SUM(BJ22+BR22),ROUND((D21+E21)*10%,0))))),"")</f>
        <v>12546</v>
      </c>
      <c r="T21" s="62">
        <f>IFERROR(IF(C21="","",IF(I21="","",IF(J21="","",IF($C21="TOTAL",SUM($T$8:T20),IF(AND(C21&gt;$AR$1,$AI$3=$AR$2),BW22,IF($AU$18=$AU$20,$AU$21,ROUND((I21+J21)*10%,0))))))),"")</f>
        <v>11896</v>
      </c>
      <c r="U21" s="62">
        <f t="shared" si="14"/>
        <v>650</v>
      </c>
      <c r="V21" s="63">
        <f>IFERROR(IF(C21="","",IF($AU$16=$AU$17,0,IF($C21="TOTAL",SUM($V$8:V20),IF($AU$19=$AU$31,0,IF(AND($AU$32=$AU$20,C21=$AU$33),$AU$34,V20))))),"")</f>
        <v>2100</v>
      </c>
      <c r="W21" s="63">
        <f>IFERROR(IF(C21="","",IF($AU$16=$AU$17,0,IF($C21="TOTAL",SUM($W$8:W20),IF($AU$19=$AU$20,$AU$24,0)))),"")</f>
        <v>2100</v>
      </c>
      <c r="X21" s="62">
        <f t="shared" si="15"/>
        <v>0</v>
      </c>
      <c r="Y21" s="62" t="str">
        <f>IFERROR(IF(C21="","",IF($AU$16=$AU$17,0,IF($C21="TOTAL",SUM($Y$8:Y20),BZ21))),"")</f>
        <v/>
      </c>
      <c r="Z21" s="62" t="str">
        <f>IFERROR(IF(C21="","",IF($AU$16=$AU$17,0,IF($C21="TOTAL",SUM($Z$8:Z20),BY21))),"")</f>
        <v/>
      </c>
      <c r="AA21" s="62" t="str">
        <f t="shared" si="0"/>
        <v/>
      </c>
      <c r="AB21" s="62" t="str">
        <f>IFERROR(IF(C21="","",IF(D21="","",IF($C21="TOTAL",SUM($AB$8:AB20),IF(C21=$AU$1,ROUND(D21*5/31,0.01),"")))),"")</f>
        <v/>
      </c>
      <c r="AC21" s="62" t="str">
        <f>IFERROR(IF(C21="","",IF(I21="","",IF($C21="TOTAL",SUM($AC$8:AC20),IF(C21=$AU$1,ROUND(I21*5/31,0.01),"")))),"")</f>
        <v/>
      </c>
      <c r="AD21" s="62" t="str">
        <f t="shared" si="16"/>
        <v/>
      </c>
      <c r="AE21" s="62" t="str">
        <f>IFERROR(IF(C21="","",IF(AND(BP22="",BW22=""),"",IF($C21="TOTAL",SUM($AE$8:AE20),BP22))),"")</f>
        <v/>
      </c>
      <c r="AF21" s="62">
        <f>IFERROR(IF(C21="","",IF($C21="TOTAL",SUM($AF$8:AF20),ROUND(R21*$AU$7%,0))),"")</f>
        <v>0</v>
      </c>
      <c r="AG21" s="62">
        <f t="shared" si="8"/>
        <v>650</v>
      </c>
      <c r="AH21" s="64">
        <f>IFERROR(IF(C21="","",IF($C21="TOTAL",SUM($AH$8:AH20),SUM(R21-AG21))),"")</f>
        <v>7364</v>
      </c>
      <c r="AI21" s="1"/>
      <c r="AJ21" s="32"/>
      <c r="AL21" s="26"/>
      <c r="AM21" s="27"/>
      <c r="AN21" s="27"/>
      <c r="AO21" s="144"/>
      <c r="AP21" s="177"/>
      <c r="AQ21" s="183">
        <f t="shared" si="17"/>
        <v>17</v>
      </c>
      <c r="AR21" s="183">
        <f t="shared" si="18"/>
        <v>17</v>
      </c>
      <c r="AS21" s="185">
        <v>42887</v>
      </c>
      <c r="AT21" s="185">
        <v>43101</v>
      </c>
      <c r="AU21" s="184">
        <f>'Master Sheet'!I19</f>
        <v>3675</v>
      </c>
      <c r="AV21" s="185">
        <f t="shared" si="40"/>
        <v>43922</v>
      </c>
      <c r="AW21" s="185">
        <f t="shared" si="34"/>
        <v>43922</v>
      </c>
      <c r="AX21" s="185" t="str">
        <f t="shared" si="20"/>
        <v/>
      </c>
      <c r="AY21" s="185">
        <f t="shared" si="21"/>
        <v>43922</v>
      </c>
      <c r="AZ21" s="185">
        <f t="shared" si="35"/>
        <v>43922</v>
      </c>
      <c r="BA21" s="184">
        <f t="shared" si="36"/>
        <v>104200</v>
      </c>
      <c r="BB21" s="184">
        <f t="shared" si="22"/>
        <v>20840</v>
      </c>
      <c r="BC21" s="184">
        <f t="shared" si="23"/>
        <v>21257</v>
      </c>
      <c r="BD21" s="184">
        <f t="shared" si="37"/>
        <v>8336</v>
      </c>
      <c r="BE21" s="184"/>
      <c r="BF21" s="184">
        <f t="shared" si="38"/>
        <v>98800</v>
      </c>
      <c r="BG21" s="184">
        <f t="shared" si="24"/>
        <v>19760</v>
      </c>
      <c r="BH21" s="184">
        <f t="shared" si="25"/>
        <v>20155</v>
      </c>
      <c r="BI21" s="184">
        <f t="shared" si="39"/>
        <v>7904</v>
      </c>
      <c r="BJ21" s="184">
        <f t="shared" si="26"/>
        <v>3675</v>
      </c>
      <c r="BK21" s="184"/>
      <c r="BL21" s="184"/>
      <c r="BM21" s="184">
        <f t="shared" si="27"/>
        <v>8014</v>
      </c>
      <c r="BN21" s="184">
        <f t="shared" si="28"/>
        <v>3675</v>
      </c>
      <c r="BO21" s="184" t="str">
        <f t="shared" si="29"/>
        <v/>
      </c>
      <c r="BP21" s="184" t="str">
        <f t="shared" si="10"/>
        <v/>
      </c>
      <c r="BQ21" s="184">
        <f t="shared" si="11"/>
        <v>0</v>
      </c>
      <c r="BR21" s="184">
        <f t="shared" si="12"/>
        <v>0</v>
      </c>
      <c r="BS21" s="184"/>
      <c r="BT21" s="184"/>
      <c r="BU21" s="184"/>
      <c r="BV21" s="184"/>
      <c r="BW21" s="184" t="str">
        <f t="shared" si="30"/>
        <v/>
      </c>
      <c r="BX21" s="184"/>
      <c r="BY21" s="179" t="str">
        <f t="shared" si="31"/>
        <v/>
      </c>
      <c r="BZ21" s="179" t="str">
        <f>IF(AZ22="","",IF(AZ22="TOTAL","",IF($AU$16=$AU$17,0,IF(AND(AZ22&gt;$BY$1,$AI$3=$AR$2,'Master Sheet'!$D$27&gt;0),'Master Sheet'!$D$27,IF(AND(AZ22=$BY$1),IF($AU$9&lt;18001,135,IF($AU$9&lt;33501,220,IF($AU$9&lt;54001,330,440))),IF(AND(AZ22&gt;$BY$1),IF($AU$9&lt;18001,265,IF($AU$9&lt;33501,440,IF($AU$9&lt;54001,658,875))),""))))))</f>
        <v/>
      </c>
      <c r="CA21" s="184"/>
      <c r="CB21" s="184"/>
      <c r="CC21" s="184"/>
      <c r="CD21" s="184"/>
      <c r="CE21" s="184"/>
      <c r="CF21" s="186"/>
      <c r="CG21" s="147"/>
    </row>
    <row r="22" spans="1:85" s="28" customFormat="1" ht="21" customHeight="1">
      <c r="A22" s="110">
        <f t="shared" si="32"/>
        <v>15</v>
      </c>
      <c r="B22" s="60">
        <f t="shared" si="1"/>
        <v>15</v>
      </c>
      <c r="C22" s="61">
        <f t="shared" si="33"/>
        <v>43983</v>
      </c>
      <c r="D22" s="62">
        <f>IFERROR(IF($C21="TOTAL","अक्षरें राशि :-",IF($C22="TOTAL",SUM($D$8:D21),IF(BA23="","",BA23))),"")</f>
        <v>104200</v>
      </c>
      <c r="E22" s="62">
        <f>IFERROR(IF($C22="TOTAL",SUM($E$8:E21),IF(BC23="","",BC23)),"")</f>
        <v>21257</v>
      </c>
      <c r="F22" s="62">
        <f>IFERROR(IF($C22="TOTAL",SUM($F$8:F21),IF(OR(C22=$AS$16,C22=$AS$17,C22=$AS$18,C22=$AS$19,C22=$AS$20,C22=$AS$21,C22=$AS$22,C22=$AS$23,C22=$AS$24),0,IF(BD23="","",BD23))),"")</f>
        <v>8336</v>
      </c>
      <c r="G22" s="62">
        <f>IFERROR(IF($C22="TOTAL",SUM($G$8:G21),IF(BB23="","",BB23)),"")</f>
        <v>20840</v>
      </c>
      <c r="H22" s="62">
        <f t="shared" si="3"/>
        <v>154633</v>
      </c>
      <c r="I22" s="62">
        <f>IFERROR(IF($C22="TOTAL",SUM($I$8:I21),IF(BF23="","",BF23)),"")</f>
        <v>98800</v>
      </c>
      <c r="J22" s="62">
        <f>IFERROR(IF($C22="TOTAL",SUM($J$8:J21),IF(BH23="","",BH23)),"")</f>
        <v>20155</v>
      </c>
      <c r="K22" s="62">
        <f>IFERROR(IF($C22="TOTAL",SUM($K$8:K21),IF(OR(C22=$AS$16,C22=$AS$17,C22=$AS$18,C22=$AS$19,C22=$AS$20,C22=$AS$21,C22=$AS$22,C22=$AS$23,C22=$AS$24),0,IF(BI23="","",BI23))),"")</f>
        <v>7904</v>
      </c>
      <c r="L22" s="62">
        <f>IFERROR(IF($C22="TOTAL",SUM($L$8:L21),IF(BG23="","",BG23)),"")</f>
        <v>19760</v>
      </c>
      <c r="M22" s="62">
        <f t="shared" si="4"/>
        <v>146619</v>
      </c>
      <c r="N22" s="62">
        <f>IFERROR(IF(C22="","",IF(D22="","",IF(I22="","",IF($C22="TOTAL",SUM($N$8:N21),SUM(D22-I22))))),"")</f>
        <v>5400</v>
      </c>
      <c r="O22" s="62">
        <f>IFERROR(IF(C22="","",IF(E22="","",IF(J22="","",IF($C22="TOTAL",SUM($O$8:O21),SUM(E22-J22))))),"")</f>
        <v>1102</v>
      </c>
      <c r="P22" s="62">
        <f>IFERROR(IF(C22="","",IF(F22="","",IF(K22="","",IF($C22="TOTAL",SUM($P$8:P21),SUM(F22-K22))))),"")</f>
        <v>432</v>
      </c>
      <c r="Q22" s="62">
        <f t="shared" si="5"/>
        <v>1080</v>
      </c>
      <c r="R22" s="62">
        <f t="shared" si="13"/>
        <v>8014</v>
      </c>
      <c r="S22" s="62">
        <f>IFERROR(IF(C22="","",IF($C22="TOTAL",SUM($S$8:S21),IF(AND(C22&gt;$AR$1,$AI$3=$AR$2),BW23,IF($AU$18=$AU$20,SUM(BJ23+BR23),ROUND((D22+E22)*10%,0))))),"")</f>
        <v>12546</v>
      </c>
      <c r="T22" s="62">
        <f>IFERROR(IF(C22="","",IF(I22="","",IF(J22="","",IF($C22="TOTAL",SUM($T$8:T21),IF(AND(C22&gt;$AR$1,$AI$3=$AR$2),BW23,IF($AU$18=$AU$20,$AU$21,ROUND((I22+J22)*10%,0))))))),"")</f>
        <v>11896</v>
      </c>
      <c r="U22" s="62">
        <f t="shared" si="14"/>
        <v>650</v>
      </c>
      <c r="V22" s="63">
        <f>IFERROR(IF(C22="","",IF($AU$16=$AU$17,0,IF($C22="TOTAL",SUM($V$8:V21),IF($AU$19=$AU$31,0,IF(AND($AU$32=$AU$20,C22=$AU$33),$AU$34,V21))))),"")</f>
        <v>2100</v>
      </c>
      <c r="W22" s="63">
        <f>IFERROR(IF(C22="","",IF($AU$16=$AU$17,0,IF($C22="TOTAL",SUM($W$8:W21),IF($AU$19=$AU$20,$AU$24,0)))),"")</f>
        <v>2100</v>
      </c>
      <c r="X22" s="62">
        <f t="shared" si="15"/>
        <v>0</v>
      </c>
      <c r="Y22" s="62" t="str">
        <f>IFERROR(IF(C22="","",IF($AU$16=$AU$17,0,IF($C22="TOTAL",SUM($Y$8:Y21),BZ22))),"")</f>
        <v/>
      </c>
      <c r="Z22" s="62" t="str">
        <f>IFERROR(IF(C22="","",IF($AU$16=$AU$17,0,IF($C22="TOTAL",SUM($Z$8:Z21),BY22))),"")</f>
        <v/>
      </c>
      <c r="AA22" s="62" t="str">
        <f t="shared" si="0"/>
        <v/>
      </c>
      <c r="AB22" s="62" t="str">
        <f>IFERROR(IF(C22="","",IF(D22="","",IF($C22="TOTAL",SUM($AB$8:AB21),IF(C22=$AU$1,ROUND(D22*5/31,0.01),"")))),"")</f>
        <v/>
      </c>
      <c r="AC22" s="62" t="str">
        <f>IFERROR(IF(C22="","",IF(I22="","",IF($C22="TOTAL",SUM($AC$8:AC21),IF(C22=$AU$1,ROUND(I22*5/31,0.01),"")))),"")</f>
        <v/>
      </c>
      <c r="AD22" s="62" t="str">
        <f t="shared" si="16"/>
        <v/>
      </c>
      <c r="AE22" s="62" t="str">
        <f>IFERROR(IF(C22="","",IF(AND(BP23="",BW23=""),"",IF($C22="TOTAL",SUM($AE$8:AE21),BP23))),"")</f>
        <v/>
      </c>
      <c r="AF22" s="62">
        <f>IFERROR(IF(C22="","",IF($C22="TOTAL",SUM($AF$8:AF21),ROUND(R22*$AU$7%,0))),"")</f>
        <v>0</v>
      </c>
      <c r="AG22" s="62">
        <f t="shared" si="8"/>
        <v>650</v>
      </c>
      <c r="AH22" s="64">
        <f>IFERROR(IF(C22="","",IF($C22="TOTAL",SUM($AH$8:AH21),SUM(R22-AG22))),"")</f>
        <v>7364</v>
      </c>
      <c r="AI22" s="32"/>
      <c r="AJ22" s="32"/>
      <c r="AL22" s="26"/>
      <c r="AM22" s="27"/>
      <c r="AN22" s="27"/>
      <c r="AO22" s="144"/>
      <c r="AP22" s="177"/>
      <c r="AQ22" s="183">
        <f t="shared" si="17"/>
        <v>17</v>
      </c>
      <c r="AR22" s="183">
        <f t="shared" si="18"/>
        <v>17</v>
      </c>
      <c r="AS22" s="185">
        <v>42917</v>
      </c>
      <c r="AT22" s="185">
        <v>43132</v>
      </c>
      <c r="AU22" s="184">
        <f>'Master Sheet'!M19</f>
        <v>3675</v>
      </c>
      <c r="AV22" s="185">
        <f t="shared" si="40"/>
        <v>43952</v>
      </c>
      <c r="AW22" s="185">
        <f t="shared" si="34"/>
        <v>43952</v>
      </c>
      <c r="AX22" s="185" t="str">
        <f t="shared" si="20"/>
        <v/>
      </c>
      <c r="AY22" s="185">
        <f t="shared" si="21"/>
        <v>43952</v>
      </c>
      <c r="AZ22" s="185">
        <f t="shared" si="35"/>
        <v>43952</v>
      </c>
      <c r="BA22" s="184">
        <f t="shared" si="36"/>
        <v>104200</v>
      </c>
      <c r="BB22" s="184">
        <f t="shared" si="22"/>
        <v>20840</v>
      </c>
      <c r="BC22" s="184">
        <f t="shared" si="23"/>
        <v>21257</v>
      </c>
      <c r="BD22" s="184">
        <f t="shared" si="37"/>
        <v>8336</v>
      </c>
      <c r="BE22" s="184"/>
      <c r="BF22" s="184">
        <f t="shared" si="38"/>
        <v>98800</v>
      </c>
      <c r="BG22" s="184">
        <f t="shared" si="24"/>
        <v>19760</v>
      </c>
      <c r="BH22" s="184">
        <f t="shared" si="25"/>
        <v>20155</v>
      </c>
      <c r="BI22" s="184">
        <f t="shared" si="39"/>
        <v>7904</v>
      </c>
      <c r="BJ22" s="184">
        <f t="shared" si="26"/>
        <v>3675</v>
      </c>
      <c r="BK22" s="184"/>
      <c r="BL22" s="184"/>
      <c r="BM22" s="184">
        <f t="shared" si="27"/>
        <v>8014</v>
      </c>
      <c r="BN22" s="184">
        <f t="shared" si="28"/>
        <v>3675</v>
      </c>
      <c r="BO22" s="184" t="str">
        <f t="shared" si="29"/>
        <v/>
      </c>
      <c r="BP22" s="184" t="str">
        <f t="shared" si="10"/>
        <v/>
      </c>
      <c r="BQ22" s="184">
        <f t="shared" si="11"/>
        <v>0</v>
      </c>
      <c r="BR22" s="184">
        <f t="shared" si="12"/>
        <v>0</v>
      </c>
      <c r="BS22" s="184"/>
      <c r="BT22" s="184"/>
      <c r="BU22" s="184"/>
      <c r="BV22" s="184"/>
      <c r="BW22" s="184" t="str">
        <f t="shared" si="30"/>
        <v/>
      </c>
      <c r="BX22" s="184"/>
      <c r="BY22" s="179" t="str">
        <f t="shared" si="31"/>
        <v/>
      </c>
      <c r="BZ22" s="179" t="str">
        <f>IF(AZ23="","",IF(AZ23="TOTAL","",IF($AU$16=$AU$17,0,IF(AND(AZ23&gt;$BY$1,$AI$3=$AR$2,'Master Sheet'!$D$27&gt;0),'Master Sheet'!$D$27,IF(AND(AZ23=$BY$1),IF($AU$9&lt;18001,135,IF($AU$9&lt;33501,220,IF($AU$9&lt;54001,330,440))),IF(AND(AZ23&gt;$BY$1),IF($AU$9&lt;18001,265,IF($AU$9&lt;33501,440,IF($AU$9&lt;54001,658,875))),""))))))</f>
        <v/>
      </c>
      <c r="CA22" s="184"/>
      <c r="CB22" s="184"/>
      <c r="CC22" s="184"/>
      <c r="CD22" s="184"/>
      <c r="CE22" s="184"/>
      <c r="CF22" s="186"/>
      <c r="CG22" s="147"/>
    </row>
    <row r="23" spans="1:85" s="28" customFormat="1" ht="21" customHeight="1">
      <c r="A23" s="110">
        <f t="shared" si="32"/>
        <v>16</v>
      </c>
      <c r="B23" s="60">
        <f t="shared" si="1"/>
        <v>16</v>
      </c>
      <c r="C23" s="61">
        <f t="shared" si="33"/>
        <v>44013</v>
      </c>
      <c r="D23" s="62">
        <f>IFERROR(IF($C22="TOTAL","अक्षरें राशि :-",IF($C23="TOTAL",SUM($D$8:D22),IF(BA24="","",BA24))),"")</f>
        <v>107300</v>
      </c>
      <c r="E23" s="62">
        <f>IFERROR(IF($C23="TOTAL",SUM($E$8:E22),IF(BC24="","",BC24)),"")</f>
        <v>21889</v>
      </c>
      <c r="F23" s="62">
        <f>IFERROR(IF($C23="TOTAL",SUM($F$8:F22),IF(OR(C23=$AS$16,C23=$AS$17,C23=$AS$18,C23=$AS$19,C23=$AS$20,C23=$AS$21,C23=$AS$22,C23=$AS$23,C23=$AS$24),0,IF(BD24="","",BD24))),"")</f>
        <v>8584</v>
      </c>
      <c r="G23" s="62">
        <f>IFERROR(IF($C23="TOTAL",SUM($G$8:G22),IF(BB24="","",BB24)),"")</f>
        <v>21460</v>
      </c>
      <c r="H23" s="62">
        <f t="shared" si="3"/>
        <v>159233</v>
      </c>
      <c r="I23" s="62">
        <f>IFERROR(IF($C23="TOTAL",SUM($I$8:I22),IF(BF24="","",BF24)),"")</f>
        <v>101800</v>
      </c>
      <c r="J23" s="62">
        <f>IFERROR(IF($C23="TOTAL",SUM($J$8:J22),IF(BH24="","",BH24)),"")</f>
        <v>20767</v>
      </c>
      <c r="K23" s="62">
        <f>IFERROR(IF($C23="TOTAL",SUM($K$8:K22),IF(OR(C23=$AS$16,C23=$AS$17,C23=$AS$18,C23=$AS$19,C23=$AS$20,C23=$AS$21,C23=$AS$22,C23=$AS$23,C23=$AS$24),0,IF(BI24="","",BI24))),"")</f>
        <v>8144</v>
      </c>
      <c r="L23" s="62">
        <f>IFERROR(IF($C23="TOTAL",SUM($L$8:L22),IF(BG24="","",BG24)),"")</f>
        <v>20360</v>
      </c>
      <c r="M23" s="62">
        <f t="shared" si="4"/>
        <v>151071</v>
      </c>
      <c r="N23" s="62">
        <f>IFERROR(IF(C23="","",IF(D23="","",IF(I23="","",IF($C23="TOTAL",SUM($N$8:N22),SUM(D23-I23))))),"")</f>
        <v>5500</v>
      </c>
      <c r="O23" s="62">
        <f>IFERROR(IF(C23="","",IF(E23="","",IF(J23="","",IF($C23="TOTAL",SUM($O$8:O22),SUM(E23-J23))))),"")</f>
        <v>1122</v>
      </c>
      <c r="P23" s="62">
        <f>IFERROR(IF(C23="","",IF(F23="","",IF(K23="","",IF($C23="TOTAL",SUM($P$8:P22),SUM(F23-K23))))),"")</f>
        <v>440</v>
      </c>
      <c r="Q23" s="62">
        <f t="shared" si="5"/>
        <v>1100</v>
      </c>
      <c r="R23" s="62">
        <f t="shared" si="13"/>
        <v>8162</v>
      </c>
      <c r="S23" s="62">
        <f>IFERROR(IF(C23="","",IF($C23="TOTAL",SUM($S$8:S22),IF(AND(C23&gt;$AR$1,$AI$3=$AR$2),BW24,IF($AU$18=$AU$20,SUM(BJ24+BR24),ROUND((D23+E23)*10%,0))))),"")</f>
        <v>12919</v>
      </c>
      <c r="T23" s="62">
        <f>IFERROR(IF(C23="","",IF(I23="","",IF(J23="","",IF($C23="TOTAL",SUM($T$8:T22),IF(AND(C23&gt;$AR$1,$AI$3=$AR$2),BW24,IF($AU$18=$AU$20,$AU$21,ROUND((I23+J23)*10%,0))))))),"")</f>
        <v>12257</v>
      </c>
      <c r="U23" s="62">
        <f t="shared" si="14"/>
        <v>662</v>
      </c>
      <c r="V23" s="63">
        <f>IFERROR(IF(C23="","",IF($AU$16=$AU$17,0,IF($C23="TOTAL",SUM($V$8:V22),IF($AU$19=$AU$31,0,IF(AND($AU$32=$AU$20,C23=$AU$33),$AU$34,V22))))),"")</f>
        <v>2100</v>
      </c>
      <c r="W23" s="63">
        <f>IFERROR(IF(C23="","",IF($AU$16=$AU$17,0,IF($C23="TOTAL",SUM($W$8:W22),IF($AU$19=$AU$20,$AU$24,0)))),"")</f>
        <v>2100</v>
      </c>
      <c r="X23" s="62">
        <f t="shared" si="15"/>
        <v>0</v>
      </c>
      <c r="Y23" s="62" t="str">
        <f>IFERROR(IF(C23="","",IF($AU$16=$AU$17,0,IF($C23="TOTAL",SUM($Y$8:Y22),BZ23))),"")</f>
        <v/>
      </c>
      <c r="Z23" s="62" t="str">
        <f>IFERROR(IF(C23="","",IF($AU$16=$AU$17,0,IF($C23="TOTAL",SUM($Z$8:Z22),BY23))),"")</f>
        <v/>
      </c>
      <c r="AA23" s="62" t="str">
        <f t="shared" si="0"/>
        <v/>
      </c>
      <c r="AB23" s="62" t="str">
        <f>IFERROR(IF(C23="","",IF(D23="","",IF($C23="TOTAL",SUM($AB$8:AB22),IF(C23=$AU$1,ROUND(D23*5/31,0.01),"")))),"")</f>
        <v/>
      </c>
      <c r="AC23" s="62" t="str">
        <f>IFERROR(IF(C23="","",IF(I23="","",IF($C23="TOTAL",SUM($AC$8:AC22),IF(C23=$AU$1,ROUND(I23*5/31,0.01),"")))),"")</f>
        <v/>
      </c>
      <c r="AD23" s="62" t="str">
        <f t="shared" si="16"/>
        <v/>
      </c>
      <c r="AE23" s="62" t="str">
        <f>IFERROR(IF(C23="","",IF(AND(BP24="",BW24=""),"",IF($C23="TOTAL",SUM($AE$8:AE22),BP24))),"")</f>
        <v/>
      </c>
      <c r="AF23" s="62">
        <f>IFERROR(IF(C23="","",IF($C23="TOTAL",SUM($AF$8:AF22),ROUND(R23*$AU$7%,0))),"")</f>
        <v>0</v>
      </c>
      <c r="AG23" s="62">
        <f t="shared" si="8"/>
        <v>662</v>
      </c>
      <c r="AH23" s="64">
        <f>IFERROR(IF(C23="","",IF($C23="TOTAL",SUM($AH$8:AH22),SUM(R23-AG23))),"")</f>
        <v>7500</v>
      </c>
      <c r="AI23" s="58"/>
      <c r="AJ23" s="32"/>
      <c r="AL23" s="26"/>
      <c r="AM23" s="27"/>
      <c r="AN23" s="27"/>
      <c r="AO23" s="144"/>
      <c r="AP23" s="177"/>
      <c r="AQ23" s="183">
        <f t="shared" si="17"/>
        <v>17</v>
      </c>
      <c r="AR23" s="183">
        <f t="shared" si="18"/>
        <v>17</v>
      </c>
      <c r="AS23" s="185">
        <v>42948</v>
      </c>
      <c r="AT23" s="185">
        <v>43160</v>
      </c>
      <c r="AU23" s="184"/>
      <c r="AV23" s="185">
        <f t="shared" si="40"/>
        <v>43983</v>
      </c>
      <c r="AW23" s="185">
        <f t="shared" si="34"/>
        <v>43983</v>
      </c>
      <c r="AX23" s="185" t="str">
        <f t="shared" si="20"/>
        <v/>
      </c>
      <c r="AY23" s="185">
        <f t="shared" si="21"/>
        <v>43983</v>
      </c>
      <c r="AZ23" s="185">
        <f t="shared" si="35"/>
        <v>43983</v>
      </c>
      <c r="BA23" s="184">
        <f t="shared" si="36"/>
        <v>104200</v>
      </c>
      <c r="BB23" s="184">
        <f t="shared" si="22"/>
        <v>20840</v>
      </c>
      <c r="BC23" s="184">
        <f t="shared" si="23"/>
        <v>21257</v>
      </c>
      <c r="BD23" s="184">
        <f t="shared" si="37"/>
        <v>8336</v>
      </c>
      <c r="BE23" s="184"/>
      <c r="BF23" s="184">
        <f t="shared" si="38"/>
        <v>98800</v>
      </c>
      <c r="BG23" s="184">
        <f t="shared" si="24"/>
        <v>19760</v>
      </c>
      <c r="BH23" s="184">
        <f t="shared" si="25"/>
        <v>20155</v>
      </c>
      <c r="BI23" s="184">
        <f t="shared" si="39"/>
        <v>7904</v>
      </c>
      <c r="BJ23" s="184">
        <f t="shared" si="26"/>
        <v>3675</v>
      </c>
      <c r="BK23" s="184"/>
      <c r="BL23" s="184"/>
      <c r="BM23" s="184">
        <f t="shared" si="27"/>
        <v>8014</v>
      </c>
      <c r="BN23" s="184">
        <f t="shared" si="28"/>
        <v>3675</v>
      </c>
      <c r="BO23" s="184" t="str">
        <f t="shared" si="29"/>
        <v/>
      </c>
      <c r="BP23" s="184" t="str">
        <f t="shared" si="10"/>
        <v/>
      </c>
      <c r="BQ23" s="184">
        <f t="shared" si="11"/>
        <v>0</v>
      </c>
      <c r="BR23" s="184">
        <f t="shared" si="12"/>
        <v>0</v>
      </c>
      <c r="BS23" s="184"/>
      <c r="BT23" s="184"/>
      <c r="BU23" s="184"/>
      <c r="BV23" s="184"/>
      <c r="BW23" s="184" t="str">
        <f t="shared" si="30"/>
        <v/>
      </c>
      <c r="BX23" s="184"/>
      <c r="BY23" s="179" t="str">
        <f t="shared" si="31"/>
        <v/>
      </c>
      <c r="BZ23" s="179" t="str">
        <f>IF(AZ24="","",IF(AZ24="TOTAL","",IF($AU$16=$AU$17,0,IF(AND(AZ24&gt;$BY$1,$AI$3=$AR$2,'Master Sheet'!$D$27&gt;0),'Master Sheet'!$D$27,IF(AND(AZ24=$BY$1),IF($AU$9&lt;18001,135,IF($AU$9&lt;33501,220,IF($AU$9&lt;54001,330,440))),IF(AND(AZ24&gt;$BY$1),IF($AU$9&lt;18001,265,IF($AU$9&lt;33501,440,IF($AU$9&lt;54001,658,875))),""))))))</f>
        <v/>
      </c>
      <c r="CA23" s="184"/>
      <c r="CB23" s="184"/>
      <c r="CC23" s="184"/>
      <c r="CD23" s="184"/>
      <c r="CE23" s="184"/>
      <c r="CF23" s="186"/>
      <c r="CG23" s="147"/>
    </row>
    <row r="24" spans="1:85" s="28" customFormat="1" ht="21" customHeight="1">
      <c r="A24" s="110">
        <f t="shared" si="32"/>
        <v>17</v>
      </c>
      <c r="B24" s="60">
        <f t="shared" si="1"/>
        <v>17</v>
      </c>
      <c r="C24" s="61">
        <f t="shared" si="33"/>
        <v>44044</v>
      </c>
      <c r="D24" s="62">
        <f>IFERROR(IF($C23="TOTAL","अक्षरें राशि :-",IF($C24="TOTAL",SUM($D$8:D23),IF(BA25="","",BA25))),"")</f>
        <v>107300</v>
      </c>
      <c r="E24" s="62">
        <f>IFERROR(IF($C24="TOTAL",SUM($E$8:E23),IF(BC25="","",BC25)),"")</f>
        <v>21889</v>
      </c>
      <c r="F24" s="62">
        <f>IFERROR(IF($C24="TOTAL",SUM($F$8:F23),IF(OR(C24=$AS$16,C24=$AS$17,C24=$AS$18,C24=$AS$19,C24=$AS$20,C24=$AS$21,C24=$AS$22,C24=$AS$23,C24=$AS$24),0,IF(BD25="","",BD25))),"")</f>
        <v>8584</v>
      </c>
      <c r="G24" s="62">
        <f>IFERROR(IF($C24="TOTAL",SUM($G$8:G23),IF(BB25="","",BB25)),"")</f>
        <v>21460</v>
      </c>
      <c r="H24" s="62">
        <f t="shared" si="3"/>
        <v>159233</v>
      </c>
      <c r="I24" s="62">
        <f>IFERROR(IF($C24="TOTAL",SUM($I$8:I23),IF(BF25="","",BF25)),"")</f>
        <v>101800</v>
      </c>
      <c r="J24" s="62">
        <f>IFERROR(IF($C24="TOTAL",SUM($J$8:J23),IF(BH25="","",BH25)),"")</f>
        <v>20767</v>
      </c>
      <c r="K24" s="62">
        <f>IFERROR(IF($C24="TOTAL",SUM($K$8:K23),IF(OR(C24=$AS$16,C24=$AS$17,C24=$AS$18,C24=$AS$19,C24=$AS$20,C24=$AS$21,C24=$AS$22,C24=$AS$23,C24=$AS$24),0,IF(BI25="","",BI25))),"")</f>
        <v>8144</v>
      </c>
      <c r="L24" s="62">
        <f>IFERROR(IF($C24="TOTAL",SUM($L$8:L23),IF(BG25="","",BG25)),"")</f>
        <v>20360</v>
      </c>
      <c r="M24" s="62">
        <f t="shared" si="4"/>
        <v>151071</v>
      </c>
      <c r="N24" s="62">
        <f>IFERROR(IF(C24="","",IF(D24="","",IF(I24="","",IF($C24="TOTAL",SUM($N$8:N23),SUM(D24-I24))))),"")</f>
        <v>5500</v>
      </c>
      <c r="O24" s="62">
        <f>IFERROR(IF(C24="","",IF(E24="","",IF(J24="","",IF($C24="TOTAL",SUM($O$8:O23),SUM(E24-J24))))),"")</f>
        <v>1122</v>
      </c>
      <c r="P24" s="62">
        <f>IFERROR(IF(C24="","",IF(F24="","",IF(K24="","",IF($C24="TOTAL",SUM($P$8:P23),SUM(F24-K24))))),"")</f>
        <v>440</v>
      </c>
      <c r="Q24" s="62">
        <f t="shared" si="5"/>
        <v>1100</v>
      </c>
      <c r="R24" s="62">
        <f t="shared" si="13"/>
        <v>8162</v>
      </c>
      <c r="S24" s="62">
        <f>IFERROR(IF(C24="","",IF($C24="TOTAL",SUM($S$8:S23),IF(AND(C24&gt;$AR$1,$AI$3=$AR$2),BW25,IF($AU$18=$AU$20,SUM(BJ25+BR25),ROUND((D24+E24)*10%,0))))),"")</f>
        <v>12919</v>
      </c>
      <c r="T24" s="62">
        <f>IFERROR(IF(C24="","",IF(I24="","",IF(J24="","",IF($C24="TOTAL",SUM($T$8:T23),IF(AND(C24&gt;$AR$1,$AI$3=$AR$2),BW25,IF($AU$18=$AU$20,$AU$21,ROUND((I24+J24)*10%,0))))))),"")</f>
        <v>12257</v>
      </c>
      <c r="U24" s="62">
        <f t="shared" si="14"/>
        <v>662</v>
      </c>
      <c r="V24" s="63">
        <f>IFERROR(IF(C24="","",IF($AU$16=$AU$17,0,IF($C24="TOTAL",SUM($V$8:V23),IF($AU$19=$AU$31,0,IF(AND($AU$32=$AU$20,C24=$AU$33),$AU$34,V23))))),"")</f>
        <v>2100</v>
      </c>
      <c r="W24" s="63">
        <f>IFERROR(IF(C24="","",IF($AU$16=$AU$17,0,IF($C24="TOTAL",SUM($W$8:W23),IF($AU$19=$AU$20,$AU$24,0)))),"")</f>
        <v>2100</v>
      </c>
      <c r="X24" s="62">
        <f t="shared" si="15"/>
        <v>0</v>
      </c>
      <c r="Y24" s="62" t="str">
        <f>IFERROR(IF(C24="","",IF($AU$16=$AU$17,0,IF($C24="TOTAL",SUM($Y$8:Y23),BZ24))),"")</f>
        <v/>
      </c>
      <c r="Z24" s="62" t="str">
        <f>IFERROR(IF(C24="","",IF($AU$16=$AU$17,0,IF($C24="TOTAL",SUM($Z$8:Z23),BY24))),"")</f>
        <v/>
      </c>
      <c r="AA24" s="62" t="str">
        <f t="shared" si="0"/>
        <v/>
      </c>
      <c r="AB24" s="62" t="str">
        <f>IFERROR(IF(C24="","",IF(D24="","",IF($C24="TOTAL",SUM($AB$8:AB23),IF(C24=$AU$1,ROUND(D24*5/31,0.01),"")))),"")</f>
        <v/>
      </c>
      <c r="AC24" s="62" t="str">
        <f>IFERROR(IF(C24="","",IF(I24="","",IF($C24="TOTAL",SUM($AC$8:AC23),IF(C24=$AU$1,ROUND(I24*5/31,0.01),"")))),"")</f>
        <v/>
      </c>
      <c r="AD24" s="62" t="str">
        <f t="shared" si="16"/>
        <v/>
      </c>
      <c r="AE24" s="62" t="str">
        <f>IFERROR(IF(C24="","",IF(AND(BP25="",BW25=""),"",IF($C24="TOTAL",SUM($AE$8:AE23),BP25))),"")</f>
        <v/>
      </c>
      <c r="AF24" s="62">
        <f>IFERROR(IF(C24="","",IF($C24="TOTAL",SUM($AF$8:AF23),ROUND(R24*$AU$7%,0))),"")</f>
        <v>0</v>
      </c>
      <c r="AG24" s="62">
        <f t="shared" si="8"/>
        <v>662</v>
      </c>
      <c r="AH24" s="64">
        <f>IFERROR(IF(C24="","",IF($C24="TOTAL",SUM($AH$8:AH23),SUM(R24-AG24))),"")</f>
        <v>7500</v>
      </c>
      <c r="AI24" s="1"/>
      <c r="AJ24" s="32"/>
      <c r="AL24" s="26"/>
      <c r="AM24" s="27"/>
      <c r="AN24" s="27"/>
      <c r="AO24" s="144"/>
      <c r="AP24" s="177"/>
      <c r="AQ24" s="183">
        <f t="shared" si="17"/>
        <v>17</v>
      </c>
      <c r="AR24" s="183">
        <f t="shared" si="18"/>
        <v>17</v>
      </c>
      <c r="AS24" s="185">
        <v>42979</v>
      </c>
      <c r="AT24" s="185">
        <v>43191</v>
      </c>
      <c r="AU24" s="184">
        <f>'Master Sheet'!I15</f>
        <v>2100</v>
      </c>
      <c r="AV24" s="185">
        <f t="shared" si="40"/>
        <v>44013</v>
      </c>
      <c r="AW24" s="185">
        <f t="shared" si="34"/>
        <v>44013</v>
      </c>
      <c r="AX24" s="185" t="str">
        <f t="shared" si="20"/>
        <v/>
      </c>
      <c r="AY24" s="185">
        <f t="shared" si="21"/>
        <v>44013</v>
      </c>
      <c r="AZ24" s="185">
        <f t="shared" si="35"/>
        <v>44013</v>
      </c>
      <c r="BA24" s="184">
        <f t="shared" si="36"/>
        <v>107300</v>
      </c>
      <c r="BB24" s="184">
        <f t="shared" si="22"/>
        <v>21460</v>
      </c>
      <c r="BC24" s="184">
        <f t="shared" si="23"/>
        <v>21889</v>
      </c>
      <c r="BD24" s="184">
        <f t="shared" si="37"/>
        <v>8584</v>
      </c>
      <c r="BE24" s="184"/>
      <c r="BF24" s="184">
        <f t="shared" si="38"/>
        <v>101800</v>
      </c>
      <c r="BG24" s="184">
        <f t="shared" si="24"/>
        <v>20360</v>
      </c>
      <c r="BH24" s="184">
        <f t="shared" si="25"/>
        <v>20767</v>
      </c>
      <c r="BI24" s="184">
        <f t="shared" si="39"/>
        <v>8144</v>
      </c>
      <c r="BJ24" s="184">
        <f t="shared" si="26"/>
        <v>3675</v>
      </c>
      <c r="BK24" s="184"/>
      <c r="BL24" s="184"/>
      <c r="BM24" s="184">
        <f t="shared" si="27"/>
        <v>8162</v>
      </c>
      <c r="BN24" s="184">
        <f t="shared" si="28"/>
        <v>3675</v>
      </c>
      <c r="BO24" s="184" t="str">
        <f t="shared" si="29"/>
        <v/>
      </c>
      <c r="BP24" s="184" t="str">
        <f t="shared" si="10"/>
        <v/>
      </c>
      <c r="BQ24" s="184">
        <f t="shared" si="11"/>
        <v>0</v>
      </c>
      <c r="BR24" s="184">
        <f t="shared" si="12"/>
        <v>0</v>
      </c>
      <c r="BS24" s="184"/>
      <c r="BT24" s="184"/>
      <c r="BU24" s="184"/>
      <c r="BV24" s="184"/>
      <c r="BW24" s="184" t="str">
        <f t="shared" si="30"/>
        <v/>
      </c>
      <c r="BX24" s="184"/>
      <c r="BY24" s="179" t="str">
        <f t="shared" si="31"/>
        <v/>
      </c>
      <c r="BZ24" s="179" t="str">
        <f>IF(AZ25="","",IF(AZ25="TOTAL","",IF($AU$16=$AU$17,0,IF(AND(AZ25&gt;$BY$1,$AI$3=$AR$2,'Master Sheet'!$D$27&gt;0),'Master Sheet'!$D$27,IF(AND(AZ25=$BY$1),IF($AU$9&lt;18001,135,IF($AU$9&lt;33501,220,IF($AU$9&lt;54001,330,440))),IF(AND(AZ25&gt;$BY$1),IF($AU$9&lt;18001,265,IF($AU$9&lt;33501,440,IF($AU$9&lt;54001,658,875))),""))))))</f>
        <v/>
      </c>
      <c r="CA24" s="184"/>
      <c r="CB24" s="184"/>
      <c r="CC24" s="184"/>
      <c r="CD24" s="184"/>
      <c r="CE24" s="184"/>
      <c r="CF24" s="186"/>
      <c r="CG24" s="147"/>
    </row>
    <row r="25" spans="1:85" s="28" customFormat="1" ht="21" customHeight="1">
      <c r="A25" s="110">
        <f>IF(C25="TOTAL","",IF(B24="","",IF(LEN(C25)&gt;=2,B24+1,0)))</f>
        <v>18</v>
      </c>
      <c r="B25" s="60">
        <f t="shared" si="1"/>
        <v>18</v>
      </c>
      <c r="C25" s="61">
        <f t="shared" si="33"/>
        <v>44075</v>
      </c>
      <c r="D25" s="62">
        <f>IFERROR(IF($C24="TOTAL","अक्षरें राशि :-",IF($C25="TOTAL",SUM($D$8:D24),IF(BA26="","",BA26))),"")</f>
        <v>107300</v>
      </c>
      <c r="E25" s="62">
        <f>IFERROR(IF($C25="TOTAL",SUM($E$8:E24),IF(BC26="","",BC26)),"")</f>
        <v>21889</v>
      </c>
      <c r="F25" s="62">
        <f>IFERROR(IF($C25="TOTAL",SUM($F$8:F24),IF(OR(C25=$AS$16,C25=$AS$17,C25=$AS$18,C25=$AS$19,C25=$AS$20,C25=$AS$21,C25=$AS$22,C25=$AS$23,C25=$AS$24),0,IF(BD26="","",BD26))),"")</f>
        <v>8584</v>
      </c>
      <c r="G25" s="62">
        <f>IFERROR(IF($C25="TOTAL",SUM($G$8:G24),IF(BB26="","",BB26)),"")</f>
        <v>21460</v>
      </c>
      <c r="H25" s="62">
        <f t="shared" si="3"/>
        <v>159233</v>
      </c>
      <c r="I25" s="62">
        <f>IFERROR(IF($C25="TOTAL",SUM($I$8:I24),IF(BF26="","",BF26)),"")</f>
        <v>101800</v>
      </c>
      <c r="J25" s="62">
        <f>IFERROR(IF($C25="TOTAL",SUM($J$8:J24),IF(BH26="","",BH26)),"")</f>
        <v>20767</v>
      </c>
      <c r="K25" s="62">
        <f>IFERROR(IF($C25="TOTAL",SUM($K$8:K24),IF(OR(C25=$AS$16,C25=$AS$17,C25=$AS$18,C25=$AS$19,C25=$AS$20,C25=$AS$21,C25=$AS$22,C25=$AS$23,C25=$AS$24),0,IF(BI26="","",BI26))),"")</f>
        <v>8144</v>
      </c>
      <c r="L25" s="62">
        <f>IFERROR(IF($C25="TOTAL",SUM($L$8:L24),IF(BG26="","",BG26)),"")</f>
        <v>20360</v>
      </c>
      <c r="M25" s="62">
        <f t="shared" si="4"/>
        <v>151071</v>
      </c>
      <c r="N25" s="62">
        <f>IFERROR(IF(C25="","",IF(D25="","",IF(I25="","",IF($C25="TOTAL",SUM($N$8:N24),SUM(D25-I25))))),"")</f>
        <v>5500</v>
      </c>
      <c r="O25" s="62">
        <f>IFERROR(IF(C25="","",IF(E25="","",IF(J25="","",IF($C25="TOTAL",SUM($O$8:O24),SUM(E25-J25))))),"")</f>
        <v>1122</v>
      </c>
      <c r="P25" s="62">
        <f>IFERROR(IF(C25="","",IF(F25="","",IF(K25="","",IF($C25="TOTAL",SUM($P$8:P24),SUM(F25-K25))))),"")</f>
        <v>440</v>
      </c>
      <c r="Q25" s="62">
        <f t="shared" si="5"/>
        <v>1100</v>
      </c>
      <c r="R25" s="62">
        <f t="shared" si="13"/>
        <v>8162</v>
      </c>
      <c r="S25" s="62">
        <f>IFERROR(IF(C25="","",IF($C25="TOTAL",SUM($S$8:S24),IF(AND(C25&gt;$AR$1,$AI$3=$AR$2),BW26,IF($AU$18=$AU$20,SUM(BJ26+BR26),ROUND((D25+E25)*10%,0))))),"")</f>
        <v>12919</v>
      </c>
      <c r="T25" s="62">
        <f>IFERROR(IF(C25="","",IF(I25="","",IF(J25="","",IF($C25="TOTAL",SUM($T$8:T24),IF(AND(C25&gt;$AR$1,$AI$3=$AR$2),BW26,IF($AU$18=$AU$20,$AU$21,ROUND((I25+J25)*10%,0))))))),"")</f>
        <v>12257</v>
      </c>
      <c r="U25" s="62">
        <f t="shared" si="14"/>
        <v>662</v>
      </c>
      <c r="V25" s="63">
        <f>IFERROR(IF(C25="","",IF($AU$16=$AU$17,0,IF($C25="TOTAL",SUM($V$8:V24),IF($AU$19=$AU$31,0,IF(AND($AU$32=$AU$20,C25=$AU$33),$AU$34,V24))))),"")</f>
        <v>2100</v>
      </c>
      <c r="W25" s="63">
        <f>IFERROR(IF(C25="","",IF($AU$16=$AU$17,0,IF($C25="TOTAL",SUM($W$8:W24),IF($AU$19=$AU$20,$AU$24,0)))),"")</f>
        <v>2100</v>
      </c>
      <c r="X25" s="62">
        <f t="shared" si="15"/>
        <v>0</v>
      </c>
      <c r="Y25" s="62" t="str">
        <f>IFERROR(IF(C25="","",IF($AU$16=$AU$17,0,IF($C25="TOTAL",SUM($Y$8:Y24),BZ25))),"")</f>
        <v/>
      </c>
      <c r="Z25" s="62" t="str">
        <f>IFERROR(IF(C25="","",IF($AU$16=$AU$17,0,IF($C25="TOTAL",SUM($Z$8:Z24),BY25))),"")</f>
        <v/>
      </c>
      <c r="AA25" s="62" t="str">
        <f t="shared" si="0"/>
        <v/>
      </c>
      <c r="AB25" s="62" t="str">
        <f>IFERROR(IF(C25="","",IF(D25="","",IF($C25="TOTAL",SUM($AB$8:AB24),IF(C25=$AU$1,ROUND(D25*5/31,0.01),"")))),"")</f>
        <v/>
      </c>
      <c r="AC25" s="62" t="str">
        <f>IFERROR(IF(C25="","",IF(I25="","",IF($C25="TOTAL",SUM($AC$8:AC24),IF(C25=$AU$1,ROUND(I25*5/31,0.01),"")))),"")</f>
        <v/>
      </c>
      <c r="AD25" s="62" t="str">
        <f t="shared" si="16"/>
        <v/>
      </c>
      <c r="AE25" s="62" t="str">
        <f>IFERROR(IF(C25="","",IF(AND(BP26="",BW26=""),"",IF($C25="TOTAL",SUM($AE$8:AE24),BP26))),"")</f>
        <v/>
      </c>
      <c r="AF25" s="62">
        <f>IFERROR(IF(C25="","",IF($C25="TOTAL",SUM($AF$8:AF24),ROUND(R25*$AU$7%,0))),"")</f>
        <v>0</v>
      </c>
      <c r="AG25" s="62">
        <f t="shared" si="8"/>
        <v>662</v>
      </c>
      <c r="AH25" s="64">
        <f>IFERROR(IF(C25="","",IF($C25="TOTAL",SUM($AH$8:AH24),SUM(R25-AG25))),"")</f>
        <v>7500</v>
      </c>
      <c r="AI25" s="59"/>
      <c r="AJ25" s="32"/>
      <c r="AL25" s="26"/>
      <c r="AM25" s="27"/>
      <c r="AN25" s="27"/>
      <c r="AO25" s="144"/>
      <c r="AP25" s="177"/>
      <c r="AQ25" s="183">
        <f t="shared" si="17"/>
        <v>17</v>
      </c>
      <c r="AR25" s="183">
        <f t="shared" si="18"/>
        <v>17</v>
      </c>
      <c r="AS25" s="184"/>
      <c r="AT25" s="185">
        <v>43221</v>
      </c>
      <c r="AU25" s="184">
        <f>'Master Sheet'!M15</f>
        <v>2100</v>
      </c>
      <c r="AV25" s="185">
        <f t="shared" si="40"/>
        <v>44044</v>
      </c>
      <c r="AW25" s="185">
        <f t="shared" si="34"/>
        <v>44044</v>
      </c>
      <c r="AX25" s="185" t="str">
        <f t="shared" si="20"/>
        <v/>
      </c>
      <c r="AY25" s="185">
        <f t="shared" si="21"/>
        <v>44044</v>
      </c>
      <c r="AZ25" s="185">
        <f t="shared" si="35"/>
        <v>44044</v>
      </c>
      <c r="BA25" s="184">
        <f t="shared" si="36"/>
        <v>107300</v>
      </c>
      <c r="BB25" s="184">
        <f t="shared" si="22"/>
        <v>21460</v>
      </c>
      <c r="BC25" s="184">
        <f t="shared" si="23"/>
        <v>21889</v>
      </c>
      <c r="BD25" s="184">
        <f t="shared" si="37"/>
        <v>8584</v>
      </c>
      <c r="BE25" s="184"/>
      <c r="BF25" s="184">
        <f t="shared" si="38"/>
        <v>101800</v>
      </c>
      <c r="BG25" s="184">
        <f t="shared" si="24"/>
        <v>20360</v>
      </c>
      <c r="BH25" s="184">
        <f t="shared" si="25"/>
        <v>20767</v>
      </c>
      <c r="BI25" s="184">
        <f t="shared" si="39"/>
        <v>8144</v>
      </c>
      <c r="BJ25" s="184">
        <f t="shared" si="26"/>
        <v>3675</v>
      </c>
      <c r="BK25" s="184"/>
      <c r="BL25" s="184"/>
      <c r="BM25" s="184">
        <f t="shared" si="27"/>
        <v>8162</v>
      </c>
      <c r="BN25" s="184">
        <f t="shared" si="28"/>
        <v>3675</v>
      </c>
      <c r="BO25" s="184" t="str">
        <f t="shared" si="29"/>
        <v/>
      </c>
      <c r="BP25" s="184" t="str">
        <f t="shared" si="10"/>
        <v/>
      </c>
      <c r="BQ25" s="184">
        <f t="shared" si="11"/>
        <v>0</v>
      </c>
      <c r="BR25" s="184">
        <f t="shared" si="12"/>
        <v>0</v>
      </c>
      <c r="BS25" s="184"/>
      <c r="BT25" s="184"/>
      <c r="BU25" s="184"/>
      <c r="BV25" s="184"/>
      <c r="BW25" s="184" t="str">
        <f t="shared" si="30"/>
        <v/>
      </c>
      <c r="BX25" s="184"/>
      <c r="BY25" s="179" t="str">
        <f t="shared" si="31"/>
        <v/>
      </c>
      <c r="BZ25" s="179" t="str">
        <f>IF(AZ26="","",IF(AZ26="TOTAL","",IF($AU$16=$AU$17,0,IF(AND(AZ26&gt;$BY$1,$AI$3=$AR$2,'Master Sheet'!$D$27&gt;0),'Master Sheet'!$D$27,IF(AND(AZ26=$BY$1),IF($AU$9&lt;18001,135,IF($AU$9&lt;33501,220,IF($AU$9&lt;54001,330,440))),IF(AND(AZ26&gt;$BY$1),IF($AU$9&lt;18001,265,IF($AU$9&lt;33501,440,IF($AU$9&lt;54001,658,875))),""))))))</f>
        <v/>
      </c>
      <c r="CA25" s="184"/>
      <c r="CB25" s="184"/>
      <c r="CC25" s="184"/>
      <c r="CD25" s="184"/>
      <c r="CE25" s="184"/>
      <c r="CF25" s="186"/>
      <c r="CG25" s="147"/>
    </row>
    <row r="26" spans="1:85" s="28" customFormat="1" ht="21" customHeight="1">
      <c r="A26" s="110">
        <f>IF(C26="TOTAL","",IF(B25="","",IF(LEN(C26)&gt;=2,B25+1,0)))</f>
        <v>19</v>
      </c>
      <c r="B26" s="60">
        <f t="shared" si="1"/>
        <v>19</v>
      </c>
      <c r="C26" s="61">
        <f t="shared" si="33"/>
        <v>44105</v>
      </c>
      <c r="D26" s="62">
        <f>IFERROR(IF($C25="TOTAL","अक्षरें राशि :-",IF($C26="TOTAL",SUM($D$8:D25),IF(BA27="","",BA27))),"")</f>
        <v>107300</v>
      </c>
      <c r="E26" s="62">
        <f>IFERROR(IF($C26="TOTAL",SUM($E$8:E25),IF(BC27="","",BC27)),"")</f>
        <v>21889</v>
      </c>
      <c r="F26" s="62">
        <f>IFERROR(IF($C26="TOTAL",SUM($F$8:F25),IF(OR(C26=$AS$16,C26=$AS$17,C26=$AS$18,C26=$AS$19,C26=$AS$20,C26=$AS$21,C26=$AS$22,C26=$AS$23,C26=$AS$24),0,IF(BD27="","",BD27))),"")</f>
        <v>8584</v>
      </c>
      <c r="G26" s="62">
        <f>IFERROR(IF($C26="TOTAL",SUM($G$8:G25),IF(BB27="","",BB27)),"")</f>
        <v>21460</v>
      </c>
      <c r="H26" s="62">
        <f t="shared" si="3"/>
        <v>159233</v>
      </c>
      <c r="I26" s="62">
        <f>IFERROR(IF($C26="TOTAL",SUM($I$8:I25),IF(BF27="","",BF27)),"")</f>
        <v>101800</v>
      </c>
      <c r="J26" s="62">
        <f>IFERROR(IF($C26="TOTAL",SUM($J$8:J25),IF(BH27="","",BH27)),"")</f>
        <v>20767</v>
      </c>
      <c r="K26" s="62">
        <f>IFERROR(IF($C26="TOTAL",SUM($K$8:K25),IF(OR(C26=$AS$16,C26=$AS$17,C26=$AS$18,C26=$AS$19,C26=$AS$20,C26=$AS$21,C26=$AS$22,C26=$AS$23,C26=$AS$24),0,IF(BI27="","",BI27))),"")</f>
        <v>8144</v>
      </c>
      <c r="L26" s="62">
        <f>IFERROR(IF($C26="TOTAL",SUM($L$8:L25),IF(BG27="","",BG27)),"")</f>
        <v>20360</v>
      </c>
      <c r="M26" s="62">
        <f t="shared" si="4"/>
        <v>151071</v>
      </c>
      <c r="N26" s="62">
        <f>IFERROR(IF(C26="","",IF(D26="","",IF(I26="","",IF($C26="TOTAL",SUM($N$8:N25),SUM(D26-I26))))),"")</f>
        <v>5500</v>
      </c>
      <c r="O26" s="62">
        <f>IFERROR(IF(C26="","",IF(E26="","",IF(J26="","",IF($C26="TOTAL",SUM($O$8:O25),SUM(E26-J26))))),"")</f>
        <v>1122</v>
      </c>
      <c r="P26" s="62">
        <f>IFERROR(IF(C26="","",IF(F26="","",IF(K26="","",IF($C26="TOTAL",SUM($P$8:P25),SUM(F26-K26))))),"")</f>
        <v>440</v>
      </c>
      <c r="Q26" s="62">
        <f t="shared" si="5"/>
        <v>1100</v>
      </c>
      <c r="R26" s="62">
        <f t="shared" si="13"/>
        <v>8162</v>
      </c>
      <c r="S26" s="62">
        <f>IFERROR(IF(C26="","",IF($C26="TOTAL",SUM($S$8:S25),IF(AND(C26&gt;$AR$1,$AI$3=$AR$2),BW27,IF($AU$18=$AU$20,SUM(BJ27+BR27),ROUND((D26+E26)*10%,0))))),"")</f>
        <v>12919</v>
      </c>
      <c r="T26" s="62">
        <f>IFERROR(IF(C26="","",IF(I26="","",IF(J26="","",IF($C26="TOTAL",SUM($T$8:T25),IF(AND(C26&gt;$AR$1,$AI$3=$AR$2),BW27,IF($AU$18=$AU$20,$AU$21,ROUND((I26+J26)*10%,0))))))),"")</f>
        <v>12257</v>
      </c>
      <c r="U26" s="62">
        <f t="shared" si="14"/>
        <v>662</v>
      </c>
      <c r="V26" s="63">
        <f>IFERROR(IF(C26="","",IF($AU$16=$AU$17,0,IF($C26="TOTAL",SUM($V$8:V25),IF($AU$19=$AU$31,0,IF(AND($AU$32=$AU$20,C26=$AU$33),$AU$34,V25))))),"")</f>
        <v>2100</v>
      </c>
      <c r="W26" s="63">
        <f>IFERROR(IF(C26="","",IF($AU$16=$AU$17,0,IF($C26="TOTAL",SUM($W$8:W25),IF($AU$19=$AU$20,$AU$24,0)))),"")</f>
        <v>2100</v>
      </c>
      <c r="X26" s="62">
        <f t="shared" si="15"/>
        <v>0</v>
      </c>
      <c r="Y26" s="62" t="str">
        <f>IFERROR(IF(C26="","",IF($AU$16=$AU$17,0,IF($C26="TOTAL",SUM($Y$8:Y25),BZ26))),"")</f>
        <v/>
      </c>
      <c r="Z26" s="62" t="str">
        <f>IFERROR(IF(C26="","",IF($AU$16=$AU$17,0,IF($C26="TOTAL",SUM($Z$8:Z25),BY26))),"")</f>
        <v/>
      </c>
      <c r="AA26" s="62" t="str">
        <f t="shared" si="0"/>
        <v/>
      </c>
      <c r="AB26" s="62" t="str">
        <f>IFERROR(IF(C26="","",IF(D26="","",IF($C26="TOTAL",SUM($AB$8:AB25),IF(C26=$AU$1,ROUND(D26*5/31,0.01),"")))),"")</f>
        <v/>
      </c>
      <c r="AC26" s="62" t="str">
        <f>IFERROR(IF(C26="","",IF(I26="","",IF($C26="TOTAL",SUM($AC$8:AC25),IF(C26=$AU$1,ROUND(I26*5/31,0.01),"")))),"")</f>
        <v/>
      </c>
      <c r="AD26" s="62" t="str">
        <f t="shared" si="16"/>
        <v/>
      </c>
      <c r="AE26" s="62" t="str">
        <f>IFERROR(IF(C26="","",IF(AND(BP27="",BW27=""),"",IF($C26="TOTAL",SUM($AE$8:AE25),BP27))),"")</f>
        <v/>
      </c>
      <c r="AF26" s="62">
        <f>IFERROR(IF(C26="","",IF($C26="TOTAL",SUM($AF$8:AF25),ROUND(R26*$AU$7%,0))),"")</f>
        <v>0</v>
      </c>
      <c r="AG26" s="62">
        <f t="shared" si="8"/>
        <v>662</v>
      </c>
      <c r="AH26" s="64">
        <f>IFERROR(IF(C26="","",IF($C26="TOTAL",SUM($AH$8:AH25),SUM(R26-AG26))),"")</f>
        <v>7500</v>
      </c>
      <c r="AI26" s="59"/>
      <c r="AJ26" s="32"/>
      <c r="AL26" s="26"/>
      <c r="AM26" s="27"/>
      <c r="AN26" s="27"/>
      <c r="AO26" s="144"/>
      <c r="AP26" s="177"/>
      <c r="AQ26" s="183">
        <f t="shared" si="17"/>
        <v>17</v>
      </c>
      <c r="AR26" s="183">
        <f t="shared" si="18"/>
        <v>17</v>
      </c>
      <c r="AS26" s="184"/>
      <c r="AT26" s="185">
        <v>43252</v>
      </c>
      <c r="AU26" s="184"/>
      <c r="AV26" s="185">
        <f t="shared" si="40"/>
        <v>44075</v>
      </c>
      <c r="AW26" s="185">
        <f t="shared" si="34"/>
        <v>44075</v>
      </c>
      <c r="AX26" s="185" t="str">
        <f t="shared" si="20"/>
        <v/>
      </c>
      <c r="AY26" s="185">
        <f t="shared" si="21"/>
        <v>44075</v>
      </c>
      <c r="AZ26" s="185">
        <f>IFERROR(IF(AY26="","",IF(DATE(YEAR(AY26),MONTH(AY26),DAY(AY26))=DATE(YEAR($AV$6),MONTH($AV$6)+1,DAY($AV$6)),"TOTAL",IF(AY26&gt;$AV$6,"",AY26))),"")</f>
        <v>44075</v>
      </c>
      <c r="BA26" s="184">
        <f t="shared" si="36"/>
        <v>107300</v>
      </c>
      <c r="BB26" s="184">
        <f t="shared" si="22"/>
        <v>21460</v>
      </c>
      <c r="BC26" s="184">
        <f t="shared" si="23"/>
        <v>21889</v>
      </c>
      <c r="BD26" s="184">
        <f t="shared" si="37"/>
        <v>8584</v>
      </c>
      <c r="BE26" s="184"/>
      <c r="BF26" s="184">
        <f t="shared" si="38"/>
        <v>101800</v>
      </c>
      <c r="BG26" s="184">
        <f t="shared" si="24"/>
        <v>20360</v>
      </c>
      <c r="BH26" s="184">
        <f t="shared" si="25"/>
        <v>20767</v>
      </c>
      <c r="BI26" s="184">
        <f t="shared" si="39"/>
        <v>8144</v>
      </c>
      <c r="BJ26" s="184">
        <f t="shared" si="26"/>
        <v>3675</v>
      </c>
      <c r="BK26" s="184"/>
      <c r="BL26" s="184"/>
      <c r="BM26" s="184">
        <f t="shared" si="27"/>
        <v>8162</v>
      </c>
      <c r="BN26" s="184">
        <f t="shared" si="28"/>
        <v>3675</v>
      </c>
      <c r="BO26" s="184" t="str">
        <f t="shared" si="29"/>
        <v/>
      </c>
      <c r="BP26" s="184" t="str">
        <f t="shared" si="10"/>
        <v/>
      </c>
      <c r="BQ26" s="184">
        <f t="shared" si="11"/>
        <v>0</v>
      </c>
      <c r="BR26" s="184">
        <f t="shared" si="12"/>
        <v>0</v>
      </c>
      <c r="BS26" s="184"/>
      <c r="BT26" s="184"/>
      <c r="BU26" s="184"/>
      <c r="BV26" s="184"/>
      <c r="BW26" s="184" t="str">
        <f t="shared" si="30"/>
        <v/>
      </c>
      <c r="BX26" s="184"/>
      <c r="BY26" s="179" t="str">
        <f t="shared" si="31"/>
        <v/>
      </c>
      <c r="BZ26" s="179" t="str">
        <f>IF(AZ27="","",IF(AZ27="TOTAL","",IF($AU$16=$AU$17,0,IF(AND(AZ27&gt;$BY$1,$AI$3=$AR$2,'Master Sheet'!$D$27&gt;0),'Master Sheet'!$D$27,IF(AND(AZ27=$BY$1),IF($AU$9&lt;18001,135,IF($AU$9&lt;33501,220,IF($AU$9&lt;54001,330,440))),IF(AND(AZ27&gt;$BY$1),IF($AU$9&lt;18001,265,IF($AU$9&lt;33501,440,IF($AU$9&lt;54001,658,875))),""))))))</f>
        <v/>
      </c>
      <c r="CA26" s="184"/>
      <c r="CB26" s="184"/>
      <c r="CC26" s="184"/>
      <c r="CD26" s="184"/>
      <c r="CE26" s="184"/>
      <c r="CF26" s="186"/>
      <c r="CG26" s="147"/>
    </row>
    <row r="27" spans="1:85" s="28" customFormat="1" ht="21" customHeight="1">
      <c r="A27" s="110">
        <f t="shared" si="32"/>
        <v>20</v>
      </c>
      <c r="B27" s="60">
        <f t="shared" si="1"/>
        <v>20</v>
      </c>
      <c r="C27" s="61">
        <f t="shared" si="33"/>
        <v>44136</v>
      </c>
      <c r="D27" s="62">
        <f>IFERROR(IF($C26="TOTAL","अक्षरें राशि :-",IF($C27="TOTAL",SUM($D$8:D26),IF(BA28="","",BA28))),"")</f>
        <v>107300</v>
      </c>
      <c r="E27" s="62">
        <f>IFERROR(IF($C27="TOTAL",SUM($E$8:E26),IF(BC28="","",BC28)),"")</f>
        <v>21889</v>
      </c>
      <c r="F27" s="62">
        <f>IFERROR(IF($C27="TOTAL",SUM($F$8:F26),IF(OR(C27=$AS$16,C27=$AS$17,C27=$AS$18,C27=$AS$19,C27=$AS$20,C27=$AS$21,C27=$AS$22,C27=$AS$23,C27=$AS$24),0,IF(BD28="","",BD28))),"")</f>
        <v>8584</v>
      </c>
      <c r="G27" s="62">
        <f>IFERROR(IF($C27="TOTAL",SUM($G$8:G26),IF(BB28="","",BB28)),"")</f>
        <v>21460</v>
      </c>
      <c r="H27" s="62">
        <f t="shared" si="3"/>
        <v>159233</v>
      </c>
      <c r="I27" s="62">
        <f>IFERROR(IF($C27="TOTAL",SUM($I$8:I26),IF(BF28="","",BF28)),"")</f>
        <v>101800</v>
      </c>
      <c r="J27" s="62">
        <f>IFERROR(IF($C27="TOTAL",SUM($J$8:J26),IF(BH28="","",BH28)),"")</f>
        <v>20767</v>
      </c>
      <c r="K27" s="62">
        <f>IFERROR(IF($C27="TOTAL",SUM($K$8:K26),IF(OR(C27=$AS$16,C27=$AS$17,C27=$AS$18,C27=$AS$19,C27=$AS$20,C27=$AS$21,C27=$AS$22,C27=$AS$23,C27=$AS$24),0,IF(BI28="","",BI28))),"")</f>
        <v>8144</v>
      </c>
      <c r="L27" s="62">
        <f>IFERROR(IF($C27="TOTAL",SUM($L$8:L26),IF(BG28="","",BG28)),"")</f>
        <v>20360</v>
      </c>
      <c r="M27" s="62">
        <f t="shared" si="4"/>
        <v>151071</v>
      </c>
      <c r="N27" s="62">
        <f>IFERROR(IF(C27="","",IF(D27="","",IF(I27="","",IF($C27="TOTAL",SUM($N$8:N26),SUM(D27-I27))))),"")</f>
        <v>5500</v>
      </c>
      <c r="O27" s="62">
        <f>IFERROR(IF(C27="","",IF(E27="","",IF(J27="","",IF($C27="TOTAL",SUM($O$8:O26),SUM(E27-J27))))),"")</f>
        <v>1122</v>
      </c>
      <c r="P27" s="62">
        <f>IFERROR(IF(C27="","",IF(F27="","",IF(K27="","",IF($C27="TOTAL",SUM($P$8:P26),SUM(F27-K27))))),"")</f>
        <v>440</v>
      </c>
      <c r="Q27" s="62">
        <f t="shared" si="5"/>
        <v>1100</v>
      </c>
      <c r="R27" s="62">
        <f t="shared" si="13"/>
        <v>8162</v>
      </c>
      <c r="S27" s="62">
        <f>IFERROR(IF(C27="","",IF($C27="TOTAL",SUM($S$8:S26),IF(AND(C27&gt;$AR$1,$AI$3=$AR$2),BW28,IF($AU$18=$AU$20,SUM(BJ28+BR28),ROUND((D27+E27)*10%,0))))),"")</f>
        <v>12919</v>
      </c>
      <c r="T27" s="62">
        <f>IFERROR(IF(C27="","",IF(I27="","",IF(J27="","",IF($C27="TOTAL",SUM($T$8:T26),IF(AND(C27&gt;$AR$1,$AI$3=$AR$2),BW28,IF($AU$18=$AU$20,$AU$21,ROUND((I27+J27)*10%,0))))))),"")</f>
        <v>12257</v>
      </c>
      <c r="U27" s="62">
        <f t="shared" si="14"/>
        <v>662</v>
      </c>
      <c r="V27" s="63">
        <f>IFERROR(IF(C27="","",IF($AU$16=$AU$17,0,IF($C27="TOTAL",SUM($V$8:V26),IF($AU$19=$AU$31,0,IF(AND($AU$32=$AU$20,C27=$AU$33),$AU$34,V26))))),"")</f>
        <v>2100</v>
      </c>
      <c r="W27" s="63">
        <f>IFERROR(IF(C27="","",IF($AU$16=$AU$17,0,IF($C27="TOTAL",SUM($W$8:W26),IF($AU$19=$AU$20,$AU$24,0)))),"")</f>
        <v>2100</v>
      </c>
      <c r="X27" s="62">
        <f t="shared" si="15"/>
        <v>0</v>
      </c>
      <c r="Y27" s="62" t="str">
        <f>IFERROR(IF(C27="","",IF($AU$16=$AU$17,0,IF($C27="TOTAL",SUM($Y$8:Y26),BZ27))),"")</f>
        <v/>
      </c>
      <c r="Z27" s="62" t="str">
        <f>IFERROR(IF(C27="","",IF($AU$16=$AU$17,0,IF($C27="TOTAL",SUM($Z$8:Z26),BY27))),"")</f>
        <v/>
      </c>
      <c r="AA27" s="62" t="str">
        <f t="shared" si="0"/>
        <v/>
      </c>
      <c r="AB27" s="62" t="str">
        <f>IFERROR(IF(C27="","",IF(D27="","",IF($C27="TOTAL",SUM($AB$8:AB26),IF(C27=$AU$1,ROUND(D27*5/31,0.01),"")))),"")</f>
        <v/>
      </c>
      <c r="AC27" s="62" t="str">
        <f>IFERROR(IF(C27="","",IF(I27="","",IF($C27="TOTAL",SUM($AC$8:AC26),IF(C27=$AU$1,ROUND(I27*5/31,0.01),"")))),"")</f>
        <v/>
      </c>
      <c r="AD27" s="62" t="str">
        <f t="shared" si="16"/>
        <v/>
      </c>
      <c r="AE27" s="62" t="str">
        <f>IFERROR(IF(C27="","",IF(AND(BP28="",BW28=""),"",IF($C27="TOTAL",SUM($AE$8:AE26),BP28))),"")</f>
        <v/>
      </c>
      <c r="AF27" s="62">
        <f>IFERROR(IF(C27="","",IF($C27="TOTAL",SUM($AF$8:AF26),ROUND(R27*$AU$7%,0))),"")</f>
        <v>0</v>
      </c>
      <c r="AG27" s="62">
        <f t="shared" si="8"/>
        <v>662</v>
      </c>
      <c r="AH27" s="64">
        <f>IFERROR(IF(C27="","",IF($C27="TOTAL",SUM($AH$8:AH26),SUM(R27-AG27))),"")</f>
        <v>7500</v>
      </c>
      <c r="AI27" s="35"/>
      <c r="AJ27" s="35"/>
      <c r="AL27" s="27"/>
      <c r="AM27" s="27"/>
      <c r="AN27" s="27"/>
      <c r="AO27" s="144"/>
      <c r="AP27" s="177"/>
      <c r="AQ27" s="183">
        <f t="shared" si="17"/>
        <v>17</v>
      </c>
      <c r="AR27" s="183">
        <f t="shared" si="18"/>
        <v>17</v>
      </c>
      <c r="AS27" s="184"/>
      <c r="AT27" s="185">
        <v>43282</v>
      </c>
      <c r="AU27" s="184"/>
      <c r="AV27" s="185">
        <f t="shared" si="40"/>
        <v>44105</v>
      </c>
      <c r="AW27" s="185">
        <f t="shared" si="34"/>
        <v>44105</v>
      </c>
      <c r="AX27" s="185" t="str">
        <f t="shared" si="20"/>
        <v/>
      </c>
      <c r="AY27" s="185">
        <f t="shared" si="21"/>
        <v>44105</v>
      </c>
      <c r="AZ27" s="185">
        <f t="shared" si="35"/>
        <v>44105</v>
      </c>
      <c r="BA27" s="184">
        <f t="shared" si="36"/>
        <v>107300</v>
      </c>
      <c r="BB27" s="184">
        <f t="shared" si="22"/>
        <v>21460</v>
      </c>
      <c r="BC27" s="184">
        <f t="shared" si="23"/>
        <v>21889</v>
      </c>
      <c r="BD27" s="184">
        <f t="shared" si="37"/>
        <v>8584</v>
      </c>
      <c r="BE27" s="184"/>
      <c r="BF27" s="184">
        <f t="shared" si="38"/>
        <v>101800</v>
      </c>
      <c r="BG27" s="184">
        <f t="shared" si="24"/>
        <v>20360</v>
      </c>
      <c r="BH27" s="184">
        <f t="shared" si="25"/>
        <v>20767</v>
      </c>
      <c r="BI27" s="184">
        <f t="shared" si="39"/>
        <v>8144</v>
      </c>
      <c r="BJ27" s="184">
        <f t="shared" si="26"/>
        <v>3675</v>
      </c>
      <c r="BK27" s="184"/>
      <c r="BL27" s="184"/>
      <c r="BM27" s="184">
        <f t="shared" si="27"/>
        <v>8162</v>
      </c>
      <c r="BN27" s="184">
        <f t="shared" si="28"/>
        <v>3675</v>
      </c>
      <c r="BO27" s="184" t="str">
        <f t="shared" si="29"/>
        <v/>
      </c>
      <c r="BP27" s="184" t="str">
        <f t="shared" si="10"/>
        <v/>
      </c>
      <c r="BQ27" s="184">
        <f t="shared" si="11"/>
        <v>0</v>
      </c>
      <c r="BR27" s="184">
        <f t="shared" si="12"/>
        <v>0</v>
      </c>
      <c r="BS27" s="184"/>
      <c r="BT27" s="184"/>
      <c r="BU27" s="184"/>
      <c r="BV27" s="184"/>
      <c r="BW27" s="184" t="str">
        <f t="shared" si="30"/>
        <v/>
      </c>
      <c r="BX27" s="184"/>
      <c r="BY27" s="179" t="str">
        <f t="shared" si="31"/>
        <v/>
      </c>
      <c r="BZ27" s="179" t="str">
        <f>IF(AZ28="","",IF(AZ28="TOTAL","",IF($AU$16=$AU$17,0,IF(AND(AZ28&gt;$BY$1,$AI$3=$AR$2,'Master Sheet'!$D$27&gt;0),'Master Sheet'!$D$27,IF(AND(AZ28=$BY$1),IF($AU$9&lt;18001,135,IF($AU$9&lt;33501,220,IF($AU$9&lt;54001,330,440))),IF(AND(AZ28&gt;$BY$1),IF($AU$9&lt;18001,265,IF($AU$9&lt;33501,440,IF($AU$9&lt;54001,658,875))),""))))))</f>
        <v/>
      </c>
      <c r="CA27" s="184"/>
      <c r="CB27" s="184"/>
      <c r="CC27" s="184"/>
      <c r="CD27" s="184"/>
      <c r="CE27" s="184"/>
      <c r="CF27" s="186"/>
      <c r="CG27" s="147"/>
    </row>
    <row r="28" spans="1:85" s="28" customFormat="1" ht="21" customHeight="1">
      <c r="A28" s="110">
        <f t="shared" si="32"/>
        <v>21</v>
      </c>
      <c r="B28" s="60">
        <f t="shared" si="1"/>
        <v>21</v>
      </c>
      <c r="C28" s="61">
        <f t="shared" si="33"/>
        <v>44166</v>
      </c>
      <c r="D28" s="62">
        <f>IFERROR(IF($C27="TOTAL","अक्षरें राशि :-",IF($C28="TOTAL",SUM($D$8:D27),IF(BA29="","",BA29))),"")</f>
        <v>107300</v>
      </c>
      <c r="E28" s="62">
        <f>IFERROR(IF($C28="TOTAL",SUM($E$8:E27),IF(BC29="","",BC29)),"")</f>
        <v>21889</v>
      </c>
      <c r="F28" s="62">
        <f>IFERROR(IF($C28="TOTAL",SUM($F$8:F27),IF(OR(C28=$AS$16,C28=$AS$17,C28=$AS$18,C28=$AS$19,C28=$AS$20,C28=$AS$21,C28=$AS$22,C28=$AS$23,C28=$AS$24),0,IF(BD29="","",BD29))),"")</f>
        <v>8584</v>
      </c>
      <c r="G28" s="62">
        <f>IFERROR(IF($C28="TOTAL",SUM($G$8:G27),IF(BB29="","",BB29)),"")</f>
        <v>21460</v>
      </c>
      <c r="H28" s="62">
        <f t="shared" si="3"/>
        <v>159233</v>
      </c>
      <c r="I28" s="62">
        <f>IFERROR(IF($C28="TOTAL",SUM($I$8:I27),IF(BF29="","",BF29)),"")</f>
        <v>101800</v>
      </c>
      <c r="J28" s="62">
        <f>IFERROR(IF($C28="TOTAL",SUM($J$8:J27),IF(BH29="","",BH29)),"")</f>
        <v>20767</v>
      </c>
      <c r="K28" s="62">
        <f>IFERROR(IF($C28="TOTAL",SUM($K$8:K27),IF(OR(C28=$AS$16,C28=$AS$17,C28=$AS$18,C28=$AS$19,C28=$AS$20,C28=$AS$21,C28=$AS$22,C28=$AS$23,C28=$AS$24),0,IF(BI29="","",BI29))),"")</f>
        <v>8144</v>
      </c>
      <c r="L28" s="62">
        <f>IFERROR(IF($C28="TOTAL",SUM($L$8:L27),IF(BG29="","",BG29)),"")</f>
        <v>20360</v>
      </c>
      <c r="M28" s="62">
        <f t="shared" si="4"/>
        <v>151071</v>
      </c>
      <c r="N28" s="62">
        <f>IFERROR(IF(C28="","",IF(D28="","",IF(I28="","",IF($C28="TOTAL",SUM($N$8:N27),SUM(D28-I28))))),"")</f>
        <v>5500</v>
      </c>
      <c r="O28" s="62">
        <f>IFERROR(IF(C28="","",IF(E28="","",IF(J28="","",IF($C28="TOTAL",SUM($O$8:O27),SUM(E28-J28))))),"")</f>
        <v>1122</v>
      </c>
      <c r="P28" s="62">
        <f>IFERROR(IF(C28="","",IF(F28="","",IF(K28="","",IF($C28="TOTAL",SUM($P$8:P27),SUM(F28-K28))))),"")</f>
        <v>440</v>
      </c>
      <c r="Q28" s="62">
        <f t="shared" si="5"/>
        <v>1100</v>
      </c>
      <c r="R28" s="62">
        <f t="shared" si="13"/>
        <v>8162</v>
      </c>
      <c r="S28" s="62">
        <f>IFERROR(IF(C28="","",IF($C28="TOTAL",SUM($S$8:S27),IF(AND(C28&gt;$AR$1,$AI$3=$AR$2),BW29,IF($AU$18=$AU$20,SUM(BJ29+BR29),ROUND((D28+E28)*10%,0))))),"")</f>
        <v>12919</v>
      </c>
      <c r="T28" s="62">
        <f>IFERROR(IF(C28="","",IF(I28="","",IF(J28="","",IF($C28="TOTAL",SUM($T$8:T27),IF(AND(C28&gt;$AR$1,$AI$3=$AR$2),BW29,IF($AU$18=$AU$20,$AU$21,ROUND((I28+J28)*10%,0))))))),"")</f>
        <v>12257</v>
      </c>
      <c r="U28" s="62">
        <f t="shared" si="14"/>
        <v>662</v>
      </c>
      <c r="V28" s="63">
        <f>IFERROR(IF(C28="","",IF($AU$16=$AU$17,0,IF($C28="TOTAL",SUM($V$8:V27),IF($AU$19=$AU$31,0,IF(AND($AU$32=$AU$20,C28=$AU$33),$AU$34,V27))))),"")</f>
        <v>2100</v>
      </c>
      <c r="W28" s="63">
        <f>IFERROR(IF(C28="","",IF($AU$16=$AU$17,0,IF($C28="TOTAL",SUM($W$8:W27),IF($AU$19=$AU$20,$AU$24,0)))),"")</f>
        <v>2100</v>
      </c>
      <c r="X28" s="62">
        <f t="shared" si="15"/>
        <v>0</v>
      </c>
      <c r="Y28" s="62" t="str">
        <f>IFERROR(IF(C28="","",IF($AU$16=$AU$17,0,IF($C28="TOTAL",SUM($Y$8:Y27),BZ28))),"")</f>
        <v/>
      </c>
      <c r="Z28" s="62" t="str">
        <f>IFERROR(IF(C28="","",IF($AU$16=$AU$17,0,IF($C28="TOTAL",SUM($Z$8:Z27),BY28))),"")</f>
        <v/>
      </c>
      <c r="AA28" s="62" t="str">
        <f t="shared" si="0"/>
        <v/>
      </c>
      <c r="AB28" s="62" t="str">
        <f>IFERROR(IF(C28="","",IF(D28="","",IF($C28="TOTAL",SUM($AB$8:AB27),IF(C28=$AU$1,ROUND(D28*5/31,0.01),"")))),"")</f>
        <v/>
      </c>
      <c r="AC28" s="62" t="str">
        <f>IFERROR(IF(C28="","",IF(I28="","",IF($C28="TOTAL",SUM($AC$8:AC27),IF(C28=$AU$1,ROUND(I28*5/31,0.01),"")))),"")</f>
        <v/>
      </c>
      <c r="AD28" s="62" t="str">
        <f t="shared" si="16"/>
        <v/>
      </c>
      <c r="AE28" s="62" t="str">
        <f>IFERROR(IF(C28="","",IF(AND(BP29="",BW29=""),"",IF($C28="TOTAL",SUM($AE$8:AE27),BP29))),"")</f>
        <v/>
      </c>
      <c r="AF28" s="62">
        <f>IFERROR(IF(C28="","",IF($C28="TOTAL",SUM($AF$8:AF27),ROUND(R28*$AU$7%,0))),"")</f>
        <v>0</v>
      </c>
      <c r="AG28" s="62">
        <f t="shared" si="8"/>
        <v>662</v>
      </c>
      <c r="AH28" s="64">
        <f>IFERROR(IF(C28="","",IF($C28="TOTAL",SUM($AH$8:AH27),SUM(R28-AG28))),"")</f>
        <v>7500</v>
      </c>
      <c r="AI28" s="15"/>
      <c r="AJ28" s="15"/>
      <c r="AO28" s="147"/>
      <c r="AP28" s="186"/>
      <c r="AQ28" s="183">
        <f t="shared" si="17"/>
        <v>17</v>
      </c>
      <c r="AR28" s="183">
        <f t="shared" si="18"/>
        <v>17</v>
      </c>
      <c r="AS28" s="184"/>
      <c r="AT28" s="185">
        <v>43313</v>
      </c>
      <c r="AU28" s="184" t="str">
        <f>'Master Sheet'!D23</f>
        <v>NO</v>
      </c>
      <c r="AV28" s="185">
        <f t="shared" si="40"/>
        <v>44136</v>
      </c>
      <c r="AW28" s="185">
        <f t="shared" si="34"/>
        <v>44136</v>
      </c>
      <c r="AX28" s="185" t="str">
        <f t="shared" si="20"/>
        <v/>
      </c>
      <c r="AY28" s="185">
        <f t="shared" si="21"/>
        <v>44136</v>
      </c>
      <c r="AZ28" s="185">
        <f t="shared" si="35"/>
        <v>44136</v>
      </c>
      <c r="BA28" s="184">
        <f t="shared" si="36"/>
        <v>107300</v>
      </c>
      <c r="BB28" s="184">
        <f t="shared" si="22"/>
        <v>21460</v>
      </c>
      <c r="BC28" s="184">
        <f t="shared" si="23"/>
        <v>21889</v>
      </c>
      <c r="BD28" s="184">
        <f t="shared" si="37"/>
        <v>8584</v>
      </c>
      <c r="BE28" s="184"/>
      <c r="BF28" s="184">
        <f t="shared" si="38"/>
        <v>101800</v>
      </c>
      <c r="BG28" s="184">
        <f t="shared" si="24"/>
        <v>20360</v>
      </c>
      <c r="BH28" s="184">
        <f t="shared" si="25"/>
        <v>20767</v>
      </c>
      <c r="BI28" s="184">
        <f t="shared" si="39"/>
        <v>8144</v>
      </c>
      <c r="BJ28" s="184">
        <f t="shared" si="26"/>
        <v>3675</v>
      </c>
      <c r="BK28" s="184"/>
      <c r="BL28" s="184"/>
      <c r="BM28" s="184">
        <f t="shared" si="27"/>
        <v>8162</v>
      </c>
      <c r="BN28" s="184">
        <f t="shared" si="28"/>
        <v>3675</v>
      </c>
      <c r="BO28" s="184" t="str">
        <f t="shared" si="29"/>
        <v/>
      </c>
      <c r="BP28" s="184" t="str">
        <f t="shared" si="10"/>
        <v/>
      </c>
      <c r="BQ28" s="184">
        <f t="shared" si="11"/>
        <v>0</v>
      </c>
      <c r="BR28" s="184">
        <f t="shared" si="12"/>
        <v>0</v>
      </c>
      <c r="BS28" s="184"/>
      <c r="BT28" s="184"/>
      <c r="BU28" s="184"/>
      <c r="BV28" s="184"/>
      <c r="BW28" s="184" t="str">
        <f t="shared" si="30"/>
        <v/>
      </c>
      <c r="BX28" s="184"/>
      <c r="BY28" s="179" t="str">
        <f t="shared" si="31"/>
        <v/>
      </c>
      <c r="BZ28" s="179" t="str">
        <f>IF(AZ29="","",IF(AZ29="TOTAL","",IF($AU$16=$AU$17,0,IF(AND(AZ29&gt;$BY$1,$AI$3=$AR$2,'Master Sheet'!$D$27&gt;0),'Master Sheet'!$D$27,IF(AND(AZ29=$BY$1),IF($AU$9&lt;18001,135,IF($AU$9&lt;33501,220,IF($AU$9&lt;54001,330,440))),IF(AND(AZ29&gt;$BY$1),IF($AU$9&lt;18001,265,IF($AU$9&lt;33501,440,IF($AU$9&lt;54001,658,875))),""))))))</f>
        <v/>
      </c>
      <c r="CA28" s="184"/>
      <c r="CB28" s="184"/>
      <c r="CC28" s="184"/>
      <c r="CD28" s="184"/>
      <c r="CE28" s="184"/>
      <c r="CF28" s="186"/>
      <c r="CG28" s="147"/>
    </row>
    <row r="29" spans="1:85" s="28" customFormat="1" ht="21" customHeight="1">
      <c r="A29" s="110">
        <f t="shared" si="32"/>
        <v>22</v>
      </c>
      <c r="B29" s="60">
        <f t="shared" si="1"/>
        <v>22</v>
      </c>
      <c r="C29" s="61">
        <f t="shared" si="33"/>
        <v>44197</v>
      </c>
      <c r="D29" s="62">
        <f>IFERROR(IF($C28="TOTAL","अक्षरें राशि :-",IF($C29="TOTAL",SUM($D$8:D28),IF(BA30="","",BA30))),"")</f>
        <v>107300</v>
      </c>
      <c r="E29" s="62">
        <f>IFERROR(IF($C29="TOTAL",SUM($E$8:E28),IF(BC30="","",BC30)),"")</f>
        <v>21889</v>
      </c>
      <c r="F29" s="62">
        <f>IFERROR(IF($C29="TOTAL",SUM($F$8:F28),IF(OR(C29=$AS$16,C29=$AS$17,C29=$AS$18,C29=$AS$19,C29=$AS$20,C29=$AS$21,C29=$AS$22,C29=$AS$23,C29=$AS$24),0,IF(BD30="","",BD30))),"")</f>
        <v>8584</v>
      </c>
      <c r="G29" s="62">
        <f>IFERROR(IF($C29="TOTAL",SUM($G$8:G28),IF(BB30="","",BB30)),"")</f>
        <v>21460</v>
      </c>
      <c r="H29" s="62">
        <f t="shared" si="3"/>
        <v>159233</v>
      </c>
      <c r="I29" s="62">
        <f>IFERROR(IF($C29="TOTAL",SUM($I$8:I28),IF(BF30="","",BF30)),"")</f>
        <v>101800</v>
      </c>
      <c r="J29" s="62">
        <f>IFERROR(IF($C29="TOTAL",SUM($J$8:J28),IF(BH30="","",BH30)),"")</f>
        <v>20767</v>
      </c>
      <c r="K29" s="62">
        <f>IFERROR(IF($C29="TOTAL",SUM($K$8:K28),IF(OR(C29=$AS$16,C29=$AS$17,C29=$AS$18,C29=$AS$19,C29=$AS$20,C29=$AS$21,C29=$AS$22,C29=$AS$23,C29=$AS$24),0,IF(BI30="","",BI30))),"")</f>
        <v>8144</v>
      </c>
      <c r="L29" s="62">
        <f>IFERROR(IF($C29="TOTAL",SUM($L$8:L28),IF(BG30="","",BG30)),"")</f>
        <v>20360</v>
      </c>
      <c r="M29" s="62">
        <f t="shared" si="4"/>
        <v>151071</v>
      </c>
      <c r="N29" s="62">
        <f>IFERROR(IF(C29="","",IF(D29="","",IF(I29="","",IF($C29="TOTAL",SUM($N$8:N28),SUM(D29-I29))))),"")</f>
        <v>5500</v>
      </c>
      <c r="O29" s="62">
        <f>IFERROR(IF(C29="","",IF(E29="","",IF(J29="","",IF($C29="TOTAL",SUM($O$8:O28),SUM(E29-J29))))),"")</f>
        <v>1122</v>
      </c>
      <c r="P29" s="62">
        <f>IFERROR(IF(C29="","",IF(F29="","",IF(K29="","",IF($C29="TOTAL",SUM($P$8:P28),SUM(F29-K29))))),"")</f>
        <v>440</v>
      </c>
      <c r="Q29" s="62">
        <f t="shared" si="5"/>
        <v>1100</v>
      </c>
      <c r="R29" s="62">
        <f t="shared" si="13"/>
        <v>8162</v>
      </c>
      <c r="S29" s="62">
        <f>IFERROR(IF(C29="","",IF($C29="TOTAL",SUM($S$8:S28),IF(AND(C29&gt;$AR$1,$AI$3=$AR$2),BW30,IF($AU$18=$AU$20,SUM(BJ30+BR30),ROUND((D29+E29)*10%,0))))),"")</f>
        <v>12919</v>
      </c>
      <c r="T29" s="62">
        <f>IFERROR(IF(C29="","",IF(I29="","",IF(J29="","",IF($C29="TOTAL",SUM($T$8:T28),IF(AND(C29&gt;$AR$1,$AI$3=$AR$2),BW30,IF($AU$18=$AU$20,$AU$21,ROUND((I29+J29)*10%,0))))))),"")</f>
        <v>12257</v>
      </c>
      <c r="U29" s="62">
        <f t="shared" si="14"/>
        <v>662</v>
      </c>
      <c r="V29" s="63">
        <f>IFERROR(IF(C29="","",IF($AU$16=$AU$17,0,IF($C29="TOTAL",SUM($V$8:V28),IF($AU$19=$AU$31,0,IF(AND($AU$32=$AU$20,C29=$AU$33),$AU$34,V28))))),"")</f>
        <v>2100</v>
      </c>
      <c r="W29" s="63">
        <f>IFERROR(IF(C29="","",IF($AU$16=$AU$17,0,IF($C29="TOTAL",SUM($W$8:W28),IF($AU$19=$AU$20,$AU$24,0)))),"")</f>
        <v>2100</v>
      </c>
      <c r="X29" s="62">
        <f t="shared" si="15"/>
        <v>0</v>
      </c>
      <c r="Y29" s="62" t="str">
        <f>IFERROR(IF(C29="","",IF($AU$16=$AU$17,0,IF($C29="TOTAL",SUM($Y$8:Y28),BZ29))),"")</f>
        <v/>
      </c>
      <c r="Z29" s="62" t="str">
        <f>IFERROR(IF(C29="","",IF($AU$16=$AU$17,0,IF($C29="TOTAL",SUM($Z$8:Z28),BY29))),"")</f>
        <v/>
      </c>
      <c r="AA29" s="62" t="str">
        <f t="shared" si="0"/>
        <v/>
      </c>
      <c r="AB29" s="62" t="str">
        <f>IFERROR(IF(C29="","",IF(D29="","",IF($C29="TOTAL",SUM($AB$8:AB28),IF(C29=$AU$1,ROUND(D29*5/31,0.01),"")))),"")</f>
        <v/>
      </c>
      <c r="AC29" s="62" t="str">
        <f>IFERROR(IF(C29="","",IF(I29="","",IF($C29="TOTAL",SUM($AC$8:AC28),IF(C29=$AU$1,ROUND(I29*5/31,0.01),"")))),"")</f>
        <v/>
      </c>
      <c r="AD29" s="62" t="str">
        <f t="shared" si="16"/>
        <v/>
      </c>
      <c r="AE29" s="62" t="str">
        <f>IFERROR(IF(C29="","",IF(AND(BP30="",BW30=""),"",IF($C29="TOTAL",SUM($AE$8:AE28),BP30))),"")</f>
        <v/>
      </c>
      <c r="AF29" s="62">
        <f>IFERROR(IF(C29="","",IF($C29="TOTAL",SUM($AF$8:AF28),ROUND(R29*$AU$7%,0))),"")</f>
        <v>0</v>
      </c>
      <c r="AG29" s="62">
        <f t="shared" si="8"/>
        <v>662</v>
      </c>
      <c r="AH29" s="64">
        <f>IFERROR(IF(C29="","",IF($C29="TOTAL",SUM($AH$8:AH28),SUM(R29-AG29))),"")</f>
        <v>7500</v>
      </c>
      <c r="AI29" s="15"/>
      <c r="AJ29" s="15"/>
      <c r="AO29" s="147"/>
      <c r="AP29" s="186"/>
      <c r="AQ29" s="183">
        <f t="shared" si="17"/>
        <v>17</v>
      </c>
      <c r="AR29" s="183">
        <f t="shared" si="18"/>
        <v>17</v>
      </c>
      <c r="AS29" s="184"/>
      <c r="AT29" s="185">
        <v>43344</v>
      </c>
      <c r="AU29" s="184">
        <f>'Master Sheet'!M23</f>
        <v>41100</v>
      </c>
      <c r="AV29" s="185">
        <f t="shared" si="40"/>
        <v>44166</v>
      </c>
      <c r="AW29" s="185">
        <f t="shared" si="34"/>
        <v>44166</v>
      </c>
      <c r="AX29" s="185" t="str">
        <f t="shared" si="20"/>
        <v/>
      </c>
      <c r="AY29" s="185">
        <f t="shared" si="21"/>
        <v>44166</v>
      </c>
      <c r="AZ29" s="185">
        <f t="shared" si="35"/>
        <v>44166</v>
      </c>
      <c r="BA29" s="184">
        <f t="shared" si="36"/>
        <v>107300</v>
      </c>
      <c r="BB29" s="184">
        <f t="shared" si="22"/>
        <v>21460</v>
      </c>
      <c r="BC29" s="184">
        <f t="shared" si="23"/>
        <v>21889</v>
      </c>
      <c r="BD29" s="184">
        <f t="shared" si="37"/>
        <v>8584</v>
      </c>
      <c r="BE29" s="184"/>
      <c r="BF29" s="184">
        <f t="shared" si="38"/>
        <v>101800</v>
      </c>
      <c r="BG29" s="184">
        <f t="shared" si="24"/>
        <v>20360</v>
      </c>
      <c r="BH29" s="184">
        <f t="shared" si="25"/>
        <v>20767</v>
      </c>
      <c r="BI29" s="184">
        <f t="shared" si="39"/>
        <v>8144</v>
      </c>
      <c r="BJ29" s="184">
        <f t="shared" si="26"/>
        <v>3675</v>
      </c>
      <c r="BK29" s="184"/>
      <c r="BL29" s="184"/>
      <c r="BM29" s="184">
        <f t="shared" si="27"/>
        <v>8162</v>
      </c>
      <c r="BN29" s="184">
        <f t="shared" si="28"/>
        <v>3675</v>
      </c>
      <c r="BO29" s="184" t="str">
        <f t="shared" si="29"/>
        <v/>
      </c>
      <c r="BP29" s="184" t="str">
        <f t="shared" si="10"/>
        <v/>
      </c>
      <c r="BQ29" s="184">
        <f t="shared" si="11"/>
        <v>0</v>
      </c>
      <c r="BR29" s="184">
        <f t="shared" si="12"/>
        <v>0</v>
      </c>
      <c r="BS29" s="184"/>
      <c r="BT29" s="184"/>
      <c r="BU29" s="184"/>
      <c r="BV29" s="184"/>
      <c r="BW29" s="184" t="str">
        <f t="shared" si="30"/>
        <v/>
      </c>
      <c r="BX29" s="184"/>
      <c r="BY29" s="179" t="str">
        <f t="shared" si="31"/>
        <v/>
      </c>
      <c r="BZ29" s="179" t="str">
        <f>IF(AZ30="","",IF(AZ30="TOTAL","",IF($AU$16=$AU$17,0,IF(AND(AZ30&gt;$BY$1,$AI$3=$AR$2,'Master Sheet'!$D$27&gt;0),'Master Sheet'!$D$27,IF(AND(AZ30=$BY$1),IF($AU$9&lt;18001,135,IF($AU$9&lt;33501,220,IF($AU$9&lt;54001,330,440))),IF(AND(AZ30&gt;$BY$1),IF($AU$9&lt;18001,265,IF($AU$9&lt;33501,440,IF($AU$9&lt;54001,658,875))),""))))))</f>
        <v/>
      </c>
      <c r="CA29" s="184"/>
      <c r="CB29" s="184"/>
      <c r="CC29" s="184"/>
      <c r="CD29" s="184"/>
      <c r="CE29" s="184"/>
      <c r="CF29" s="186"/>
      <c r="CG29" s="147"/>
    </row>
    <row r="30" spans="1:85" s="28" customFormat="1" ht="21" customHeight="1">
      <c r="A30" s="110">
        <f t="shared" si="32"/>
        <v>23</v>
      </c>
      <c r="B30" s="60">
        <f t="shared" si="1"/>
        <v>23</v>
      </c>
      <c r="C30" s="61">
        <f t="shared" si="33"/>
        <v>44228</v>
      </c>
      <c r="D30" s="62">
        <f>IFERROR(IF($C29="TOTAL","अक्षरें राशि :-",IF($C30="TOTAL",SUM($D$8:D29),IF(BA31="","",BA31))),"")</f>
        <v>107300</v>
      </c>
      <c r="E30" s="62">
        <f>IFERROR(IF($C30="TOTAL",SUM($E$8:E29),IF(BC31="","",BC31)),"")</f>
        <v>21889</v>
      </c>
      <c r="F30" s="62">
        <f>IFERROR(IF($C30="TOTAL",SUM($F$8:F29),IF(OR(C30=$AS$16,C30=$AS$17,C30=$AS$18,C30=$AS$19,C30=$AS$20,C30=$AS$21,C30=$AS$22,C30=$AS$23,C30=$AS$24),0,IF(BD31="","",BD31))),"")</f>
        <v>8584</v>
      </c>
      <c r="G30" s="62">
        <f>IFERROR(IF($C30="TOTAL",SUM($G$8:G29),IF(BB31="","",BB31)),"")</f>
        <v>21460</v>
      </c>
      <c r="H30" s="62">
        <f t="shared" si="3"/>
        <v>159233</v>
      </c>
      <c r="I30" s="62">
        <f>IFERROR(IF($C30="TOTAL",SUM($I$8:I29),IF(BF31="","",BF31)),"")</f>
        <v>101800</v>
      </c>
      <c r="J30" s="62">
        <f>IFERROR(IF($C30="TOTAL",SUM($J$8:J29),IF(BH31="","",BH31)),"")</f>
        <v>20767</v>
      </c>
      <c r="K30" s="62">
        <f>IFERROR(IF($C30="TOTAL",SUM($K$8:K29),IF(OR(C30=$AS$16,C30=$AS$17,C30=$AS$18,C30=$AS$19,C30=$AS$20,C30=$AS$21,C30=$AS$22,C30=$AS$23,C30=$AS$24),0,IF(BI31="","",BI31))),"")</f>
        <v>8144</v>
      </c>
      <c r="L30" s="62">
        <f>IFERROR(IF($C30="TOTAL",SUM($L$8:L29),IF(BG31="","",BG31)),"")</f>
        <v>20360</v>
      </c>
      <c r="M30" s="62">
        <f t="shared" si="4"/>
        <v>151071</v>
      </c>
      <c r="N30" s="62">
        <f>IFERROR(IF(C30="","",IF(D30="","",IF(I30="","",IF($C30="TOTAL",SUM($N$8:N29),SUM(D30-I30))))),"")</f>
        <v>5500</v>
      </c>
      <c r="O30" s="62">
        <f>IFERROR(IF(C30="","",IF(E30="","",IF(J30="","",IF($C30="TOTAL",SUM($O$8:O29),SUM(E30-J30))))),"")</f>
        <v>1122</v>
      </c>
      <c r="P30" s="62">
        <f>IFERROR(IF(C30="","",IF(F30="","",IF(K30="","",IF($C30="TOTAL",SUM($P$8:P29),SUM(F30-K30))))),"")</f>
        <v>440</v>
      </c>
      <c r="Q30" s="62">
        <f t="shared" si="5"/>
        <v>1100</v>
      </c>
      <c r="R30" s="62">
        <f t="shared" si="13"/>
        <v>8162</v>
      </c>
      <c r="S30" s="62">
        <f>IFERROR(IF(C30="","",IF($C30="TOTAL",SUM($S$8:S29),IF(AND(C30&gt;$AR$1,$AI$3=$AR$2),BW31,IF($AU$18=$AU$20,SUM(BJ31+BR31),ROUND((D30+E30)*10%,0))))),"")</f>
        <v>12919</v>
      </c>
      <c r="T30" s="62">
        <f>IFERROR(IF(C30="","",IF(I30="","",IF(J30="","",IF($C30="TOTAL",SUM($T$8:T29),IF(AND(C30&gt;$AR$1,$AI$3=$AR$2),BW31,IF($AU$18=$AU$20,$AU$21,ROUND((I30+J30)*10%,0))))))),"")</f>
        <v>12257</v>
      </c>
      <c r="U30" s="62">
        <f t="shared" si="14"/>
        <v>662</v>
      </c>
      <c r="V30" s="63">
        <f>IFERROR(IF(C30="","",IF($AU$16=$AU$17,0,IF($C30="TOTAL",SUM($V$8:V29),IF($AU$19=$AU$31,0,IF(AND($AU$32=$AU$20,C30=$AU$33),$AU$34,V29))))),"")</f>
        <v>2100</v>
      </c>
      <c r="W30" s="63">
        <f>IFERROR(IF(C30="","",IF($AU$16=$AU$17,0,IF($C30="TOTAL",SUM($W$8:W29),IF($AU$19=$AU$20,$AU$24,0)))),"")</f>
        <v>2100</v>
      </c>
      <c r="X30" s="62">
        <f t="shared" si="15"/>
        <v>0</v>
      </c>
      <c r="Y30" s="62" t="str">
        <f>IFERROR(IF(C30="","",IF($AU$16=$AU$17,0,IF($C30="TOTAL",SUM($Y$8:Y29),BZ30))),"")</f>
        <v/>
      </c>
      <c r="Z30" s="62" t="str">
        <f>IFERROR(IF(C30="","",IF($AU$16=$AU$17,0,IF($C30="TOTAL",SUM($Z$8:Z29),BY30))),"")</f>
        <v/>
      </c>
      <c r="AA30" s="62" t="str">
        <f t="shared" si="0"/>
        <v/>
      </c>
      <c r="AB30" s="62" t="str">
        <f>IFERROR(IF(C30="","",IF(D30="","",IF($C30="TOTAL",SUM($AB$8:AB29),IF(C30=$AU$1,ROUND(D30*5/31,0.01),"")))),"")</f>
        <v/>
      </c>
      <c r="AC30" s="62" t="str">
        <f>IFERROR(IF(C30="","",IF(I30="","",IF($C30="TOTAL",SUM($AC$8:AC29),IF(C30=$AU$1,ROUND(I30*5/31,0.01),"")))),"")</f>
        <v/>
      </c>
      <c r="AD30" s="62" t="str">
        <f t="shared" si="16"/>
        <v/>
      </c>
      <c r="AE30" s="62" t="str">
        <f>IFERROR(IF(C30="","",IF(AND(BP31="",BW31=""),"",IF($C30="TOTAL",SUM($AE$8:AE29),BP31))),"")</f>
        <v/>
      </c>
      <c r="AF30" s="62">
        <f>IFERROR(IF(C30="","",IF($C30="TOTAL",SUM($AF$8:AF29),ROUND(R30*$AU$7%,0))),"")</f>
        <v>0</v>
      </c>
      <c r="AG30" s="62">
        <f t="shared" si="8"/>
        <v>662</v>
      </c>
      <c r="AH30" s="64">
        <f>IFERROR(IF(C30="","",IF($C30="TOTAL",SUM($AH$8:AH29),SUM(R30-AG30))),"")</f>
        <v>7500</v>
      </c>
      <c r="AI30" s="15"/>
      <c r="AJ30" s="15"/>
      <c r="AO30" s="147"/>
      <c r="AP30" s="186"/>
      <c r="AQ30" s="183">
        <f t="shared" si="17"/>
        <v>17</v>
      </c>
      <c r="AR30" s="183">
        <f t="shared" si="18"/>
        <v>17</v>
      </c>
      <c r="AS30" s="184"/>
      <c r="AT30" s="185">
        <v>43374</v>
      </c>
      <c r="AU30" s="185">
        <f>'Master Sheet'!I23</f>
        <v>44287</v>
      </c>
      <c r="AV30" s="185">
        <f t="shared" si="40"/>
        <v>44197</v>
      </c>
      <c r="AW30" s="185">
        <f t="shared" si="34"/>
        <v>44197</v>
      </c>
      <c r="AX30" s="185" t="str">
        <f t="shared" si="20"/>
        <v/>
      </c>
      <c r="AY30" s="185">
        <f t="shared" si="21"/>
        <v>44197</v>
      </c>
      <c r="AZ30" s="185">
        <f t="shared" si="35"/>
        <v>44197</v>
      </c>
      <c r="BA30" s="184">
        <f t="shared" si="36"/>
        <v>107300</v>
      </c>
      <c r="BB30" s="184">
        <f t="shared" si="22"/>
        <v>21460</v>
      </c>
      <c r="BC30" s="184">
        <f t="shared" si="23"/>
        <v>21889</v>
      </c>
      <c r="BD30" s="184">
        <f t="shared" si="37"/>
        <v>8584</v>
      </c>
      <c r="BE30" s="184"/>
      <c r="BF30" s="184">
        <f t="shared" si="38"/>
        <v>101800</v>
      </c>
      <c r="BG30" s="184">
        <f t="shared" si="24"/>
        <v>20360</v>
      </c>
      <c r="BH30" s="184">
        <f t="shared" si="25"/>
        <v>20767</v>
      </c>
      <c r="BI30" s="184">
        <f t="shared" si="39"/>
        <v>8144</v>
      </c>
      <c r="BJ30" s="184">
        <f t="shared" si="26"/>
        <v>3675</v>
      </c>
      <c r="BK30" s="184"/>
      <c r="BL30" s="184"/>
      <c r="BM30" s="184">
        <f t="shared" si="27"/>
        <v>8162</v>
      </c>
      <c r="BN30" s="184">
        <f t="shared" si="28"/>
        <v>3675</v>
      </c>
      <c r="BO30" s="184" t="str">
        <f t="shared" si="29"/>
        <v/>
      </c>
      <c r="BP30" s="184" t="str">
        <f t="shared" si="10"/>
        <v/>
      </c>
      <c r="BQ30" s="184">
        <f t="shared" si="11"/>
        <v>0</v>
      </c>
      <c r="BR30" s="184">
        <f t="shared" si="12"/>
        <v>0</v>
      </c>
      <c r="BS30" s="184"/>
      <c r="BT30" s="184"/>
      <c r="BU30" s="184"/>
      <c r="BV30" s="184"/>
      <c r="BW30" s="184" t="str">
        <f t="shared" si="30"/>
        <v/>
      </c>
      <c r="BX30" s="184"/>
      <c r="BY30" s="179" t="str">
        <f t="shared" si="31"/>
        <v/>
      </c>
      <c r="BZ30" s="179" t="str">
        <f>IF(AZ31="","",IF(AZ31="TOTAL","",IF($AU$16=$AU$17,0,IF(AND(AZ31&gt;$BY$1,$AI$3=$AR$2,'Master Sheet'!$D$27&gt;0),'Master Sheet'!$D$27,IF(AND(AZ31=$BY$1),IF($AU$9&lt;18001,135,IF($AU$9&lt;33501,220,IF($AU$9&lt;54001,330,440))),IF(AND(AZ31&gt;$BY$1),IF($AU$9&lt;18001,265,IF($AU$9&lt;33501,440,IF($AU$9&lt;54001,658,875))),""))))))</f>
        <v/>
      </c>
      <c r="CA30" s="184"/>
      <c r="CB30" s="184"/>
      <c r="CC30" s="184"/>
      <c r="CD30" s="184"/>
      <c r="CE30" s="184"/>
      <c r="CF30" s="186"/>
      <c r="CG30" s="147"/>
    </row>
    <row r="31" spans="1:85" s="28" customFormat="1" ht="21" customHeight="1">
      <c r="A31" s="110">
        <f t="shared" si="32"/>
        <v>24</v>
      </c>
      <c r="B31" s="60">
        <f t="shared" si="1"/>
        <v>24</v>
      </c>
      <c r="C31" s="61">
        <f t="shared" si="33"/>
        <v>44256</v>
      </c>
      <c r="D31" s="62">
        <f>IFERROR(IF($C30="TOTAL","अक्षरें राशि :-",IF($C31="TOTAL",SUM($D$8:D30),IF(BA32="","",BA32))),"")</f>
        <v>107300</v>
      </c>
      <c r="E31" s="62">
        <f>IFERROR(IF($C31="TOTAL",SUM($E$8:E30),IF(BC32="","",BC32)),"")</f>
        <v>21889</v>
      </c>
      <c r="F31" s="62">
        <f>IFERROR(IF($C31="TOTAL",SUM($F$8:F30),IF(OR(C31=$AS$16,C31=$AS$17,C31=$AS$18,C31=$AS$19,C31=$AS$20,C31=$AS$21,C31=$AS$22,C31=$AS$23,C31=$AS$24),0,IF(BD32="","",BD32))),"")</f>
        <v>8584</v>
      </c>
      <c r="G31" s="62">
        <f>IFERROR(IF($C31="TOTAL",SUM($G$8:G30),IF(BB32="","",BB32)),"")</f>
        <v>21460</v>
      </c>
      <c r="H31" s="62">
        <f t="shared" si="3"/>
        <v>159233</v>
      </c>
      <c r="I31" s="62">
        <f>IFERROR(IF($C31="TOTAL",SUM($I$8:I30),IF(BF32="","",BF32)),"")</f>
        <v>101800</v>
      </c>
      <c r="J31" s="62">
        <f>IFERROR(IF($C31="TOTAL",SUM($J$8:J30),IF(BH32="","",BH32)),"")</f>
        <v>20767</v>
      </c>
      <c r="K31" s="62">
        <f>IFERROR(IF($C31="TOTAL",SUM($K$8:K30),IF(OR(C31=$AS$16,C31=$AS$17,C31=$AS$18,C31=$AS$19,C31=$AS$20,C31=$AS$21,C31=$AS$22,C31=$AS$23,C31=$AS$24),0,IF(BI32="","",BI32))),"")</f>
        <v>8144</v>
      </c>
      <c r="L31" s="62">
        <f>IFERROR(IF($C31="TOTAL",SUM($L$8:L30),IF(BG32="","",BG32)),"")</f>
        <v>20360</v>
      </c>
      <c r="M31" s="62">
        <f t="shared" si="4"/>
        <v>151071</v>
      </c>
      <c r="N31" s="62">
        <f>IFERROR(IF(C31="","",IF(D31="","",IF(I31="","",IF($C31="TOTAL",SUM($N$8:N30),SUM(D31-I31))))),"")</f>
        <v>5500</v>
      </c>
      <c r="O31" s="62">
        <f>IFERROR(IF(C31="","",IF(E31="","",IF(J31="","",IF($C31="TOTAL",SUM($O$8:O30),SUM(E31-J31))))),"")</f>
        <v>1122</v>
      </c>
      <c r="P31" s="62">
        <f>IFERROR(IF(C31="","",IF(F31="","",IF(K31="","",IF($C31="TOTAL",SUM($P$8:P30),SUM(F31-K31))))),"")</f>
        <v>440</v>
      </c>
      <c r="Q31" s="62">
        <f t="shared" si="5"/>
        <v>1100</v>
      </c>
      <c r="R31" s="62">
        <f t="shared" si="13"/>
        <v>8162</v>
      </c>
      <c r="S31" s="62">
        <f>IFERROR(IF(C31="","",IF($C31="TOTAL",SUM($S$8:S30),IF(AND(C31&gt;$AR$1,$AI$3=$AR$2),BW32,IF($AU$18=$AU$20,SUM(BJ32+BR32),ROUND((D31+E31)*10%,0))))),"")</f>
        <v>12919</v>
      </c>
      <c r="T31" s="62">
        <f>IFERROR(IF(C31="","",IF(I31="","",IF(J31="","",IF($C31="TOTAL",SUM($T$8:T30),IF(AND(C31&gt;$AR$1,$AI$3=$AR$2),BW32,IF($AU$18=$AU$20,$AU$21,ROUND((I31+J31)*10%,0))))))),"")</f>
        <v>12257</v>
      </c>
      <c r="U31" s="62">
        <f t="shared" si="14"/>
        <v>662</v>
      </c>
      <c r="V31" s="63">
        <f>IFERROR(IF(C31="","",IF($AU$16=$AU$17,0,IF($C31="TOTAL",SUM($V$8:V30),IF($AU$19=$AU$31,0,IF(AND($AU$32=$AU$20,C31=$AU$33),$AU$34,V30))))),"")</f>
        <v>2100</v>
      </c>
      <c r="W31" s="63">
        <f>IFERROR(IF(C31="","",IF($AU$16=$AU$17,0,IF($C31="TOTAL",SUM($W$8:W30),IF($AU$19=$AU$20,$AU$24,0)))),"")</f>
        <v>2100</v>
      </c>
      <c r="X31" s="62">
        <f t="shared" si="15"/>
        <v>0</v>
      </c>
      <c r="Y31" s="62" t="str">
        <f>IFERROR(IF(C31="","",IF($AU$16=$AU$17,0,IF($C31="TOTAL",SUM($Y$8:Y30),BZ31))),"")</f>
        <v/>
      </c>
      <c r="Z31" s="62" t="str">
        <f>IFERROR(IF(C31="","",IF($AU$16=$AU$17,0,IF($C31="TOTAL",SUM($Z$8:Z30),BY31))),"")</f>
        <v/>
      </c>
      <c r="AA31" s="62" t="str">
        <f t="shared" si="0"/>
        <v/>
      </c>
      <c r="AB31" s="62" t="str">
        <f>IFERROR(IF(C31="","",IF(D31="","",IF($C31="TOTAL",SUM($AB$8:AB30),IF(C31=$AU$1,ROUND(D31*5/31,0.01),"")))),"")</f>
        <v/>
      </c>
      <c r="AC31" s="62" t="str">
        <f>IFERROR(IF(C31="","",IF(I31="","",IF($C31="TOTAL",SUM($AC$8:AC30),IF(C31=$AU$1,ROUND(I31*5/31,0.01),"")))),"")</f>
        <v/>
      </c>
      <c r="AD31" s="62" t="str">
        <f t="shared" si="16"/>
        <v/>
      </c>
      <c r="AE31" s="62" t="str">
        <f>IFERROR(IF(C31="","",IF(AND(BP32="",BW32=""),"",IF($C31="TOTAL",SUM($AE$8:AE30),BP32))),"")</f>
        <v/>
      </c>
      <c r="AF31" s="62">
        <f>IFERROR(IF(C31="","",IF($C31="TOTAL",SUM($AF$8:AF30),ROUND(R31*$AU$7%,0))),"")</f>
        <v>0</v>
      </c>
      <c r="AG31" s="62">
        <f t="shared" si="8"/>
        <v>662</v>
      </c>
      <c r="AH31" s="64">
        <f>IFERROR(IF(C31="","",IF($C31="TOTAL",SUM($AH$8:AH30),SUM(R31-AG31))),"")</f>
        <v>7500</v>
      </c>
      <c r="AI31" s="15"/>
      <c r="AJ31" s="15"/>
      <c r="AO31" s="147"/>
      <c r="AP31" s="186"/>
      <c r="AQ31" s="183">
        <f t="shared" si="17"/>
        <v>17</v>
      </c>
      <c r="AR31" s="183">
        <f t="shared" si="18"/>
        <v>17</v>
      </c>
      <c r="AS31" s="184"/>
      <c r="AT31" s="185">
        <v>43405</v>
      </c>
      <c r="AU31" s="184" t="s">
        <v>47</v>
      </c>
      <c r="AV31" s="185">
        <f t="shared" si="40"/>
        <v>44228</v>
      </c>
      <c r="AW31" s="185">
        <f t="shared" si="34"/>
        <v>44228</v>
      </c>
      <c r="AX31" s="185" t="str">
        <f t="shared" si="20"/>
        <v/>
      </c>
      <c r="AY31" s="185">
        <f t="shared" si="21"/>
        <v>44228</v>
      </c>
      <c r="AZ31" s="185">
        <f t="shared" si="35"/>
        <v>44228</v>
      </c>
      <c r="BA31" s="184">
        <f t="shared" si="36"/>
        <v>107300</v>
      </c>
      <c r="BB31" s="184">
        <f t="shared" si="22"/>
        <v>21460</v>
      </c>
      <c r="BC31" s="184">
        <f t="shared" si="23"/>
        <v>21889</v>
      </c>
      <c r="BD31" s="184">
        <f t="shared" si="37"/>
        <v>8584</v>
      </c>
      <c r="BE31" s="184"/>
      <c r="BF31" s="184">
        <f t="shared" si="38"/>
        <v>101800</v>
      </c>
      <c r="BG31" s="184">
        <f t="shared" si="24"/>
        <v>20360</v>
      </c>
      <c r="BH31" s="184">
        <f t="shared" si="25"/>
        <v>20767</v>
      </c>
      <c r="BI31" s="184">
        <f t="shared" si="39"/>
        <v>8144</v>
      </c>
      <c r="BJ31" s="184">
        <f t="shared" si="26"/>
        <v>3675</v>
      </c>
      <c r="BK31" s="184"/>
      <c r="BL31" s="184"/>
      <c r="BM31" s="184">
        <f t="shared" si="27"/>
        <v>8162</v>
      </c>
      <c r="BN31" s="184">
        <f t="shared" si="28"/>
        <v>3675</v>
      </c>
      <c r="BO31" s="184" t="str">
        <f t="shared" si="29"/>
        <v/>
      </c>
      <c r="BP31" s="184" t="str">
        <f t="shared" si="10"/>
        <v/>
      </c>
      <c r="BQ31" s="184">
        <f t="shared" si="11"/>
        <v>0</v>
      </c>
      <c r="BR31" s="184">
        <f t="shared" si="12"/>
        <v>0</v>
      </c>
      <c r="BS31" s="184"/>
      <c r="BT31" s="184"/>
      <c r="BU31" s="184"/>
      <c r="BV31" s="184"/>
      <c r="BW31" s="184" t="str">
        <f t="shared" si="30"/>
        <v/>
      </c>
      <c r="BX31" s="184"/>
      <c r="BY31" s="179" t="str">
        <f t="shared" si="31"/>
        <v/>
      </c>
      <c r="BZ31" s="179" t="str">
        <f>IF(AZ32="","",IF(AZ32="TOTAL","",IF($AU$16=$AU$17,0,IF(AND(AZ32&gt;$BY$1,$AI$3=$AR$2,'Master Sheet'!$D$27&gt;0),'Master Sheet'!$D$27,IF(AND(AZ32=$BY$1),IF($AU$9&lt;18001,135,IF($AU$9&lt;33501,220,IF($AU$9&lt;54001,330,440))),IF(AND(AZ32&gt;$BY$1),IF($AU$9&lt;18001,265,IF($AU$9&lt;33501,440,IF($AU$9&lt;54001,658,875))),""))))))</f>
        <v/>
      </c>
      <c r="CA31" s="184"/>
      <c r="CB31" s="184"/>
      <c r="CC31" s="184"/>
      <c r="CD31" s="184"/>
      <c r="CE31" s="184"/>
      <c r="CF31" s="186"/>
      <c r="CG31" s="147"/>
    </row>
    <row r="32" spans="1:85" s="28" customFormat="1" ht="21" customHeight="1">
      <c r="A32" s="110">
        <f t="shared" si="32"/>
        <v>25</v>
      </c>
      <c r="B32" s="60">
        <f t="shared" si="1"/>
        <v>25</v>
      </c>
      <c r="C32" s="61">
        <f t="shared" si="33"/>
        <v>44287</v>
      </c>
      <c r="D32" s="62">
        <f>IFERROR(IF($C31="TOTAL","अक्षरें राशि :-",IF($C32="TOTAL",SUM($D$8:D31),IF(BA33="","",BA33))),"")</f>
        <v>107300</v>
      </c>
      <c r="E32" s="62">
        <f>IFERROR(IF($C32="TOTAL",SUM($E$8:E31),IF(BC33="","",BC33)),"")</f>
        <v>21889</v>
      </c>
      <c r="F32" s="62">
        <f>IFERROR(IF($C32="TOTAL",SUM($F$8:F31),IF(OR(C32=$AS$16,C32=$AS$17,C32=$AS$18,C32=$AS$19,C32=$AS$20,C32=$AS$21,C32=$AS$22,C32=$AS$23,C32=$AS$24),0,IF(BD33="","",BD33))),"")</f>
        <v>8584</v>
      </c>
      <c r="G32" s="62">
        <f>IFERROR(IF($C32="TOTAL",SUM($G$8:G31),IF(BB33="","",BB33)),"")</f>
        <v>21460</v>
      </c>
      <c r="H32" s="62">
        <f t="shared" si="3"/>
        <v>159233</v>
      </c>
      <c r="I32" s="62">
        <f>IFERROR(IF($C32="TOTAL",SUM($I$8:I31),IF(BF33="","",BF33)),"")</f>
        <v>101800</v>
      </c>
      <c r="J32" s="62">
        <f>IFERROR(IF($C32="TOTAL",SUM($J$8:J31),IF(BH33="","",BH33)),"")</f>
        <v>20767</v>
      </c>
      <c r="K32" s="62">
        <f>IFERROR(IF($C32="TOTAL",SUM($K$8:K31),IF(OR(C32=$AS$16,C32=$AS$17,C32=$AS$18,C32=$AS$19,C32=$AS$20,C32=$AS$21,C32=$AS$22,C32=$AS$23,C32=$AS$24),0,IF(BI33="","",BI33))),"")</f>
        <v>8144</v>
      </c>
      <c r="L32" s="62">
        <f>IFERROR(IF($C32="TOTAL",SUM($L$8:L31),IF(BG33="","",BG33)),"")</f>
        <v>20360</v>
      </c>
      <c r="M32" s="62">
        <f t="shared" si="4"/>
        <v>151071</v>
      </c>
      <c r="N32" s="62">
        <f>IFERROR(IF(C32="","",IF(D32="","",IF(I32="","",IF($C32="TOTAL",SUM($N$8:N31),SUM(D32-I32))))),"")</f>
        <v>5500</v>
      </c>
      <c r="O32" s="62">
        <f>IFERROR(IF(C32="","",IF(E32="","",IF(J32="","",IF($C32="TOTAL",SUM($O$8:O31),SUM(E32-J32))))),"")</f>
        <v>1122</v>
      </c>
      <c r="P32" s="62">
        <f>IFERROR(IF(C32="","",IF(F32="","",IF(K32="","",IF($C32="TOTAL",SUM($P$8:P31),SUM(F32-K32))))),"")</f>
        <v>440</v>
      </c>
      <c r="Q32" s="62">
        <f t="shared" si="5"/>
        <v>1100</v>
      </c>
      <c r="R32" s="62">
        <f t="shared" si="13"/>
        <v>8162</v>
      </c>
      <c r="S32" s="62">
        <f>IFERROR(IF(C32="","",IF($C32="TOTAL",SUM($S$8:S31),IF(AND(C32&gt;$AR$1,$AI$3=$AR$2),BW33,IF($AU$18=$AU$20,SUM(BJ33+BR33),ROUND((D32+E32)*10%,0))))),"")</f>
        <v>12919</v>
      </c>
      <c r="T32" s="62">
        <f>IFERROR(IF(C32="","",IF(I32="","",IF(J32="","",IF($C32="TOTAL",SUM($T$8:T31),IF(AND(C32&gt;$AR$1,$AI$3=$AR$2),BW33,IF($AU$18=$AU$20,$AU$21,ROUND((I32+J32)*10%,0))))))),"")</f>
        <v>12257</v>
      </c>
      <c r="U32" s="62">
        <f t="shared" si="14"/>
        <v>662</v>
      </c>
      <c r="V32" s="63">
        <f>IFERROR(IF(C32="","",IF($AU$16=$AU$17,0,IF($C32="TOTAL",SUM($V$8:V31),IF($AU$19=$AU$31,0,IF(AND($AU$32=$AU$20,C32=$AU$33),$AU$34,V31))))),"")</f>
        <v>2100</v>
      </c>
      <c r="W32" s="63">
        <f>IFERROR(IF(C32="","",IF($AU$16=$AU$17,0,IF($C32="TOTAL",SUM($W$8:W31),IF($AU$19=$AU$20,$AU$24,0)))),"")</f>
        <v>2100</v>
      </c>
      <c r="X32" s="62">
        <f t="shared" si="15"/>
        <v>0</v>
      </c>
      <c r="Y32" s="62" t="str">
        <f>IFERROR(IF(C32="","",IF($AU$16=$AU$17,0,IF($C32="TOTAL",SUM($Y$8:Y31),BZ32))),"")</f>
        <v/>
      </c>
      <c r="Z32" s="62" t="str">
        <f>IFERROR(IF(C32="","",IF($AU$16=$AU$17,0,IF($C32="TOTAL",SUM($Z$8:Z31),BY32))),"")</f>
        <v/>
      </c>
      <c r="AA32" s="62" t="str">
        <f t="shared" si="0"/>
        <v/>
      </c>
      <c r="AB32" s="62" t="str">
        <f>IFERROR(IF(C32="","",IF(D32="","",IF($C32="TOTAL",SUM($AB$8:AB31),IF(C32=$AU$1,ROUND(D32*5/31,0.01),"")))),"")</f>
        <v/>
      </c>
      <c r="AC32" s="62" t="str">
        <f>IFERROR(IF(C32="","",IF(I32="","",IF($C32="TOTAL",SUM($AC$8:AC31),IF(C32=$AU$1,ROUND(I32*5/31,0.01),"")))),"")</f>
        <v/>
      </c>
      <c r="AD32" s="62" t="str">
        <f t="shared" si="16"/>
        <v/>
      </c>
      <c r="AE32" s="62" t="str">
        <f>IFERROR(IF(C32="","",IF(AND(BP33="",BW33=""),"",IF($C32="TOTAL",SUM($AE$8:AE31),BP33))),"")</f>
        <v/>
      </c>
      <c r="AF32" s="62">
        <f>IFERROR(IF(C32="","",IF($C32="TOTAL",SUM($AF$8:AF31),ROUND(R32*$AU$7%,0))),"")</f>
        <v>0</v>
      </c>
      <c r="AG32" s="62">
        <f t="shared" si="8"/>
        <v>662</v>
      </c>
      <c r="AH32" s="64">
        <f>IFERROR(IF(C32="","",IF($C32="TOTAL",SUM($AH$8:AH31),SUM(R32-AG32))),"")</f>
        <v>7500</v>
      </c>
      <c r="AI32" s="15"/>
      <c r="AJ32" s="15"/>
      <c r="AO32" s="147"/>
      <c r="AP32" s="186"/>
      <c r="AQ32" s="183">
        <f t="shared" si="17"/>
        <v>17</v>
      </c>
      <c r="AR32" s="183">
        <f t="shared" si="18"/>
        <v>17</v>
      </c>
      <c r="AS32" s="184"/>
      <c r="AT32" s="185">
        <v>43435</v>
      </c>
      <c r="AU32" s="184" t="str">
        <f>'Master Sheet'!D17</f>
        <v>NO</v>
      </c>
      <c r="AV32" s="185">
        <f t="shared" si="40"/>
        <v>44256</v>
      </c>
      <c r="AW32" s="185">
        <f t="shared" si="34"/>
        <v>44256</v>
      </c>
      <c r="AX32" s="185" t="str">
        <f t="shared" si="20"/>
        <v/>
      </c>
      <c r="AY32" s="185">
        <f t="shared" si="21"/>
        <v>44256</v>
      </c>
      <c r="AZ32" s="185">
        <f t="shared" si="35"/>
        <v>44256</v>
      </c>
      <c r="BA32" s="184">
        <f t="shared" si="36"/>
        <v>107300</v>
      </c>
      <c r="BB32" s="184">
        <f t="shared" si="22"/>
        <v>21460</v>
      </c>
      <c r="BC32" s="184">
        <f t="shared" si="23"/>
        <v>21889</v>
      </c>
      <c r="BD32" s="184">
        <f t="shared" si="37"/>
        <v>8584</v>
      </c>
      <c r="BE32" s="184"/>
      <c r="BF32" s="184">
        <f t="shared" si="38"/>
        <v>101800</v>
      </c>
      <c r="BG32" s="184">
        <f t="shared" si="24"/>
        <v>20360</v>
      </c>
      <c r="BH32" s="184">
        <f t="shared" si="25"/>
        <v>20767</v>
      </c>
      <c r="BI32" s="184">
        <f t="shared" si="39"/>
        <v>8144</v>
      </c>
      <c r="BJ32" s="184">
        <f t="shared" si="26"/>
        <v>3675</v>
      </c>
      <c r="BK32" s="184"/>
      <c r="BL32" s="184"/>
      <c r="BM32" s="184">
        <f t="shared" si="27"/>
        <v>8162</v>
      </c>
      <c r="BN32" s="184">
        <f t="shared" si="28"/>
        <v>3675</v>
      </c>
      <c r="BO32" s="184" t="str">
        <f t="shared" si="29"/>
        <v/>
      </c>
      <c r="BP32" s="184" t="str">
        <f t="shared" si="10"/>
        <v/>
      </c>
      <c r="BQ32" s="184">
        <f t="shared" si="11"/>
        <v>0</v>
      </c>
      <c r="BR32" s="184">
        <f t="shared" si="12"/>
        <v>0</v>
      </c>
      <c r="BS32" s="184"/>
      <c r="BT32" s="184"/>
      <c r="BU32" s="184"/>
      <c r="BV32" s="184"/>
      <c r="BW32" s="184" t="str">
        <f t="shared" si="30"/>
        <v/>
      </c>
      <c r="BX32" s="184"/>
      <c r="BY32" s="179" t="str">
        <f t="shared" si="31"/>
        <v/>
      </c>
      <c r="BZ32" s="179" t="str">
        <f>IF(AZ33="","",IF(AZ33="TOTAL","",IF($AU$16=$AU$17,0,IF(AND(AZ33&gt;$BY$1,$AI$3=$AR$2,'Master Sheet'!$D$27&gt;0),'Master Sheet'!$D$27,IF(AND(AZ33=$BY$1),IF($AU$9&lt;18001,135,IF($AU$9&lt;33501,220,IF($AU$9&lt;54001,330,440))),IF(AND(AZ33&gt;$BY$1),IF($AU$9&lt;18001,265,IF($AU$9&lt;33501,440,IF($AU$9&lt;54001,658,875))),""))))))</f>
        <v/>
      </c>
      <c r="CA32" s="184"/>
      <c r="CB32" s="184"/>
      <c r="CC32" s="184"/>
      <c r="CD32" s="184"/>
      <c r="CE32" s="184"/>
      <c r="CF32" s="186"/>
      <c r="CG32" s="147"/>
    </row>
    <row r="33" spans="1:85" s="28" customFormat="1" ht="21" customHeight="1">
      <c r="A33" s="110">
        <f t="shared" si="32"/>
        <v>26</v>
      </c>
      <c r="B33" s="60">
        <f t="shared" si="1"/>
        <v>26</v>
      </c>
      <c r="C33" s="61">
        <f t="shared" si="33"/>
        <v>44317</v>
      </c>
      <c r="D33" s="62">
        <f>IFERROR(IF($C32="TOTAL","अक्षरें राशि :-",IF($C33="TOTAL",SUM($D$8:D32),IF(BA34="","",BA34))),"")</f>
        <v>107300</v>
      </c>
      <c r="E33" s="62">
        <f>IFERROR(IF($C33="TOTAL",SUM($E$8:E32),IF(BC34="","",BC34)),"")</f>
        <v>21889</v>
      </c>
      <c r="F33" s="62">
        <f>IFERROR(IF($C33="TOTAL",SUM($F$8:F32),IF(OR(C33=$AS$16,C33=$AS$17,C33=$AS$18,C33=$AS$19,C33=$AS$20,C33=$AS$21,C33=$AS$22,C33=$AS$23,C33=$AS$24),0,IF(BD34="","",BD34))),"")</f>
        <v>8584</v>
      </c>
      <c r="G33" s="62">
        <f>IFERROR(IF($C33="TOTAL",SUM($G$8:G32),IF(BB34="","",BB34)),"")</f>
        <v>21460</v>
      </c>
      <c r="H33" s="62">
        <f t="shared" si="3"/>
        <v>159233</v>
      </c>
      <c r="I33" s="62">
        <f>IFERROR(IF($C33="TOTAL",SUM($I$8:I32),IF(BF34="","",BF34)),"")</f>
        <v>101800</v>
      </c>
      <c r="J33" s="62">
        <f>IFERROR(IF($C33="TOTAL",SUM($J$8:J32),IF(BH34="","",BH34)),"")</f>
        <v>20767</v>
      </c>
      <c r="K33" s="62">
        <f>IFERROR(IF($C33="TOTAL",SUM($K$8:K32),IF(OR(C33=$AS$16,C33=$AS$17,C33=$AS$18,C33=$AS$19,C33=$AS$20,C33=$AS$21,C33=$AS$22,C33=$AS$23,C33=$AS$24),0,IF(BI34="","",BI34))),"")</f>
        <v>8144</v>
      </c>
      <c r="L33" s="62">
        <f>IFERROR(IF($C33="TOTAL",SUM($L$8:L32),IF(BG34="","",BG34)),"")</f>
        <v>20360</v>
      </c>
      <c r="M33" s="62">
        <f t="shared" si="4"/>
        <v>151071</v>
      </c>
      <c r="N33" s="62">
        <f>IFERROR(IF(C33="","",IF(D33="","",IF(I33="","",IF($C33="TOTAL",SUM($N$8:N32),SUM(D33-I33))))),"")</f>
        <v>5500</v>
      </c>
      <c r="O33" s="62">
        <f>IFERROR(IF(C33="","",IF(E33="","",IF(J33="","",IF($C33="TOTAL",SUM($O$8:O32),SUM(E33-J33))))),"")</f>
        <v>1122</v>
      </c>
      <c r="P33" s="62">
        <f>IFERROR(IF(C33="","",IF(F33="","",IF(K33="","",IF($C33="TOTAL",SUM($P$8:P32),SUM(F33-K33))))),"")</f>
        <v>440</v>
      </c>
      <c r="Q33" s="62">
        <f t="shared" si="5"/>
        <v>1100</v>
      </c>
      <c r="R33" s="62">
        <f t="shared" si="13"/>
        <v>8162</v>
      </c>
      <c r="S33" s="62">
        <f>IFERROR(IF(C33="","",IF($C33="TOTAL",SUM($S$8:S32),IF(AND(C33&gt;$AR$1,$AI$3=$AR$2),BW34,IF($AU$18=$AU$20,SUM(BJ34+BR34),ROUND((D33+E33)*10%,0))))),"")</f>
        <v>12919</v>
      </c>
      <c r="T33" s="62">
        <f>IFERROR(IF(C33="","",IF(I33="","",IF(J33="","",IF($C33="TOTAL",SUM($T$8:T32),IF(AND(C33&gt;$AR$1,$AI$3=$AR$2),BW34,IF($AU$18=$AU$20,$AU$21,ROUND((I33+J33)*10%,0))))))),"")</f>
        <v>12257</v>
      </c>
      <c r="U33" s="62">
        <f t="shared" si="14"/>
        <v>662</v>
      </c>
      <c r="V33" s="63">
        <f>IFERROR(IF(C33="","",IF($AU$16=$AU$17,0,IF($C33="TOTAL",SUM($V$8:V32),IF($AU$19=$AU$31,0,IF(AND($AU$32=$AU$20,C33=$AU$33),$AU$34,V32))))),"")</f>
        <v>2100</v>
      </c>
      <c r="W33" s="63">
        <f>IFERROR(IF(C33="","",IF($AU$16=$AU$17,0,IF($C33="TOTAL",SUM($W$8:W32),IF($AU$19=$AU$20,$AU$24,0)))),"")</f>
        <v>2100</v>
      </c>
      <c r="X33" s="62">
        <f t="shared" si="15"/>
        <v>0</v>
      </c>
      <c r="Y33" s="62" t="str">
        <f>IFERROR(IF(C33="","",IF($AU$16=$AU$17,0,IF($C33="TOTAL",SUM($Y$8:Y32),BZ33))),"")</f>
        <v/>
      </c>
      <c r="Z33" s="62" t="str">
        <f>IFERROR(IF(C33="","",IF($AU$16=$AU$17,0,IF($C33="TOTAL",SUM($Z$8:Z32),BY33))),"")</f>
        <v/>
      </c>
      <c r="AA33" s="62" t="str">
        <f t="shared" si="0"/>
        <v/>
      </c>
      <c r="AB33" s="62" t="str">
        <f>IFERROR(IF(C33="","",IF(D33="","",IF($C33="TOTAL",SUM($AB$8:AB32),IF(C33=$AU$1,ROUND(D33*5/31,0.01),"")))),"")</f>
        <v/>
      </c>
      <c r="AC33" s="62" t="str">
        <f>IFERROR(IF(C33="","",IF(I33="","",IF($C33="TOTAL",SUM($AC$8:AC32),IF(C33=$AU$1,ROUND(I33*5/31,0.01),"")))),"")</f>
        <v/>
      </c>
      <c r="AD33" s="62" t="str">
        <f t="shared" si="16"/>
        <v/>
      </c>
      <c r="AE33" s="62" t="str">
        <f>IFERROR(IF(C33="","",IF(AND(BP34="",BW34=""),"",IF($C33="TOTAL",SUM($AE$8:AE32),BP34))),"")</f>
        <v/>
      </c>
      <c r="AF33" s="62">
        <f>IFERROR(IF(C33="","",IF($C33="TOTAL",SUM($AF$8:AF32),ROUND(R33*$AU$7%,0))),"")</f>
        <v>0</v>
      </c>
      <c r="AG33" s="62">
        <f t="shared" si="8"/>
        <v>662</v>
      </c>
      <c r="AH33" s="64">
        <f>IFERROR(IF(C33="","",IF($C33="TOTAL",SUM($AH$8:AH32),SUM(R33-AG33))),"")</f>
        <v>7500</v>
      </c>
      <c r="AI33" s="15"/>
      <c r="AJ33" s="15"/>
      <c r="AO33" s="147"/>
      <c r="AP33" s="186"/>
      <c r="AQ33" s="183">
        <f t="shared" si="17"/>
        <v>17</v>
      </c>
      <c r="AR33" s="183">
        <f t="shared" si="18"/>
        <v>17</v>
      </c>
      <c r="AS33" s="184"/>
      <c r="AT33" s="185">
        <v>43466</v>
      </c>
      <c r="AU33" s="184">
        <f>'Master Sheet'!I17</f>
        <v>43525</v>
      </c>
      <c r="AV33" s="185">
        <f t="shared" si="40"/>
        <v>44287</v>
      </c>
      <c r="AW33" s="185">
        <f t="shared" si="34"/>
        <v>44287</v>
      </c>
      <c r="AX33" s="185" t="str">
        <f t="shared" si="20"/>
        <v/>
      </c>
      <c r="AY33" s="185">
        <f t="shared" si="21"/>
        <v>44287</v>
      </c>
      <c r="AZ33" s="185">
        <f t="shared" si="35"/>
        <v>44287</v>
      </c>
      <c r="BA33" s="184">
        <f t="shared" si="36"/>
        <v>107300</v>
      </c>
      <c r="BB33" s="184">
        <f t="shared" si="22"/>
        <v>21460</v>
      </c>
      <c r="BC33" s="184">
        <f t="shared" si="23"/>
        <v>21889</v>
      </c>
      <c r="BD33" s="184">
        <f t="shared" si="37"/>
        <v>8584</v>
      </c>
      <c r="BE33" s="184"/>
      <c r="BF33" s="184">
        <f t="shared" si="38"/>
        <v>101800</v>
      </c>
      <c r="BG33" s="184">
        <f t="shared" si="24"/>
        <v>20360</v>
      </c>
      <c r="BH33" s="184">
        <f t="shared" si="25"/>
        <v>20767</v>
      </c>
      <c r="BI33" s="184">
        <f t="shared" si="39"/>
        <v>8144</v>
      </c>
      <c r="BJ33" s="184">
        <f t="shared" si="26"/>
        <v>3675</v>
      </c>
      <c r="BK33" s="184"/>
      <c r="BL33" s="184"/>
      <c r="BM33" s="184">
        <f t="shared" si="27"/>
        <v>8162</v>
      </c>
      <c r="BN33" s="184">
        <f t="shared" si="28"/>
        <v>3675</v>
      </c>
      <c r="BO33" s="184" t="str">
        <f t="shared" si="29"/>
        <v/>
      </c>
      <c r="BP33" s="184" t="str">
        <f t="shared" si="10"/>
        <v/>
      </c>
      <c r="BQ33" s="184">
        <f t="shared" si="11"/>
        <v>0</v>
      </c>
      <c r="BR33" s="184">
        <f t="shared" si="12"/>
        <v>0</v>
      </c>
      <c r="BS33" s="184"/>
      <c r="BT33" s="184"/>
      <c r="BU33" s="184"/>
      <c r="BV33" s="184"/>
      <c r="BW33" s="184" t="str">
        <f t="shared" si="30"/>
        <v/>
      </c>
      <c r="BX33" s="184"/>
      <c r="BY33" s="179" t="str">
        <f t="shared" si="31"/>
        <v/>
      </c>
      <c r="BZ33" s="179" t="str">
        <f>IF(AZ34="","",IF(AZ34="TOTAL","",IF($AU$16=$AU$17,0,IF(AND(AZ34&gt;$BY$1,$AI$3=$AR$2,'Master Sheet'!$D$27&gt;0),'Master Sheet'!$D$27,IF(AND(AZ34=$BY$1),IF($AU$9&lt;18001,135,IF($AU$9&lt;33501,220,IF($AU$9&lt;54001,330,440))),IF(AND(AZ34&gt;$BY$1),IF($AU$9&lt;18001,265,IF($AU$9&lt;33501,440,IF($AU$9&lt;54001,658,875))),""))))))</f>
        <v/>
      </c>
      <c r="CA33" s="184"/>
      <c r="CB33" s="184"/>
      <c r="CC33" s="184"/>
      <c r="CD33" s="184"/>
      <c r="CE33" s="184"/>
      <c r="CF33" s="186"/>
      <c r="CG33" s="147"/>
    </row>
    <row r="34" spans="1:85" s="28" customFormat="1" ht="21" customHeight="1">
      <c r="A34" s="110">
        <f t="shared" si="32"/>
        <v>27</v>
      </c>
      <c r="B34" s="60">
        <f t="shared" si="1"/>
        <v>27</v>
      </c>
      <c r="C34" s="61">
        <f t="shared" si="33"/>
        <v>44348</v>
      </c>
      <c r="D34" s="62">
        <f>IFERROR(IF($C33="TOTAL","अक्षरें राशि :-",IF($C34="TOTAL",SUM($D$8:D33),IF(BA35="","",BA35))),"")</f>
        <v>107300</v>
      </c>
      <c r="E34" s="62">
        <f>IFERROR(IF($C34="TOTAL",SUM($E$8:E33),IF(BC35="","",BC35)),"")</f>
        <v>21889</v>
      </c>
      <c r="F34" s="62">
        <f>IFERROR(IF($C34="TOTAL",SUM($F$8:F33),IF(OR(C34=$AS$16,C34=$AS$17,C34=$AS$18,C34=$AS$19,C34=$AS$20,C34=$AS$21,C34=$AS$22,C34=$AS$23,C34=$AS$24),0,IF(BD35="","",BD35))),"")</f>
        <v>8584</v>
      </c>
      <c r="G34" s="62">
        <f>IFERROR(IF($C34="TOTAL",SUM($G$8:G33),IF(BB35="","",BB35)),"")</f>
        <v>21460</v>
      </c>
      <c r="H34" s="62">
        <f t="shared" si="3"/>
        <v>159233</v>
      </c>
      <c r="I34" s="62">
        <f>IFERROR(IF($C34="TOTAL",SUM($I$8:I33),IF(BF35="","",BF35)),"")</f>
        <v>101800</v>
      </c>
      <c r="J34" s="62">
        <f>IFERROR(IF($C34="TOTAL",SUM($J$8:J33),IF(BH35="","",BH35)),"")</f>
        <v>20767</v>
      </c>
      <c r="K34" s="62">
        <f>IFERROR(IF($C34="TOTAL",SUM($K$8:K33),IF(OR(C34=$AS$16,C34=$AS$17,C34=$AS$18,C34=$AS$19,C34=$AS$20,C34=$AS$21,C34=$AS$22,C34=$AS$23,C34=$AS$24),0,IF(BI35="","",BI35))),"")</f>
        <v>8144</v>
      </c>
      <c r="L34" s="62">
        <f>IFERROR(IF($C34="TOTAL",SUM($L$8:L33),IF(BG35="","",BG35)),"")</f>
        <v>20360</v>
      </c>
      <c r="M34" s="62">
        <f t="shared" si="4"/>
        <v>151071</v>
      </c>
      <c r="N34" s="62">
        <f>IFERROR(IF(C34="","",IF(D34="","",IF(I34="","",IF($C34="TOTAL",SUM($N$8:N33),SUM(D34-I34))))),"")</f>
        <v>5500</v>
      </c>
      <c r="O34" s="62">
        <f>IFERROR(IF(C34="","",IF(E34="","",IF(J34="","",IF($C34="TOTAL",SUM($O$8:O33),SUM(E34-J34))))),"")</f>
        <v>1122</v>
      </c>
      <c r="P34" s="62">
        <f>IFERROR(IF(C34="","",IF(F34="","",IF(K34="","",IF($C34="TOTAL",SUM($P$8:P33),SUM(F34-K34))))),"")</f>
        <v>440</v>
      </c>
      <c r="Q34" s="62">
        <f t="shared" si="5"/>
        <v>1100</v>
      </c>
      <c r="R34" s="62">
        <f t="shared" si="13"/>
        <v>8162</v>
      </c>
      <c r="S34" s="62">
        <f>IFERROR(IF(C34="","",IF($C34="TOTAL",SUM($S$8:S33),IF(AND(C34&gt;$AR$1,$AI$3=$AR$2),BW35,IF($AU$18=$AU$20,SUM(BJ35+BR35),ROUND((D34+E34)*10%,0))))),"")</f>
        <v>12919</v>
      </c>
      <c r="T34" s="62">
        <f>IFERROR(IF(C34="","",IF(I34="","",IF(J34="","",IF($C34="TOTAL",SUM($T$8:T33),IF(AND(C34&gt;$AR$1,$AI$3=$AR$2),BW35,IF($AU$18=$AU$20,$AU$21,ROUND((I34+J34)*10%,0))))))),"")</f>
        <v>12257</v>
      </c>
      <c r="U34" s="62">
        <f t="shared" si="14"/>
        <v>662</v>
      </c>
      <c r="V34" s="63">
        <f>IFERROR(IF(C34="","",IF($AU$16=$AU$17,0,IF($C34="TOTAL",SUM($V$8:V33),IF($AU$19=$AU$31,0,IF(AND($AU$32=$AU$20,C34=$AU$33),$AU$34,V33))))),"")</f>
        <v>2100</v>
      </c>
      <c r="W34" s="63">
        <f>IFERROR(IF(C34="","",IF($AU$16=$AU$17,0,IF($C34="TOTAL",SUM($W$8:W33),IF($AU$19=$AU$20,$AU$24,0)))),"")</f>
        <v>2100</v>
      </c>
      <c r="X34" s="62">
        <f t="shared" si="15"/>
        <v>0</v>
      </c>
      <c r="Y34" s="62" t="str">
        <f>IFERROR(IF(C34="","",IF($AU$16=$AU$17,0,IF($C34="TOTAL",SUM($Y$8:Y33),BZ34))),"")</f>
        <v/>
      </c>
      <c r="Z34" s="62" t="str">
        <f>IFERROR(IF(C34="","",IF($AU$16=$AU$17,0,IF($C34="TOTAL",SUM($Z$8:Z33),BY34))),"")</f>
        <v/>
      </c>
      <c r="AA34" s="62" t="str">
        <f t="shared" si="0"/>
        <v/>
      </c>
      <c r="AB34" s="62" t="str">
        <f>IFERROR(IF(C34="","",IF(D34="","",IF($C34="TOTAL",SUM($AB$8:AB33),IF(C34=$AU$1,ROUND(D34*5/31,0.01),"")))),"")</f>
        <v/>
      </c>
      <c r="AC34" s="62" t="str">
        <f>IFERROR(IF(C34="","",IF(I34="","",IF($C34="TOTAL",SUM($AC$8:AC33),IF(C34=$AU$1,ROUND(I34*5/31,0.01),"")))),"")</f>
        <v/>
      </c>
      <c r="AD34" s="62" t="str">
        <f t="shared" si="16"/>
        <v/>
      </c>
      <c r="AE34" s="62" t="str">
        <f>IFERROR(IF(C34="","",IF(AND(BP35="",BW35=""),"",IF($C34="TOTAL",SUM($AE$8:AE33),BP35))),"")</f>
        <v/>
      </c>
      <c r="AF34" s="62">
        <f>IFERROR(IF(C34="","",IF($C34="TOTAL",SUM($AF$8:AF33),ROUND(R34*$AU$7%,0))),"")</f>
        <v>0</v>
      </c>
      <c r="AG34" s="62">
        <f t="shared" si="8"/>
        <v>662</v>
      </c>
      <c r="AH34" s="64">
        <f>IFERROR(IF(C34="","",IF($C34="TOTAL",SUM($AH$8:AH33),SUM(R34-AG34))),"")</f>
        <v>7500</v>
      </c>
      <c r="AI34" s="15"/>
      <c r="AJ34" s="15"/>
      <c r="AO34" s="147"/>
      <c r="AP34" s="186"/>
      <c r="AQ34" s="183">
        <f t="shared" si="17"/>
        <v>17</v>
      </c>
      <c r="AR34" s="183">
        <f t="shared" si="18"/>
        <v>17</v>
      </c>
      <c r="AS34" s="184"/>
      <c r="AT34" s="185">
        <v>43497</v>
      </c>
      <c r="AU34" s="184">
        <f>'Master Sheet'!M17</f>
        <v>3000</v>
      </c>
      <c r="AV34" s="185">
        <f t="shared" si="40"/>
        <v>44317</v>
      </c>
      <c r="AW34" s="185">
        <f t="shared" si="34"/>
        <v>44317</v>
      </c>
      <c r="AX34" s="185" t="str">
        <f t="shared" si="20"/>
        <v/>
      </c>
      <c r="AY34" s="185">
        <f t="shared" si="21"/>
        <v>44317</v>
      </c>
      <c r="AZ34" s="185">
        <f t="shared" si="35"/>
        <v>44317</v>
      </c>
      <c r="BA34" s="184">
        <f t="shared" si="36"/>
        <v>107300</v>
      </c>
      <c r="BB34" s="184">
        <f t="shared" si="22"/>
        <v>21460</v>
      </c>
      <c r="BC34" s="184">
        <f t="shared" si="23"/>
        <v>21889</v>
      </c>
      <c r="BD34" s="184">
        <f t="shared" si="37"/>
        <v>8584</v>
      </c>
      <c r="BE34" s="184"/>
      <c r="BF34" s="184">
        <f t="shared" si="38"/>
        <v>101800</v>
      </c>
      <c r="BG34" s="184">
        <f t="shared" si="24"/>
        <v>20360</v>
      </c>
      <c r="BH34" s="184">
        <f t="shared" si="25"/>
        <v>20767</v>
      </c>
      <c r="BI34" s="184">
        <f t="shared" si="39"/>
        <v>8144</v>
      </c>
      <c r="BJ34" s="184">
        <f t="shared" si="26"/>
        <v>3675</v>
      </c>
      <c r="BK34" s="184"/>
      <c r="BL34" s="184"/>
      <c r="BM34" s="184">
        <f t="shared" si="27"/>
        <v>8162</v>
      </c>
      <c r="BN34" s="184">
        <f t="shared" si="28"/>
        <v>3675</v>
      </c>
      <c r="BO34" s="184" t="str">
        <f t="shared" si="29"/>
        <v/>
      </c>
      <c r="BP34" s="184" t="str">
        <f t="shared" si="10"/>
        <v/>
      </c>
      <c r="BQ34" s="184">
        <f t="shared" si="11"/>
        <v>0</v>
      </c>
      <c r="BR34" s="184">
        <f t="shared" si="12"/>
        <v>0</v>
      </c>
      <c r="BS34" s="184"/>
      <c r="BT34" s="184"/>
      <c r="BU34" s="184"/>
      <c r="BV34" s="184"/>
      <c r="BW34" s="184" t="str">
        <f t="shared" si="30"/>
        <v/>
      </c>
      <c r="BX34" s="184"/>
      <c r="BY34" s="179" t="str">
        <f t="shared" si="31"/>
        <v/>
      </c>
      <c r="BZ34" s="179" t="str">
        <f>IF(AZ35="","",IF(AZ35="TOTAL","",IF($AU$16=$AU$17,0,IF(AND(AZ35&gt;$BY$1,$AI$3=$AR$2,'Master Sheet'!$D$27&gt;0),'Master Sheet'!$D$27,IF(AND(AZ35=$BY$1),IF($AU$9&lt;18001,135,IF($AU$9&lt;33501,220,IF($AU$9&lt;54001,330,440))),IF(AND(AZ35&gt;$BY$1),IF($AU$9&lt;18001,265,IF($AU$9&lt;33501,440,IF($AU$9&lt;54001,658,875))),""))))))</f>
        <v/>
      </c>
      <c r="CA34" s="184"/>
      <c r="CB34" s="184"/>
      <c r="CC34" s="184"/>
      <c r="CD34" s="184"/>
      <c r="CE34" s="184"/>
      <c r="CF34" s="186"/>
      <c r="CG34" s="147"/>
    </row>
    <row r="35" spans="1:85" s="28" customFormat="1" ht="21" customHeight="1">
      <c r="A35" s="110">
        <f t="shared" si="32"/>
        <v>28</v>
      </c>
      <c r="B35" s="60">
        <f t="shared" si="1"/>
        <v>28</v>
      </c>
      <c r="C35" s="61">
        <f t="shared" si="33"/>
        <v>44378</v>
      </c>
      <c r="D35" s="62">
        <f>IFERROR(IF($C34="TOTAL","अक्षरें राशि :-",IF($C35="TOTAL",SUM($D$8:D34),IF(BA36="","",BA36))),"")</f>
        <v>110500</v>
      </c>
      <c r="E35" s="62">
        <f>IFERROR(IF($C35="TOTAL",SUM($E$8:E34),IF(BC36="","",BC36)),"")</f>
        <v>41106</v>
      </c>
      <c r="F35" s="62">
        <f>IFERROR(IF($C35="TOTAL",SUM($F$8:F34),IF(OR(C35=$AS$16,C35=$AS$17,C35=$AS$18,C35=$AS$19,C35=$AS$20,C35=$AS$21,C35=$AS$22,C35=$AS$23,C35=$AS$24),0,IF(BD36="","",BD36))),"")</f>
        <v>9945</v>
      </c>
      <c r="G35" s="62">
        <f>IFERROR(IF($C35="TOTAL",SUM($G$8:G34),IF(BB36="","",BB36)),"")</f>
        <v>22100</v>
      </c>
      <c r="H35" s="62">
        <f t="shared" si="3"/>
        <v>183651</v>
      </c>
      <c r="I35" s="62">
        <f>IFERROR(IF($C35="TOTAL",SUM($I$8:I34),IF(BF36="","",BF36)),"")</f>
        <v>104900</v>
      </c>
      <c r="J35" s="62">
        <f>IFERROR(IF($C35="TOTAL",SUM($J$8:J34),IF(BH36="","",BH36)),"")</f>
        <v>39023</v>
      </c>
      <c r="K35" s="62">
        <f>IFERROR(IF($C35="TOTAL",SUM($K$8:K34),IF(OR(C35=$AS$16,C35=$AS$17,C35=$AS$18,C35=$AS$19,C35=$AS$20,C35=$AS$21,C35=$AS$22,C35=$AS$23,C35=$AS$24),0,IF(BI36="","",BI36))),"")</f>
        <v>9441</v>
      </c>
      <c r="L35" s="62">
        <f>IFERROR(IF($C35="TOTAL",SUM($L$8:L34),IF(BG36="","",BG36)),"")</f>
        <v>20980</v>
      </c>
      <c r="M35" s="62">
        <f t="shared" si="4"/>
        <v>174344</v>
      </c>
      <c r="N35" s="62">
        <f>IFERROR(IF(C35="","",IF(D35="","",IF(I35="","",IF($C35="TOTAL",SUM($N$8:N34),SUM(D35-I35))))),"")</f>
        <v>5600</v>
      </c>
      <c r="O35" s="62">
        <f>IFERROR(IF(C35="","",IF(E35="","",IF(J35="","",IF($C35="TOTAL",SUM($O$8:O34),SUM(E35-J35))))),"")</f>
        <v>2083</v>
      </c>
      <c r="P35" s="62">
        <f>IFERROR(IF(C35="","",IF(F35="","",IF(K35="","",IF($C35="TOTAL",SUM($P$8:P34),SUM(F35-K35))))),"")</f>
        <v>504</v>
      </c>
      <c r="Q35" s="62">
        <f t="shared" si="5"/>
        <v>1120</v>
      </c>
      <c r="R35" s="62">
        <f t="shared" si="13"/>
        <v>9307</v>
      </c>
      <c r="S35" s="62">
        <f>IFERROR(IF(C35="","",IF($C35="TOTAL",SUM($S$8:S34),IF(AND(C35&gt;$AR$1,$AI$3=$AR$2),BW36,IF($AU$18=$AU$20,SUM(BJ36+BR36),ROUND((D35+E35)*10%,0))))),"")</f>
        <v>15161</v>
      </c>
      <c r="T35" s="62">
        <f>IFERROR(IF(C35="","",IF(I35="","",IF(J35="","",IF($C35="TOTAL",SUM($T$8:T34),IF(AND(C35&gt;$AR$1,$AI$3=$AR$2),BW36,IF($AU$18=$AU$20,$AU$21,ROUND((I35+J35)*10%,0))))))),"")</f>
        <v>14392</v>
      </c>
      <c r="U35" s="62">
        <f t="shared" si="14"/>
        <v>769</v>
      </c>
      <c r="V35" s="63">
        <f>IFERROR(IF(C35="","",IF($AU$16=$AU$17,0,IF($C35="TOTAL",SUM($V$8:V34),IF($AU$19=$AU$31,0,IF(AND($AU$32=$AU$20,C35=$AU$33),$AU$34,V34))))),"")</f>
        <v>2100</v>
      </c>
      <c r="W35" s="63">
        <f>IFERROR(IF(C35="","",IF($AU$16=$AU$17,0,IF($C35="TOTAL",SUM($W$8:W34),IF($AU$19=$AU$20,$AU$24,0)))),"")</f>
        <v>2100</v>
      </c>
      <c r="X35" s="62">
        <f t="shared" si="15"/>
        <v>0</v>
      </c>
      <c r="Y35" s="62" t="str">
        <f>IFERROR(IF(C35="","",IF($AU$16=$AU$17,0,IF($C35="TOTAL",SUM($Y$8:Y34),BZ35))),"")</f>
        <v/>
      </c>
      <c r="Z35" s="62" t="str">
        <f>IFERROR(IF(C35="","",IF($AU$16=$AU$17,0,IF($C35="TOTAL",SUM($Z$8:Z34),BY35))),"")</f>
        <v/>
      </c>
      <c r="AA35" s="62" t="str">
        <f t="shared" si="0"/>
        <v/>
      </c>
      <c r="AB35" s="62" t="str">
        <f>IFERROR(IF(C35="","",IF(D35="","",IF($C35="TOTAL",SUM($AB$8:AB34),IF(C35=$AU$1,ROUND(D35*5/31,0.01),"")))),"")</f>
        <v/>
      </c>
      <c r="AC35" s="62" t="str">
        <f>IFERROR(IF(C35="","",IF(I35="","",IF($C35="TOTAL",SUM($AC$8:AC34),IF(C35=$AU$1,ROUND(I35*5/31,0.01),"")))),"")</f>
        <v/>
      </c>
      <c r="AD35" s="62" t="str">
        <f t="shared" si="16"/>
        <v/>
      </c>
      <c r="AE35" s="62">
        <f>IFERROR(IF(C35="","",IF(AND(BP36="",BW36=""),"",IF($C35="TOTAL",SUM($AE$8:AE34),BP36))),"")</f>
        <v>168</v>
      </c>
      <c r="AF35" s="62">
        <f>IFERROR(IF(C35="","",IF($C35="TOTAL",SUM($AF$8:AF34),ROUND(R35*$AU$7%,0))),"")</f>
        <v>0</v>
      </c>
      <c r="AG35" s="62">
        <f t="shared" si="8"/>
        <v>937</v>
      </c>
      <c r="AH35" s="64">
        <f>IFERROR(IF(C35="","",IF($C35="TOTAL",SUM($AH$8:AH34),SUM(R35-AG35))),"")</f>
        <v>8370</v>
      </c>
      <c r="AI35" s="15"/>
      <c r="AJ35" s="15"/>
      <c r="AO35" s="147"/>
      <c r="AP35" s="186"/>
      <c r="AQ35" s="183">
        <f t="shared" si="17"/>
        <v>17</v>
      </c>
      <c r="AR35" s="183">
        <f t="shared" si="18"/>
        <v>17</v>
      </c>
      <c r="AS35" s="184"/>
      <c r="AT35" s="185">
        <v>43525</v>
      </c>
      <c r="AU35" s="184"/>
      <c r="AV35" s="185">
        <f t="shared" si="40"/>
        <v>44348</v>
      </c>
      <c r="AW35" s="185">
        <f t="shared" si="34"/>
        <v>44348</v>
      </c>
      <c r="AX35" s="185" t="str">
        <f t="shared" si="20"/>
        <v/>
      </c>
      <c r="AY35" s="185">
        <f t="shared" si="21"/>
        <v>44348</v>
      </c>
      <c r="AZ35" s="185">
        <f t="shared" si="35"/>
        <v>44348</v>
      </c>
      <c r="BA35" s="184">
        <f t="shared" si="36"/>
        <v>107300</v>
      </c>
      <c r="BB35" s="184">
        <f t="shared" si="22"/>
        <v>21460</v>
      </c>
      <c r="BC35" s="184">
        <f t="shared" si="23"/>
        <v>21889</v>
      </c>
      <c r="BD35" s="184">
        <f t="shared" si="37"/>
        <v>8584</v>
      </c>
      <c r="BE35" s="184"/>
      <c r="BF35" s="184">
        <f t="shared" si="38"/>
        <v>101800</v>
      </c>
      <c r="BG35" s="184">
        <f t="shared" si="24"/>
        <v>20360</v>
      </c>
      <c r="BH35" s="184">
        <f t="shared" si="25"/>
        <v>20767</v>
      </c>
      <c r="BI35" s="184">
        <f t="shared" si="39"/>
        <v>8144</v>
      </c>
      <c r="BJ35" s="184">
        <f t="shared" si="26"/>
        <v>3675</v>
      </c>
      <c r="BK35" s="184"/>
      <c r="BL35" s="184"/>
      <c r="BM35" s="184">
        <f t="shared" si="27"/>
        <v>8162</v>
      </c>
      <c r="BN35" s="184">
        <f t="shared" si="28"/>
        <v>3675</v>
      </c>
      <c r="BO35" s="184" t="str">
        <f t="shared" si="29"/>
        <v/>
      </c>
      <c r="BP35" s="184" t="str">
        <f t="shared" si="10"/>
        <v/>
      </c>
      <c r="BQ35" s="184">
        <f t="shared" si="11"/>
        <v>0</v>
      </c>
      <c r="BR35" s="184">
        <f t="shared" si="12"/>
        <v>0</v>
      </c>
      <c r="BS35" s="184"/>
      <c r="BT35" s="184"/>
      <c r="BU35" s="184"/>
      <c r="BV35" s="184"/>
      <c r="BW35" s="184" t="str">
        <f t="shared" si="30"/>
        <v/>
      </c>
      <c r="BX35" s="184"/>
      <c r="BY35" s="179" t="str">
        <f t="shared" si="31"/>
        <v/>
      </c>
      <c r="BZ35" s="179" t="str">
        <f>IF(AZ36="","",IF(AZ36="TOTAL","",IF($AU$16=$AU$17,0,IF(AND(AZ36&gt;$BY$1,$AI$3=$AR$2,'Master Sheet'!$D$27&gt;0),'Master Sheet'!$D$27,IF(AND(AZ36=$BY$1),IF($AU$9&lt;18001,135,IF($AU$9&lt;33501,220,IF($AU$9&lt;54001,330,440))),IF(AND(AZ36&gt;$BY$1),IF($AU$9&lt;18001,265,IF($AU$9&lt;33501,440,IF($AU$9&lt;54001,658,875))),""))))))</f>
        <v/>
      </c>
      <c r="CA35" s="184"/>
      <c r="CB35" s="184"/>
      <c r="CC35" s="184"/>
      <c r="CD35" s="184"/>
      <c r="CE35" s="184"/>
      <c r="CF35" s="186"/>
      <c r="CG35" s="147"/>
    </row>
    <row r="36" spans="1:85" s="28" customFormat="1" ht="21" customHeight="1">
      <c r="A36" s="110">
        <f t="shared" si="32"/>
        <v>29</v>
      </c>
      <c r="B36" s="60">
        <f t="shared" si="1"/>
        <v>29</v>
      </c>
      <c r="C36" s="61">
        <f t="shared" si="33"/>
        <v>44409</v>
      </c>
      <c r="D36" s="62">
        <f>IFERROR(IF($C35="TOTAL","अक्षरें राशि :-",IF($C36="TOTAL",SUM($D$8:D35),IF(BA37="","",BA37))),"")</f>
        <v>110500</v>
      </c>
      <c r="E36" s="62">
        <f>IFERROR(IF($C36="TOTAL",SUM($E$8:E35),IF(BC37="","",BC37)),"")</f>
        <v>41106</v>
      </c>
      <c r="F36" s="62">
        <f>IFERROR(IF($C36="TOTAL",SUM($F$8:F35),IF(OR(C36=$AS$16,C36=$AS$17,C36=$AS$18,C36=$AS$19,C36=$AS$20,C36=$AS$21,C36=$AS$22,C36=$AS$23,C36=$AS$24),0,IF(BD37="","",BD37))),"")</f>
        <v>9945</v>
      </c>
      <c r="G36" s="62">
        <f>IFERROR(IF($C36="TOTAL",SUM($G$8:G35),IF(BB37="","",BB37)),"")</f>
        <v>22100</v>
      </c>
      <c r="H36" s="62">
        <f t="shared" si="3"/>
        <v>183651</v>
      </c>
      <c r="I36" s="62">
        <f>IFERROR(IF($C36="TOTAL",SUM($I$8:I35),IF(BF37="","",BF37)),"")</f>
        <v>104900</v>
      </c>
      <c r="J36" s="62">
        <f>IFERROR(IF($C36="TOTAL",SUM($J$8:J35),IF(BH37="","",BH37)),"")</f>
        <v>39023</v>
      </c>
      <c r="K36" s="62">
        <f>IFERROR(IF($C36="TOTAL",SUM($K$8:K35),IF(OR(C36=$AS$16,C36=$AS$17,C36=$AS$18,C36=$AS$19,C36=$AS$20,C36=$AS$21,C36=$AS$22,C36=$AS$23,C36=$AS$24),0,IF(BI37="","",BI37))),"")</f>
        <v>9441</v>
      </c>
      <c r="L36" s="62">
        <f>IFERROR(IF($C36="TOTAL",SUM($L$8:L35),IF(BG37="","",BG37)),"")</f>
        <v>20980</v>
      </c>
      <c r="M36" s="62">
        <f t="shared" si="4"/>
        <v>174344</v>
      </c>
      <c r="N36" s="62">
        <f>IFERROR(IF(C36="","",IF(D36="","",IF(I36="","",IF($C36="TOTAL",SUM($N$8:N35),SUM(D36-I36))))),"")</f>
        <v>5600</v>
      </c>
      <c r="O36" s="62">
        <f>IFERROR(IF(C36="","",IF(E36="","",IF(J36="","",IF($C36="TOTAL",SUM($O$8:O35),SUM(E36-J36))))),"")</f>
        <v>2083</v>
      </c>
      <c r="P36" s="62">
        <f>IFERROR(IF(C36="","",IF(F36="","",IF(K36="","",IF($C36="TOTAL",SUM($P$8:P35),SUM(F36-K36))))),"")</f>
        <v>504</v>
      </c>
      <c r="Q36" s="62">
        <f t="shared" si="5"/>
        <v>1120</v>
      </c>
      <c r="R36" s="62">
        <f t="shared" si="13"/>
        <v>9307</v>
      </c>
      <c r="S36" s="62">
        <f>IFERROR(IF(C36="","",IF($C36="TOTAL",SUM($S$8:S35),IF(AND(C36&gt;$AR$1,$AI$3=$AR$2),BW37,IF($AU$18=$AU$20,SUM(BJ37+BR37),ROUND((D36+E36)*10%,0))))),"")</f>
        <v>15161</v>
      </c>
      <c r="T36" s="62">
        <f>IFERROR(IF(C36="","",IF(I36="","",IF(J36="","",IF($C36="TOTAL",SUM($T$8:T35),IF(AND(C36&gt;$AR$1,$AI$3=$AR$2),BW37,IF($AU$18=$AU$20,$AU$21,ROUND((I36+J36)*10%,0))))))),"")</f>
        <v>14392</v>
      </c>
      <c r="U36" s="62">
        <f t="shared" si="14"/>
        <v>769</v>
      </c>
      <c r="V36" s="63">
        <f>IFERROR(IF(C36="","",IF($AU$16=$AU$17,0,IF($C36="TOTAL",SUM($V$8:V35),IF($AU$19=$AU$31,0,IF(AND($AU$32=$AU$20,C36=$AU$33),$AU$34,V35))))),"")</f>
        <v>2100</v>
      </c>
      <c r="W36" s="63">
        <f>IFERROR(IF(C36="","",IF($AU$16=$AU$17,0,IF($C36="TOTAL",SUM($W$8:W35),IF($AU$19=$AU$20,$AU$24,0)))),"")</f>
        <v>2100</v>
      </c>
      <c r="X36" s="62">
        <f t="shared" si="15"/>
        <v>0</v>
      </c>
      <c r="Y36" s="62" t="str">
        <f>IFERROR(IF(C36="","",IF($AU$16=$AU$17,0,IF($C36="TOTAL",SUM($Y$8:Y35),BZ36))),"")</f>
        <v/>
      </c>
      <c r="Z36" s="62" t="str">
        <f>IFERROR(IF(C36="","",IF($AU$16=$AU$17,0,IF($C36="TOTAL",SUM($Z$8:Z35),BY36))),"")</f>
        <v/>
      </c>
      <c r="AA36" s="62" t="str">
        <f t="shared" si="0"/>
        <v/>
      </c>
      <c r="AB36" s="62" t="str">
        <f>IFERROR(IF(C36="","",IF(D36="","",IF($C36="TOTAL",SUM($AB$8:AB35),IF(C36=$AU$1,ROUND(D36*5/31,0.01),"")))),"")</f>
        <v/>
      </c>
      <c r="AC36" s="62" t="str">
        <f>IFERROR(IF(C36="","",IF(I36="","",IF($C36="TOTAL",SUM($AC$8:AC35),IF(C36=$AU$1,ROUND(I36*5/31,0.01),"")))),"")</f>
        <v/>
      </c>
      <c r="AD36" s="62" t="str">
        <f t="shared" si="16"/>
        <v/>
      </c>
      <c r="AE36" s="62">
        <f>IFERROR(IF(C36="","",IF(AND(BP37="",BW37=""),"",IF($C36="TOTAL",SUM($AE$8:AE35),BP37))),"")</f>
        <v>168</v>
      </c>
      <c r="AF36" s="62">
        <f>IFERROR(IF(C36="","",IF($C36="TOTAL",SUM($AF$8:AF35),ROUND(R36*$AU$7%,0))),"")</f>
        <v>0</v>
      </c>
      <c r="AG36" s="62">
        <f t="shared" si="8"/>
        <v>937</v>
      </c>
      <c r="AH36" s="64">
        <f>IFERROR(IF(C36="","",IF($C36="TOTAL",SUM($AH$8:AH35),SUM(R36-AG36))),"")</f>
        <v>8370</v>
      </c>
      <c r="AI36" s="15"/>
      <c r="AJ36" s="15"/>
      <c r="AO36" s="147"/>
      <c r="AP36" s="186"/>
      <c r="AQ36" s="183">
        <f t="shared" si="17"/>
        <v>31</v>
      </c>
      <c r="AR36" s="183">
        <f t="shared" si="18"/>
        <v>31</v>
      </c>
      <c r="AS36" s="184"/>
      <c r="AT36" s="185">
        <v>43556</v>
      </c>
      <c r="AU36" s="184" t="str">
        <f>'Master Sheet'!D21</f>
        <v>NO</v>
      </c>
      <c r="AV36" s="185">
        <f t="shared" si="40"/>
        <v>44378</v>
      </c>
      <c r="AW36" s="185">
        <f t="shared" si="34"/>
        <v>44378</v>
      </c>
      <c r="AX36" s="185" t="str">
        <f t="shared" si="20"/>
        <v/>
      </c>
      <c r="AY36" s="185">
        <f t="shared" si="21"/>
        <v>44378</v>
      </c>
      <c r="AZ36" s="185">
        <f t="shared" si="35"/>
        <v>44378</v>
      </c>
      <c r="BA36" s="184">
        <f t="shared" si="36"/>
        <v>110500</v>
      </c>
      <c r="BB36" s="184">
        <f t="shared" si="22"/>
        <v>22100</v>
      </c>
      <c r="BC36" s="184">
        <f t="shared" si="23"/>
        <v>41106</v>
      </c>
      <c r="BD36" s="184">
        <f t="shared" si="37"/>
        <v>9945</v>
      </c>
      <c r="BE36" s="184"/>
      <c r="BF36" s="184">
        <f t="shared" si="38"/>
        <v>104900</v>
      </c>
      <c r="BG36" s="184">
        <f t="shared" si="24"/>
        <v>20980</v>
      </c>
      <c r="BH36" s="184">
        <f t="shared" si="25"/>
        <v>39023</v>
      </c>
      <c r="BI36" s="184">
        <f t="shared" si="39"/>
        <v>9441</v>
      </c>
      <c r="BJ36" s="184">
        <f t="shared" si="26"/>
        <v>3675</v>
      </c>
      <c r="BK36" s="184"/>
      <c r="BL36" s="184"/>
      <c r="BM36" s="184">
        <f t="shared" si="27"/>
        <v>9307</v>
      </c>
      <c r="BN36" s="184">
        <f t="shared" si="28"/>
        <v>3675</v>
      </c>
      <c r="BO36" s="184" t="str">
        <f t="shared" si="29"/>
        <v>YES</v>
      </c>
      <c r="BP36" s="184">
        <f t="shared" si="10"/>
        <v>168</v>
      </c>
      <c r="BQ36" s="184">
        <f t="shared" si="11"/>
        <v>23</v>
      </c>
      <c r="BR36" s="184">
        <f t="shared" si="12"/>
        <v>230</v>
      </c>
      <c r="BS36" s="184"/>
      <c r="BT36" s="184"/>
      <c r="BU36" s="184"/>
      <c r="BV36" s="184"/>
      <c r="BW36" s="184" t="str">
        <f t="shared" si="30"/>
        <v/>
      </c>
      <c r="BX36" s="184"/>
      <c r="BY36" s="179" t="str">
        <f t="shared" si="31"/>
        <v/>
      </c>
      <c r="BZ36" s="179" t="str">
        <f>IF(AZ37="","",IF(AZ37="TOTAL","",IF($AU$16=$AU$17,0,IF(AND(AZ37&gt;$BY$1,$AI$3=$AR$2,'Master Sheet'!$D$27&gt;0),'Master Sheet'!$D$27,IF(AND(AZ37=$BY$1),IF($AU$9&lt;18001,135,IF($AU$9&lt;33501,220,IF($AU$9&lt;54001,330,440))),IF(AND(AZ37&gt;$BY$1),IF($AU$9&lt;18001,265,IF($AU$9&lt;33501,440,IF($AU$9&lt;54001,658,875))),""))))))</f>
        <v/>
      </c>
      <c r="CA36" s="184"/>
      <c r="CB36" s="184"/>
      <c r="CC36" s="184"/>
      <c r="CD36" s="184"/>
      <c r="CE36" s="184"/>
      <c r="CF36" s="186"/>
      <c r="CG36" s="147"/>
    </row>
    <row r="37" spans="1:85" s="28" customFormat="1" ht="21" customHeight="1">
      <c r="A37" s="110">
        <f t="shared" si="32"/>
        <v>30</v>
      </c>
      <c r="B37" s="60">
        <f t="shared" si="1"/>
        <v>30</v>
      </c>
      <c r="C37" s="61">
        <f t="shared" si="33"/>
        <v>44440</v>
      </c>
      <c r="D37" s="62">
        <f>IFERROR(IF($C36="TOTAL","अक्षरें राशि :-",IF($C37="TOTAL",SUM($D$8:D36),IF(BA38="","",BA38))),"")</f>
        <v>110500</v>
      </c>
      <c r="E37" s="62">
        <f>IFERROR(IF($C37="TOTAL",SUM($E$8:E36),IF(BC38="","",BC38)),"")</f>
        <v>41106</v>
      </c>
      <c r="F37" s="62">
        <f>IFERROR(IF($C37="TOTAL",SUM($F$8:F36),IF(OR(C37=$AS$16,C37=$AS$17,C37=$AS$18,C37=$AS$19,C37=$AS$20,C37=$AS$21,C37=$AS$22,C37=$AS$23,C37=$AS$24),0,IF(BD38="","",BD38))),"")</f>
        <v>9945</v>
      </c>
      <c r="G37" s="62">
        <f>IFERROR(IF($C37="TOTAL",SUM($G$8:G36),IF(BB38="","",BB38)),"")</f>
        <v>22100</v>
      </c>
      <c r="H37" s="62">
        <f t="shared" si="3"/>
        <v>183651</v>
      </c>
      <c r="I37" s="62">
        <f>IFERROR(IF($C37="TOTAL",SUM($I$8:I36),IF(BF38="","",BF38)),"")</f>
        <v>104900</v>
      </c>
      <c r="J37" s="62">
        <f>IFERROR(IF($C37="TOTAL",SUM($J$8:J36),IF(BH38="","",BH38)),"")</f>
        <v>39023</v>
      </c>
      <c r="K37" s="62">
        <f>IFERROR(IF($C37="TOTAL",SUM($K$8:K36),IF(OR(C37=$AS$16,C37=$AS$17,C37=$AS$18,C37=$AS$19,C37=$AS$20,C37=$AS$21,C37=$AS$22,C37=$AS$23,C37=$AS$24),0,IF(BI38="","",BI38))),"")</f>
        <v>9441</v>
      </c>
      <c r="L37" s="62">
        <f>IFERROR(IF($C37="TOTAL",SUM($L$8:L36),IF(BG38="","",BG38)),"")</f>
        <v>20980</v>
      </c>
      <c r="M37" s="62">
        <f t="shared" si="4"/>
        <v>174344</v>
      </c>
      <c r="N37" s="62">
        <f>IFERROR(IF(C37="","",IF(D37="","",IF(I37="","",IF($C37="TOTAL",SUM($N$8:N36),SUM(D37-I37))))),"")</f>
        <v>5600</v>
      </c>
      <c r="O37" s="62">
        <f>IFERROR(IF(C37="","",IF(E37="","",IF(J37="","",IF($C37="TOTAL",SUM($O$8:O36),SUM(E37-J37))))),"")</f>
        <v>2083</v>
      </c>
      <c r="P37" s="62">
        <f>IFERROR(IF(C37="","",IF(F37="","",IF(K37="","",IF($C37="TOTAL",SUM($P$8:P36),SUM(F37-K37))))),"")</f>
        <v>504</v>
      </c>
      <c r="Q37" s="62">
        <f t="shared" si="5"/>
        <v>1120</v>
      </c>
      <c r="R37" s="62">
        <f t="shared" si="13"/>
        <v>9307</v>
      </c>
      <c r="S37" s="62">
        <f>IFERROR(IF(C37="","",IF($C37="TOTAL",SUM($S$8:S36),IF(AND(C37&gt;$AR$1,$AI$3=$AR$2),BW38,IF($AU$18=$AU$20,SUM(BJ38+BR38),ROUND((D37+E37)*10%,0))))),"")</f>
        <v>15161</v>
      </c>
      <c r="T37" s="62">
        <f>IFERROR(IF(C37="","",IF(I37="","",IF(J37="","",IF($C37="TOTAL",SUM($T$8:T36),IF(AND(C37&gt;$AR$1,$AI$3=$AR$2),BW38,IF($AU$18=$AU$20,$AU$21,ROUND((I37+J37)*10%,0))))))),"")</f>
        <v>14392</v>
      </c>
      <c r="U37" s="62">
        <f t="shared" si="14"/>
        <v>769</v>
      </c>
      <c r="V37" s="63">
        <f>IFERROR(IF(C37="","",IF($AU$16=$AU$17,0,IF($C37="TOTAL",SUM($V$8:V36),IF($AU$19=$AU$31,0,IF(AND($AU$32=$AU$20,C37=$AU$33),$AU$34,V36))))),"")</f>
        <v>2100</v>
      </c>
      <c r="W37" s="63">
        <f>IFERROR(IF(C37="","",IF($AU$16=$AU$17,0,IF($C37="TOTAL",SUM($W$8:W36),IF($AU$19=$AU$20,$AU$24,0)))),"")</f>
        <v>2100</v>
      </c>
      <c r="X37" s="62">
        <f t="shared" si="15"/>
        <v>0</v>
      </c>
      <c r="Y37" s="62" t="str">
        <f>IFERROR(IF(C37="","",IF($AU$16=$AU$17,0,IF($C37="TOTAL",SUM($Y$8:Y36),BZ37))),"")</f>
        <v/>
      </c>
      <c r="Z37" s="62" t="str">
        <f>IFERROR(IF(C37="","",IF($AU$16=$AU$17,0,IF($C37="TOTAL",SUM($Z$8:Z36),BY37))),"")</f>
        <v/>
      </c>
      <c r="AA37" s="62" t="str">
        <f t="shared" si="0"/>
        <v/>
      </c>
      <c r="AB37" s="62" t="str">
        <f>IFERROR(IF(C37="","",IF(D37="","",IF($C37="TOTAL",SUM($AB$8:AB36),IF(C37=$AU$1,ROUND(D37*5/31,0.01),"")))),"")</f>
        <v/>
      </c>
      <c r="AC37" s="62" t="str">
        <f>IFERROR(IF(C37="","",IF(I37="","",IF($C37="TOTAL",SUM($AC$8:AC36),IF(C37=$AU$1,ROUND(I37*5/31,0.01),"")))),"")</f>
        <v/>
      </c>
      <c r="AD37" s="62" t="str">
        <f t="shared" si="16"/>
        <v/>
      </c>
      <c r="AE37" s="62">
        <f>IFERROR(IF(C37="","",IF(AND(BP38="",BW38=""),"",IF($C37="TOTAL",SUM($AE$8:AE36),BP38))),"")</f>
        <v>168</v>
      </c>
      <c r="AF37" s="62">
        <f>IFERROR(IF(C37="","",IF($C37="TOTAL",SUM($AF$8:AF36),ROUND(R37*$AU$7%,0))),"")</f>
        <v>0</v>
      </c>
      <c r="AG37" s="62">
        <f t="shared" si="8"/>
        <v>937</v>
      </c>
      <c r="AH37" s="64">
        <f>IFERROR(IF(C37="","",IF($C37="TOTAL",SUM($AH$8:AH36),SUM(R37-AG37))),"")</f>
        <v>8370</v>
      </c>
      <c r="AI37" s="15"/>
      <c r="AJ37" s="15"/>
      <c r="AO37" s="147"/>
      <c r="AP37" s="186"/>
      <c r="AQ37" s="183">
        <f t="shared" si="17"/>
        <v>31</v>
      </c>
      <c r="AR37" s="183">
        <f t="shared" si="18"/>
        <v>31</v>
      </c>
      <c r="AS37" s="184"/>
      <c r="AT37" s="185">
        <v>43586</v>
      </c>
      <c r="AU37" s="184">
        <f>'Master Sheet'!I21</f>
        <v>44287</v>
      </c>
      <c r="AV37" s="185">
        <f t="shared" si="40"/>
        <v>44409</v>
      </c>
      <c r="AW37" s="185">
        <f t="shared" si="34"/>
        <v>44409</v>
      </c>
      <c r="AX37" s="185" t="str">
        <f t="shared" si="20"/>
        <v/>
      </c>
      <c r="AY37" s="185">
        <f t="shared" si="21"/>
        <v>44409</v>
      </c>
      <c r="AZ37" s="185">
        <f t="shared" si="35"/>
        <v>44409</v>
      </c>
      <c r="BA37" s="184">
        <f t="shared" si="36"/>
        <v>110500</v>
      </c>
      <c r="BB37" s="184">
        <f t="shared" si="22"/>
        <v>22100</v>
      </c>
      <c r="BC37" s="184">
        <f t="shared" si="23"/>
        <v>41106</v>
      </c>
      <c r="BD37" s="184">
        <f t="shared" si="37"/>
        <v>9945</v>
      </c>
      <c r="BE37" s="184"/>
      <c r="BF37" s="184">
        <f t="shared" si="38"/>
        <v>104900</v>
      </c>
      <c r="BG37" s="184">
        <f t="shared" si="24"/>
        <v>20980</v>
      </c>
      <c r="BH37" s="184">
        <f t="shared" si="25"/>
        <v>39023</v>
      </c>
      <c r="BI37" s="184">
        <f t="shared" si="39"/>
        <v>9441</v>
      </c>
      <c r="BJ37" s="184">
        <f t="shared" si="26"/>
        <v>3675</v>
      </c>
      <c r="BK37" s="184"/>
      <c r="BL37" s="184"/>
      <c r="BM37" s="184">
        <f t="shared" si="27"/>
        <v>9307</v>
      </c>
      <c r="BN37" s="184">
        <f t="shared" si="28"/>
        <v>3675</v>
      </c>
      <c r="BO37" s="184" t="str">
        <f t="shared" si="29"/>
        <v>YES</v>
      </c>
      <c r="BP37" s="184">
        <f t="shared" si="10"/>
        <v>168</v>
      </c>
      <c r="BQ37" s="184">
        <f t="shared" si="11"/>
        <v>23</v>
      </c>
      <c r="BR37" s="184">
        <f t="shared" si="12"/>
        <v>230</v>
      </c>
      <c r="BS37" s="184"/>
      <c r="BT37" s="184"/>
      <c r="BU37" s="184"/>
      <c r="BV37" s="184"/>
      <c r="BW37" s="184" t="str">
        <f t="shared" si="30"/>
        <v/>
      </c>
      <c r="BX37" s="184"/>
      <c r="BY37" s="179" t="str">
        <f t="shared" si="31"/>
        <v/>
      </c>
      <c r="BZ37" s="179" t="str">
        <f>IF(AZ38="","",IF(AZ38="TOTAL","",IF($AU$16=$AU$17,0,IF(AND(AZ38&gt;$BY$1,$AI$3=$AR$2,'Master Sheet'!$D$27&gt;0),'Master Sheet'!$D$27,IF(AND(AZ38=$BY$1),IF($AU$9&lt;18001,135,IF($AU$9&lt;33501,220,IF($AU$9&lt;54001,330,440))),IF(AND(AZ38&gt;$BY$1),IF($AU$9&lt;18001,265,IF($AU$9&lt;33501,440,IF($AU$9&lt;54001,658,875))),""))))))</f>
        <v/>
      </c>
      <c r="CA37" s="184"/>
      <c r="CB37" s="184"/>
      <c r="CC37" s="184"/>
      <c r="CD37" s="184"/>
      <c r="CE37" s="184"/>
      <c r="CF37" s="186"/>
      <c r="CG37" s="147"/>
    </row>
    <row r="38" spans="1:85" s="28" customFormat="1" ht="21" customHeight="1">
      <c r="A38" s="110">
        <f t="shared" si="32"/>
        <v>31</v>
      </c>
      <c r="B38" s="60">
        <f t="shared" si="1"/>
        <v>31</v>
      </c>
      <c r="C38" s="61">
        <f t="shared" si="33"/>
        <v>44470</v>
      </c>
      <c r="D38" s="62">
        <f>IFERROR(IF($C37="TOTAL","अक्षरें राशि :-",IF($C38="TOTAL",SUM($D$8:D37),IF(BA39="","",BA39))),"")</f>
        <v>110500</v>
      </c>
      <c r="E38" s="62">
        <f>IFERROR(IF($C38="TOTAL",SUM($E$8:E37),IF(BC39="","",BC39)),"")</f>
        <v>41106</v>
      </c>
      <c r="F38" s="62">
        <f>IFERROR(IF($C38="TOTAL",SUM($F$8:F37),IF(OR(C38=$AS$16,C38=$AS$17,C38=$AS$18,C38=$AS$19,C38=$AS$20,C38=$AS$21,C38=$AS$22,C38=$AS$23,C38=$AS$24),0,IF(BD39="","",BD39))),"")</f>
        <v>9945</v>
      </c>
      <c r="G38" s="62">
        <f>IFERROR(IF($C38="TOTAL",SUM($G$8:G37),IF(BB39="","",BB39)),"")</f>
        <v>22100</v>
      </c>
      <c r="H38" s="62">
        <f t="shared" si="3"/>
        <v>183651</v>
      </c>
      <c r="I38" s="62">
        <f>IFERROR(IF($C38="TOTAL",SUM($I$8:I37),IF(BF39="","",BF39)),"")</f>
        <v>104900</v>
      </c>
      <c r="J38" s="62">
        <f>IFERROR(IF($C38="TOTAL",SUM($J$8:J37),IF(BH39="","",BH39)),"")</f>
        <v>39023</v>
      </c>
      <c r="K38" s="62">
        <f>IFERROR(IF($C38="TOTAL",SUM($K$8:K37),IF(OR(C38=$AS$16,C38=$AS$17,C38=$AS$18,C38=$AS$19,C38=$AS$20,C38=$AS$21,C38=$AS$22,C38=$AS$23,C38=$AS$24),0,IF(BI39="","",BI39))),"")</f>
        <v>9441</v>
      </c>
      <c r="L38" s="62">
        <f>IFERROR(IF($C38="TOTAL",SUM($L$8:L37),IF(BG39="","",BG39)),"")</f>
        <v>20980</v>
      </c>
      <c r="M38" s="62">
        <f t="shared" si="4"/>
        <v>174344</v>
      </c>
      <c r="N38" s="62">
        <f>IFERROR(IF(C38="","",IF(D38="","",IF(I38="","",IF($C38="TOTAL",SUM($N$8:N37),SUM(D38-I38))))),"")</f>
        <v>5600</v>
      </c>
      <c r="O38" s="62">
        <f>IFERROR(IF(C38="","",IF(E38="","",IF(J38="","",IF($C38="TOTAL",SUM($O$8:O37),SUM(E38-J38))))),"")</f>
        <v>2083</v>
      </c>
      <c r="P38" s="62">
        <f>IFERROR(IF(C38="","",IF(F38="","",IF(K38="","",IF($C38="TOTAL",SUM($P$8:P37),SUM(F38-K38))))),"")</f>
        <v>504</v>
      </c>
      <c r="Q38" s="62">
        <f t="shared" si="5"/>
        <v>1120</v>
      </c>
      <c r="R38" s="62">
        <f t="shared" si="13"/>
        <v>9307</v>
      </c>
      <c r="S38" s="62">
        <f>IFERROR(IF(C38="","",IF($C38="TOTAL",SUM($S$8:S37),IF(AND(C38&gt;$AR$1,$AI$3=$AR$2),BW39,IF($AU$18=$AU$20,SUM(BJ39+BR39),ROUND((D38+E38)*10%,0))))),"")</f>
        <v>15161</v>
      </c>
      <c r="T38" s="62">
        <f>IFERROR(IF(C38="","",IF(I38="","",IF(J38="","",IF($C38="TOTAL",SUM($T$8:T37),IF(AND(C38&gt;$AR$1,$AI$3=$AR$2),BW39,IF($AU$18=$AU$20,$AU$21,ROUND((I38+J38)*10%,0))))))),"")</f>
        <v>14392</v>
      </c>
      <c r="U38" s="62">
        <f t="shared" si="14"/>
        <v>769</v>
      </c>
      <c r="V38" s="63">
        <f>IFERROR(IF(C38="","",IF($AU$16=$AU$17,0,IF($C38="TOTAL",SUM($V$8:V37),IF($AU$19=$AU$31,0,IF(AND($AU$32=$AU$20,C38=$AU$33),$AU$34,V37))))),"")</f>
        <v>2100</v>
      </c>
      <c r="W38" s="63">
        <f>IFERROR(IF(C38="","",IF($AU$16=$AU$17,0,IF($C38="TOTAL",SUM($W$8:W37),IF($AU$19=$AU$20,$AU$24,0)))),"")</f>
        <v>2100</v>
      </c>
      <c r="X38" s="62">
        <f t="shared" si="15"/>
        <v>0</v>
      </c>
      <c r="Y38" s="62" t="str">
        <f>IFERROR(IF(C38="","",IF($AU$16=$AU$17,0,IF($C38="TOTAL",SUM($Y$8:Y37),BZ38))),"")</f>
        <v/>
      </c>
      <c r="Z38" s="62" t="str">
        <f>IFERROR(IF(C38="","",IF($AU$16=$AU$17,0,IF($C38="TOTAL",SUM($Z$8:Z37),BY38))),"")</f>
        <v/>
      </c>
      <c r="AA38" s="62" t="str">
        <f t="shared" si="0"/>
        <v/>
      </c>
      <c r="AB38" s="62" t="str">
        <f>IFERROR(IF(C38="","",IF(D38="","",IF($C38="TOTAL",SUM($AB$8:AB37),IF(C38=$AU$1,ROUND(D38*5/31,0.01),"")))),"")</f>
        <v/>
      </c>
      <c r="AC38" s="62" t="str">
        <f>IFERROR(IF(C38="","",IF(I38="","",IF($C38="TOTAL",SUM($AC$8:AC37),IF(C38=$AU$1,ROUND(I38*5/31,0.01),"")))),"")</f>
        <v/>
      </c>
      <c r="AD38" s="62" t="str">
        <f t="shared" si="16"/>
        <v/>
      </c>
      <c r="AE38" s="62" t="str">
        <f>IFERROR(IF(C38="","",IF(AND(BP39="",BW39=""),"",IF($C38="TOTAL",SUM($AE$8:AE37),BP39))),"")</f>
        <v/>
      </c>
      <c r="AF38" s="62">
        <f>IFERROR(IF(C38="","",IF($C38="TOTAL",SUM($AF$8:AF37),ROUND(R38*$AU$7%,0))),"")</f>
        <v>0</v>
      </c>
      <c r="AG38" s="62">
        <f t="shared" si="8"/>
        <v>769</v>
      </c>
      <c r="AH38" s="64">
        <f>IFERROR(IF(C38="","",IF($C38="TOTAL",SUM($AH$8:AH37),SUM(R38-AG38))),"")</f>
        <v>8538</v>
      </c>
      <c r="AI38" s="15"/>
      <c r="AJ38" s="15"/>
      <c r="AO38" s="147"/>
      <c r="AP38" s="186"/>
      <c r="AQ38" s="183">
        <f t="shared" si="17"/>
        <v>31</v>
      </c>
      <c r="AR38" s="183">
        <f t="shared" si="18"/>
        <v>31</v>
      </c>
      <c r="AS38" s="184"/>
      <c r="AT38" s="185">
        <v>43617</v>
      </c>
      <c r="AU38" s="184">
        <f>'Master Sheet'!M21</f>
        <v>5000</v>
      </c>
      <c r="AV38" s="185">
        <f t="shared" si="40"/>
        <v>44440</v>
      </c>
      <c r="AW38" s="185">
        <f t="shared" si="34"/>
        <v>44440</v>
      </c>
      <c r="AX38" s="185" t="str">
        <f t="shared" si="20"/>
        <v/>
      </c>
      <c r="AY38" s="185">
        <f t="shared" si="21"/>
        <v>44440</v>
      </c>
      <c r="AZ38" s="185">
        <f t="shared" si="35"/>
        <v>44440</v>
      </c>
      <c r="BA38" s="184">
        <f t="shared" si="36"/>
        <v>110500</v>
      </c>
      <c r="BB38" s="184">
        <f t="shared" si="22"/>
        <v>22100</v>
      </c>
      <c r="BC38" s="184">
        <f t="shared" si="23"/>
        <v>41106</v>
      </c>
      <c r="BD38" s="184">
        <f t="shared" si="37"/>
        <v>9945</v>
      </c>
      <c r="BE38" s="184"/>
      <c r="BF38" s="184">
        <f t="shared" si="38"/>
        <v>104900</v>
      </c>
      <c r="BG38" s="184">
        <f t="shared" si="24"/>
        <v>20980</v>
      </c>
      <c r="BH38" s="184">
        <f t="shared" si="25"/>
        <v>39023</v>
      </c>
      <c r="BI38" s="184">
        <f t="shared" si="39"/>
        <v>9441</v>
      </c>
      <c r="BJ38" s="184">
        <f t="shared" si="26"/>
        <v>3675</v>
      </c>
      <c r="BK38" s="184"/>
      <c r="BL38" s="184"/>
      <c r="BM38" s="184">
        <f t="shared" si="27"/>
        <v>9307</v>
      </c>
      <c r="BN38" s="184">
        <f t="shared" si="28"/>
        <v>3675</v>
      </c>
      <c r="BO38" s="184" t="str">
        <f t="shared" si="29"/>
        <v>YES</v>
      </c>
      <c r="BP38" s="184">
        <f t="shared" si="10"/>
        <v>168</v>
      </c>
      <c r="BQ38" s="184">
        <f t="shared" si="11"/>
        <v>23</v>
      </c>
      <c r="BR38" s="184">
        <f t="shared" si="12"/>
        <v>230</v>
      </c>
      <c r="BS38" s="184"/>
      <c r="BT38" s="184"/>
      <c r="BU38" s="184"/>
      <c r="BV38" s="184"/>
      <c r="BW38" s="184" t="str">
        <f t="shared" si="30"/>
        <v/>
      </c>
      <c r="BX38" s="184"/>
      <c r="BY38" s="179" t="str">
        <f t="shared" si="31"/>
        <v/>
      </c>
      <c r="BZ38" s="179" t="str">
        <f>IF(AZ39="","",IF(AZ39="TOTAL","",IF($AU$16=$AU$17,0,IF(AND(AZ39&gt;$BY$1,$AI$3=$AR$2,'Master Sheet'!$D$27&gt;0),'Master Sheet'!$D$27,IF(AND(AZ39=$BY$1),IF($AU$9&lt;18001,135,IF($AU$9&lt;33501,220,IF($AU$9&lt;54001,330,440))),IF(AND(AZ39&gt;$BY$1),IF($AU$9&lt;18001,265,IF($AU$9&lt;33501,440,IF($AU$9&lt;54001,658,875))),""))))))</f>
        <v/>
      </c>
      <c r="CA38" s="184"/>
      <c r="CB38" s="184"/>
      <c r="CC38" s="184"/>
      <c r="CD38" s="184"/>
      <c r="CE38" s="184"/>
      <c r="CF38" s="186"/>
      <c r="CG38" s="147"/>
    </row>
    <row r="39" spans="1:85" s="28" customFormat="1" ht="21" customHeight="1">
      <c r="A39" s="110">
        <f t="shared" si="32"/>
        <v>32</v>
      </c>
      <c r="B39" s="60">
        <f t="shared" si="1"/>
        <v>32</v>
      </c>
      <c r="C39" s="61">
        <f t="shared" si="33"/>
        <v>44501</v>
      </c>
      <c r="D39" s="62">
        <f>IFERROR(IF($C38="TOTAL","अक्षरें राशि :-",IF($C39="TOTAL",SUM($D$8:D38),IF(BA40="","",BA40))),"")</f>
        <v>110500</v>
      </c>
      <c r="E39" s="62">
        <f>IFERROR(IF($C39="TOTAL",SUM($E$8:E38),IF(BC40="","",BC40)),"")</f>
        <v>41106</v>
      </c>
      <c r="F39" s="62">
        <f>IFERROR(IF($C39="TOTAL",SUM($F$8:F38),IF(OR(C39=$AS$16,C39=$AS$17,C39=$AS$18,C39=$AS$19,C39=$AS$20,C39=$AS$21,C39=$AS$22,C39=$AS$23,C39=$AS$24),0,IF(BD40="","",BD40))),"")</f>
        <v>9945</v>
      </c>
      <c r="G39" s="62">
        <f>IFERROR(IF($C39="TOTAL",SUM($G$8:G38),IF(BB40="","",BB40)),"")</f>
        <v>22100</v>
      </c>
      <c r="H39" s="62">
        <f t="shared" si="3"/>
        <v>183651</v>
      </c>
      <c r="I39" s="62">
        <f>IFERROR(IF($C39="TOTAL",SUM($I$8:I38),IF(BF40="","",BF40)),"")</f>
        <v>104900</v>
      </c>
      <c r="J39" s="62">
        <f>IFERROR(IF($C39="TOTAL",SUM($J$8:J38),IF(BH40="","",BH40)),"")</f>
        <v>39023</v>
      </c>
      <c r="K39" s="62">
        <f>IFERROR(IF($C39="TOTAL",SUM($K$8:K38),IF(OR(C39=$AS$16,C39=$AS$17,C39=$AS$18,C39=$AS$19,C39=$AS$20,C39=$AS$21,C39=$AS$22,C39=$AS$23,C39=$AS$24),0,IF(BI40="","",BI40))),"")</f>
        <v>9441</v>
      </c>
      <c r="L39" s="62">
        <f>IFERROR(IF($C39="TOTAL",SUM($L$8:L38),IF(BG40="","",BG40)),"")</f>
        <v>20980</v>
      </c>
      <c r="M39" s="62">
        <f t="shared" si="4"/>
        <v>174344</v>
      </c>
      <c r="N39" s="62">
        <f>IFERROR(IF(C39="","",IF(D39="","",IF(I39="","",IF($C39="TOTAL",SUM($N$8:N38),SUM(D39-I39))))),"")</f>
        <v>5600</v>
      </c>
      <c r="O39" s="62">
        <f>IFERROR(IF(C39="","",IF(E39="","",IF(J39="","",IF($C39="TOTAL",SUM($O$8:O38),SUM(E39-J39))))),"")</f>
        <v>2083</v>
      </c>
      <c r="P39" s="62">
        <f>IFERROR(IF(C39="","",IF(F39="","",IF(K39="","",IF($C39="TOTAL",SUM($P$8:P38),SUM(F39-K39))))),"")</f>
        <v>504</v>
      </c>
      <c r="Q39" s="62">
        <f t="shared" si="5"/>
        <v>1120</v>
      </c>
      <c r="R39" s="62">
        <f t="shared" si="13"/>
        <v>9307</v>
      </c>
      <c r="S39" s="62">
        <f>IFERROR(IF(C39="","",IF($C39="TOTAL",SUM($S$8:S38),IF(AND(C39&gt;$AR$1,$AI$3=$AR$2),BW40,IF($AU$18=$AU$20,SUM(BJ40+BR40),ROUND((D39+E39)*10%,0))))),"")</f>
        <v>15161</v>
      </c>
      <c r="T39" s="62">
        <f>IFERROR(IF(C39="","",IF(I39="","",IF(J39="","",IF($C39="TOTAL",SUM($T$8:T38),IF(AND(C39&gt;$AR$1,$AI$3=$AR$2),BW40,IF($AU$18=$AU$20,$AU$21,ROUND((I39+J39)*10%,0))))))),"")</f>
        <v>14392</v>
      </c>
      <c r="U39" s="62">
        <f t="shared" si="14"/>
        <v>769</v>
      </c>
      <c r="V39" s="63">
        <f>IFERROR(IF(C39="","",IF($AU$16=$AU$17,0,IF($C39="TOTAL",SUM($V$8:V38),IF($AU$19=$AU$31,0,IF(AND($AU$32=$AU$20,C39=$AU$33),$AU$34,V38))))),"")</f>
        <v>2100</v>
      </c>
      <c r="W39" s="63">
        <f>IFERROR(IF(C39="","",IF($AU$16=$AU$17,0,IF($C39="TOTAL",SUM($W$8:W38),IF($AU$19=$AU$20,$AU$24,0)))),"")</f>
        <v>2100</v>
      </c>
      <c r="X39" s="62">
        <f t="shared" si="15"/>
        <v>0</v>
      </c>
      <c r="Y39" s="62" t="str">
        <f>IFERROR(IF(C39="","",IF($AU$16=$AU$17,0,IF($C39="TOTAL",SUM($Y$8:Y38),BZ39))),"")</f>
        <v/>
      </c>
      <c r="Z39" s="62" t="str">
        <f>IFERROR(IF(C39="","",IF($AU$16=$AU$17,0,IF($C39="TOTAL",SUM($Z$8:Z38),BY39))),"")</f>
        <v/>
      </c>
      <c r="AA39" s="62" t="str">
        <f t="shared" si="0"/>
        <v/>
      </c>
      <c r="AB39" s="62" t="str">
        <f>IFERROR(IF(C39="","",IF(D39="","",IF($C39="TOTAL",SUM($AB$8:AB38),IF(C39=$AU$1,ROUND(D39*5/31,0.01),"")))),"")</f>
        <v/>
      </c>
      <c r="AC39" s="62" t="str">
        <f>IFERROR(IF(C39="","",IF(I39="","",IF($C39="TOTAL",SUM($AC$8:AC38),IF(C39=$AU$1,ROUND(I39*5/31,0.01),"")))),"")</f>
        <v/>
      </c>
      <c r="AD39" s="62" t="str">
        <f t="shared" si="16"/>
        <v/>
      </c>
      <c r="AE39" s="62" t="str">
        <f>IFERROR(IF(C39="","",IF(AND(BP40="",BW40=""),"",IF($C39="TOTAL",SUM($AE$8:AE38),BP40))),"")</f>
        <v/>
      </c>
      <c r="AF39" s="62">
        <f>IFERROR(IF(C39="","",IF($C39="TOTAL",SUM($AF$8:AF38),ROUND(R39*$AU$7%,0))),"")</f>
        <v>0</v>
      </c>
      <c r="AG39" s="62">
        <f t="shared" si="8"/>
        <v>769</v>
      </c>
      <c r="AH39" s="64">
        <f>IFERROR(IF(C39="","",IF($C39="TOTAL",SUM($AH$8:AH38),SUM(R39-AG39))),"")</f>
        <v>8538</v>
      </c>
      <c r="AI39" s="15"/>
      <c r="AJ39" s="15"/>
      <c r="AO39" s="147"/>
      <c r="AP39" s="186"/>
      <c r="AQ39" s="183">
        <f t="shared" si="17"/>
        <v>31</v>
      </c>
      <c r="AR39" s="183">
        <f t="shared" si="18"/>
        <v>31</v>
      </c>
      <c r="AS39" s="184"/>
      <c r="AT39" s="185">
        <v>43647</v>
      </c>
      <c r="AU39" s="184"/>
      <c r="AV39" s="185">
        <f t="shared" si="40"/>
        <v>44470</v>
      </c>
      <c r="AW39" s="185">
        <f t="shared" si="34"/>
        <v>44470</v>
      </c>
      <c r="AX39" s="185" t="str">
        <f t="shared" si="20"/>
        <v/>
      </c>
      <c r="AY39" s="185">
        <f t="shared" si="21"/>
        <v>44470</v>
      </c>
      <c r="AZ39" s="185">
        <f t="shared" si="35"/>
        <v>44470</v>
      </c>
      <c r="BA39" s="184">
        <f t="shared" si="36"/>
        <v>110500</v>
      </c>
      <c r="BB39" s="184">
        <f t="shared" si="22"/>
        <v>22100</v>
      </c>
      <c r="BC39" s="184">
        <f t="shared" si="23"/>
        <v>41106</v>
      </c>
      <c r="BD39" s="184">
        <f t="shared" si="37"/>
        <v>9945</v>
      </c>
      <c r="BE39" s="184"/>
      <c r="BF39" s="184">
        <f t="shared" si="38"/>
        <v>104900</v>
      </c>
      <c r="BG39" s="184">
        <f t="shared" si="24"/>
        <v>20980</v>
      </c>
      <c r="BH39" s="184">
        <f t="shared" si="25"/>
        <v>39023</v>
      </c>
      <c r="BI39" s="184">
        <f t="shared" si="39"/>
        <v>9441</v>
      </c>
      <c r="BJ39" s="184">
        <f t="shared" si="26"/>
        <v>3675</v>
      </c>
      <c r="BK39" s="184"/>
      <c r="BL39" s="184"/>
      <c r="BM39" s="184">
        <f t="shared" si="27"/>
        <v>9307</v>
      </c>
      <c r="BN39" s="184">
        <f t="shared" si="28"/>
        <v>3675</v>
      </c>
      <c r="BO39" s="184" t="str">
        <f t="shared" si="29"/>
        <v/>
      </c>
      <c r="BP39" s="184" t="str">
        <f t="shared" si="10"/>
        <v/>
      </c>
      <c r="BQ39" s="184">
        <f t="shared" si="11"/>
        <v>0</v>
      </c>
      <c r="BR39" s="184">
        <f t="shared" si="12"/>
        <v>0</v>
      </c>
      <c r="BS39" s="184"/>
      <c r="BT39" s="184"/>
      <c r="BU39" s="184"/>
      <c r="BV39" s="184"/>
      <c r="BW39" s="184" t="str">
        <f t="shared" si="30"/>
        <v/>
      </c>
      <c r="BX39" s="184"/>
      <c r="BY39" s="179" t="str">
        <f t="shared" si="31"/>
        <v/>
      </c>
      <c r="BZ39" s="179" t="str">
        <f>IF(AZ40="","",IF(AZ40="TOTAL","",IF($AU$16=$AU$17,0,IF(AND(AZ40&gt;$BY$1,$AI$3=$AR$2,'Master Sheet'!$D$27&gt;0),'Master Sheet'!$D$27,IF(AND(AZ40=$BY$1),IF($AU$9&lt;18001,135,IF($AU$9&lt;33501,220,IF($AU$9&lt;54001,330,440))),IF(AND(AZ40&gt;$BY$1),IF($AU$9&lt;18001,265,IF($AU$9&lt;33501,440,IF($AU$9&lt;54001,658,875))),""))))))</f>
        <v/>
      </c>
      <c r="CA39" s="184"/>
      <c r="CB39" s="184"/>
      <c r="CC39" s="184"/>
      <c r="CD39" s="184"/>
      <c r="CE39" s="184"/>
      <c r="CF39" s="186"/>
      <c r="CG39" s="147"/>
    </row>
    <row r="40" spans="1:85" s="28" customFormat="1" ht="21" customHeight="1">
      <c r="A40" s="110">
        <f t="shared" si="32"/>
        <v>33</v>
      </c>
      <c r="B40" s="60">
        <f t="shared" si="1"/>
        <v>33</v>
      </c>
      <c r="C40" s="61">
        <f t="shared" si="33"/>
        <v>44531</v>
      </c>
      <c r="D40" s="62">
        <f>IFERROR(IF($C39="TOTAL","अक्षरें राशि :-",IF($C40="TOTAL",SUM($D$8:D39),IF(BA41="","",BA41))),"")</f>
        <v>110500</v>
      </c>
      <c r="E40" s="62">
        <f>IFERROR(IF($C40="TOTAL",SUM($E$8:E39),IF(BC41="","",BC41)),"")</f>
        <v>41106</v>
      </c>
      <c r="F40" s="62">
        <f>IFERROR(IF($C40="TOTAL",SUM($F$8:F39),IF(OR(C40=$AS$16,C40=$AS$17,C40=$AS$18,C40=$AS$19,C40=$AS$20,C40=$AS$21,C40=$AS$22,C40=$AS$23,C40=$AS$24),0,IF(BD41="","",BD41))),"")</f>
        <v>9945</v>
      </c>
      <c r="G40" s="62">
        <f>IFERROR(IF($C40="TOTAL",SUM($G$8:G39),IF(BB41="","",BB41)),"")</f>
        <v>22100</v>
      </c>
      <c r="H40" s="62">
        <f t="shared" si="3"/>
        <v>183651</v>
      </c>
      <c r="I40" s="62">
        <f>IFERROR(IF($C40="TOTAL",SUM($I$8:I39),IF(BF41="","",BF41)),"")</f>
        <v>104900</v>
      </c>
      <c r="J40" s="62">
        <f>IFERROR(IF($C40="TOTAL",SUM($J$8:J39),IF(BH41="","",BH41)),"")</f>
        <v>39023</v>
      </c>
      <c r="K40" s="62">
        <f>IFERROR(IF($C40="TOTAL",SUM($K$8:K39),IF(OR(C40=$AS$16,C40=$AS$17,C40=$AS$18,C40=$AS$19,C40=$AS$20,C40=$AS$21,C40=$AS$22,C40=$AS$23,C40=$AS$24),0,IF(BI41="","",BI41))),"")</f>
        <v>9441</v>
      </c>
      <c r="L40" s="62">
        <f>IFERROR(IF($C40="TOTAL",SUM($L$8:L39),IF(BG41="","",BG41)),"")</f>
        <v>20980</v>
      </c>
      <c r="M40" s="62">
        <f t="shared" si="4"/>
        <v>174344</v>
      </c>
      <c r="N40" s="62">
        <f>IFERROR(IF(C40="","",IF(D40="","",IF(I40="","",IF($C40="TOTAL",SUM($N$8:N39),SUM(D40-I40))))),"")</f>
        <v>5600</v>
      </c>
      <c r="O40" s="62">
        <f>IFERROR(IF(C40="","",IF(E40="","",IF(J40="","",IF($C40="TOTAL",SUM($O$8:O39),SUM(E40-J40))))),"")</f>
        <v>2083</v>
      </c>
      <c r="P40" s="62">
        <f>IFERROR(IF(C40="","",IF(F40="","",IF(K40="","",IF($C40="TOTAL",SUM($P$8:P39),SUM(F40-K40))))),"")</f>
        <v>504</v>
      </c>
      <c r="Q40" s="62">
        <f t="shared" si="5"/>
        <v>1120</v>
      </c>
      <c r="R40" s="62">
        <f t="shared" si="13"/>
        <v>9307</v>
      </c>
      <c r="S40" s="62">
        <f>IFERROR(IF(C40="","",IF($C40="TOTAL",SUM($S$8:S39),IF(AND(C40&gt;$AR$1,$AI$3=$AR$2),BW41,IF($AU$18=$AU$20,SUM(BJ41+BR41),ROUND((D40+E40)*10%,0))))),"")</f>
        <v>15161</v>
      </c>
      <c r="T40" s="62">
        <f>IFERROR(IF(C40="","",IF(I40="","",IF(J40="","",IF($C40="TOTAL",SUM($T$8:T39),IF(AND(C40&gt;$AR$1,$AI$3=$AR$2),BW41,IF($AU$18=$AU$20,$AU$21,ROUND((I40+J40)*10%,0))))))),"")</f>
        <v>14392</v>
      </c>
      <c r="U40" s="62">
        <f t="shared" si="14"/>
        <v>769</v>
      </c>
      <c r="V40" s="63">
        <f>IFERROR(IF(C40="","",IF($AU$16=$AU$17,0,IF($C40="TOTAL",SUM($V$8:V39),IF($AU$19=$AU$31,0,IF(AND($AU$32=$AU$20,C40=$AU$33),$AU$34,V39))))),"")</f>
        <v>2100</v>
      </c>
      <c r="W40" s="63">
        <f>IFERROR(IF(C40="","",IF($AU$16=$AU$17,0,IF($C40="TOTAL",SUM($W$8:W39),IF($AU$19=$AU$20,$AU$24,0)))),"")</f>
        <v>2100</v>
      </c>
      <c r="X40" s="62">
        <f t="shared" si="15"/>
        <v>0</v>
      </c>
      <c r="Y40" s="62" t="str">
        <f>IFERROR(IF(C40="","",IF($AU$16=$AU$17,0,IF($C40="TOTAL",SUM($Y$8:Y39),BZ40))),"")</f>
        <v/>
      </c>
      <c r="Z40" s="62" t="str">
        <f>IFERROR(IF(C40="","",IF($AU$16=$AU$17,0,IF($C40="TOTAL",SUM($Z$8:Z39),BY40))),"")</f>
        <v/>
      </c>
      <c r="AA40" s="62" t="str">
        <f t="shared" ref="AA40:AA71" si="41">IFERROR(IF(C40="","",SUM(Y40-Z40)),"")</f>
        <v/>
      </c>
      <c r="AB40" s="62" t="str">
        <f>IFERROR(IF(C40="","",IF(D40="","",IF($C40="TOTAL",SUM($AB$8:AB39),IF(C40=$AU$1,ROUND(D40*5/31,0.01),"")))),"")</f>
        <v/>
      </c>
      <c r="AC40" s="62" t="str">
        <f>IFERROR(IF(C40="","",IF(I40="","",IF($C40="TOTAL",SUM($AC$8:AC39),IF(C40=$AU$1,ROUND(I40*5/31,0.01),"")))),"")</f>
        <v/>
      </c>
      <c r="AD40" s="62" t="str">
        <f t="shared" si="16"/>
        <v/>
      </c>
      <c r="AE40" s="62" t="str">
        <f>IFERROR(IF(C40="","",IF(AND(BP41="",BW41=""),"",IF($C40="TOTAL",SUM($AE$8:AE39),BP41))),"")</f>
        <v/>
      </c>
      <c r="AF40" s="62">
        <f>IFERROR(IF(C40="","",IF($C40="TOTAL",SUM($AF$8:AF39),ROUND(R40*$AU$7%,0))),"")</f>
        <v>0</v>
      </c>
      <c r="AG40" s="62">
        <f t="shared" si="8"/>
        <v>769</v>
      </c>
      <c r="AH40" s="64">
        <f>IFERROR(IF(C40="","",IF($C40="TOTAL",SUM($AH$8:AH39),SUM(R40-AG40))),"")</f>
        <v>8538</v>
      </c>
      <c r="AI40" s="15"/>
      <c r="AJ40" s="15"/>
      <c r="AO40" s="147"/>
      <c r="AP40" s="186"/>
      <c r="AQ40" s="183">
        <f t="shared" si="17"/>
        <v>31</v>
      </c>
      <c r="AR40" s="183">
        <f t="shared" si="18"/>
        <v>31</v>
      </c>
      <c r="AS40" s="184"/>
      <c r="AT40" s="185">
        <v>43678</v>
      </c>
      <c r="AU40" s="184"/>
      <c r="AV40" s="185">
        <f t="shared" si="40"/>
        <v>44501</v>
      </c>
      <c r="AW40" s="185">
        <f t="shared" si="34"/>
        <v>44501</v>
      </c>
      <c r="AX40" s="185" t="str">
        <f t="shared" si="20"/>
        <v/>
      </c>
      <c r="AY40" s="185">
        <f t="shared" si="21"/>
        <v>44501</v>
      </c>
      <c r="AZ40" s="185">
        <f t="shared" si="35"/>
        <v>44501</v>
      </c>
      <c r="BA40" s="184">
        <f t="shared" si="36"/>
        <v>110500</v>
      </c>
      <c r="BB40" s="184">
        <f t="shared" si="22"/>
        <v>22100</v>
      </c>
      <c r="BC40" s="184">
        <f t="shared" si="23"/>
        <v>41106</v>
      </c>
      <c r="BD40" s="184">
        <f t="shared" si="37"/>
        <v>9945</v>
      </c>
      <c r="BE40" s="184"/>
      <c r="BF40" s="184">
        <f t="shared" si="38"/>
        <v>104900</v>
      </c>
      <c r="BG40" s="184">
        <f t="shared" si="24"/>
        <v>20980</v>
      </c>
      <c r="BH40" s="184">
        <f t="shared" si="25"/>
        <v>39023</v>
      </c>
      <c r="BI40" s="184">
        <f t="shared" si="39"/>
        <v>9441</v>
      </c>
      <c r="BJ40" s="184">
        <f t="shared" si="26"/>
        <v>3675</v>
      </c>
      <c r="BK40" s="184"/>
      <c r="BL40" s="184"/>
      <c r="BM40" s="184">
        <f t="shared" si="27"/>
        <v>9307</v>
      </c>
      <c r="BN40" s="184">
        <f t="shared" si="28"/>
        <v>3675</v>
      </c>
      <c r="BO40" s="184" t="str">
        <f t="shared" si="29"/>
        <v/>
      </c>
      <c r="BP40" s="184" t="str">
        <f t="shared" si="10"/>
        <v/>
      </c>
      <c r="BQ40" s="184">
        <f t="shared" si="11"/>
        <v>0</v>
      </c>
      <c r="BR40" s="184">
        <f t="shared" si="12"/>
        <v>0</v>
      </c>
      <c r="BS40" s="184"/>
      <c r="BT40" s="184"/>
      <c r="BU40" s="184"/>
      <c r="BV40" s="184"/>
      <c r="BW40" s="184" t="str">
        <f t="shared" si="30"/>
        <v/>
      </c>
      <c r="BX40" s="184"/>
      <c r="BY40" s="179" t="str">
        <f t="shared" si="31"/>
        <v/>
      </c>
      <c r="BZ40" s="179" t="str">
        <f>IF(AZ41="","",IF(AZ41="TOTAL","",IF($AU$16=$AU$17,0,IF(AND(AZ41&gt;$BY$1,$AI$3=$AR$2,'Master Sheet'!$D$27&gt;0),'Master Sheet'!$D$27,IF(AND(AZ41=$BY$1),IF($AU$9&lt;18001,135,IF($AU$9&lt;33501,220,IF($AU$9&lt;54001,330,440))),IF(AND(AZ41&gt;$BY$1),IF($AU$9&lt;18001,265,IF($AU$9&lt;33501,440,IF($AU$9&lt;54001,658,875))),""))))))</f>
        <v/>
      </c>
      <c r="CA40" s="184"/>
      <c r="CB40" s="184"/>
      <c r="CC40" s="184"/>
      <c r="CD40" s="184"/>
      <c r="CE40" s="184"/>
      <c r="CF40" s="186"/>
      <c r="CG40" s="147"/>
    </row>
    <row r="41" spans="1:85" s="28" customFormat="1" ht="21" customHeight="1">
      <c r="A41" s="110">
        <f t="shared" si="32"/>
        <v>34</v>
      </c>
      <c r="B41" s="60">
        <f t="shared" si="1"/>
        <v>34</v>
      </c>
      <c r="C41" s="61">
        <f t="shared" si="33"/>
        <v>44562</v>
      </c>
      <c r="D41" s="62">
        <f>IFERROR(IF($C40="TOTAL","अक्षरें राशि :-",IF($C41="TOTAL",SUM($D$8:D40),IF(BA42="","",BA42))),"")</f>
        <v>110500</v>
      </c>
      <c r="E41" s="62">
        <f>IFERROR(IF($C41="TOTAL",SUM($E$8:E40),IF(BC42="","",BC42)),"")</f>
        <v>45084</v>
      </c>
      <c r="F41" s="62">
        <f>IFERROR(IF($C41="TOTAL",SUM($F$8:F40),IF(OR(C41=$AS$16,C41=$AS$17,C41=$AS$18,C41=$AS$19,C41=$AS$20,C41=$AS$21,C41=$AS$22,C41=$AS$23,C41=$AS$24),0,IF(BD42="","",BD42))),"")</f>
        <v>9945</v>
      </c>
      <c r="G41" s="62">
        <f>IFERROR(IF($C41="TOTAL",SUM($G$8:G40),IF(BB42="","",BB42)),"")</f>
        <v>22100</v>
      </c>
      <c r="H41" s="62">
        <f t="shared" si="3"/>
        <v>187629</v>
      </c>
      <c r="I41" s="62">
        <f>IFERROR(IF($C41="TOTAL",SUM($I$8:I40),IF(BF42="","",BF42)),"")</f>
        <v>104900</v>
      </c>
      <c r="J41" s="62">
        <f>IFERROR(IF($C41="TOTAL",SUM($J$8:J40),IF(BH42="","",BH42)),"")</f>
        <v>42799</v>
      </c>
      <c r="K41" s="62">
        <f>IFERROR(IF($C41="TOTAL",SUM($K$8:K40),IF(OR(C41=$AS$16,C41=$AS$17,C41=$AS$18,C41=$AS$19,C41=$AS$20,C41=$AS$21,C41=$AS$22,C41=$AS$23,C41=$AS$24),0,IF(BI42="","",BI42))),"")</f>
        <v>9441</v>
      </c>
      <c r="L41" s="62">
        <f>IFERROR(IF($C41="TOTAL",SUM($L$8:L40),IF(BG42="","",BG42)),"")</f>
        <v>20980</v>
      </c>
      <c r="M41" s="62">
        <f t="shared" si="4"/>
        <v>178120</v>
      </c>
      <c r="N41" s="62">
        <f>IFERROR(IF(C41="","",IF(D41="","",IF(I41="","",IF($C41="TOTAL",SUM($N$8:N40),SUM(D41-I41))))),"")</f>
        <v>5600</v>
      </c>
      <c r="O41" s="62">
        <f>IFERROR(IF(C41="","",IF(E41="","",IF(J41="","",IF($C41="TOTAL",SUM($O$8:O40),SUM(E41-J41))))),"")</f>
        <v>2285</v>
      </c>
      <c r="P41" s="62">
        <f>IFERROR(IF(C41="","",IF(F41="","",IF(K41="","",IF($C41="TOTAL",SUM($P$8:P40),SUM(F41-K41))))),"")</f>
        <v>504</v>
      </c>
      <c r="Q41" s="62">
        <f t="shared" si="5"/>
        <v>1120</v>
      </c>
      <c r="R41" s="62">
        <f t="shared" si="13"/>
        <v>9509</v>
      </c>
      <c r="S41" s="62">
        <f>IFERROR(IF(C41="","",IF($C41="TOTAL",SUM($S$8:S40),IF(AND(C41&gt;$AR$1,$AI$3=$AR$2),BW42,IF($AU$18=$AU$20,SUM(BJ42+BR42),ROUND((D41+E41)*10%,0))))),"")</f>
        <v>15558</v>
      </c>
      <c r="T41" s="62">
        <f>IFERROR(IF(C41="","",IF(I41="","",IF(J41="","",IF($C41="TOTAL",SUM($T$8:T40),IF(AND(C41&gt;$AR$1,$AI$3=$AR$2),BW42,IF($AU$18=$AU$20,$AU$21,ROUND((I41+J41)*10%,0))))))),"")</f>
        <v>14770</v>
      </c>
      <c r="U41" s="62">
        <f t="shared" si="14"/>
        <v>788</v>
      </c>
      <c r="V41" s="63">
        <f>IFERROR(IF(C41="","",IF($AU$16=$AU$17,0,IF($C41="TOTAL",SUM($V$8:V40),IF($AU$19=$AU$31,0,IF(AND($AU$32=$AU$20,C41=$AU$33),$AU$34,V40))))),"")</f>
        <v>2100</v>
      </c>
      <c r="W41" s="63">
        <f>IFERROR(IF(C41="","",IF($AU$16=$AU$17,0,IF($C41="TOTAL",SUM($W$8:W40),IF($AU$19=$AU$20,$AU$24,0)))),"")</f>
        <v>2100</v>
      </c>
      <c r="X41" s="62">
        <f t="shared" si="15"/>
        <v>0</v>
      </c>
      <c r="Y41" s="62" t="str">
        <f>IFERROR(IF(C41="","",IF($AU$16=$AU$17,0,IF($C41="TOTAL",SUM($Y$8:Y40),BZ41))),"")</f>
        <v/>
      </c>
      <c r="Z41" s="62" t="str">
        <f>IFERROR(IF(C41="","",IF($AU$16=$AU$17,0,IF($C41="TOTAL",SUM($Z$8:Z40),BY41))),"")</f>
        <v/>
      </c>
      <c r="AA41" s="62" t="str">
        <f t="shared" si="41"/>
        <v/>
      </c>
      <c r="AB41" s="62" t="str">
        <f>IFERROR(IF(C41="","",IF(D41="","",IF($C41="TOTAL",SUM($AB$8:AB40),IF(C41=$AU$1,ROUND(D41*5/31,0.01),"")))),"")</f>
        <v/>
      </c>
      <c r="AC41" s="62" t="str">
        <f>IFERROR(IF(C41="","",IF(I41="","",IF($C41="TOTAL",SUM($AC$8:AC40),IF(C41=$AU$1,ROUND(I41*5/31,0.01),"")))),"")</f>
        <v/>
      </c>
      <c r="AD41" s="62" t="str">
        <f t="shared" si="16"/>
        <v/>
      </c>
      <c r="AE41" s="62" t="str">
        <f>IFERROR(IF(C41="","",IF(AND(BP42="",BW42=""),"",IF($C41="TOTAL",SUM($AE$8:AE40),BP42))),"")</f>
        <v/>
      </c>
      <c r="AF41" s="62">
        <f>IFERROR(IF(C41="","",IF($C41="TOTAL",SUM($AF$8:AF40),ROUND(R41*$AU$7%,0))),"")</f>
        <v>0</v>
      </c>
      <c r="AG41" s="62">
        <f t="shared" si="8"/>
        <v>788</v>
      </c>
      <c r="AH41" s="64">
        <f>IFERROR(IF(C41="","",IF($C41="TOTAL",SUM($AH$8:AH40),SUM(R41-AG41))),"")</f>
        <v>8721</v>
      </c>
      <c r="AI41" s="15"/>
      <c r="AJ41" s="15"/>
      <c r="AO41" s="147"/>
      <c r="AP41" s="186"/>
      <c r="AQ41" s="183">
        <f t="shared" si="17"/>
        <v>31</v>
      </c>
      <c r="AR41" s="183">
        <f t="shared" si="18"/>
        <v>31</v>
      </c>
      <c r="AS41" s="184"/>
      <c r="AT41" s="185">
        <v>43709</v>
      </c>
      <c r="AU41" s="184"/>
      <c r="AV41" s="185">
        <f t="shared" si="40"/>
        <v>44531</v>
      </c>
      <c r="AW41" s="185">
        <f t="shared" si="34"/>
        <v>44531</v>
      </c>
      <c r="AX41" s="185" t="str">
        <f t="shared" si="20"/>
        <v/>
      </c>
      <c r="AY41" s="185">
        <f t="shared" si="21"/>
        <v>44531</v>
      </c>
      <c r="AZ41" s="185">
        <f t="shared" si="35"/>
        <v>44531</v>
      </c>
      <c r="BA41" s="184">
        <f t="shared" si="36"/>
        <v>110500</v>
      </c>
      <c r="BB41" s="184">
        <f t="shared" si="22"/>
        <v>22100</v>
      </c>
      <c r="BC41" s="184">
        <f t="shared" si="23"/>
        <v>41106</v>
      </c>
      <c r="BD41" s="184">
        <f t="shared" si="37"/>
        <v>9945</v>
      </c>
      <c r="BE41" s="184"/>
      <c r="BF41" s="184">
        <f t="shared" si="38"/>
        <v>104900</v>
      </c>
      <c r="BG41" s="184">
        <f t="shared" si="24"/>
        <v>20980</v>
      </c>
      <c r="BH41" s="184">
        <f t="shared" si="25"/>
        <v>39023</v>
      </c>
      <c r="BI41" s="184">
        <f t="shared" si="39"/>
        <v>9441</v>
      </c>
      <c r="BJ41" s="184">
        <f t="shared" si="26"/>
        <v>3675</v>
      </c>
      <c r="BK41" s="184"/>
      <c r="BL41" s="184"/>
      <c r="BM41" s="184">
        <f t="shared" si="27"/>
        <v>9307</v>
      </c>
      <c r="BN41" s="184">
        <f t="shared" si="28"/>
        <v>3675</v>
      </c>
      <c r="BO41" s="184" t="str">
        <f t="shared" si="29"/>
        <v/>
      </c>
      <c r="BP41" s="184" t="str">
        <f t="shared" ref="BP41:BP72" si="42">IF(BO41="","",IF($AU$16=$AU$17,ROUND((D40)*3%,0),IF(OR(AZ41=$AT$63,AZ41=$AT$64,AZ41=$AT$65),SUM(ROUND((D40-I40)*3%,0)),IF(OR(AZ41=$AT$69,AZ41=$AT$70,AZ41=$AT$71),SUM(ROUND((D40-I40)*3%,0)),""))))</f>
        <v/>
      </c>
      <c r="BQ41" s="184">
        <f t="shared" ref="BQ41:BQ72" si="43">IFERROR(IF(AND($AU$16=$AU$17,BO41="YES"),ROUND(ROUND(D40*3%,0)*10%,0),IF(AND($AU$16=$AU$15,BO41="YES",$AS$7="NO"),ROUND(ROUND((N40+I40)*3%,0)*10%,0),IF(AND($AU$16=$AU$15,BO41="YES",$AS$7="YES"),ROUND(ROUND((N40+O40)*3%,0)*10%,0),0))),"")</f>
        <v>0</v>
      </c>
      <c r="BR41" s="184">
        <f t="shared" ref="BR41:BR72" si="44">IF(AND($AU$16=$AU$17,BO41="YES"),ROUND(D40*3%,0),IF(AND($AU$16=$AU$15,BO41="YES",$AS$7="NO"),ROUND((N40+I40)*3%,0),IF(AND($AU$16=$AU$15,BO41="YES",$AS$7="YES"),ROUND((N40+O40)*3%,0),0)))</f>
        <v>0</v>
      </c>
      <c r="BS41" s="184"/>
      <c r="BT41" s="184"/>
      <c r="BU41" s="184"/>
      <c r="BV41" s="184"/>
      <c r="BW41" s="184" t="str">
        <f t="shared" si="30"/>
        <v/>
      </c>
      <c r="BX41" s="184"/>
      <c r="BY41" s="179" t="str">
        <f t="shared" si="31"/>
        <v/>
      </c>
      <c r="BZ41" s="179" t="str">
        <f>IF(AZ42="","",IF(AZ42="TOTAL","",IF($AU$16=$AU$17,0,IF(AND(AZ42&gt;$BY$1,$AI$3=$AR$2,'Master Sheet'!$D$27&gt;0),'Master Sheet'!$D$27,IF(AND(AZ42=$BY$1),IF($AU$9&lt;18001,135,IF($AU$9&lt;33501,220,IF($AU$9&lt;54001,330,440))),IF(AND(AZ42&gt;$BY$1),IF($AU$9&lt;18001,265,IF($AU$9&lt;33501,440,IF($AU$9&lt;54001,658,875))),""))))))</f>
        <v/>
      </c>
      <c r="CA41" s="184"/>
      <c r="CB41" s="184"/>
      <c r="CC41" s="184"/>
      <c r="CD41" s="184"/>
      <c r="CE41" s="184"/>
      <c r="CF41" s="186"/>
      <c r="CG41" s="147"/>
    </row>
    <row r="42" spans="1:85" s="28" customFormat="1" ht="21" customHeight="1">
      <c r="A42" s="110">
        <f t="shared" si="32"/>
        <v>35</v>
      </c>
      <c r="B42" s="60">
        <f t="shared" si="1"/>
        <v>35</v>
      </c>
      <c r="C42" s="61">
        <f t="shared" si="33"/>
        <v>44593</v>
      </c>
      <c r="D42" s="62">
        <f>IFERROR(IF($C41="TOTAL","अक्षरें राशि :-",IF($C42="TOTAL",SUM($D$8:D41),IF(BA43="","",BA43))),"")</f>
        <v>110500</v>
      </c>
      <c r="E42" s="62">
        <f>IFERROR(IF($C42="TOTAL",SUM($E$8:E41),IF(BC43="","",BC43)),"")</f>
        <v>45084</v>
      </c>
      <c r="F42" s="62">
        <f>IFERROR(IF($C42="TOTAL",SUM($F$8:F41),IF(OR(C42=$AS$16,C42=$AS$17,C42=$AS$18,C42=$AS$19,C42=$AS$20,C42=$AS$21,C42=$AS$22,C42=$AS$23,C42=$AS$24),0,IF(BD43="","",BD43))),"")</f>
        <v>9945</v>
      </c>
      <c r="G42" s="62">
        <f>IFERROR(IF($C42="TOTAL",SUM($G$8:G41),IF(BB43="","",BB43)),"")</f>
        <v>22100</v>
      </c>
      <c r="H42" s="62">
        <f t="shared" si="3"/>
        <v>187629</v>
      </c>
      <c r="I42" s="62">
        <f>IFERROR(IF($C42="TOTAL",SUM($I$8:I41),IF(BF43="","",BF43)),"")</f>
        <v>104900</v>
      </c>
      <c r="J42" s="62">
        <f>IFERROR(IF($C42="TOTAL",SUM($J$8:J41),IF(BH43="","",BH43)),"")</f>
        <v>42799</v>
      </c>
      <c r="K42" s="62">
        <f>IFERROR(IF($C42="TOTAL",SUM($K$8:K41),IF(OR(C42=$AS$16,C42=$AS$17,C42=$AS$18,C42=$AS$19,C42=$AS$20,C42=$AS$21,C42=$AS$22,C42=$AS$23,C42=$AS$24),0,IF(BI43="","",BI43))),"")</f>
        <v>9441</v>
      </c>
      <c r="L42" s="62">
        <f>IFERROR(IF($C42="TOTAL",SUM($L$8:L41),IF(BG43="","",BG43)),"")</f>
        <v>20980</v>
      </c>
      <c r="M42" s="62">
        <f t="shared" si="4"/>
        <v>178120</v>
      </c>
      <c r="N42" s="62">
        <f>IFERROR(IF(C42="","",IF(D42="","",IF(I42="","",IF($C42="TOTAL",SUM($N$8:N41),SUM(D42-I42))))),"")</f>
        <v>5600</v>
      </c>
      <c r="O42" s="62">
        <f>IFERROR(IF(C42="","",IF(E42="","",IF(J42="","",IF($C42="TOTAL",SUM($O$8:O41),SUM(E42-J42))))),"")</f>
        <v>2285</v>
      </c>
      <c r="P42" s="62">
        <f>IFERROR(IF(C42="","",IF(F42="","",IF(K42="","",IF($C42="TOTAL",SUM($P$8:P41),SUM(F42-K42))))),"")</f>
        <v>504</v>
      </c>
      <c r="Q42" s="62">
        <f t="shared" si="5"/>
        <v>1120</v>
      </c>
      <c r="R42" s="62">
        <f t="shared" si="13"/>
        <v>9509</v>
      </c>
      <c r="S42" s="62">
        <f>IFERROR(IF(C42="","",IF($C42="TOTAL",SUM($S$8:S41),IF(AND(C42&gt;$AR$1,$AI$3=$AR$2),BW43,IF($AU$18=$AU$20,SUM(BJ43+BR43),ROUND((D42+E42)*10%,0))))),"")</f>
        <v>15558</v>
      </c>
      <c r="T42" s="62">
        <f>IFERROR(IF(C42="","",IF(I42="","",IF(J42="","",IF($C42="TOTAL",SUM($T$8:T41),IF(AND(C42&gt;$AR$1,$AI$3=$AR$2),BW43,IF($AU$18=$AU$20,$AU$21,ROUND((I42+J42)*10%,0))))))),"")</f>
        <v>14770</v>
      </c>
      <c r="U42" s="62">
        <f t="shared" si="14"/>
        <v>788</v>
      </c>
      <c r="V42" s="63">
        <f>IFERROR(IF(C42="","",IF($AU$16=$AU$17,0,IF($C42="TOTAL",SUM($V$8:V41),IF($AU$19=$AU$31,0,IF(AND($AU$32=$AU$20,C42=$AU$33),$AU$34,V41))))),"")</f>
        <v>2100</v>
      </c>
      <c r="W42" s="63">
        <f>IFERROR(IF(C42="","",IF($AU$16=$AU$17,0,IF($C42="TOTAL",SUM($W$8:W41),IF($AU$19=$AU$20,$AU$24,0)))),"")</f>
        <v>2100</v>
      </c>
      <c r="X42" s="62">
        <f t="shared" si="15"/>
        <v>0</v>
      </c>
      <c r="Y42" s="62" t="str">
        <f>IFERROR(IF(C42="","",IF($AU$16=$AU$17,0,IF($C42="TOTAL",SUM($Y$8:Y41),BZ42))),"")</f>
        <v/>
      </c>
      <c r="Z42" s="62" t="str">
        <f>IFERROR(IF(C42="","",IF($AU$16=$AU$17,0,IF($C42="TOTAL",SUM($Z$8:Z41),BY42))),"")</f>
        <v/>
      </c>
      <c r="AA42" s="62" t="str">
        <f t="shared" si="41"/>
        <v/>
      </c>
      <c r="AB42" s="62" t="str">
        <f>IFERROR(IF(C42="","",IF(D42="","",IF($C42="TOTAL",SUM($AB$8:AB41),IF(C42=$AU$1,ROUND(D42*5/31,0.01),"")))),"")</f>
        <v/>
      </c>
      <c r="AC42" s="62" t="str">
        <f>IFERROR(IF(C42="","",IF(I42="","",IF($C42="TOTAL",SUM($AC$8:AC41),IF(C42=$AU$1,ROUND(I42*5/31,0.01),"")))),"")</f>
        <v/>
      </c>
      <c r="AD42" s="62" t="str">
        <f t="shared" si="16"/>
        <v/>
      </c>
      <c r="AE42" s="62" t="str">
        <f>IFERROR(IF(C42="","",IF(AND(BP43="",BW43=""),"",IF($C42="TOTAL",SUM($AE$8:AE41),BP43))),"")</f>
        <v/>
      </c>
      <c r="AF42" s="62">
        <f>IFERROR(IF(C42="","",IF($C42="TOTAL",SUM($AF$8:AF41),ROUND(R42*$AU$7%,0))),"")</f>
        <v>0</v>
      </c>
      <c r="AG42" s="62">
        <f t="shared" si="8"/>
        <v>788</v>
      </c>
      <c r="AH42" s="64">
        <f>IFERROR(IF(C42="","",IF($C42="TOTAL",SUM($AH$8:AH41),SUM(R42-AG42))),"")</f>
        <v>8721</v>
      </c>
      <c r="AI42" s="15"/>
      <c r="AJ42" s="15"/>
      <c r="AO42" s="147"/>
      <c r="AP42" s="186"/>
      <c r="AQ42" s="183">
        <f t="shared" si="17"/>
        <v>34</v>
      </c>
      <c r="AR42" s="183">
        <f t="shared" si="18"/>
        <v>34</v>
      </c>
      <c r="AS42" s="184"/>
      <c r="AT42" s="185">
        <v>43739</v>
      </c>
      <c r="AU42" s="184"/>
      <c r="AV42" s="185">
        <f t="shared" si="40"/>
        <v>44562</v>
      </c>
      <c r="AW42" s="185">
        <f t="shared" si="34"/>
        <v>44562</v>
      </c>
      <c r="AX42" s="185" t="str">
        <f t="shared" si="20"/>
        <v/>
      </c>
      <c r="AY42" s="185">
        <f t="shared" si="21"/>
        <v>44562</v>
      </c>
      <c r="AZ42" s="185">
        <f t="shared" si="35"/>
        <v>44562</v>
      </c>
      <c r="BA42" s="184">
        <f t="shared" si="36"/>
        <v>110500</v>
      </c>
      <c r="BB42" s="184">
        <f t="shared" si="22"/>
        <v>22100</v>
      </c>
      <c r="BC42" s="184">
        <f t="shared" si="23"/>
        <v>45084</v>
      </c>
      <c r="BD42" s="184">
        <f t="shared" si="37"/>
        <v>9945</v>
      </c>
      <c r="BE42" s="184"/>
      <c r="BF42" s="184">
        <f t="shared" si="38"/>
        <v>104900</v>
      </c>
      <c r="BG42" s="184">
        <f t="shared" si="24"/>
        <v>20980</v>
      </c>
      <c r="BH42" s="184">
        <f t="shared" si="25"/>
        <v>42799</v>
      </c>
      <c r="BI42" s="184">
        <f t="shared" si="39"/>
        <v>9441</v>
      </c>
      <c r="BJ42" s="184">
        <f t="shared" ref="BJ42:BJ73" si="45">IF(AZ42="","",IF(AZ42="TOTAL","",IF(BF42="","",IF($AU$16=$AU$17,0,IF(OR(C41=$AS$16,C41=$AS$17,C41=$AS$18,C41=$AS$19,C41=$AS$20,C41=$AS$21,C41=$AS$22,C41=$AS$23,C41=$AS$24),SUM(BM42+BN42),BN42)))))</f>
        <v>3675</v>
      </c>
      <c r="BK42" s="184"/>
      <c r="BL42" s="184"/>
      <c r="BM42" s="184">
        <f t="shared" si="27"/>
        <v>9509</v>
      </c>
      <c r="BN42" s="184">
        <f t="shared" ref="BN42:BN73" si="46">IF(AZ41="","",IF(AZ41="TOTAL","",IF(AND($AU$20=$AU$36,C42=$AU$37),$AU$38,BN41)))</f>
        <v>3675</v>
      </c>
      <c r="BO42" s="184" t="str">
        <f t="shared" si="29"/>
        <v/>
      </c>
      <c r="BP42" s="184" t="str">
        <f t="shared" si="42"/>
        <v/>
      </c>
      <c r="BQ42" s="184">
        <f t="shared" si="43"/>
        <v>0</v>
      </c>
      <c r="BR42" s="184">
        <f t="shared" si="44"/>
        <v>0</v>
      </c>
      <c r="BS42" s="184"/>
      <c r="BT42" s="184"/>
      <c r="BU42" s="184"/>
      <c r="BV42" s="184"/>
      <c r="BW42" s="184" t="str">
        <f t="shared" si="30"/>
        <v/>
      </c>
      <c r="BX42" s="184"/>
      <c r="BY42" s="179" t="str">
        <f t="shared" si="31"/>
        <v/>
      </c>
      <c r="BZ42" s="179" t="str">
        <f>IF(AZ43="","",IF(AZ43="TOTAL","",IF($AU$16=$AU$17,0,IF(AND(AZ43&gt;$BY$1,$AI$3=$AR$2,'Master Sheet'!$D$27&gt;0),'Master Sheet'!$D$27,IF(AND(AZ43=$BY$1),IF($AU$9&lt;18001,135,IF($AU$9&lt;33501,220,IF($AU$9&lt;54001,330,440))),IF(AND(AZ43&gt;$BY$1),IF($AU$9&lt;18001,265,IF($AU$9&lt;33501,440,IF($AU$9&lt;54001,658,875))),""))))))</f>
        <v/>
      </c>
      <c r="CA42" s="184"/>
      <c r="CB42" s="184"/>
      <c r="CC42" s="184"/>
      <c r="CD42" s="184"/>
      <c r="CE42" s="184"/>
      <c r="CF42" s="186"/>
      <c r="CG42" s="147"/>
    </row>
    <row r="43" spans="1:85" s="28" customFormat="1" ht="21" customHeight="1">
      <c r="A43" s="110">
        <f t="shared" si="32"/>
        <v>36</v>
      </c>
      <c r="B43" s="60">
        <f t="shared" si="1"/>
        <v>36</v>
      </c>
      <c r="C43" s="61">
        <f t="shared" si="33"/>
        <v>44621</v>
      </c>
      <c r="D43" s="62">
        <f>IFERROR(IF($C42="TOTAL","अक्षरें राशि :-",IF($C43="TOTAL",SUM($D$8:D42),IF(BA44="","",BA44))),"")</f>
        <v>110500</v>
      </c>
      <c r="E43" s="62">
        <f>IFERROR(IF($C43="TOTAL",SUM($E$8:E42),IF(BC44="","",BC44)),"")</f>
        <v>45084</v>
      </c>
      <c r="F43" s="62">
        <f>IFERROR(IF($C43="TOTAL",SUM($F$8:F42),IF(OR(C43=$AS$16,C43=$AS$17,C43=$AS$18,C43=$AS$19,C43=$AS$20,C43=$AS$21,C43=$AS$22,C43=$AS$23,C43=$AS$24),0,IF(BD44="","",BD44))),"")</f>
        <v>9945</v>
      </c>
      <c r="G43" s="62">
        <f>IFERROR(IF($C43="TOTAL",SUM($G$8:G42),IF(BB44="","",BB44)),"")</f>
        <v>22100</v>
      </c>
      <c r="H43" s="62">
        <f t="shared" si="3"/>
        <v>187629</v>
      </c>
      <c r="I43" s="62">
        <f>IFERROR(IF($C43="TOTAL",SUM($I$8:I42),IF(BF44="","",BF44)),"")</f>
        <v>104900</v>
      </c>
      <c r="J43" s="62">
        <f>IFERROR(IF($C43="TOTAL",SUM($J$8:J42),IF(BH44="","",BH44)),"")</f>
        <v>42799</v>
      </c>
      <c r="K43" s="62">
        <f>IFERROR(IF($C43="TOTAL",SUM($K$8:K42),IF(OR(C43=$AS$16,C43=$AS$17,C43=$AS$18,C43=$AS$19,C43=$AS$20,C43=$AS$21,C43=$AS$22,C43=$AS$23,C43=$AS$24),0,IF(BI44="","",BI44))),"")</f>
        <v>9441</v>
      </c>
      <c r="L43" s="62">
        <f>IFERROR(IF($C43="TOTAL",SUM($L$8:L42),IF(BG44="","",BG44)),"")</f>
        <v>20980</v>
      </c>
      <c r="M43" s="62">
        <f t="shared" si="4"/>
        <v>178120</v>
      </c>
      <c r="N43" s="62">
        <f>IFERROR(IF(C43="","",IF(D43="","",IF(I43="","",IF($C43="TOTAL",SUM($N$8:N42),SUM(D43-I43))))),"")</f>
        <v>5600</v>
      </c>
      <c r="O43" s="62">
        <f>IFERROR(IF(C43="","",IF(E43="","",IF(J43="","",IF($C43="TOTAL",SUM($O$8:O42),SUM(E43-J43))))),"")</f>
        <v>2285</v>
      </c>
      <c r="P43" s="62">
        <f>IFERROR(IF(C43="","",IF(F43="","",IF(K43="","",IF($C43="TOTAL",SUM($P$8:P42),SUM(F43-K43))))),"")</f>
        <v>504</v>
      </c>
      <c r="Q43" s="62">
        <f t="shared" si="5"/>
        <v>1120</v>
      </c>
      <c r="R43" s="62">
        <f t="shared" si="13"/>
        <v>9509</v>
      </c>
      <c r="S43" s="62">
        <f>IFERROR(IF(C43="","",IF($C43="TOTAL",SUM($S$8:S42),IF(AND(C43&gt;$AR$1,$AI$3=$AR$2),BW44,IF($AU$18=$AU$20,SUM(BJ44+BR44),ROUND((D43+E43)*10%,0))))),"")</f>
        <v>15558</v>
      </c>
      <c r="T43" s="62">
        <f>IFERROR(IF(C43="","",IF(I43="","",IF(J43="","",IF($C43="TOTAL",SUM($T$8:T42),IF(AND(C43&gt;$AR$1,$AI$3=$AR$2),BW44,IF($AU$18=$AU$20,$AU$21,ROUND((I43+J43)*10%,0))))))),"")</f>
        <v>14770</v>
      </c>
      <c r="U43" s="62">
        <f t="shared" si="14"/>
        <v>788</v>
      </c>
      <c r="V43" s="63">
        <f>IFERROR(IF(C43="","",IF($AU$16=$AU$17,0,IF($C43="TOTAL",SUM($V$8:V42),IF($AU$19=$AU$31,0,IF(AND($AU$32=$AU$20,C43=$AU$33),$AU$34,V42))))),"")</f>
        <v>2100</v>
      </c>
      <c r="W43" s="63">
        <f>IFERROR(IF(C43="","",IF($AU$16=$AU$17,0,IF($C43="TOTAL",SUM($W$8:W42),IF($AU$19=$AU$20,$AU$24,0)))),"")</f>
        <v>2100</v>
      </c>
      <c r="X43" s="62">
        <f t="shared" si="15"/>
        <v>0</v>
      </c>
      <c r="Y43" s="62">
        <f>IFERROR(IF(C43="","",IF($AU$16=$AU$17,0,IF($C43="TOTAL",SUM($Y$8:Y42),BZ43))),"")</f>
        <v>440</v>
      </c>
      <c r="Z43" s="62">
        <f>IFERROR(IF(C43="","",IF($AU$16=$AU$17,0,IF($C43="TOTAL",SUM($Z$8:Z42),BY43))),"")</f>
        <v>440</v>
      </c>
      <c r="AA43" s="62">
        <f t="shared" si="41"/>
        <v>0</v>
      </c>
      <c r="AB43" s="62" t="str">
        <f>IFERROR(IF(C43="","",IF(D43="","",IF($C43="TOTAL",SUM($AB$8:AB42),IF(C43=$AU$1,ROUND(D43*5/31,0.01),"")))),"")</f>
        <v/>
      </c>
      <c r="AC43" s="62" t="str">
        <f>IFERROR(IF(C43="","",IF(I43="","",IF($C43="TOTAL",SUM($AC$8:AC42),IF(C43=$AU$1,ROUND(I43*5/31,0.01),"")))),"")</f>
        <v/>
      </c>
      <c r="AD43" s="62" t="str">
        <f t="shared" si="16"/>
        <v/>
      </c>
      <c r="AE43" s="62" t="str">
        <f>IFERROR(IF(C43="","",IF(AND(BP44="",BW44=""),"",IF($C43="TOTAL",SUM($AE$8:AE42),BP44))),"")</f>
        <v/>
      </c>
      <c r="AF43" s="62">
        <f>IFERROR(IF(C43="","",IF($C43="TOTAL",SUM($AF$8:AF42),ROUND(R43*$AU$7%,0))),"")</f>
        <v>0</v>
      </c>
      <c r="AG43" s="62">
        <f t="shared" si="8"/>
        <v>788</v>
      </c>
      <c r="AH43" s="64">
        <f>IFERROR(IF(C43="","",IF($C43="TOTAL",SUM($AH$8:AH42),SUM(R43-AG43))),"")</f>
        <v>8721</v>
      </c>
      <c r="AI43" s="15"/>
      <c r="AJ43" s="15"/>
      <c r="AO43" s="147"/>
      <c r="AP43" s="186"/>
      <c r="AQ43" s="183">
        <f t="shared" si="17"/>
        <v>34</v>
      </c>
      <c r="AR43" s="183">
        <f t="shared" si="18"/>
        <v>34</v>
      </c>
      <c r="AS43" s="184"/>
      <c r="AT43" s="185">
        <v>43770</v>
      </c>
      <c r="AU43" s="184"/>
      <c r="AV43" s="185">
        <f t="shared" si="40"/>
        <v>44593</v>
      </c>
      <c r="AW43" s="185">
        <f t="shared" si="34"/>
        <v>44593</v>
      </c>
      <c r="AX43" s="185" t="str">
        <f t="shared" si="20"/>
        <v/>
      </c>
      <c r="AY43" s="185">
        <f t="shared" si="21"/>
        <v>44593</v>
      </c>
      <c r="AZ43" s="185">
        <f t="shared" si="35"/>
        <v>44593</v>
      </c>
      <c r="BA43" s="184">
        <f t="shared" si="36"/>
        <v>110500</v>
      </c>
      <c r="BB43" s="184">
        <f t="shared" si="22"/>
        <v>22100</v>
      </c>
      <c r="BC43" s="184">
        <f t="shared" si="23"/>
        <v>45084</v>
      </c>
      <c r="BD43" s="184">
        <f t="shared" si="37"/>
        <v>9945</v>
      </c>
      <c r="BE43" s="184"/>
      <c r="BF43" s="184">
        <f t="shared" si="38"/>
        <v>104900</v>
      </c>
      <c r="BG43" s="184">
        <f t="shared" si="24"/>
        <v>20980</v>
      </c>
      <c r="BH43" s="184">
        <f t="shared" si="25"/>
        <v>42799</v>
      </c>
      <c r="BI43" s="184">
        <f t="shared" si="39"/>
        <v>9441</v>
      </c>
      <c r="BJ43" s="184">
        <f t="shared" si="45"/>
        <v>3675</v>
      </c>
      <c r="BK43" s="184"/>
      <c r="BL43" s="184"/>
      <c r="BM43" s="184">
        <f t="shared" si="27"/>
        <v>9509</v>
      </c>
      <c r="BN43" s="184">
        <f t="shared" si="46"/>
        <v>3675</v>
      </c>
      <c r="BO43" s="184" t="str">
        <f t="shared" si="29"/>
        <v/>
      </c>
      <c r="BP43" s="184" t="str">
        <f t="shared" si="42"/>
        <v/>
      </c>
      <c r="BQ43" s="184">
        <f t="shared" si="43"/>
        <v>0</v>
      </c>
      <c r="BR43" s="184">
        <f t="shared" si="44"/>
        <v>0</v>
      </c>
      <c r="BS43" s="184"/>
      <c r="BT43" s="184"/>
      <c r="BU43" s="184"/>
      <c r="BV43" s="184"/>
      <c r="BW43" s="184" t="str">
        <f t="shared" si="30"/>
        <v/>
      </c>
      <c r="BX43" s="184"/>
      <c r="BY43" s="179">
        <f t="shared" si="31"/>
        <v>440</v>
      </c>
      <c r="BZ43" s="179">
        <f>IF(AZ44="","",IF(AZ44="TOTAL","",IF($AU$16=$AU$17,0,IF(AND(AZ44&gt;$BY$1,$AI$3=$AR$2,'Master Sheet'!$D$27&gt;0),'Master Sheet'!$D$27,IF(AND(AZ44=$BY$1),IF($AU$9&lt;18001,135,IF($AU$9&lt;33501,220,IF($AU$9&lt;54001,330,440))),IF(AND(AZ44&gt;$BY$1),IF($AU$9&lt;18001,265,IF($AU$9&lt;33501,440,IF($AU$9&lt;54001,658,875))),""))))))</f>
        <v>440</v>
      </c>
      <c r="CA43" s="184"/>
      <c r="CB43" s="184"/>
      <c r="CC43" s="184"/>
      <c r="CD43" s="184"/>
      <c r="CE43" s="184"/>
      <c r="CF43" s="186"/>
      <c r="CG43" s="147"/>
    </row>
    <row r="44" spans="1:85" s="28" customFormat="1" ht="21" customHeight="1">
      <c r="A44" s="110">
        <f t="shared" si="32"/>
        <v>37</v>
      </c>
      <c r="B44" s="60">
        <f t="shared" si="1"/>
        <v>37</v>
      </c>
      <c r="C44" s="61">
        <f t="shared" si="33"/>
        <v>44652</v>
      </c>
      <c r="D44" s="62">
        <f>IFERROR(IF($C43="TOTAL","अक्षरें राशि :-",IF($C44="TOTAL",SUM($D$8:D43),IF(BA45="","",BA45))),"")</f>
        <v>110500</v>
      </c>
      <c r="E44" s="62">
        <f>IFERROR(IF($C44="TOTAL",SUM($E$8:E43),IF(BC45="","",BC45)),"")</f>
        <v>45084</v>
      </c>
      <c r="F44" s="62">
        <f>IFERROR(IF($C44="TOTAL",SUM($F$8:F43),IF(OR(C44=$AS$16,C44=$AS$17,C44=$AS$18,C44=$AS$19,C44=$AS$20,C44=$AS$21,C44=$AS$22,C44=$AS$23,C44=$AS$24),0,IF(BD45="","",BD45))),"")</f>
        <v>9945</v>
      </c>
      <c r="G44" s="62">
        <f>IFERROR(IF($C44="TOTAL",SUM($G$8:G43),IF(BB45="","",BB45)),"")</f>
        <v>22100</v>
      </c>
      <c r="H44" s="62">
        <f t="shared" si="3"/>
        <v>187629</v>
      </c>
      <c r="I44" s="62">
        <f>IFERROR(IF($C44="TOTAL",SUM($I$8:I43),IF(BF45="","",BF45)),"")</f>
        <v>104900</v>
      </c>
      <c r="J44" s="62">
        <f>IFERROR(IF($C44="TOTAL",SUM($J$8:J43),IF(BH45="","",BH45)),"")</f>
        <v>42799</v>
      </c>
      <c r="K44" s="62">
        <f>IFERROR(IF($C44="TOTAL",SUM($K$8:K43),IF(OR(C44=$AS$16,C44=$AS$17,C44=$AS$18,C44=$AS$19,C44=$AS$20,C44=$AS$21,C44=$AS$22,C44=$AS$23,C44=$AS$24),0,IF(BI45="","",BI45))),"")</f>
        <v>9441</v>
      </c>
      <c r="L44" s="62">
        <f>IFERROR(IF($C44="TOTAL",SUM($L$8:L43),IF(BG45="","",BG45)),"")</f>
        <v>20980</v>
      </c>
      <c r="M44" s="62">
        <f t="shared" si="4"/>
        <v>178120</v>
      </c>
      <c r="N44" s="62">
        <f>IFERROR(IF(C44="","",IF(D44="","",IF(I44="","",IF($C44="TOTAL",SUM($N$8:N43),SUM(D44-I44))))),"")</f>
        <v>5600</v>
      </c>
      <c r="O44" s="62">
        <f>IFERROR(IF(C44="","",IF(E44="","",IF(J44="","",IF($C44="TOTAL",SUM($O$8:O43),SUM(E44-J44))))),"")</f>
        <v>2285</v>
      </c>
      <c r="P44" s="62">
        <f>IFERROR(IF(C44="","",IF(F44="","",IF(K44="","",IF($C44="TOTAL",SUM($P$8:P43),SUM(F44-K44))))),"")</f>
        <v>504</v>
      </c>
      <c r="Q44" s="62">
        <f t="shared" si="5"/>
        <v>1120</v>
      </c>
      <c r="R44" s="62">
        <f t="shared" si="13"/>
        <v>9509</v>
      </c>
      <c r="S44" s="62">
        <f>IFERROR(IF(C44="","",IF($C44="TOTAL",SUM($S$8:S43),IF(AND(C44&gt;$AR$1,$AI$3=$AR$2),BW45,IF($AU$18=$AU$20,SUM(BJ45+BR45),ROUND((D44+E44)*10%,0))))),"")</f>
        <v>2100</v>
      </c>
      <c r="T44" s="62">
        <f>IFERROR(IF(C44="","",IF(I44="","",IF(J44="","",IF($C44="TOTAL",SUM($T$8:T43),IF(AND(C44&gt;$AR$1,$AI$3=$AR$2),BW45,IF($AU$18=$AU$20,$AU$21,ROUND((I44+J44)*10%,0))))))),"")</f>
        <v>2100</v>
      </c>
      <c r="U44" s="62">
        <f t="shared" si="14"/>
        <v>0</v>
      </c>
      <c r="V44" s="63">
        <f>IFERROR(IF(C44="","",IF($AU$16=$AU$17,0,IF($C44="TOTAL",SUM($V$8:V43),IF($AU$19=$AU$31,0,IF(AND($AU$32=$AU$20,C44=$AU$33),$AU$34,V43))))),"")</f>
        <v>2100</v>
      </c>
      <c r="W44" s="63">
        <f>IFERROR(IF(C44="","",IF($AU$16=$AU$17,0,IF($C44="TOTAL",SUM($W$8:W43),IF($AU$19=$AU$20,$AU$24,0)))),"")</f>
        <v>2100</v>
      </c>
      <c r="X44" s="62">
        <f t="shared" si="15"/>
        <v>0</v>
      </c>
      <c r="Y44" s="62">
        <f>IFERROR(IF(C44="","",IF($AU$16=$AU$17,0,IF($C44="TOTAL",SUM($Y$8:Y43),BZ44))),"")</f>
        <v>875</v>
      </c>
      <c r="Z44" s="62">
        <f>IFERROR(IF(C44="","",IF($AU$16=$AU$17,0,IF($C44="TOTAL",SUM($Z$8:Z43),BY44))),"")</f>
        <v>875</v>
      </c>
      <c r="AA44" s="62">
        <f t="shared" si="41"/>
        <v>0</v>
      </c>
      <c r="AB44" s="62" t="str">
        <f>IFERROR(IF(C44="","",IF(D44="","",IF($C44="TOTAL",SUM($AB$8:AB43),IF(C44=$AU$1,ROUND(D44*5/31,0.01),"")))),"")</f>
        <v/>
      </c>
      <c r="AC44" s="62" t="str">
        <f>IFERROR(IF(C44="","",IF(I44="","",IF($C44="TOTAL",SUM($AC$8:AC43),IF(C44=$AU$1,ROUND(I44*5/31,0.01),"")))),"")</f>
        <v/>
      </c>
      <c r="AD44" s="62" t="str">
        <f t="shared" si="16"/>
        <v/>
      </c>
      <c r="AE44" s="62" t="str">
        <f>IFERROR(IF(C44="","",IF(AND(BP45="",BW45=""),"",IF($C44="TOTAL",SUM($AE$8:AE43),BP45))),"")</f>
        <v/>
      </c>
      <c r="AF44" s="62">
        <f>IFERROR(IF(C44="","",IF($C44="TOTAL",SUM($AF$8:AF43),ROUND(R44*$AU$7%,0))),"")</f>
        <v>0</v>
      </c>
      <c r="AG44" s="62">
        <f t="shared" si="8"/>
        <v>0</v>
      </c>
      <c r="AH44" s="64">
        <f>IFERROR(IF(C44="","",IF($C44="TOTAL",SUM($AH$8:AH43),SUM(R44-AG44))),"")</f>
        <v>9509</v>
      </c>
      <c r="AI44" s="15"/>
      <c r="AJ44" s="15"/>
      <c r="AO44" s="147"/>
      <c r="AP44" s="186"/>
      <c r="AQ44" s="183">
        <f t="shared" si="17"/>
        <v>34</v>
      </c>
      <c r="AR44" s="183">
        <f t="shared" si="18"/>
        <v>34</v>
      </c>
      <c r="AS44" s="184"/>
      <c r="AT44" s="185">
        <v>43800</v>
      </c>
      <c r="AU44" s="184"/>
      <c r="AV44" s="185">
        <f t="shared" si="40"/>
        <v>44621</v>
      </c>
      <c r="AW44" s="185">
        <f t="shared" si="34"/>
        <v>44621</v>
      </c>
      <c r="AX44" s="185" t="str">
        <f t="shared" si="20"/>
        <v/>
      </c>
      <c r="AY44" s="185">
        <f t="shared" si="21"/>
        <v>44621</v>
      </c>
      <c r="AZ44" s="185">
        <f t="shared" si="35"/>
        <v>44621</v>
      </c>
      <c r="BA44" s="184">
        <f t="shared" si="36"/>
        <v>110500</v>
      </c>
      <c r="BB44" s="184">
        <f t="shared" si="22"/>
        <v>22100</v>
      </c>
      <c r="BC44" s="184">
        <f t="shared" si="23"/>
        <v>45084</v>
      </c>
      <c r="BD44" s="184">
        <f t="shared" si="37"/>
        <v>9945</v>
      </c>
      <c r="BE44" s="184"/>
      <c r="BF44" s="184">
        <f t="shared" si="38"/>
        <v>104900</v>
      </c>
      <c r="BG44" s="184">
        <f t="shared" si="24"/>
        <v>20980</v>
      </c>
      <c r="BH44" s="184">
        <f t="shared" si="25"/>
        <v>42799</v>
      </c>
      <c r="BI44" s="184">
        <f t="shared" si="39"/>
        <v>9441</v>
      </c>
      <c r="BJ44" s="184">
        <f t="shared" si="45"/>
        <v>3675</v>
      </c>
      <c r="BK44" s="184"/>
      <c r="BL44" s="184"/>
      <c r="BM44" s="184">
        <f t="shared" si="27"/>
        <v>9509</v>
      </c>
      <c r="BN44" s="184">
        <f t="shared" si="46"/>
        <v>3675</v>
      </c>
      <c r="BO44" s="184" t="str">
        <f t="shared" si="29"/>
        <v/>
      </c>
      <c r="BP44" s="184" t="str">
        <f t="shared" si="42"/>
        <v/>
      </c>
      <c r="BQ44" s="184">
        <f t="shared" si="43"/>
        <v>0</v>
      </c>
      <c r="BR44" s="184">
        <f t="shared" si="44"/>
        <v>0</v>
      </c>
      <c r="BS44" s="184"/>
      <c r="BT44" s="184"/>
      <c r="BU44" s="184"/>
      <c r="BV44" s="184"/>
      <c r="BW44" s="184" t="str">
        <f t="shared" si="30"/>
        <v/>
      </c>
      <c r="BX44" s="184"/>
      <c r="BY44" s="179">
        <f t="shared" si="31"/>
        <v>875</v>
      </c>
      <c r="BZ44" s="179">
        <f>IF(AZ45="","",IF(AZ45="TOTAL","",IF($AU$16=$AU$17,0,IF(AND(AZ45&gt;$BY$1,$AI$3=$AR$2,'Master Sheet'!$D$27&gt;0),'Master Sheet'!$D$27,IF(AND(AZ45=$BY$1),IF($AU$9&lt;18001,135,IF($AU$9&lt;33501,220,IF($AU$9&lt;54001,330,440))),IF(AND(AZ45&gt;$BY$1),IF($AU$9&lt;18001,265,IF($AU$9&lt;33501,440,IF($AU$9&lt;54001,658,875))),""))))))</f>
        <v>875</v>
      </c>
      <c r="CA44" s="184"/>
      <c r="CB44" s="184"/>
      <c r="CC44" s="184"/>
      <c r="CD44" s="184"/>
      <c r="CE44" s="184"/>
      <c r="CF44" s="186"/>
      <c r="CG44" s="147"/>
    </row>
    <row r="45" spans="1:85" s="28" customFormat="1" ht="21" customHeight="1">
      <c r="A45" s="110">
        <f t="shared" si="32"/>
        <v>38</v>
      </c>
      <c r="B45" s="60">
        <f t="shared" si="1"/>
        <v>38</v>
      </c>
      <c r="C45" s="61">
        <f t="shared" si="33"/>
        <v>44682</v>
      </c>
      <c r="D45" s="62">
        <f>IFERROR(IF($C44="TOTAL","अक्षरें राशि :-",IF($C45="TOTAL",SUM($D$8:D44),IF(BA46="","",BA46))),"")</f>
        <v>110500</v>
      </c>
      <c r="E45" s="62">
        <f>IFERROR(IF($C45="TOTAL",SUM($E$8:E44),IF(BC46="","",BC46)),"")</f>
        <v>45084</v>
      </c>
      <c r="F45" s="62">
        <f>IFERROR(IF($C45="TOTAL",SUM($F$8:F44),IF(OR(C45=$AS$16,C45=$AS$17,C45=$AS$18,C45=$AS$19,C45=$AS$20,C45=$AS$21,C45=$AS$22,C45=$AS$23,C45=$AS$24),0,IF(BD46="","",BD46))),"")</f>
        <v>9945</v>
      </c>
      <c r="G45" s="62">
        <f>IFERROR(IF($C45="TOTAL",SUM($G$8:G44),IF(BB46="","",BB46)),"")</f>
        <v>22100</v>
      </c>
      <c r="H45" s="62">
        <f t="shared" si="3"/>
        <v>187629</v>
      </c>
      <c r="I45" s="62">
        <f>IFERROR(IF($C45="TOTAL",SUM($I$8:I44),IF(BF46="","",BF46)),"")</f>
        <v>104900</v>
      </c>
      <c r="J45" s="62">
        <f>IFERROR(IF($C45="TOTAL",SUM($J$8:J44),IF(BH46="","",BH46)),"")</f>
        <v>42799</v>
      </c>
      <c r="K45" s="62">
        <f>IFERROR(IF($C45="TOTAL",SUM($K$8:K44),IF(OR(C45=$AS$16,C45=$AS$17,C45=$AS$18,C45=$AS$19,C45=$AS$20,C45=$AS$21,C45=$AS$22,C45=$AS$23,C45=$AS$24),0,IF(BI46="","",BI46))),"")</f>
        <v>9441</v>
      </c>
      <c r="L45" s="62">
        <f>IFERROR(IF($C45="TOTAL",SUM($L$8:L44),IF(BG46="","",BG46)),"")</f>
        <v>20980</v>
      </c>
      <c r="M45" s="62">
        <f t="shared" si="4"/>
        <v>178120</v>
      </c>
      <c r="N45" s="62">
        <f>IFERROR(IF(C45="","",IF(D45="","",IF(I45="","",IF($C45="TOTAL",SUM($N$8:N44),SUM(D45-I45))))),"")</f>
        <v>5600</v>
      </c>
      <c r="O45" s="62">
        <f>IFERROR(IF(C45="","",IF(E45="","",IF(J45="","",IF($C45="TOTAL",SUM($O$8:O44),SUM(E45-J45))))),"")</f>
        <v>2285</v>
      </c>
      <c r="P45" s="62">
        <f>IFERROR(IF(C45="","",IF(F45="","",IF(K45="","",IF($C45="TOTAL",SUM($P$8:P44),SUM(F45-K45))))),"")</f>
        <v>504</v>
      </c>
      <c r="Q45" s="62">
        <f t="shared" si="5"/>
        <v>1120</v>
      </c>
      <c r="R45" s="62">
        <f t="shared" si="13"/>
        <v>9509</v>
      </c>
      <c r="S45" s="62">
        <f>IFERROR(IF(C45="","",IF($C45="TOTAL",SUM($S$8:S44),IF(AND(C45&gt;$AR$1,$AI$3=$AR$2),BW46,IF($AU$18=$AU$20,SUM(BJ46+BR46),ROUND((D45+E45)*10%,0))))),"")</f>
        <v>2100</v>
      </c>
      <c r="T45" s="62">
        <f>IFERROR(IF(C45="","",IF(I45="","",IF(J45="","",IF($C45="TOTAL",SUM($T$8:T44),IF(AND(C45&gt;$AR$1,$AI$3=$AR$2),BW46,IF($AU$18=$AU$20,$AU$21,ROUND((I45+J45)*10%,0))))))),"")</f>
        <v>2100</v>
      </c>
      <c r="U45" s="62">
        <f t="shared" si="14"/>
        <v>0</v>
      </c>
      <c r="V45" s="63">
        <f>IFERROR(IF(C45="","",IF($AU$16=$AU$17,0,IF($C45="TOTAL",SUM($V$8:V44),IF($AU$19=$AU$31,0,IF(AND($AU$32=$AU$20,C45=$AU$33),$AU$34,V44))))),"")</f>
        <v>2100</v>
      </c>
      <c r="W45" s="63">
        <f>IFERROR(IF(C45="","",IF($AU$16=$AU$17,0,IF($C45="TOTAL",SUM($W$8:W44),IF($AU$19=$AU$20,$AU$24,0)))),"")</f>
        <v>2100</v>
      </c>
      <c r="X45" s="62">
        <f t="shared" si="15"/>
        <v>0</v>
      </c>
      <c r="Y45" s="62">
        <f>IFERROR(IF(C45="","",IF($AU$16=$AU$17,0,IF($C45="TOTAL",SUM($Y$8:Y44),BZ45))),"")</f>
        <v>875</v>
      </c>
      <c r="Z45" s="62">
        <f>IFERROR(IF(C45="","",IF($AU$16=$AU$17,0,IF($C45="TOTAL",SUM($Z$8:Z44),BY45))),"")</f>
        <v>875</v>
      </c>
      <c r="AA45" s="62">
        <f t="shared" si="41"/>
        <v>0</v>
      </c>
      <c r="AB45" s="62" t="str">
        <f>IFERROR(IF(C45="","",IF(D45="","",IF($C45="TOTAL",SUM($AB$8:AB44),IF(C45=$AU$1,ROUND(D45*5/31,0.01),"")))),"")</f>
        <v/>
      </c>
      <c r="AC45" s="62" t="str">
        <f>IFERROR(IF(C45="","",IF(I45="","",IF($C45="TOTAL",SUM($AC$8:AC44),IF(C45=$AU$1,ROUND(I45*5/31,0.01),"")))),"")</f>
        <v/>
      </c>
      <c r="AD45" s="62" t="str">
        <f t="shared" si="16"/>
        <v/>
      </c>
      <c r="AE45" s="62" t="str">
        <f>IFERROR(IF(C45="","",IF(AND(BP46="",BW46=""),"",IF($C45="TOTAL",SUM($AE$8:AE44),BP46))),"")</f>
        <v/>
      </c>
      <c r="AF45" s="62">
        <f>IFERROR(IF(C45="","",IF($C45="TOTAL",SUM($AF$8:AF44),ROUND(R45*$AU$7%,0))),"")</f>
        <v>0</v>
      </c>
      <c r="AG45" s="62">
        <f t="shared" si="8"/>
        <v>0</v>
      </c>
      <c r="AH45" s="64">
        <f>IFERROR(IF(C45="","",IF($C45="TOTAL",SUM($AH$8:AH44),SUM(R45-AG45))),"")</f>
        <v>9509</v>
      </c>
      <c r="AI45" s="15"/>
      <c r="AJ45" s="15"/>
      <c r="AO45" s="147"/>
      <c r="AP45" s="186"/>
      <c r="AQ45" s="183">
        <f t="shared" si="17"/>
        <v>34</v>
      </c>
      <c r="AR45" s="183">
        <f t="shared" si="18"/>
        <v>34</v>
      </c>
      <c r="AS45" s="184"/>
      <c r="AT45" s="185">
        <v>43831</v>
      </c>
      <c r="AU45" s="184"/>
      <c r="AV45" s="185">
        <f t="shared" si="40"/>
        <v>44652</v>
      </c>
      <c r="AW45" s="185" t="str">
        <f t="shared" si="34"/>
        <v/>
      </c>
      <c r="AX45" s="185">
        <f t="shared" si="20"/>
        <v>44652</v>
      </c>
      <c r="AY45" s="185">
        <f t="shared" si="21"/>
        <v>44652</v>
      </c>
      <c r="AZ45" s="185">
        <f t="shared" si="35"/>
        <v>44652</v>
      </c>
      <c r="BA45" s="184">
        <f t="shared" si="36"/>
        <v>110500</v>
      </c>
      <c r="BB45" s="184">
        <f t="shared" si="22"/>
        <v>22100</v>
      </c>
      <c r="BC45" s="184">
        <f t="shared" si="23"/>
        <v>45084</v>
      </c>
      <c r="BD45" s="184">
        <f t="shared" si="37"/>
        <v>9945</v>
      </c>
      <c r="BE45" s="184"/>
      <c r="BF45" s="184">
        <f t="shared" si="38"/>
        <v>104900</v>
      </c>
      <c r="BG45" s="184">
        <f t="shared" si="24"/>
        <v>20980</v>
      </c>
      <c r="BH45" s="184">
        <f t="shared" si="25"/>
        <v>42799</v>
      </c>
      <c r="BI45" s="184">
        <f t="shared" si="39"/>
        <v>9441</v>
      </c>
      <c r="BJ45" s="184">
        <f t="shared" si="45"/>
        <v>3675</v>
      </c>
      <c r="BK45" s="184"/>
      <c r="BL45" s="184"/>
      <c r="BM45" s="184">
        <f t="shared" si="27"/>
        <v>9509</v>
      </c>
      <c r="BN45" s="184">
        <f t="shared" si="46"/>
        <v>3675</v>
      </c>
      <c r="BO45" s="184" t="str">
        <f t="shared" si="29"/>
        <v/>
      </c>
      <c r="BP45" s="184" t="str">
        <f t="shared" si="42"/>
        <v/>
      </c>
      <c r="BQ45" s="184">
        <f t="shared" si="43"/>
        <v>0</v>
      </c>
      <c r="BR45" s="184">
        <f t="shared" si="44"/>
        <v>0</v>
      </c>
      <c r="BS45" s="184"/>
      <c r="BT45" s="184"/>
      <c r="BU45" s="184"/>
      <c r="BV45" s="184"/>
      <c r="BW45" s="184">
        <f t="shared" si="30"/>
        <v>2100</v>
      </c>
      <c r="BX45" s="184"/>
      <c r="BY45" s="179">
        <f t="shared" si="31"/>
        <v>875</v>
      </c>
      <c r="BZ45" s="179">
        <f>IF(AZ46="","",IF(AZ46="TOTAL","",IF($AU$16=$AU$17,0,IF(AND(AZ46&gt;$BY$1,$AI$3=$AR$2,'Master Sheet'!$D$27&gt;0),'Master Sheet'!$D$27,IF(AND(AZ46=$BY$1),IF($AU$9&lt;18001,135,IF($AU$9&lt;33501,220,IF($AU$9&lt;54001,330,440))),IF(AND(AZ46&gt;$BY$1),IF($AU$9&lt;18001,265,IF($AU$9&lt;33501,440,IF($AU$9&lt;54001,658,875))),""))))))</f>
        <v>875</v>
      </c>
      <c r="CA45" s="184"/>
      <c r="CB45" s="184"/>
      <c r="CC45" s="184"/>
      <c r="CD45" s="184"/>
      <c r="CE45" s="184"/>
      <c r="CF45" s="186"/>
      <c r="CG45" s="147"/>
    </row>
    <row r="46" spans="1:85" s="28" customFormat="1" ht="21" customHeight="1">
      <c r="A46" s="110">
        <f t="shared" si="32"/>
        <v>39</v>
      </c>
      <c r="B46" s="60">
        <f t="shared" si="1"/>
        <v>39</v>
      </c>
      <c r="C46" s="61">
        <f t="shared" si="33"/>
        <v>44713</v>
      </c>
      <c r="D46" s="62">
        <f>IFERROR(IF($C45="TOTAL","अक्षरें राशि :-",IF($C46="TOTAL",SUM($D$8:D45),IF(BA47="","",BA47))),"")</f>
        <v>110500</v>
      </c>
      <c r="E46" s="62">
        <f>IFERROR(IF($C46="TOTAL",SUM($E$8:E45),IF(BC47="","",BC47)),"")</f>
        <v>45084</v>
      </c>
      <c r="F46" s="62">
        <f>IFERROR(IF($C46="TOTAL",SUM($F$8:F45),IF(OR(C46=$AS$16,C46=$AS$17,C46=$AS$18,C46=$AS$19,C46=$AS$20,C46=$AS$21,C46=$AS$22,C46=$AS$23,C46=$AS$24),0,IF(BD47="","",BD47))),"")</f>
        <v>9945</v>
      </c>
      <c r="G46" s="62">
        <f>IFERROR(IF($C46="TOTAL",SUM($G$8:G45),IF(BB47="","",BB47)),"")</f>
        <v>22100</v>
      </c>
      <c r="H46" s="62">
        <f t="shared" si="3"/>
        <v>187629</v>
      </c>
      <c r="I46" s="62">
        <f>IFERROR(IF($C46="TOTAL",SUM($I$8:I45),IF(BF47="","",BF47)),"")</f>
        <v>104900</v>
      </c>
      <c r="J46" s="62">
        <f>IFERROR(IF($C46="TOTAL",SUM($J$8:J45),IF(BH47="","",BH47)),"")</f>
        <v>42799</v>
      </c>
      <c r="K46" s="62">
        <f>IFERROR(IF($C46="TOTAL",SUM($K$8:K45),IF(OR(C46=$AS$16,C46=$AS$17,C46=$AS$18,C46=$AS$19,C46=$AS$20,C46=$AS$21,C46=$AS$22,C46=$AS$23,C46=$AS$24),0,IF(BI47="","",BI47))),"")</f>
        <v>9441</v>
      </c>
      <c r="L46" s="62">
        <f>IFERROR(IF($C46="TOTAL",SUM($L$8:L45),IF(BG47="","",BG47)),"")</f>
        <v>20980</v>
      </c>
      <c r="M46" s="62">
        <f t="shared" si="4"/>
        <v>178120</v>
      </c>
      <c r="N46" s="62">
        <f>IFERROR(IF(C46="","",IF(D46="","",IF(I46="","",IF($C46="TOTAL",SUM($N$8:N45),SUM(D46-I46))))),"")</f>
        <v>5600</v>
      </c>
      <c r="O46" s="62">
        <f>IFERROR(IF(C46="","",IF(E46="","",IF(J46="","",IF($C46="TOTAL",SUM($O$8:O45),SUM(E46-J46))))),"")</f>
        <v>2285</v>
      </c>
      <c r="P46" s="62">
        <f>IFERROR(IF(C46="","",IF(F46="","",IF(K46="","",IF($C46="TOTAL",SUM($P$8:P45),SUM(F46-K46))))),"")</f>
        <v>504</v>
      </c>
      <c r="Q46" s="62">
        <f t="shared" si="5"/>
        <v>1120</v>
      </c>
      <c r="R46" s="62">
        <f t="shared" si="13"/>
        <v>9509</v>
      </c>
      <c r="S46" s="62">
        <f>IFERROR(IF(C46="","",IF($C46="TOTAL",SUM($S$8:S45),IF(AND(C46&gt;$AR$1,$AI$3=$AR$2),BW47,IF($AU$18=$AU$20,SUM(BJ47+BR47),ROUND((D46+E46)*10%,0))))),"")</f>
        <v>2100</v>
      </c>
      <c r="T46" s="62">
        <f>IFERROR(IF(C46="","",IF(I46="","",IF(J46="","",IF($C46="TOTAL",SUM($T$8:T45),IF(AND(C46&gt;$AR$1,$AI$3=$AR$2),BW47,IF($AU$18=$AU$20,$AU$21,ROUND((I46+J46)*10%,0))))))),"")</f>
        <v>2100</v>
      </c>
      <c r="U46" s="62">
        <f t="shared" si="14"/>
        <v>0</v>
      </c>
      <c r="V46" s="63">
        <f>IFERROR(IF(C46="","",IF($AU$16=$AU$17,0,IF($C46="TOTAL",SUM($V$8:V45),IF($AU$19=$AU$31,0,IF(AND($AU$32=$AU$20,C46=$AU$33),$AU$34,V45))))),"")</f>
        <v>2100</v>
      </c>
      <c r="W46" s="63">
        <f>IFERROR(IF(C46="","",IF($AU$16=$AU$17,0,IF($C46="TOTAL",SUM($W$8:W45),IF($AU$19=$AU$20,$AU$24,0)))),"")</f>
        <v>2100</v>
      </c>
      <c r="X46" s="62">
        <f t="shared" si="15"/>
        <v>0</v>
      </c>
      <c r="Y46" s="62">
        <f>IFERROR(IF(C46="","",IF($AU$16=$AU$17,0,IF($C46="TOTAL",SUM($Y$8:Y45),BZ46))),"")</f>
        <v>875</v>
      </c>
      <c r="Z46" s="62">
        <f>IFERROR(IF(C46="","",IF($AU$16=$AU$17,0,IF($C46="TOTAL",SUM($Z$8:Z45),BY46))),"")</f>
        <v>875</v>
      </c>
      <c r="AA46" s="62">
        <f t="shared" si="41"/>
        <v>0</v>
      </c>
      <c r="AB46" s="62" t="str">
        <f>IFERROR(IF(C46="","",IF(D46="","",IF($C46="TOTAL",SUM($AB$8:AB45),IF(C46=$AU$1,ROUND(D46*5/31,0.01),"")))),"")</f>
        <v/>
      </c>
      <c r="AC46" s="62" t="str">
        <f>IFERROR(IF(C46="","",IF(I46="","",IF($C46="TOTAL",SUM($AC$8:AC45),IF(C46=$AU$1,ROUND(I46*5/31,0.01),"")))),"")</f>
        <v/>
      </c>
      <c r="AD46" s="62" t="str">
        <f t="shared" si="16"/>
        <v/>
      </c>
      <c r="AE46" s="62" t="str">
        <f>IFERROR(IF(C46="","",IF(AND(BP47="",BW47=""),"",IF($C46="TOTAL",SUM($AE$8:AE45),BP47))),"")</f>
        <v/>
      </c>
      <c r="AF46" s="62">
        <f>IFERROR(IF(C46="","",IF($C46="TOTAL",SUM($AF$8:AF45),ROUND(R46*$AU$7%,0))),"")</f>
        <v>0</v>
      </c>
      <c r="AG46" s="62">
        <f t="shared" si="8"/>
        <v>0</v>
      </c>
      <c r="AH46" s="64">
        <f>IFERROR(IF(C46="","",IF($C46="TOTAL",SUM($AH$8:AH45),SUM(R46-AG46))),"")</f>
        <v>9509</v>
      </c>
      <c r="AI46" s="15"/>
      <c r="AJ46" s="15"/>
      <c r="AO46" s="147"/>
      <c r="AP46" s="186"/>
      <c r="AQ46" s="183">
        <f t="shared" si="17"/>
        <v>34</v>
      </c>
      <c r="AR46" s="183">
        <f t="shared" si="18"/>
        <v>34</v>
      </c>
      <c r="AS46" s="184"/>
      <c r="AT46" s="185">
        <v>43862</v>
      </c>
      <c r="AU46" s="184"/>
      <c r="AV46" s="185">
        <f t="shared" si="40"/>
        <v>44682</v>
      </c>
      <c r="AW46" s="185" t="str">
        <f t="shared" si="34"/>
        <v/>
      </c>
      <c r="AX46" s="185">
        <f t="shared" si="20"/>
        <v>44682</v>
      </c>
      <c r="AY46" s="185">
        <f t="shared" si="21"/>
        <v>44682</v>
      </c>
      <c r="AZ46" s="185">
        <f t="shared" si="35"/>
        <v>44682</v>
      </c>
      <c r="BA46" s="184">
        <f t="shared" si="36"/>
        <v>110500</v>
      </c>
      <c r="BB46" s="184">
        <f t="shared" si="22"/>
        <v>22100</v>
      </c>
      <c r="BC46" s="184">
        <f t="shared" si="23"/>
        <v>45084</v>
      </c>
      <c r="BD46" s="184">
        <f t="shared" si="37"/>
        <v>9945</v>
      </c>
      <c r="BE46" s="184"/>
      <c r="BF46" s="184">
        <f t="shared" si="38"/>
        <v>104900</v>
      </c>
      <c r="BG46" s="184">
        <f t="shared" si="24"/>
        <v>20980</v>
      </c>
      <c r="BH46" s="184">
        <f t="shared" si="25"/>
        <v>42799</v>
      </c>
      <c r="BI46" s="184">
        <f t="shared" si="39"/>
        <v>9441</v>
      </c>
      <c r="BJ46" s="184">
        <f t="shared" si="45"/>
        <v>3675</v>
      </c>
      <c r="BK46" s="184"/>
      <c r="BL46" s="184"/>
      <c r="BM46" s="184">
        <f t="shared" si="27"/>
        <v>9509</v>
      </c>
      <c r="BN46" s="184">
        <f t="shared" si="46"/>
        <v>3675</v>
      </c>
      <c r="BO46" s="184" t="str">
        <f t="shared" si="29"/>
        <v/>
      </c>
      <c r="BP46" s="184" t="str">
        <f t="shared" si="42"/>
        <v/>
      </c>
      <c r="BQ46" s="184">
        <f t="shared" si="43"/>
        <v>0</v>
      </c>
      <c r="BR46" s="184">
        <f t="shared" si="44"/>
        <v>0</v>
      </c>
      <c r="BS46" s="184"/>
      <c r="BT46" s="184"/>
      <c r="BU46" s="184"/>
      <c r="BV46" s="184"/>
      <c r="BW46" s="184">
        <f t="shared" si="30"/>
        <v>2100</v>
      </c>
      <c r="BX46" s="184"/>
      <c r="BY46" s="179">
        <f t="shared" si="31"/>
        <v>875</v>
      </c>
      <c r="BZ46" s="179">
        <f>IF(AZ47="","",IF(AZ47="TOTAL","",IF($AU$16=$AU$17,0,IF(AND(AZ47&gt;$BY$1,$AI$3=$AR$2,'Master Sheet'!$D$27&gt;0),'Master Sheet'!$D$27,IF(AND(AZ47=$BY$1),IF($AU$9&lt;18001,135,IF($AU$9&lt;33501,220,IF($AU$9&lt;54001,330,440))),IF(AND(AZ47&gt;$BY$1),IF($AU$9&lt;18001,265,IF($AU$9&lt;33501,440,IF($AU$9&lt;54001,658,875))),""))))))</f>
        <v>875</v>
      </c>
      <c r="CA46" s="184"/>
      <c r="CB46" s="184"/>
      <c r="CC46" s="184"/>
      <c r="CD46" s="184"/>
      <c r="CE46" s="184"/>
      <c r="CF46" s="186"/>
      <c r="CG46" s="147"/>
    </row>
    <row r="47" spans="1:85" s="28" customFormat="1" ht="21" customHeight="1">
      <c r="A47" s="110">
        <f t="shared" si="32"/>
        <v>40</v>
      </c>
      <c r="B47" s="60">
        <f t="shared" si="1"/>
        <v>40</v>
      </c>
      <c r="C47" s="61">
        <f t="shared" si="33"/>
        <v>44743</v>
      </c>
      <c r="D47" s="62">
        <f>IFERROR(IF($C46="TOTAL","अक्षरें राशि :-",IF($C47="TOTAL",SUM($D$8:D46),IF(BA48="","",BA48))),"")</f>
        <v>113800</v>
      </c>
      <c r="E47" s="62">
        <f>IFERROR(IF($C47="TOTAL",SUM($E$8:E46),IF(BC48="","",BC48)),"")</f>
        <v>51893</v>
      </c>
      <c r="F47" s="62">
        <f>IFERROR(IF($C47="TOTAL",SUM($F$8:F46),IF(OR(C47=$AS$16,C47=$AS$17,C47=$AS$18,C47=$AS$19,C47=$AS$20,C47=$AS$21,C47=$AS$22,C47=$AS$23,C47=$AS$24),0,IF(BD48="","",BD48))),"")</f>
        <v>10242</v>
      </c>
      <c r="G47" s="62">
        <f>IFERROR(IF($C47="TOTAL",SUM($G$8:G46),IF(BB48="","",BB48)),"")</f>
        <v>22760</v>
      </c>
      <c r="H47" s="62">
        <f t="shared" si="3"/>
        <v>198695</v>
      </c>
      <c r="I47" s="62">
        <f>IFERROR(IF($C47="TOTAL",SUM($I$8:I46),IF(BF48="","",BF48)),"")</f>
        <v>108000</v>
      </c>
      <c r="J47" s="62">
        <f>IFERROR(IF($C47="TOTAL",SUM($J$8:J46),IF(BH48="","",BH48)),"")</f>
        <v>49248</v>
      </c>
      <c r="K47" s="62">
        <f>IFERROR(IF($C47="TOTAL",SUM($K$8:K46),IF(OR(C47=$AS$16,C47=$AS$17,C47=$AS$18,C47=$AS$19,C47=$AS$20,C47=$AS$21,C47=$AS$22,C47=$AS$23,C47=$AS$24),0,IF(BI48="","",BI48))),"")</f>
        <v>9720</v>
      </c>
      <c r="L47" s="62">
        <f>IFERROR(IF($C47="TOTAL",SUM($L$8:L46),IF(BG48="","",BG48)),"")</f>
        <v>21600</v>
      </c>
      <c r="M47" s="62">
        <f t="shared" si="4"/>
        <v>188568</v>
      </c>
      <c r="N47" s="62">
        <f>IFERROR(IF(C47="","",IF(D47="","",IF(I47="","",IF($C47="TOTAL",SUM($N$8:N46),SUM(D47-I47))))),"")</f>
        <v>5800</v>
      </c>
      <c r="O47" s="62">
        <f>IFERROR(IF(C47="","",IF(E47="","",IF(J47="","",IF($C47="TOTAL",SUM($O$8:O46),SUM(E47-J47))))),"")</f>
        <v>2645</v>
      </c>
      <c r="P47" s="62">
        <f>IFERROR(IF(C47="","",IF(F47="","",IF(K47="","",IF($C47="TOTAL",SUM($P$8:P46),SUM(F47-K47))))),"")</f>
        <v>522</v>
      </c>
      <c r="Q47" s="62">
        <f t="shared" si="5"/>
        <v>1160</v>
      </c>
      <c r="R47" s="62">
        <f t="shared" si="13"/>
        <v>10127</v>
      </c>
      <c r="S47" s="62">
        <f>IFERROR(IF(C47="","",IF($C47="TOTAL",SUM($S$8:S46),IF(AND(C47&gt;$AR$1,$AI$3=$AR$2),BW48,IF($AU$18=$AU$20,SUM(BJ48+BR48),ROUND((D47+E47)*10%,0))))),"")</f>
        <v>2100</v>
      </c>
      <c r="T47" s="62">
        <f>IFERROR(IF(C47="","",IF(I47="","",IF(J47="","",IF($C47="TOTAL",SUM($T$8:T46),IF(AND(C47&gt;$AR$1,$AI$3=$AR$2),BW48,IF($AU$18=$AU$20,$AU$21,ROUND((I47+J47)*10%,0))))))),"")</f>
        <v>2100</v>
      </c>
      <c r="U47" s="62">
        <f t="shared" si="14"/>
        <v>0</v>
      </c>
      <c r="V47" s="63">
        <f>IFERROR(IF(C47="","",IF($AU$16=$AU$17,0,IF($C47="TOTAL",SUM($V$8:V46),IF($AU$19=$AU$31,0,IF(AND($AU$32=$AU$20,C47=$AU$33),$AU$34,V46))))),"")</f>
        <v>2100</v>
      </c>
      <c r="W47" s="63">
        <f>IFERROR(IF(C47="","",IF($AU$16=$AU$17,0,IF($C47="TOTAL",SUM($W$8:W46),IF($AU$19=$AU$20,$AU$24,0)))),"")</f>
        <v>2100</v>
      </c>
      <c r="X47" s="62">
        <f t="shared" si="15"/>
        <v>0</v>
      </c>
      <c r="Y47" s="62">
        <f>IFERROR(IF(C47="","",IF($AU$16=$AU$17,0,IF($C47="TOTAL",SUM($Y$8:Y46),BZ47))),"")</f>
        <v>875</v>
      </c>
      <c r="Z47" s="62">
        <f>IFERROR(IF(C47="","",IF($AU$16=$AU$17,0,IF($C47="TOTAL",SUM($Z$8:Z46),BY47))),"")</f>
        <v>875</v>
      </c>
      <c r="AA47" s="62">
        <f t="shared" si="41"/>
        <v>0</v>
      </c>
      <c r="AB47" s="62" t="str">
        <f>IFERROR(IF(C47="","",IF(D47="","",IF($C47="TOTAL",SUM($AB$8:AB46),IF(C47=$AU$1,ROUND(D47*5/31,0.01),"")))),"")</f>
        <v/>
      </c>
      <c r="AC47" s="62" t="str">
        <f>IFERROR(IF(C47="","",IF(I47="","",IF($C47="TOTAL",SUM($AC$8:AC46),IF(C47=$AU$1,ROUND(I47*5/31,0.01),"")))),"")</f>
        <v/>
      </c>
      <c r="AD47" s="62" t="str">
        <f t="shared" si="16"/>
        <v/>
      </c>
      <c r="AE47" s="62" t="str">
        <f>IFERROR(IF(C47="","",IF(AND(BP48="",BW48=""),"",IF($C47="TOTAL",SUM($AE$8:AE46),BP48))),"")</f>
        <v/>
      </c>
      <c r="AF47" s="62">
        <f>IFERROR(IF(C47="","",IF($C47="TOTAL",SUM($AF$8:AF46),ROUND(R47*$AU$7%,0))),"")</f>
        <v>0</v>
      </c>
      <c r="AG47" s="62">
        <f t="shared" si="8"/>
        <v>0</v>
      </c>
      <c r="AH47" s="64">
        <f>IFERROR(IF(C47="","",IF($C47="TOTAL",SUM($AH$8:AH46),SUM(R47-AG47))),"")</f>
        <v>10127</v>
      </c>
      <c r="AI47" s="15"/>
      <c r="AJ47" s="15"/>
      <c r="AO47" s="147"/>
      <c r="AP47" s="186"/>
      <c r="AQ47" s="183">
        <f t="shared" si="17"/>
        <v>34</v>
      </c>
      <c r="AR47" s="183">
        <f t="shared" si="18"/>
        <v>34</v>
      </c>
      <c r="AS47" s="184"/>
      <c r="AT47" s="185">
        <v>43891</v>
      </c>
      <c r="AU47" s="184"/>
      <c r="AV47" s="185">
        <f t="shared" si="40"/>
        <v>44713</v>
      </c>
      <c r="AW47" s="185" t="str">
        <f t="shared" si="34"/>
        <v/>
      </c>
      <c r="AX47" s="185">
        <f t="shared" si="20"/>
        <v>44713</v>
      </c>
      <c r="AY47" s="185">
        <f t="shared" si="21"/>
        <v>44713</v>
      </c>
      <c r="AZ47" s="185">
        <f t="shared" si="35"/>
        <v>44713</v>
      </c>
      <c r="BA47" s="184">
        <f t="shared" si="36"/>
        <v>110500</v>
      </c>
      <c r="BB47" s="184">
        <f t="shared" si="22"/>
        <v>22100</v>
      </c>
      <c r="BC47" s="184">
        <f t="shared" si="23"/>
        <v>45084</v>
      </c>
      <c r="BD47" s="184">
        <f t="shared" si="37"/>
        <v>9945</v>
      </c>
      <c r="BE47" s="184"/>
      <c r="BF47" s="184">
        <f t="shared" si="38"/>
        <v>104900</v>
      </c>
      <c r="BG47" s="184">
        <f t="shared" si="24"/>
        <v>20980</v>
      </c>
      <c r="BH47" s="184">
        <f t="shared" si="25"/>
        <v>42799</v>
      </c>
      <c r="BI47" s="184">
        <f t="shared" si="39"/>
        <v>9441</v>
      </c>
      <c r="BJ47" s="184">
        <f t="shared" si="45"/>
        <v>3675</v>
      </c>
      <c r="BK47" s="184"/>
      <c r="BL47" s="184"/>
      <c r="BM47" s="184">
        <f t="shared" si="27"/>
        <v>9509</v>
      </c>
      <c r="BN47" s="184">
        <f t="shared" si="46"/>
        <v>3675</v>
      </c>
      <c r="BO47" s="184" t="str">
        <f t="shared" si="29"/>
        <v/>
      </c>
      <c r="BP47" s="184" t="str">
        <f t="shared" si="42"/>
        <v/>
      </c>
      <c r="BQ47" s="184">
        <f t="shared" si="43"/>
        <v>0</v>
      </c>
      <c r="BR47" s="184">
        <f t="shared" si="44"/>
        <v>0</v>
      </c>
      <c r="BS47" s="184"/>
      <c r="BT47" s="184"/>
      <c r="BU47" s="184"/>
      <c r="BV47" s="184"/>
      <c r="BW47" s="184">
        <f t="shared" si="30"/>
        <v>2100</v>
      </c>
      <c r="BX47" s="184"/>
      <c r="BY47" s="179">
        <f t="shared" si="31"/>
        <v>875</v>
      </c>
      <c r="BZ47" s="179">
        <f>IF(AZ48="","",IF(AZ48="TOTAL","",IF($AU$16=$AU$17,0,IF(AND(AZ48&gt;$BY$1,$AI$3=$AR$2,'Master Sheet'!$D$27&gt;0),'Master Sheet'!$D$27,IF(AND(AZ48=$BY$1),IF($AU$9&lt;18001,135,IF($AU$9&lt;33501,220,IF($AU$9&lt;54001,330,440))),IF(AND(AZ48&gt;$BY$1),IF($AU$9&lt;18001,265,IF($AU$9&lt;33501,440,IF($AU$9&lt;54001,658,875))),""))))))</f>
        <v>875</v>
      </c>
      <c r="CA47" s="184"/>
      <c r="CB47" s="184"/>
      <c r="CC47" s="184"/>
      <c r="CD47" s="184"/>
      <c r="CE47" s="184"/>
      <c r="CF47" s="186"/>
      <c r="CG47" s="147"/>
    </row>
    <row r="48" spans="1:85" s="28" customFormat="1" ht="21" customHeight="1">
      <c r="A48" s="110">
        <f t="shared" si="32"/>
        <v>41</v>
      </c>
      <c r="B48" s="60">
        <f t="shared" si="1"/>
        <v>41</v>
      </c>
      <c r="C48" s="61">
        <f t="shared" si="33"/>
        <v>44774</v>
      </c>
      <c r="D48" s="62">
        <f>IFERROR(IF($C47="TOTAL","अक्षरें राशि :-",IF($C48="TOTAL",SUM($D$8:D47),IF(BA49="","",BA49))),"")</f>
        <v>113800</v>
      </c>
      <c r="E48" s="62">
        <f>IFERROR(IF($C48="TOTAL",SUM($E$8:E47),IF(BC49="","",BC49)),"")</f>
        <v>51893</v>
      </c>
      <c r="F48" s="62">
        <f>IFERROR(IF($C48="TOTAL",SUM($F$8:F47),IF(OR(C48=$AS$16,C48=$AS$17,C48=$AS$18,C48=$AS$19,C48=$AS$20,C48=$AS$21,C48=$AS$22,C48=$AS$23,C48=$AS$24),0,IF(BD49="","",BD49))),"")</f>
        <v>10242</v>
      </c>
      <c r="G48" s="62">
        <f>IFERROR(IF($C48="TOTAL",SUM($G$8:G47),IF(BB49="","",BB49)),"")</f>
        <v>22760</v>
      </c>
      <c r="H48" s="62">
        <f t="shared" si="3"/>
        <v>198695</v>
      </c>
      <c r="I48" s="62">
        <f>IFERROR(IF($C48="TOTAL",SUM($I$8:I47),IF(BF49="","",BF49)),"")</f>
        <v>108000</v>
      </c>
      <c r="J48" s="62">
        <f>IFERROR(IF($C48="TOTAL",SUM($J$8:J47),IF(BH49="","",BH49)),"")</f>
        <v>49248</v>
      </c>
      <c r="K48" s="62">
        <f>IFERROR(IF($C48="TOTAL",SUM($K$8:K47),IF(OR(C48=$AS$16,C48=$AS$17,C48=$AS$18,C48=$AS$19,C48=$AS$20,C48=$AS$21,C48=$AS$22,C48=$AS$23,C48=$AS$24),0,IF(BI49="","",BI49))),"")</f>
        <v>9720</v>
      </c>
      <c r="L48" s="62">
        <f>IFERROR(IF($C48="TOTAL",SUM($L$8:L47),IF(BG49="","",BG49)),"")</f>
        <v>21600</v>
      </c>
      <c r="M48" s="62">
        <f t="shared" si="4"/>
        <v>188568</v>
      </c>
      <c r="N48" s="62">
        <f>IFERROR(IF(C48="","",IF(D48="","",IF(I48="","",IF($C48="TOTAL",SUM($N$8:N47),SUM(D48-I48))))),"")</f>
        <v>5800</v>
      </c>
      <c r="O48" s="62">
        <f>IFERROR(IF(C48="","",IF(E48="","",IF(J48="","",IF($C48="TOTAL",SUM($O$8:O47),SUM(E48-J48))))),"")</f>
        <v>2645</v>
      </c>
      <c r="P48" s="62">
        <f>IFERROR(IF(C48="","",IF(F48="","",IF(K48="","",IF($C48="TOTAL",SUM($P$8:P47),SUM(F48-K48))))),"")</f>
        <v>522</v>
      </c>
      <c r="Q48" s="62">
        <f t="shared" si="5"/>
        <v>1160</v>
      </c>
      <c r="R48" s="62">
        <f t="shared" si="13"/>
        <v>10127</v>
      </c>
      <c r="S48" s="62">
        <f>IFERROR(IF(C48="","",IF($C48="TOTAL",SUM($S$8:S47),IF(AND(C48&gt;$AR$1,$AI$3=$AR$2),BW49,IF($AU$18=$AU$20,SUM(BJ49+BR49),ROUND((D48+E48)*10%,0))))),"")</f>
        <v>2100</v>
      </c>
      <c r="T48" s="62">
        <f>IFERROR(IF(C48="","",IF(I48="","",IF(J48="","",IF($C48="TOTAL",SUM($T$8:T47),IF(AND(C48&gt;$AR$1,$AI$3=$AR$2),BW49,IF($AU$18=$AU$20,$AU$21,ROUND((I48+J48)*10%,0))))))),"")</f>
        <v>2100</v>
      </c>
      <c r="U48" s="62">
        <f t="shared" si="14"/>
        <v>0</v>
      </c>
      <c r="V48" s="63">
        <f>IFERROR(IF(C48="","",IF($AU$16=$AU$17,0,IF($C48="TOTAL",SUM($V$8:V47),IF($AU$19=$AU$31,0,IF(AND($AU$32=$AU$20,C48=$AU$33),$AU$34,V47))))),"")</f>
        <v>2100</v>
      </c>
      <c r="W48" s="63">
        <f>IFERROR(IF(C48="","",IF($AU$16=$AU$17,0,IF($C48="TOTAL",SUM($W$8:W47),IF($AU$19=$AU$20,$AU$24,0)))),"")</f>
        <v>2100</v>
      </c>
      <c r="X48" s="62">
        <f t="shared" si="15"/>
        <v>0</v>
      </c>
      <c r="Y48" s="62">
        <f>IFERROR(IF(C48="","",IF($AU$16=$AU$17,0,IF($C48="TOTAL",SUM($Y$8:Y47),BZ48))),"")</f>
        <v>875</v>
      </c>
      <c r="Z48" s="62">
        <f>IFERROR(IF(C48="","",IF($AU$16=$AU$17,0,IF($C48="TOTAL",SUM($Z$8:Z47),BY48))),"")</f>
        <v>875</v>
      </c>
      <c r="AA48" s="62">
        <f t="shared" si="41"/>
        <v>0</v>
      </c>
      <c r="AB48" s="62" t="str">
        <f>IFERROR(IF(C48="","",IF(D48="","",IF($C48="TOTAL",SUM($AB$8:AB47),IF(C48=$AU$1,ROUND(D48*5/31,0.01),"")))),"")</f>
        <v/>
      </c>
      <c r="AC48" s="62" t="str">
        <f>IFERROR(IF(C48="","",IF(I48="","",IF($C48="TOTAL",SUM($AC$8:AC47),IF(C48=$AU$1,ROUND(I48*5/31,0.01),"")))),"")</f>
        <v/>
      </c>
      <c r="AD48" s="62" t="str">
        <f t="shared" si="16"/>
        <v/>
      </c>
      <c r="AE48" s="62" t="str">
        <f>IFERROR(IF(C48="","",IF(AND(BP49="",BW49=""),"",IF($C48="TOTAL",SUM($AE$8:AE47),BP49))),"")</f>
        <v/>
      </c>
      <c r="AF48" s="62">
        <f>IFERROR(IF(C48="","",IF($C48="TOTAL",SUM($AF$8:AF47),ROUND(R48*$AU$7%,0))),"")</f>
        <v>0</v>
      </c>
      <c r="AG48" s="62">
        <f t="shared" si="8"/>
        <v>0</v>
      </c>
      <c r="AH48" s="64">
        <f>IFERROR(IF(C48="","",IF($C48="TOTAL",SUM($AH$8:AH47),SUM(R48-AG48))),"")</f>
        <v>10127</v>
      </c>
      <c r="AI48" s="15"/>
      <c r="AJ48" s="15"/>
      <c r="AO48" s="147"/>
      <c r="AP48" s="186"/>
      <c r="AQ48" s="183">
        <f t="shared" si="17"/>
        <v>38</v>
      </c>
      <c r="AR48" s="183">
        <f t="shared" si="18"/>
        <v>38</v>
      </c>
      <c r="AS48" s="184"/>
      <c r="AT48" s="185">
        <v>43922</v>
      </c>
      <c r="AU48" s="184"/>
      <c r="AV48" s="185">
        <f t="shared" si="40"/>
        <v>44743</v>
      </c>
      <c r="AW48" s="185" t="str">
        <f t="shared" si="34"/>
        <v/>
      </c>
      <c r="AX48" s="185">
        <f t="shared" si="20"/>
        <v>44743</v>
      </c>
      <c r="AY48" s="185">
        <f t="shared" si="21"/>
        <v>44743</v>
      </c>
      <c r="AZ48" s="185">
        <f t="shared" si="35"/>
        <v>44743</v>
      </c>
      <c r="BA48" s="184">
        <f t="shared" si="36"/>
        <v>113800</v>
      </c>
      <c r="BB48" s="184">
        <f t="shared" si="22"/>
        <v>22760</v>
      </c>
      <c r="BC48" s="184">
        <f t="shared" si="23"/>
        <v>51893</v>
      </c>
      <c r="BD48" s="184">
        <f t="shared" si="37"/>
        <v>10242</v>
      </c>
      <c r="BE48" s="184"/>
      <c r="BF48" s="184">
        <f t="shared" si="38"/>
        <v>108000</v>
      </c>
      <c r="BG48" s="184">
        <f t="shared" si="24"/>
        <v>21600</v>
      </c>
      <c r="BH48" s="184">
        <f t="shared" si="25"/>
        <v>49248</v>
      </c>
      <c r="BI48" s="184">
        <f t="shared" si="39"/>
        <v>9720</v>
      </c>
      <c r="BJ48" s="184">
        <f t="shared" si="45"/>
        <v>3675</v>
      </c>
      <c r="BK48" s="184"/>
      <c r="BL48" s="184"/>
      <c r="BM48" s="184">
        <f t="shared" si="27"/>
        <v>10127</v>
      </c>
      <c r="BN48" s="184">
        <f t="shared" si="46"/>
        <v>3675</v>
      </c>
      <c r="BO48" s="184" t="str">
        <f t="shared" si="29"/>
        <v/>
      </c>
      <c r="BP48" s="184" t="str">
        <f t="shared" si="42"/>
        <v/>
      </c>
      <c r="BQ48" s="184">
        <f t="shared" si="43"/>
        <v>0</v>
      </c>
      <c r="BR48" s="184">
        <f t="shared" si="44"/>
        <v>0</v>
      </c>
      <c r="BS48" s="184"/>
      <c r="BT48" s="184"/>
      <c r="BU48" s="184"/>
      <c r="BV48" s="184"/>
      <c r="BW48" s="184">
        <f t="shared" si="30"/>
        <v>2100</v>
      </c>
      <c r="BX48" s="184"/>
      <c r="BY48" s="179">
        <f t="shared" si="31"/>
        <v>875</v>
      </c>
      <c r="BZ48" s="179">
        <f>IF(AZ49="","",IF(AZ49="TOTAL","",IF($AU$16=$AU$17,0,IF(AND(AZ49&gt;$BY$1,$AI$3=$AR$2,'Master Sheet'!$D$27&gt;0),'Master Sheet'!$D$27,IF(AND(AZ49=$BY$1),IF($AU$9&lt;18001,135,IF($AU$9&lt;33501,220,IF($AU$9&lt;54001,330,440))),IF(AND(AZ49&gt;$BY$1),IF($AU$9&lt;18001,265,IF($AU$9&lt;33501,440,IF($AU$9&lt;54001,658,875))),""))))))</f>
        <v>875</v>
      </c>
      <c r="CA48" s="184"/>
      <c r="CB48" s="184"/>
      <c r="CC48" s="184"/>
      <c r="CD48" s="184"/>
      <c r="CE48" s="184"/>
      <c r="CF48" s="186"/>
      <c r="CG48" s="147"/>
    </row>
    <row r="49" spans="1:85" s="28" customFormat="1" ht="21" customHeight="1">
      <c r="A49" s="110">
        <f t="shared" si="32"/>
        <v>42</v>
      </c>
      <c r="B49" s="60">
        <f t="shared" si="1"/>
        <v>42</v>
      </c>
      <c r="C49" s="61">
        <f t="shared" si="33"/>
        <v>44805</v>
      </c>
      <c r="D49" s="62">
        <f>IFERROR(IF($C48="TOTAL","अक्षरें राशि :-",IF($C49="TOTAL",SUM($D$8:D48),IF(BA50="","",BA50))),"")</f>
        <v>113800</v>
      </c>
      <c r="E49" s="62">
        <f>IFERROR(IF($C49="TOTAL",SUM($E$8:E48),IF(BC50="","",BC50)),"")</f>
        <v>51893</v>
      </c>
      <c r="F49" s="62">
        <f>IFERROR(IF($C49="TOTAL",SUM($F$8:F48),IF(OR(C49=$AS$16,C49=$AS$17,C49=$AS$18,C49=$AS$19,C49=$AS$20,C49=$AS$21,C49=$AS$22,C49=$AS$23,C49=$AS$24),0,IF(BD50="","",BD50))),"")</f>
        <v>10242</v>
      </c>
      <c r="G49" s="62">
        <f>IFERROR(IF($C49="TOTAL",SUM($G$8:G48),IF(BB50="","",BB50)),"")</f>
        <v>22760</v>
      </c>
      <c r="H49" s="62">
        <f t="shared" si="3"/>
        <v>198695</v>
      </c>
      <c r="I49" s="62">
        <f>IFERROR(IF($C49="TOTAL",SUM($I$8:I48),IF(BF50="","",BF50)),"")</f>
        <v>108000</v>
      </c>
      <c r="J49" s="62">
        <f>IFERROR(IF($C49="TOTAL",SUM($J$8:J48),IF(BH50="","",BH50)),"")</f>
        <v>49248</v>
      </c>
      <c r="K49" s="62">
        <f>IFERROR(IF($C49="TOTAL",SUM($K$8:K48),IF(OR(C49=$AS$16,C49=$AS$17,C49=$AS$18,C49=$AS$19,C49=$AS$20,C49=$AS$21,C49=$AS$22,C49=$AS$23,C49=$AS$24),0,IF(BI50="","",BI50))),"")</f>
        <v>9720</v>
      </c>
      <c r="L49" s="62">
        <f>IFERROR(IF($C49="TOTAL",SUM($L$8:L48),IF(BG50="","",BG50)),"")</f>
        <v>21600</v>
      </c>
      <c r="M49" s="62">
        <f t="shared" si="4"/>
        <v>188568</v>
      </c>
      <c r="N49" s="62">
        <f>IFERROR(IF(C49="","",IF(D49="","",IF(I49="","",IF($C49="TOTAL",SUM($N$8:N48),SUM(D49-I49))))),"")</f>
        <v>5800</v>
      </c>
      <c r="O49" s="62">
        <f>IFERROR(IF(C49="","",IF(E49="","",IF(J49="","",IF($C49="TOTAL",SUM($O$8:O48),SUM(E49-J49))))),"")</f>
        <v>2645</v>
      </c>
      <c r="P49" s="62">
        <f>IFERROR(IF(C49="","",IF(F49="","",IF(K49="","",IF($C49="TOTAL",SUM($P$8:P48),SUM(F49-K49))))),"")</f>
        <v>522</v>
      </c>
      <c r="Q49" s="62">
        <f t="shared" si="5"/>
        <v>1160</v>
      </c>
      <c r="R49" s="62">
        <f t="shared" si="13"/>
        <v>10127</v>
      </c>
      <c r="S49" s="62">
        <f>IFERROR(IF(C49="","",IF($C49="TOTAL",SUM($S$8:S48),IF(AND(C49&gt;$AR$1,$AI$3=$AR$2),BW50,IF($AU$18=$AU$20,SUM(BJ50+BR50),ROUND((D49+E49)*10%,0))))),"")</f>
        <v>2100</v>
      </c>
      <c r="T49" s="62">
        <f>IFERROR(IF(C49="","",IF(I49="","",IF(J49="","",IF($C49="TOTAL",SUM($T$8:T48),IF(AND(C49&gt;$AR$1,$AI$3=$AR$2),BW50,IF($AU$18=$AU$20,$AU$21,ROUND((I49+J49)*10%,0))))))),"")</f>
        <v>2100</v>
      </c>
      <c r="U49" s="62">
        <f t="shared" si="14"/>
        <v>0</v>
      </c>
      <c r="V49" s="63">
        <f>IFERROR(IF(C49="","",IF($AU$16=$AU$17,0,IF($C49="TOTAL",SUM($V$8:V48),IF($AU$19=$AU$31,0,IF(AND($AU$32=$AU$20,C49=$AU$33),$AU$34,V48))))),"")</f>
        <v>2100</v>
      </c>
      <c r="W49" s="63">
        <f>IFERROR(IF(C49="","",IF($AU$16=$AU$17,0,IF($C49="TOTAL",SUM($W$8:W48),IF($AU$19=$AU$20,$AU$24,0)))),"")</f>
        <v>2100</v>
      </c>
      <c r="X49" s="62">
        <f t="shared" si="15"/>
        <v>0</v>
      </c>
      <c r="Y49" s="62">
        <f>IFERROR(IF(C49="","",IF($AU$16=$AU$17,0,IF($C49="TOTAL",SUM($Y$8:Y48),BZ49))),"")</f>
        <v>875</v>
      </c>
      <c r="Z49" s="62">
        <f>IFERROR(IF(C49="","",IF($AU$16=$AU$17,0,IF($C49="TOTAL",SUM($Z$8:Z48),BY49))),"")</f>
        <v>875</v>
      </c>
      <c r="AA49" s="62">
        <f t="shared" si="41"/>
        <v>0</v>
      </c>
      <c r="AB49" s="62" t="str">
        <f>IFERROR(IF(C49="","",IF(D49="","",IF($C49="TOTAL",SUM($AB$8:AB48),IF(C49=$AU$1,ROUND(D49*5/31,0.01),"")))),"")</f>
        <v/>
      </c>
      <c r="AC49" s="62" t="str">
        <f>IFERROR(IF(C49="","",IF(I49="","",IF($C49="TOTAL",SUM($AC$8:AC48),IF(C49=$AU$1,ROUND(I49*5/31,0.01),"")))),"")</f>
        <v/>
      </c>
      <c r="AD49" s="62" t="str">
        <f t="shared" si="16"/>
        <v/>
      </c>
      <c r="AE49" s="62" t="str">
        <f>IFERROR(IF(C49="","",IF(AND(BP50="",BW50=""),"",IF($C49="TOTAL",SUM($AE$8:AE48),BP50))),"")</f>
        <v/>
      </c>
      <c r="AF49" s="62">
        <f>IFERROR(IF(C49="","",IF($C49="TOTAL",SUM($AF$8:AF48),ROUND(R49*$AU$7%,0))),"")</f>
        <v>0</v>
      </c>
      <c r="AG49" s="62">
        <f t="shared" si="8"/>
        <v>0</v>
      </c>
      <c r="AH49" s="64">
        <f>IFERROR(IF(C49="","",IF($C49="TOTAL",SUM($AH$8:AH48),SUM(R49-AG49))),"")</f>
        <v>10127</v>
      </c>
      <c r="AI49" s="15"/>
      <c r="AJ49" s="15"/>
      <c r="AO49" s="147"/>
      <c r="AP49" s="186"/>
      <c r="AQ49" s="183">
        <f t="shared" si="17"/>
        <v>38</v>
      </c>
      <c r="AR49" s="183">
        <f t="shared" si="18"/>
        <v>38</v>
      </c>
      <c r="AS49" s="184"/>
      <c r="AT49" s="185">
        <v>43952</v>
      </c>
      <c r="AU49" s="184"/>
      <c r="AV49" s="185">
        <f t="shared" si="40"/>
        <v>44774</v>
      </c>
      <c r="AW49" s="185" t="str">
        <f t="shared" si="34"/>
        <v/>
      </c>
      <c r="AX49" s="185">
        <f t="shared" si="20"/>
        <v>44774</v>
      </c>
      <c r="AY49" s="185">
        <f t="shared" si="21"/>
        <v>44774</v>
      </c>
      <c r="AZ49" s="185">
        <f t="shared" si="35"/>
        <v>44774</v>
      </c>
      <c r="BA49" s="184">
        <f t="shared" si="36"/>
        <v>113800</v>
      </c>
      <c r="BB49" s="184">
        <f t="shared" si="22"/>
        <v>22760</v>
      </c>
      <c r="BC49" s="184">
        <f t="shared" si="23"/>
        <v>51893</v>
      </c>
      <c r="BD49" s="184">
        <f t="shared" si="37"/>
        <v>10242</v>
      </c>
      <c r="BE49" s="184"/>
      <c r="BF49" s="184">
        <f t="shared" si="38"/>
        <v>108000</v>
      </c>
      <c r="BG49" s="184">
        <f t="shared" si="24"/>
        <v>21600</v>
      </c>
      <c r="BH49" s="184">
        <f t="shared" si="25"/>
        <v>49248</v>
      </c>
      <c r="BI49" s="184">
        <f t="shared" si="39"/>
        <v>9720</v>
      </c>
      <c r="BJ49" s="184">
        <f t="shared" si="45"/>
        <v>3675</v>
      </c>
      <c r="BK49" s="184"/>
      <c r="BL49" s="184"/>
      <c r="BM49" s="184">
        <f t="shared" si="27"/>
        <v>10127</v>
      </c>
      <c r="BN49" s="184">
        <f t="shared" si="46"/>
        <v>3675</v>
      </c>
      <c r="BO49" s="184" t="str">
        <f t="shared" si="29"/>
        <v/>
      </c>
      <c r="BP49" s="184" t="str">
        <f t="shared" si="42"/>
        <v/>
      </c>
      <c r="BQ49" s="184">
        <f t="shared" si="43"/>
        <v>0</v>
      </c>
      <c r="BR49" s="184">
        <f t="shared" si="44"/>
        <v>0</v>
      </c>
      <c r="BS49" s="184"/>
      <c r="BT49" s="184"/>
      <c r="BU49" s="184"/>
      <c r="BV49" s="184"/>
      <c r="BW49" s="184">
        <f t="shared" si="30"/>
        <v>2100</v>
      </c>
      <c r="BX49" s="184"/>
      <c r="BY49" s="179">
        <f t="shared" si="31"/>
        <v>875</v>
      </c>
      <c r="BZ49" s="179">
        <f>IF(AZ50="","",IF(AZ50="TOTAL","",IF($AU$16=$AU$17,0,IF(AND(AZ50&gt;$BY$1,$AI$3=$AR$2,'Master Sheet'!$D$27&gt;0),'Master Sheet'!$D$27,IF(AND(AZ50=$BY$1),IF($AU$9&lt;18001,135,IF($AU$9&lt;33501,220,IF($AU$9&lt;54001,330,440))),IF(AND(AZ50&gt;$BY$1),IF($AU$9&lt;18001,265,IF($AU$9&lt;33501,440,IF($AU$9&lt;54001,658,875))),""))))))</f>
        <v>875</v>
      </c>
      <c r="CA49" s="184"/>
      <c r="CB49" s="184"/>
      <c r="CC49" s="184"/>
      <c r="CD49" s="184"/>
      <c r="CE49" s="184"/>
      <c r="CF49" s="186"/>
      <c r="CG49" s="147"/>
    </row>
    <row r="50" spans="1:85" s="28" customFormat="1" ht="21" customHeight="1">
      <c r="A50" s="110">
        <f t="shared" si="32"/>
        <v>43</v>
      </c>
      <c r="B50" s="60">
        <f t="shared" si="1"/>
        <v>43</v>
      </c>
      <c r="C50" s="61">
        <f t="shared" si="33"/>
        <v>44835</v>
      </c>
      <c r="D50" s="62">
        <f>IFERROR(IF($C49="TOTAL","अक्षरें राशि :-",IF($C50="TOTAL",SUM($D$8:D49),IF(BA51="","",BA51))),"")</f>
        <v>113800</v>
      </c>
      <c r="E50" s="62">
        <f>IFERROR(IF($C50="TOTAL",SUM($E$8:E49),IF(BC51="","",BC51)),"")</f>
        <v>51893</v>
      </c>
      <c r="F50" s="62">
        <f>IFERROR(IF($C50="TOTAL",SUM($F$8:F49),IF(OR(C50=$AS$16,C50=$AS$17,C50=$AS$18,C50=$AS$19,C50=$AS$20,C50=$AS$21,C50=$AS$22,C50=$AS$23,C50=$AS$24),0,IF(BD51="","",BD51))),"")</f>
        <v>10242</v>
      </c>
      <c r="G50" s="62">
        <f>IFERROR(IF($C50="TOTAL",SUM($G$8:G49),IF(BB51="","",BB51)),"")</f>
        <v>22760</v>
      </c>
      <c r="H50" s="62">
        <f t="shared" si="3"/>
        <v>198695</v>
      </c>
      <c r="I50" s="62">
        <f>IFERROR(IF($C50="TOTAL",SUM($I$8:I49),IF(BF51="","",BF51)),"")</f>
        <v>108000</v>
      </c>
      <c r="J50" s="62">
        <f>IFERROR(IF($C50="TOTAL",SUM($J$8:J49),IF(BH51="","",BH51)),"")</f>
        <v>49248</v>
      </c>
      <c r="K50" s="62">
        <f>IFERROR(IF($C50="TOTAL",SUM($K$8:K49),IF(OR(C50=$AS$16,C50=$AS$17,C50=$AS$18,C50=$AS$19,C50=$AS$20,C50=$AS$21,C50=$AS$22,C50=$AS$23,C50=$AS$24),0,IF(BI51="","",BI51))),"")</f>
        <v>9720</v>
      </c>
      <c r="L50" s="62">
        <f>IFERROR(IF($C50="TOTAL",SUM($L$8:L49),IF(BG51="","",BG51)),"")</f>
        <v>21600</v>
      </c>
      <c r="M50" s="62">
        <f t="shared" si="4"/>
        <v>188568</v>
      </c>
      <c r="N50" s="62">
        <f>IFERROR(IF(C50="","",IF(D50="","",IF(I50="","",IF($C50="TOTAL",SUM($N$8:N49),SUM(D50-I50))))),"")</f>
        <v>5800</v>
      </c>
      <c r="O50" s="62">
        <f>IFERROR(IF(C50="","",IF(E50="","",IF(J50="","",IF($C50="TOTAL",SUM($O$8:O49),SUM(E50-J50))))),"")</f>
        <v>2645</v>
      </c>
      <c r="P50" s="62">
        <f>IFERROR(IF(C50="","",IF(F50="","",IF(K50="","",IF($C50="TOTAL",SUM($P$8:P49),SUM(F50-K50))))),"")</f>
        <v>522</v>
      </c>
      <c r="Q50" s="62">
        <f t="shared" si="5"/>
        <v>1160</v>
      </c>
      <c r="R50" s="62">
        <f t="shared" si="13"/>
        <v>10127</v>
      </c>
      <c r="S50" s="62">
        <f>IFERROR(IF(C50="","",IF($C50="TOTAL",SUM($S$8:S49),IF(AND(C50&gt;$AR$1,$AI$3=$AR$2),BW51,IF($AU$18=$AU$20,SUM(BJ51+BR51),ROUND((D50+E50)*10%,0))))),"")</f>
        <v>2100</v>
      </c>
      <c r="T50" s="62">
        <f>IFERROR(IF(C50="","",IF(I50="","",IF(J50="","",IF($C50="TOTAL",SUM($T$8:T49),IF(AND(C50&gt;$AR$1,$AI$3=$AR$2),BW51,IF($AU$18=$AU$20,$AU$21,ROUND((I50+J50)*10%,0))))))),"")</f>
        <v>2100</v>
      </c>
      <c r="U50" s="62">
        <f t="shared" si="14"/>
        <v>0</v>
      </c>
      <c r="V50" s="63">
        <f>IFERROR(IF(C50="","",IF($AU$16=$AU$17,0,IF($C50="TOTAL",SUM($V$8:V49),IF($AU$19=$AU$31,0,IF(AND($AU$32=$AU$20,C50=$AU$33),$AU$34,V49))))),"")</f>
        <v>2100</v>
      </c>
      <c r="W50" s="63">
        <f>IFERROR(IF(C50="","",IF($AU$16=$AU$17,0,IF($C50="TOTAL",SUM($W$8:W49),IF($AU$19=$AU$20,$AU$24,0)))),"")</f>
        <v>2100</v>
      </c>
      <c r="X50" s="62">
        <f t="shared" si="15"/>
        <v>0</v>
      </c>
      <c r="Y50" s="62">
        <f>IFERROR(IF(C50="","",IF($AU$16=$AU$17,0,IF($C50="TOTAL",SUM($Y$8:Y49),BZ50))),"")</f>
        <v>875</v>
      </c>
      <c r="Z50" s="62">
        <f>IFERROR(IF(C50="","",IF($AU$16=$AU$17,0,IF($C50="TOTAL",SUM($Z$8:Z49),BY50))),"")</f>
        <v>875</v>
      </c>
      <c r="AA50" s="62">
        <f t="shared" si="41"/>
        <v>0</v>
      </c>
      <c r="AB50" s="62" t="str">
        <f>IFERROR(IF(C50="","",IF(D50="","",IF($C50="TOTAL",SUM($AB$8:AB49),IF(C50=$AU$1,ROUND(D50*5/31,0.01),"")))),"")</f>
        <v/>
      </c>
      <c r="AC50" s="62" t="str">
        <f>IFERROR(IF(C50="","",IF(I50="","",IF($C50="TOTAL",SUM($AC$8:AC49),IF(C50=$AU$1,ROUND(I50*5/31,0.01),"")))),"")</f>
        <v/>
      </c>
      <c r="AD50" s="62" t="str">
        <f t="shared" si="16"/>
        <v/>
      </c>
      <c r="AE50" s="62" t="str">
        <f>IFERROR(IF(C50="","",IF(AND(BP51="",BW51=""),"",IF($C50="TOTAL",SUM($AE$8:AE49),BP51))),"")</f>
        <v/>
      </c>
      <c r="AF50" s="62">
        <f>IFERROR(IF(C50="","",IF($C50="TOTAL",SUM($AF$8:AF49),ROUND(R50*$AU$7%,0))),"")</f>
        <v>0</v>
      </c>
      <c r="AG50" s="62">
        <f t="shared" si="8"/>
        <v>0</v>
      </c>
      <c r="AH50" s="64">
        <f>IFERROR(IF(C50="","",IF($C50="TOTAL",SUM($AH$8:AH49),SUM(R50-AG50))),"")</f>
        <v>10127</v>
      </c>
      <c r="AI50" s="15"/>
      <c r="AJ50" s="15"/>
      <c r="AO50" s="147"/>
      <c r="AP50" s="186"/>
      <c r="AQ50" s="183">
        <f t="shared" si="17"/>
        <v>38</v>
      </c>
      <c r="AR50" s="183">
        <f t="shared" si="18"/>
        <v>38</v>
      </c>
      <c r="AS50" s="184"/>
      <c r="AT50" s="185">
        <v>43983</v>
      </c>
      <c r="AU50" s="184"/>
      <c r="AV50" s="185">
        <f t="shared" si="40"/>
        <v>44805</v>
      </c>
      <c r="AW50" s="185" t="str">
        <f t="shared" si="34"/>
        <v/>
      </c>
      <c r="AX50" s="185">
        <f t="shared" si="20"/>
        <v>44805</v>
      </c>
      <c r="AY50" s="185">
        <f t="shared" si="21"/>
        <v>44805</v>
      </c>
      <c r="AZ50" s="185">
        <f t="shared" si="35"/>
        <v>44805</v>
      </c>
      <c r="BA50" s="184">
        <f t="shared" si="36"/>
        <v>113800</v>
      </c>
      <c r="BB50" s="184">
        <f t="shared" si="22"/>
        <v>22760</v>
      </c>
      <c r="BC50" s="184">
        <f t="shared" si="23"/>
        <v>51893</v>
      </c>
      <c r="BD50" s="184">
        <f t="shared" si="37"/>
        <v>10242</v>
      </c>
      <c r="BE50" s="184"/>
      <c r="BF50" s="184">
        <f t="shared" si="38"/>
        <v>108000</v>
      </c>
      <c r="BG50" s="184">
        <f t="shared" si="24"/>
        <v>21600</v>
      </c>
      <c r="BH50" s="184">
        <f t="shared" si="25"/>
        <v>49248</v>
      </c>
      <c r="BI50" s="184">
        <f t="shared" si="39"/>
        <v>9720</v>
      </c>
      <c r="BJ50" s="184">
        <f t="shared" si="45"/>
        <v>3675</v>
      </c>
      <c r="BK50" s="184"/>
      <c r="BL50" s="184"/>
      <c r="BM50" s="184">
        <f t="shared" si="27"/>
        <v>10127</v>
      </c>
      <c r="BN50" s="184">
        <f t="shared" si="46"/>
        <v>3675</v>
      </c>
      <c r="BO50" s="184" t="str">
        <f t="shared" si="29"/>
        <v/>
      </c>
      <c r="BP50" s="184" t="str">
        <f t="shared" si="42"/>
        <v/>
      </c>
      <c r="BQ50" s="184">
        <f t="shared" si="43"/>
        <v>0</v>
      </c>
      <c r="BR50" s="184">
        <f t="shared" si="44"/>
        <v>0</v>
      </c>
      <c r="BS50" s="184"/>
      <c r="BT50" s="184"/>
      <c r="BU50" s="184"/>
      <c r="BV50" s="184"/>
      <c r="BW50" s="184">
        <f t="shared" si="30"/>
        <v>2100</v>
      </c>
      <c r="BX50" s="184"/>
      <c r="BY50" s="179">
        <f t="shared" si="31"/>
        <v>875</v>
      </c>
      <c r="BZ50" s="179">
        <f>IF(AZ51="","",IF(AZ51="TOTAL","",IF($AU$16=$AU$17,0,IF(AND(AZ51&gt;$BY$1,$AI$3=$AR$2,'Master Sheet'!$D$27&gt;0),'Master Sheet'!$D$27,IF(AND(AZ51=$BY$1),IF($AU$9&lt;18001,135,IF($AU$9&lt;33501,220,IF($AU$9&lt;54001,330,440))),IF(AND(AZ51&gt;$BY$1),IF($AU$9&lt;18001,265,IF($AU$9&lt;33501,440,IF($AU$9&lt;54001,658,875))),""))))))</f>
        <v>875</v>
      </c>
      <c r="CA50" s="184"/>
      <c r="CB50" s="184"/>
      <c r="CC50" s="184"/>
      <c r="CD50" s="184"/>
      <c r="CE50" s="184"/>
      <c r="CF50" s="186"/>
      <c r="CG50" s="147"/>
    </row>
    <row r="51" spans="1:85" ht="21" customHeight="1">
      <c r="A51" s="110">
        <f t="shared" si="32"/>
        <v>44</v>
      </c>
      <c r="B51" s="60">
        <f t="shared" si="1"/>
        <v>44</v>
      </c>
      <c r="C51" s="61">
        <f t="shared" si="33"/>
        <v>44866</v>
      </c>
      <c r="D51" s="62">
        <f>IFERROR(IF($C50="TOTAL","अक्षरें राशि :-",IF($C51="TOTAL",SUM($D$8:D50),IF(BA52="","",BA52))),"")</f>
        <v>113800</v>
      </c>
      <c r="E51" s="62">
        <f>IFERROR(IF($C51="TOTAL",SUM($E$8:E50),IF(BC52="","",BC52)),"")</f>
        <v>51893</v>
      </c>
      <c r="F51" s="62">
        <f>IFERROR(IF($C51="TOTAL",SUM($F$8:F50),IF(OR(C51=$AS$16,C51=$AS$17,C51=$AS$18,C51=$AS$19,C51=$AS$20,C51=$AS$21,C51=$AS$22,C51=$AS$23,C51=$AS$24),0,IF(BD52="","",BD52))),"")</f>
        <v>10242</v>
      </c>
      <c r="G51" s="62">
        <f>IFERROR(IF($C51="TOTAL",SUM($G$8:G50),IF(BB52="","",BB52)),"")</f>
        <v>22760</v>
      </c>
      <c r="H51" s="62">
        <f t="shared" si="3"/>
        <v>198695</v>
      </c>
      <c r="I51" s="62">
        <f>IFERROR(IF($C51="TOTAL",SUM($I$8:I50),IF(BF52="","",BF52)),"")</f>
        <v>108000</v>
      </c>
      <c r="J51" s="62">
        <f>IFERROR(IF($C51="TOTAL",SUM($J$8:J50),IF(BH52="","",BH52)),"")</f>
        <v>49248</v>
      </c>
      <c r="K51" s="62">
        <f>IFERROR(IF($C51="TOTAL",SUM($K$8:K50),IF(OR(C51=$AS$16,C51=$AS$17,C51=$AS$18,C51=$AS$19,C51=$AS$20,C51=$AS$21,C51=$AS$22,C51=$AS$23,C51=$AS$24),0,IF(BI52="","",BI52))),"")</f>
        <v>9720</v>
      </c>
      <c r="L51" s="62">
        <f>IFERROR(IF($C51="TOTAL",SUM($L$8:L50),IF(BG52="","",BG52)),"")</f>
        <v>21600</v>
      </c>
      <c r="M51" s="62">
        <f t="shared" si="4"/>
        <v>188568</v>
      </c>
      <c r="N51" s="62">
        <f>IFERROR(IF(C51="","",IF(D51="","",IF(I51="","",IF($C51="TOTAL",SUM($N$8:N50),SUM(D51-I51))))),"")</f>
        <v>5800</v>
      </c>
      <c r="O51" s="62">
        <f>IFERROR(IF(C51="","",IF(E51="","",IF(J51="","",IF($C51="TOTAL",SUM($O$8:O50),SUM(E51-J51))))),"")</f>
        <v>2645</v>
      </c>
      <c r="P51" s="62">
        <f>IFERROR(IF(C51="","",IF(F51="","",IF(K51="","",IF($C51="TOTAL",SUM($P$8:P50),SUM(F51-K51))))),"")</f>
        <v>522</v>
      </c>
      <c r="Q51" s="62">
        <f t="shared" si="5"/>
        <v>1160</v>
      </c>
      <c r="R51" s="62">
        <f t="shared" si="13"/>
        <v>10127</v>
      </c>
      <c r="S51" s="62">
        <f>IFERROR(IF(C51="","",IF($C51="TOTAL",SUM($S$8:S50),IF(AND(C51&gt;$AR$1,$AI$3=$AR$2),BW52,IF($AU$18=$AU$20,SUM(BJ52+BR52),ROUND((D51+E51)*10%,0))))),"")</f>
        <v>2100</v>
      </c>
      <c r="T51" s="62">
        <f>IFERROR(IF(C51="","",IF(I51="","",IF(J51="","",IF($C51="TOTAL",SUM($T$8:T50),IF(AND(C51&gt;$AR$1,$AI$3=$AR$2),BW52,IF($AU$18=$AU$20,$AU$21,ROUND((I51+J51)*10%,0))))))),"")</f>
        <v>2100</v>
      </c>
      <c r="U51" s="62">
        <f t="shared" si="14"/>
        <v>0</v>
      </c>
      <c r="V51" s="63">
        <f>IFERROR(IF(C51="","",IF($AU$16=$AU$17,0,IF($C51="TOTAL",SUM($V$8:V50),IF($AU$19=$AU$31,0,IF(AND($AU$32=$AU$20,C51=$AU$33),$AU$34,V50))))),"")</f>
        <v>2100</v>
      </c>
      <c r="W51" s="63">
        <f>IFERROR(IF(C51="","",IF($AU$16=$AU$17,0,IF($C51="TOTAL",SUM($W$8:W50),IF($AU$19=$AU$20,$AU$24,0)))),"")</f>
        <v>2100</v>
      </c>
      <c r="X51" s="62">
        <f t="shared" si="15"/>
        <v>0</v>
      </c>
      <c r="Y51" s="62">
        <f>IFERROR(IF(C51="","",IF($AU$16=$AU$17,0,IF($C51="TOTAL",SUM($Y$8:Y50),BZ51))),"")</f>
        <v>875</v>
      </c>
      <c r="Z51" s="62">
        <f>IFERROR(IF(C51="","",IF($AU$16=$AU$17,0,IF($C51="TOTAL",SUM($Z$8:Z50),BY51))),"")</f>
        <v>875</v>
      </c>
      <c r="AA51" s="62">
        <f t="shared" si="41"/>
        <v>0</v>
      </c>
      <c r="AB51" s="62" t="str">
        <f>IFERROR(IF(C51="","",IF(D51="","",IF($C51="TOTAL",SUM($AB$8:AB50),IF(C51=$AU$1,ROUND(D51*5/31,0.01),"")))),"")</f>
        <v/>
      </c>
      <c r="AC51" s="62" t="str">
        <f>IFERROR(IF(C51="","",IF(I51="","",IF($C51="TOTAL",SUM($AC$8:AC50),IF(C51=$AU$1,ROUND(I51*5/31,0.01),"")))),"")</f>
        <v/>
      </c>
      <c r="AD51" s="62" t="str">
        <f t="shared" si="16"/>
        <v/>
      </c>
      <c r="AE51" s="62" t="str">
        <f>IFERROR(IF(C51="","",IF(AND(BP52="",BW52=""),"",IF($C51="TOTAL",SUM($AE$8:AE50),BP52))),"")</f>
        <v/>
      </c>
      <c r="AF51" s="62">
        <f>IFERROR(IF(C51="","",IF($C51="TOTAL",SUM($AF$8:AF50),ROUND(R51*$AU$7%,0))),"")</f>
        <v>0</v>
      </c>
      <c r="AG51" s="62">
        <f t="shared" si="8"/>
        <v>0</v>
      </c>
      <c r="AH51" s="64">
        <f>IFERROR(IF(C51="","",IF($C51="TOTAL",SUM($AH$8:AH50),SUM(R51-AG51))),"")</f>
        <v>10127</v>
      </c>
      <c r="AQ51" s="183">
        <f t="shared" si="17"/>
        <v>38</v>
      </c>
      <c r="AR51" s="183">
        <f t="shared" si="18"/>
        <v>38</v>
      </c>
      <c r="AT51" s="185">
        <v>44013</v>
      </c>
      <c r="AV51" s="185">
        <f t="shared" si="40"/>
        <v>44835</v>
      </c>
      <c r="AW51" s="185" t="str">
        <f t="shared" si="34"/>
        <v/>
      </c>
      <c r="AX51" s="185">
        <f t="shared" si="20"/>
        <v>44835</v>
      </c>
      <c r="AY51" s="185">
        <f t="shared" si="21"/>
        <v>44835</v>
      </c>
      <c r="AZ51" s="185">
        <f t="shared" si="35"/>
        <v>44835</v>
      </c>
      <c r="BA51" s="184">
        <f t="shared" si="36"/>
        <v>113800</v>
      </c>
      <c r="BB51" s="184">
        <f t="shared" si="22"/>
        <v>22760</v>
      </c>
      <c r="BC51" s="184">
        <f t="shared" si="23"/>
        <v>51893</v>
      </c>
      <c r="BD51" s="184">
        <f t="shared" si="37"/>
        <v>10242</v>
      </c>
      <c r="BE51" s="184"/>
      <c r="BF51" s="184">
        <f t="shared" si="38"/>
        <v>108000</v>
      </c>
      <c r="BG51" s="184">
        <f t="shared" si="24"/>
        <v>21600</v>
      </c>
      <c r="BH51" s="184">
        <f t="shared" si="25"/>
        <v>49248</v>
      </c>
      <c r="BI51" s="184">
        <f t="shared" si="39"/>
        <v>9720</v>
      </c>
      <c r="BJ51" s="184">
        <f t="shared" si="45"/>
        <v>3675</v>
      </c>
      <c r="BM51" s="184">
        <f t="shared" si="27"/>
        <v>10127</v>
      </c>
      <c r="BN51" s="184">
        <f t="shared" si="46"/>
        <v>3675</v>
      </c>
      <c r="BO51" s="184" t="str">
        <f t="shared" si="29"/>
        <v/>
      </c>
      <c r="BP51" s="184" t="str">
        <f t="shared" si="42"/>
        <v/>
      </c>
      <c r="BQ51" s="184">
        <f t="shared" si="43"/>
        <v>0</v>
      </c>
      <c r="BR51" s="184">
        <f t="shared" si="44"/>
        <v>0</v>
      </c>
      <c r="BW51" s="184">
        <f t="shared" si="30"/>
        <v>2100</v>
      </c>
      <c r="BY51" s="179">
        <f t="shared" si="31"/>
        <v>875</v>
      </c>
      <c r="BZ51" s="179">
        <f>IF(AZ52="","",IF(AZ52="TOTAL","",IF($AU$16=$AU$17,0,IF(AND(AZ52&gt;$BY$1,$AI$3=$AR$2,'Master Sheet'!$D$27&gt;0),'Master Sheet'!$D$27,IF(AND(AZ52=$BY$1),IF($AU$9&lt;18001,135,IF($AU$9&lt;33501,220,IF($AU$9&lt;54001,330,440))),IF(AND(AZ52&gt;$BY$1),IF($AU$9&lt;18001,265,IF($AU$9&lt;33501,440,IF($AU$9&lt;54001,658,875))),""))))))</f>
        <v>875</v>
      </c>
    </row>
    <row r="52" spans="1:85" ht="21" customHeight="1">
      <c r="A52" s="110">
        <f t="shared" si="32"/>
        <v>45</v>
      </c>
      <c r="B52" s="60">
        <f t="shared" si="1"/>
        <v>45</v>
      </c>
      <c r="C52" s="61">
        <f t="shared" si="33"/>
        <v>44896</v>
      </c>
      <c r="D52" s="62">
        <f>IFERROR(IF($C51="TOTAL","अक्षरें राशि :-",IF($C52="TOTAL",SUM($D$8:D51),IF(BA53="","",BA53))),"")</f>
        <v>113800</v>
      </c>
      <c r="E52" s="62">
        <f>IFERROR(IF($C52="TOTAL",SUM($E$8:E51),IF(BC53="","",BC53)),"")</f>
        <v>51893</v>
      </c>
      <c r="F52" s="62">
        <f>IFERROR(IF($C52="TOTAL",SUM($F$8:F51),IF(OR(C52=$AS$16,C52=$AS$17,C52=$AS$18,C52=$AS$19,C52=$AS$20,C52=$AS$21,C52=$AS$22,C52=$AS$23,C52=$AS$24),0,IF(BD53="","",BD53))),"")</f>
        <v>10242</v>
      </c>
      <c r="G52" s="62">
        <f>IFERROR(IF($C52="TOTAL",SUM($G$8:G51),IF(BB53="","",BB53)),"")</f>
        <v>22760</v>
      </c>
      <c r="H52" s="62">
        <f t="shared" si="3"/>
        <v>198695</v>
      </c>
      <c r="I52" s="62">
        <f>IFERROR(IF($C52="TOTAL",SUM($I$8:I51),IF(BF53="","",BF53)),"")</f>
        <v>108000</v>
      </c>
      <c r="J52" s="62">
        <f>IFERROR(IF($C52="TOTAL",SUM($J$8:J51),IF(BH53="","",BH53)),"")</f>
        <v>49248</v>
      </c>
      <c r="K52" s="62">
        <f>IFERROR(IF($C52="TOTAL",SUM($K$8:K51),IF(OR(C52=$AS$16,C52=$AS$17,C52=$AS$18,C52=$AS$19,C52=$AS$20,C52=$AS$21,C52=$AS$22,C52=$AS$23,C52=$AS$24),0,IF(BI53="","",BI53))),"")</f>
        <v>9720</v>
      </c>
      <c r="L52" s="62">
        <f>IFERROR(IF($C52="TOTAL",SUM($L$8:L51),IF(BG53="","",BG53)),"")</f>
        <v>21600</v>
      </c>
      <c r="M52" s="62">
        <f t="shared" si="4"/>
        <v>188568</v>
      </c>
      <c r="N52" s="62">
        <f>IFERROR(IF(C52="","",IF(D52="","",IF(I52="","",IF($C52="TOTAL",SUM($N$8:N51),SUM(D52-I52))))),"")</f>
        <v>5800</v>
      </c>
      <c r="O52" s="62">
        <f>IFERROR(IF(C52="","",IF(E52="","",IF(J52="","",IF($C52="TOTAL",SUM($O$8:O51),SUM(E52-J52))))),"")</f>
        <v>2645</v>
      </c>
      <c r="P52" s="62">
        <f>IFERROR(IF(C52="","",IF(F52="","",IF(K52="","",IF($C52="TOTAL",SUM($P$8:P51),SUM(F52-K52))))),"")</f>
        <v>522</v>
      </c>
      <c r="Q52" s="62">
        <f t="shared" si="5"/>
        <v>1160</v>
      </c>
      <c r="R52" s="62">
        <f t="shared" si="13"/>
        <v>10127</v>
      </c>
      <c r="S52" s="62">
        <f>IFERROR(IF(C52="","",IF($C52="TOTAL",SUM($S$8:S51),IF(AND(C52&gt;$AR$1,$AI$3=$AR$2),BW53,IF($AU$18=$AU$20,SUM(BJ53+BR53),ROUND((D52+E52)*10%,0))))),"")</f>
        <v>2100</v>
      </c>
      <c r="T52" s="62">
        <f>IFERROR(IF(C52="","",IF(I52="","",IF(J52="","",IF($C52="TOTAL",SUM($T$8:T51),IF(AND(C52&gt;$AR$1,$AI$3=$AR$2),BW53,IF($AU$18=$AU$20,$AU$21,ROUND((I52+J52)*10%,0))))))),"")</f>
        <v>2100</v>
      </c>
      <c r="U52" s="62">
        <f t="shared" si="14"/>
        <v>0</v>
      </c>
      <c r="V52" s="63">
        <f>IFERROR(IF(C52="","",IF($AU$16=$AU$17,0,IF($C52="TOTAL",SUM($V$8:V51),IF($AU$19=$AU$31,0,IF(AND($AU$32=$AU$20,C52=$AU$33),$AU$34,V51))))),"")</f>
        <v>2100</v>
      </c>
      <c r="W52" s="63">
        <f>IFERROR(IF(C52="","",IF($AU$16=$AU$17,0,IF($C52="TOTAL",SUM($W$8:W51),IF($AU$19=$AU$20,$AU$24,0)))),"")</f>
        <v>2100</v>
      </c>
      <c r="X52" s="62">
        <f t="shared" si="15"/>
        <v>0</v>
      </c>
      <c r="Y52" s="62">
        <f>IFERROR(IF(C52="","",IF($AU$16=$AU$17,0,IF($C52="TOTAL",SUM($Y$8:Y51),BZ52))),"")</f>
        <v>875</v>
      </c>
      <c r="Z52" s="62">
        <f>IFERROR(IF(C52="","",IF($AU$16=$AU$17,0,IF($C52="TOTAL",SUM($Z$8:Z51),BY52))),"")</f>
        <v>875</v>
      </c>
      <c r="AA52" s="62">
        <f t="shared" si="41"/>
        <v>0</v>
      </c>
      <c r="AB52" s="62" t="str">
        <f>IFERROR(IF(C52="","",IF(D52="","",IF($C52="TOTAL",SUM($AB$8:AB51),IF(C52=$AU$1,ROUND(D52*5/31,0.01),"")))),"")</f>
        <v/>
      </c>
      <c r="AC52" s="62" t="str">
        <f>IFERROR(IF(C52="","",IF(I52="","",IF($C52="TOTAL",SUM($AC$8:AC51),IF(C52=$AU$1,ROUND(I52*5/31,0.01),"")))),"")</f>
        <v/>
      </c>
      <c r="AD52" s="62" t="str">
        <f t="shared" si="16"/>
        <v/>
      </c>
      <c r="AE52" s="62" t="str">
        <f>IFERROR(IF(C52="","",IF(AND(BP53="",BW53=""),"",IF($C52="TOTAL",SUM($AE$8:AE51),BP53))),"")</f>
        <v/>
      </c>
      <c r="AF52" s="62">
        <f>IFERROR(IF(C52="","",IF($C52="TOTAL",SUM($AF$8:AF51),ROUND(R52*$AU$7%,0))),"")</f>
        <v>0</v>
      </c>
      <c r="AG52" s="62">
        <f t="shared" si="8"/>
        <v>0</v>
      </c>
      <c r="AH52" s="64">
        <f>IFERROR(IF(C52="","",IF($C52="TOTAL",SUM($AH$8:AH51),SUM(R52-AG52))),"")</f>
        <v>10127</v>
      </c>
      <c r="AQ52" s="183">
        <f t="shared" si="17"/>
        <v>38</v>
      </c>
      <c r="AR52" s="183">
        <f t="shared" si="18"/>
        <v>38</v>
      </c>
      <c r="AT52" s="185">
        <v>44044</v>
      </c>
      <c r="AV52" s="185">
        <f t="shared" si="40"/>
        <v>44866</v>
      </c>
      <c r="AW52" s="185" t="str">
        <f t="shared" si="34"/>
        <v/>
      </c>
      <c r="AX52" s="185">
        <f t="shared" si="20"/>
        <v>44866</v>
      </c>
      <c r="AY52" s="185">
        <f t="shared" si="21"/>
        <v>44866</v>
      </c>
      <c r="AZ52" s="185">
        <f t="shared" si="35"/>
        <v>44866</v>
      </c>
      <c r="BA52" s="184">
        <f t="shared" si="36"/>
        <v>113800</v>
      </c>
      <c r="BB52" s="184">
        <f t="shared" si="22"/>
        <v>22760</v>
      </c>
      <c r="BC52" s="184">
        <f t="shared" si="23"/>
        <v>51893</v>
      </c>
      <c r="BD52" s="184">
        <f t="shared" si="37"/>
        <v>10242</v>
      </c>
      <c r="BE52" s="184"/>
      <c r="BF52" s="184">
        <f t="shared" si="38"/>
        <v>108000</v>
      </c>
      <c r="BG52" s="184">
        <f t="shared" si="24"/>
        <v>21600</v>
      </c>
      <c r="BH52" s="184">
        <f t="shared" si="25"/>
        <v>49248</v>
      </c>
      <c r="BI52" s="184">
        <f t="shared" si="39"/>
        <v>9720</v>
      </c>
      <c r="BJ52" s="184">
        <f t="shared" si="45"/>
        <v>3675</v>
      </c>
      <c r="BM52" s="184">
        <f t="shared" si="27"/>
        <v>10127</v>
      </c>
      <c r="BN52" s="184">
        <f t="shared" si="46"/>
        <v>3675</v>
      </c>
      <c r="BO52" s="184" t="str">
        <f t="shared" si="29"/>
        <v/>
      </c>
      <c r="BP52" s="184" t="str">
        <f t="shared" si="42"/>
        <v/>
      </c>
      <c r="BQ52" s="184">
        <f t="shared" si="43"/>
        <v>0</v>
      </c>
      <c r="BR52" s="184">
        <f t="shared" si="44"/>
        <v>0</v>
      </c>
      <c r="BW52" s="184">
        <f t="shared" si="30"/>
        <v>2100</v>
      </c>
      <c r="BY52" s="179">
        <f t="shared" si="31"/>
        <v>875</v>
      </c>
      <c r="BZ52" s="179">
        <f>IF(AZ53="","",IF(AZ53="TOTAL","",IF($AU$16=$AU$17,0,IF(AND(AZ53&gt;$BY$1,$AI$3=$AR$2,'Master Sheet'!$D$27&gt;0),'Master Sheet'!$D$27,IF(AND(AZ53=$BY$1),IF($AU$9&lt;18001,135,IF($AU$9&lt;33501,220,IF($AU$9&lt;54001,330,440))),IF(AND(AZ53&gt;$BY$1),IF($AU$9&lt;18001,265,IF($AU$9&lt;33501,440,IF($AU$9&lt;54001,658,875))),""))))))</f>
        <v>875</v>
      </c>
    </row>
    <row r="53" spans="1:85" ht="21" customHeight="1">
      <c r="A53" s="110">
        <f t="shared" si="32"/>
        <v>46</v>
      </c>
      <c r="B53" s="60">
        <f t="shared" si="1"/>
        <v>46</v>
      </c>
      <c r="C53" s="61">
        <f t="shared" si="33"/>
        <v>44927</v>
      </c>
      <c r="D53" s="62">
        <f>IFERROR(IF($C52="TOTAL","अक्षरें राशि :-",IF($C53="TOTAL",SUM($D$8:D52),IF(BA54="","",BA54))),"")</f>
        <v>113800</v>
      </c>
      <c r="E53" s="62">
        <f>IFERROR(IF($C53="TOTAL",SUM($E$8:E52),IF(BC54="","",BC54)),"")</f>
        <v>57355</v>
      </c>
      <c r="F53" s="62">
        <f>IFERROR(IF($C53="TOTAL",SUM($F$8:F52),IF(OR(C53=$AS$16,C53=$AS$17,C53=$AS$18,C53=$AS$19,C53=$AS$20,C53=$AS$21,C53=$AS$22,C53=$AS$23,C53=$AS$24),0,IF(BD54="","",BD54))),"")</f>
        <v>10242</v>
      </c>
      <c r="G53" s="62">
        <f>IFERROR(IF($C53="TOTAL",SUM($G$8:G52),IF(BB54="","",BB54)),"")</f>
        <v>22760</v>
      </c>
      <c r="H53" s="62">
        <f t="shared" si="3"/>
        <v>204157</v>
      </c>
      <c r="I53" s="62">
        <f>IFERROR(IF($C53="TOTAL",SUM($I$8:I52),IF(BF54="","",BF54)),"")</f>
        <v>108000</v>
      </c>
      <c r="J53" s="62">
        <f>IFERROR(IF($C53="TOTAL",SUM($J$8:J52),IF(BH54="","",BH54)),"")</f>
        <v>54432</v>
      </c>
      <c r="K53" s="62">
        <f>IFERROR(IF($C53="TOTAL",SUM($K$8:K52),IF(OR(C53=$AS$16,C53=$AS$17,C53=$AS$18,C53=$AS$19,C53=$AS$20,C53=$AS$21,C53=$AS$22,C53=$AS$23,C53=$AS$24),0,IF(BI54="","",BI54))),"")</f>
        <v>9720</v>
      </c>
      <c r="L53" s="62">
        <f>IFERROR(IF($C53="TOTAL",SUM($L$8:L52),IF(BG54="","",BG54)),"")</f>
        <v>21600</v>
      </c>
      <c r="M53" s="62">
        <f t="shared" si="4"/>
        <v>193752</v>
      </c>
      <c r="N53" s="62">
        <f>IFERROR(IF(C53="","",IF(D53="","",IF(I53="","",IF($C53="TOTAL",SUM($N$8:N52),SUM(D53-I53))))),"")</f>
        <v>5800</v>
      </c>
      <c r="O53" s="62">
        <f>IFERROR(IF(C53="","",IF(E53="","",IF(J53="","",IF($C53="TOTAL",SUM($O$8:O52),SUM(E53-J53))))),"")</f>
        <v>2923</v>
      </c>
      <c r="P53" s="62">
        <f>IFERROR(IF(C53="","",IF(F53="","",IF(K53="","",IF($C53="TOTAL",SUM($P$8:P52),SUM(F53-K53))))),"")</f>
        <v>522</v>
      </c>
      <c r="Q53" s="62">
        <f t="shared" si="5"/>
        <v>1160</v>
      </c>
      <c r="R53" s="62">
        <f t="shared" si="13"/>
        <v>10405</v>
      </c>
      <c r="S53" s="62">
        <f>IFERROR(IF(C53="","",IF($C53="TOTAL",SUM($S$8:S52),IF(AND(C53&gt;$AR$1,$AI$3=$AR$2),BW54,IF($AU$18=$AU$20,SUM(BJ54+BR54),ROUND((D53+E53)*10%,0))))),"")</f>
        <v>2100</v>
      </c>
      <c r="T53" s="62">
        <f>IFERROR(IF(C53="","",IF(I53="","",IF(J53="","",IF($C53="TOTAL",SUM($T$8:T52),IF(AND(C53&gt;$AR$1,$AI$3=$AR$2),BW54,IF($AU$18=$AU$20,$AU$21,ROUND((I53+J53)*10%,0))))))),"")</f>
        <v>2100</v>
      </c>
      <c r="U53" s="62">
        <f t="shared" si="14"/>
        <v>0</v>
      </c>
      <c r="V53" s="63">
        <f>IFERROR(IF(C53="","",IF($AU$16=$AU$17,0,IF($C53="TOTAL",SUM($V$8:V52),IF($AU$19=$AU$31,0,IF(AND($AU$32=$AU$20,C53=$AU$33),$AU$34,V52))))),"")</f>
        <v>2100</v>
      </c>
      <c r="W53" s="63">
        <f>IFERROR(IF(C53="","",IF($AU$16=$AU$17,0,IF($C53="TOTAL",SUM($W$8:W52),IF($AU$19=$AU$20,$AU$24,0)))),"")</f>
        <v>2100</v>
      </c>
      <c r="X53" s="62">
        <f t="shared" si="15"/>
        <v>0</v>
      </c>
      <c r="Y53" s="62">
        <f>IFERROR(IF(C53="","",IF($AU$16=$AU$17,0,IF($C53="TOTAL",SUM($Y$8:Y52),BZ53))),"")</f>
        <v>875</v>
      </c>
      <c r="Z53" s="62">
        <f>IFERROR(IF(C53="","",IF($AU$16=$AU$17,0,IF($C53="TOTAL",SUM($Z$8:Z52),BY53))),"")</f>
        <v>875</v>
      </c>
      <c r="AA53" s="62">
        <f t="shared" si="41"/>
        <v>0</v>
      </c>
      <c r="AB53" s="62" t="str">
        <f>IFERROR(IF(C53="","",IF(D53="","",IF($C53="TOTAL",SUM($AB$8:AB52),IF(C53=$AU$1,ROUND(D53*5/31,0.01),"")))),"")</f>
        <v/>
      </c>
      <c r="AC53" s="62" t="str">
        <f>IFERROR(IF(C53="","",IF(I53="","",IF($C53="TOTAL",SUM($AC$8:AC52),IF(C53=$AU$1,ROUND(I53*5/31,0.01),"")))),"")</f>
        <v/>
      </c>
      <c r="AD53" s="62" t="str">
        <f t="shared" si="16"/>
        <v/>
      </c>
      <c r="AE53" s="62" t="str">
        <f>IFERROR(IF(C53="","",IF(AND(BP54="",BW54=""),"",IF($C53="TOTAL",SUM($AE$8:AE52),BP54))),"")</f>
        <v/>
      </c>
      <c r="AF53" s="62">
        <f>IFERROR(IF(C53="","",IF($C53="TOTAL",SUM($AF$8:AF52),ROUND(R53*$AU$7%,0))),"")</f>
        <v>0</v>
      </c>
      <c r="AG53" s="62">
        <f t="shared" si="8"/>
        <v>0</v>
      </c>
      <c r="AH53" s="64">
        <f>IFERROR(IF(C53="","",IF($C53="TOTAL",SUM($AH$8:AH52),SUM(R53-AG53))),"")</f>
        <v>10405</v>
      </c>
      <c r="AQ53" s="183">
        <f t="shared" si="17"/>
        <v>38</v>
      </c>
      <c r="AR53" s="183">
        <f t="shared" si="18"/>
        <v>38</v>
      </c>
      <c r="AT53" s="185">
        <v>44075</v>
      </c>
      <c r="AV53" s="185">
        <f t="shared" si="40"/>
        <v>44896</v>
      </c>
      <c r="AW53" s="185" t="str">
        <f t="shared" si="34"/>
        <v/>
      </c>
      <c r="AX53" s="185">
        <f t="shared" si="20"/>
        <v>44896</v>
      </c>
      <c r="AY53" s="185">
        <f t="shared" si="21"/>
        <v>44896</v>
      </c>
      <c r="AZ53" s="185">
        <f t="shared" si="35"/>
        <v>44896</v>
      </c>
      <c r="BA53" s="184">
        <f t="shared" si="36"/>
        <v>113800</v>
      </c>
      <c r="BB53" s="184">
        <f t="shared" si="22"/>
        <v>22760</v>
      </c>
      <c r="BC53" s="184">
        <f t="shared" si="23"/>
        <v>51893</v>
      </c>
      <c r="BD53" s="184">
        <f t="shared" si="37"/>
        <v>10242</v>
      </c>
      <c r="BE53" s="184"/>
      <c r="BF53" s="184">
        <f t="shared" si="38"/>
        <v>108000</v>
      </c>
      <c r="BG53" s="184">
        <f t="shared" si="24"/>
        <v>21600</v>
      </c>
      <c r="BH53" s="184">
        <f t="shared" si="25"/>
        <v>49248</v>
      </c>
      <c r="BI53" s="184">
        <f t="shared" si="39"/>
        <v>9720</v>
      </c>
      <c r="BJ53" s="184">
        <f t="shared" si="45"/>
        <v>3675</v>
      </c>
      <c r="BM53" s="184">
        <f t="shared" si="27"/>
        <v>10127</v>
      </c>
      <c r="BN53" s="184">
        <f t="shared" si="46"/>
        <v>3675</v>
      </c>
      <c r="BO53" s="184" t="str">
        <f t="shared" si="29"/>
        <v/>
      </c>
      <c r="BP53" s="184" t="str">
        <f t="shared" si="42"/>
        <v/>
      </c>
      <c r="BQ53" s="184">
        <f t="shared" si="43"/>
        <v>0</v>
      </c>
      <c r="BR53" s="184">
        <f t="shared" si="44"/>
        <v>0</v>
      </c>
      <c r="BW53" s="184">
        <f t="shared" si="30"/>
        <v>2100</v>
      </c>
      <c r="BY53" s="179">
        <f t="shared" si="31"/>
        <v>875</v>
      </c>
      <c r="BZ53" s="179">
        <f>IF(AZ54="","",IF(AZ54="TOTAL","",IF($AU$16=$AU$17,0,IF(AND(AZ54&gt;$BY$1,$AI$3=$AR$2,'Master Sheet'!$D$27&gt;0),'Master Sheet'!$D$27,IF(AND(AZ54=$BY$1),IF($AU$9&lt;18001,135,IF($AU$9&lt;33501,220,IF($AU$9&lt;54001,330,440))),IF(AND(AZ54&gt;$BY$1),IF($AU$9&lt;18001,265,IF($AU$9&lt;33501,440,IF($AU$9&lt;54001,658,875))),""))))))</f>
        <v>875</v>
      </c>
    </row>
    <row r="54" spans="1:85" ht="21" customHeight="1">
      <c r="A54" s="110">
        <f t="shared" si="32"/>
        <v>47</v>
      </c>
      <c r="B54" s="60">
        <f t="shared" si="1"/>
        <v>47</v>
      </c>
      <c r="C54" s="61">
        <f t="shared" si="33"/>
        <v>44958</v>
      </c>
      <c r="D54" s="62">
        <f>IFERROR(IF($C53="TOTAL","अक्षरें राशि :-",IF($C54="TOTAL",SUM($D$8:D53),IF(BA55="","",BA55))),"")</f>
        <v>113800</v>
      </c>
      <c r="E54" s="62">
        <f>IFERROR(IF($C54="TOTAL",SUM($E$8:E53),IF(BC55="","",BC55)),"")</f>
        <v>57355</v>
      </c>
      <c r="F54" s="62">
        <f>IFERROR(IF($C54="TOTAL",SUM($F$8:F53),IF(OR(C54=$AS$16,C54=$AS$17,C54=$AS$18,C54=$AS$19,C54=$AS$20,C54=$AS$21,C54=$AS$22,C54=$AS$23,C54=$AS$24),0,IF(BD55="","",BD55))),"")</f>
        <v>10242</v>
      </c>
      <c r="G54" s="62">
        <f>IFERROR(IF($C54="TOTAL",SUM($G$8:G53),IF(BB55="","",BB55)),"")</f>
        <v>22760</v>
      </c>
      <c r="H54" s="62">
        <f t="shared" si="3"/>
        <v>204157</v>
      </c>
      <c r="I54" s="62">
        <f>IFERROR(IF($C54="TOTAL",SUM($I$8:I53),IF(BF55="","",BF55)),"")</f>
        <v>108000</v>
      </c>
      <c r="J54" s="62">
        <f>IFERROR(IF($C54="TOTAL",SUM($J$8:J53),IF(BH55="","",BH55)),"")</f>
        <v>54432</v>
      </c>
      <c r="K54" s="62">
        <f>IFERROR(IF($C54="TOTAL",SUM($K$8:K53),IF(OR(C54=$AS$16,C54=$AS$17,C54=$AS$18,C54=$AS$19,C54=$AS$20,C54=$AS$21,C54=$AS$22,C54=$AS$23,C54=$AS$24),0,IF(BI55="","",BI55))),"")</f>
        <v>9720</v>
      </c>
      <c r="L54" s="62">
        <f>IFERROR(IF($C54="TOTAL",SUM($L$8:L53),IF(BG55="","",BG55)),"")</f>
        <v>21600</v>
      </c>
      <c r="M54" s="62">
        <f t="shared" si="4"/>
        <v>193752</v>
      </c>
      <c r="N54" s="62">
        <f>IFERROR(IF(C54="","",IF(D54="","",IF(I54="","",IF($C54="TOTAL",SUM($N$8:N53),SUM(D54-I54))))),"")</f>
        <v>5800</v>
      </c>
      <c r="O54" s="62">
        <f>IFERROR(IF(C54="","",IF(E54="","",IF(J54="","",IF($C54="TOTAL",SUM($O$8:O53),SUM(E54-J54))))),"")</f>
        <v>2923</v>
      </c>
      <c r="P54" s="62">
        <f>IFERROR(IF(C54="","",IF(F54="","",IF(K54="","",IF($C54="TOTAL",SUM($P$8:P53),SUM(F54-K54))))),"")</f>
        <v>522</v>
      </c>
      <c r="Q54" s="62">
        <f t="shared" si="5"/>
        <v>1160</v>
      </c>
      <c r="R54" s="62">
        <f t="shared" si="13"/>
        <v>10405</v>
      </c>
      <c r="S54" s="62">
        <f>IFERROR(IF(C54="","",IF($C54="TOTAL",SUM($S$8:S53),IF(AND(C54&gt;$AR$1,$AI$3=$AR$2),BW55,IF($AU$18=$AU$20,SUM(BJ55+BR55),ROUND((D54+E54)*10%,0))))),"")</f>
        <v>2100</v>
      </c>
      <c r="T54" s="62">
        <f>IFERROR(IF(C54="","",IF(I54="","",IF(J54="","",IF($C54="TOTAL",SUM($T$8:T53),IF(AND(C54&gt;$AR$1,$AI$3=$AR$2),BW55,IF($AU$18=$AU$20,$AU$21,ROUND((I54+J54)*10%,0))))))),"")</f>
        <v>2100</v>
      </c>
      <c r="U54" s="62">
        <f t="shared" si="14"/>
        <v>0</v>
      </c>
      <c r="V54" s="63">
        <f>IFERROR(IF(C54="","",IF($AU$16=$AU$17,0,IF($C54="TOTAL",SUM($V$8:V53),IF($AU$19=$AU$31,0,IF(AND($AU$32=$AU$20,C54=$AU$33),$AU$34,V53))))),"")</f>
        <v>2100</v>
      </c>
      <c r="W54" s="63">
        <f>IFERROR(IF(C54="","",IF($AU$16=$AU$17,0,IF($C54="TOTAL",SUM($W$8:W53),IF($AU$19=$AU$20,$AU$24,0)))),"")</f>
        <v>2100</v>
      </c>
      <c r="X54" s="62">
        <f t="shared" si="15"/>
        <v>0</v>
      </c>
      <c r="Y54" s="62">
        <f>IFERROR(IF(C54="","",IF($AU$16=$AU$17,0,IF($C54="TOTAL",SUM($Y$8:Y53),BZ54))),"")</f>
        <v>875</v>
      </c>
      <c r="Z54" s="62">
        <f>IFERROR(IF(C54="","",IF($AU$16=$AU$17,0,IF($C54="TOTAL",SUM($Z$8:Z53),BY54))),"")</f>
        <v>875</v>
      </c>
      <c r="AA54" s="62">
        <f t="shared" si="41"/>
        <v>0</v>
      </c>
      <c r="AB54" s="62" t="str">
        <f>IFERROR(IF(C54="","",IF(D54="","",IF($C54="TOTAL",SUM($AB$8:AB53),IF(C54=$AU$1,ROUND(D54*5/31,0.01),"")))),"")</f>
        <v/>
      </c>
      <c r="AC54" s="62" t="str">
        <f>IFERROR(IF(C54="","",IF(I54="","",IF($C54="TOTAL",SUM($AC$8:AC53),IF(C54=$AU$1,ROUND(I54*5/31,0.01),"")))),"")</f>
        <v/>
      </c>
      <c r="AD54" s="62" t="str">
        <f t="shared" si="16"/>
        <v/>
      </c>
      <c r="AE54" s="62" t="str">
        <f>IFERROR(IF(C54="","",IF(AND(BP55="",BW55=""),"",IF($C54="TOTAL",SUM($AE$8:AE53),BP55))),"")</f>
        <v/>
      </c>
      <c r="AF54" s="62">
        <f>IFERROR(IF(C54="","",IF($C54="TOTAL",SUM($AF$8:AF53),ROUND(R54*$AU$7%,0))),"")</f>
        <v>0</v>
      </c>
      <c r="AG54" s="62">
        <f t="shared" si="8"/>
        <v>0</v>
      </c>
      <c r="AH54" s="64">
        <f>IFERROR(IF(C54="","",IF($C54="TOTAL",SUM($AH$8:AH53),SUM(R54-AG54))),"")</f>
        <v>10405</v>
      </c>
      <c r="AQ54" s="183">
        <f t="shared" si="17"/>
        <v>42</v>
      </c>
      <c r="AR54" s="183">
        <f t="shared" si="18"/>
        <v>42</v>
      </c>
      <c r="AT54" s="185">
        <v>44105</v>
      </c>
      <c r="AV54" s="185">
        <f t="shared" si="40"/>
        <v>44927</v>
      </c>
      <c r="AW54" s="185" t="str">
        <f t="shared" si="34"/>
        <v/>
      </c>
      <c r="AX54" s="185">
        <f t="shared" si="20"/>
        <v>44927</v>
      </c>
      <c r="AY54" s="185">
        <f t="shared" si="21"/>
        <v>44927</v>
      </c>
      <c r="AZ54" s="185">
        <f t="shared" si="35"/>
        <v>44927</v>
      </c>
      <c r="BA54" s="184">
        <f t="shared" si="36"/>
        <v>113800</v>
      </c>
      <c r="BB54" s="184">
        <f t="shared" si="22"/>
        <v>22760</v>
      </c>
      <c r="BC54" s="184">
        <f t="shared" si="23"/>
        <v>57355</v>
      </c>
      <c r="BD54" s="184">
        <f t="shared" si="37"/>
        <v>10242</v>
      </c>
      <c r="BE54" s="184"/>
      <c r="BF54" s="184">
        <f t="shared" si="38"/>
        <v>108000</v>
      </c>
      <c r="BG54" s="184">
        <f t="shared" si="24"/>
        <v>21600</v>
      </c>
      <c r="BH54" s="184">
        <f t="shared" si="25"/>
        <v>54432</v>
      </c>
      <c r="BI54" s="184">
        <f t="shared" si="39"/>
        <v>9720</v>
      </c>
      <c r="BJ54" s="184">
        <f t="shared" si="45"/>
        <v>3675</v>
      </c>
      <c r="BM54" s="184">
        <f t="shared" si="27"/>
        <v>10405</v>
      </c>
      <c r="BN54" s="184">
        <f t="shared" si="46"/>
        <v>3675</v>
      </c>
      <c r="BO54" s="184" t="str">
        <f t="shared" si="29"/>
        <v/>
      </c>
      <c r="BP54" s="184" t="str">
        <f t="shared" si="42"/>
        <v/>
      </c>
      <c r="BQ54" s="184">
        <f t="shared" si="43"/>
        <v>0</v>
      </c>
      <c r="BR54" s="184">
        <f t="shared" si="44"/>
        <v>0</v>
      </c>
      <c r="BW54" s="184">
        <f t="shared" si="30"/>
        <v>2100</v>
      </c>
      <c r="BY54" s="179">
        <f t="shared" si="31"/>
        <v>875</v>
      </c>
      <c r="BZ54" s="179">
        <f>IF(AZ55="","",IF(AZ55="TOTAL","",IF($AU$16=$AU$17,0,IF(AND(AZ55&gt;$BY$1,$AI$3=$AR$2,'Master Sheet'!$D$27&gt;0),'Master Sheet'!$D$27,IF(AND(AZ55=$BY$1),IF($AU$9&lt;18001,135,IF($AU$9&lt;33501,220,IF($AU$9&lt;54001,330,440))),IF(AND(AZ55&gt;$BY$1),IF($AU$9&lt;18001,265,IF($AU$9&lt;33501,440,IF($AU$9&lt;54001,658,875))),""))))))</f>
        <v>875</v>
      </c>
    </row>
    <row r="55" spans="1:85" ht="21" customHeight="1">
      <c r="A55" s="110">
        <f t="shared" si="32"/>
        <v>48</v>
      </c>
      <c r="B55" s="60">
        <f t="shared" si="1"/>
        <v>48</v>
      </c>
      <c r="C55" s="61">
        <f t="shared" si="33"/>
        <v>44986</v>
      </c>
      <c r="D55" s="62">
        <f>IFERROR(IF($C54="TOTAL","अक्षरें राशि :-",IF($C55="TOTAL",SUM($D$8:D54),IF(BA56="","",BA56))),"")</f>
        <v>113800</v>
      </c>
      <c r="E55" s="62">
        <f>IFERROR(IF($C55="TOTAL",SUM($E$8:E54),IF(BC56="","",BC56)),"")</f>
        <v>57355</v>
      </c>
      <c r="F55" s="62">
        <f>IFERROR(IF($C55="TOTAL",SUM($F$8:F54),IF(OR(C55=$AS$16,C55=$AS$17,C55=$AS$18,C55=$AS$19,C55=$AS$20,C55=$AS$21,C55=$AS$22,C55=$AS$23,C55=$AS$24),0,IF(BD56="","",BD56))),"")</f>
        <v>10242</v>
      </c>
      <c r="G55" s="62">
        <f>IFERROR(IF($C55="TOTAL",SUM($G$8:G54),IF(BB56="","",BB56)),"")</f>
        <v>22760</v>
      </c>
      <c r="H55" s="62">
        <f t="shared" si="3"/>
        <v>204157</v>
      </c>
      <c r="I55" s="62">
        <f>IFERROR(IF($C55="TOTAL",SUM($I$8:I54),IF(BF56="","",BF56)),"")</f>
        <v>108000</v>
      </c>
      <c r="J55" s="62">
        <f>IFERROR(IF($C55="TOTAL",SUM($J$8:J54),IF(BH56="","",BH56)),"")</f>
        <v>54432</v>
      </c>
      <c r="K55" s="62">
        <f>IFERROR(IF($C55="TOTAL",SUM($K$8:K54),IF(OR(C55=$AS$16,C55=$AS$17,C55=$AS$18,C55=$AS$19,C55=$AS$20,C55=$AS$21,C55=$AS$22,C55=$AS$23,C55=$AS$24),0,IF(BI56="","",BI56))),"")</f>
        <v>9720</v>
      </c>
      <c r="L55" s="62">
        <f>IFERROR(IF($C55="TOTAL",SUM($L$8:L54),IF(BG56="","",BG56)),"")</f>
        <v>21600</v>
      </c>
      <c r="M55" s="62">
        <f t="shared" si="4"/>
        <v>193752</v>
      </c>
      <c r="N55" s="62">
        <f>IFERROR(IF(C55="","",IF(D55="","",IF(I55="","",IF($C55="TOTAL",SUM($N$8:N54),SUM(D55-I55))))),"")</f>
        <v>5800</v>
      </c>
      <c r="O55" s="62">
        <f>IFERROR(IF(C55="","",IF(E55="","",IF(J55="","",IF($C55="TOTAL",SUM($O$8:O54),SUM(E55-J55))))),"")</f>
        <v>2923</v>
      </c>
      <c r="P55" s="62">
        <f>IFERROR(IF(C55="","",IF(F55="","",IF(K55="","",IF($C55="TOTAL",SUM($P$8:P54),SUM(F55-K55))))),"")</f>
        <v>522</v>
      </c>
      <c r="Q55" s="62">
        <f t="shared" si="5"/>
        <v>1160</v>
      </c>
      <c r="R55" s="62">
        <f t="shared" si="13"/>
        <v>10405</v>
      </c>
      <c r="S55" s="62">
        <f>IFERROR(IF(C55="","",IF($C55="TOTAL",SUM($S$8:S54),IF(AND(C55&gt;$AR$1,$AI$3=$AR$2),BW56,IF($AU$18=$AU$20,SUM(BJ56+BR56),ROUND((D55+E55)*10%,0))))),"")</f>
        <v>2100</v>
      </c>
      <c r="T55" s="62">
        <f>IFERROR(IF(C55="","",IF(I55="","",IF(J55="","",IF($C55="TOTAL",SUM($T$8:T54),IF(AND(C55&gt;$AR$1,$AI$3=$AR$2),BW56,IF($AU$18=$AU$20,$AU$21,ROUND((I55+J55)*10%,0))))))),"")</f>
        <v>2100</v>
      </c>
      <c r="U55" s="62">
        <f t="shared" si="14"/>
        <v>0</v>
      </c>
      <c r="V55" s="63">
        <f>IFERROR(IF(C55="","",IF($AU$16=$AU$17,0,IF($C55="TOTAL",SUM($V$8:V54),IF($AU$19=$AU$31,0,IF(AND($AU$32=$AU$20,C55=$AU$33),$AU$34,V54))))),"")</f>
        <v>2100</v>
      </c>
      <c r="W55" s="63">
        <f>IFERROR(IF(C55="","",IF($AU$16=$AU$17,0,IF($C55="TOTAL",SUM($W$8:W54),IF($AU$19=$AU$20,$AU$24,0)))),"")</f>
        <v>2100</v>
      </c>
      <c r="X55" s="62">
        <f t="shared" si="15"/>
        <v>0</v>
      </c>
      <c r="Y55" s="62">
        <f>IFERROR(IF(C55="","",IF($AU$16=$AU$17,0,IF($C55="TOTAL",SUM($Y$8:Y54),BZ55))),"")</f>
        <v>875</v>
      </c>
      <c r="Z55" s="62">
        <f>IFERROR(IF(C55="","",IF($AU$16=$AU$17,0,IF($C55="TOTAL",SUM($Z$8:Z54),BY55))),"")</f>
        <v>875</v>
      </c>
      <c r="AA55" s="62">
        <f t="shared" si="41"/>
        <v>0</v>
      </c>
      <c r="AB55" s="62" t="str">
        <f>IFERROR(IF(C55="","",IF(D55="","",IF($C55="TOTAL",SUM($AB$8:AB54),IF(C55=$AU$1,ROUND(D55*5/31,0.01),"")))),"")</f>
        <v/>
      </c>
      <c r="AC55" s="62" t="str">
        <f>IFERROR(IF(C55="","",IF(I55="","",IF($C55="TOTAL",SUM($AC$8:AC54),IF(C55=$AU$1,ROUND(I55*5/31,0.01),"")))),"")</f>
        <v/>
      </c>
      <c r="AD55" s="62" t="str">
        <f t="shared" si="16"/>
        <v/>
      </c>
      <c r="AE55" s="62" t="str">
        <f>IFERROR(IF(C55="","",IF(AND(BP56="",BW56=""),"",IF($C55="TOTAL",SUM($AE$8:AE54),BP56))),"")</f>
        <v/>
      </c>
      <c r="AF55" s="62">
        <f>IFERROR(IF(C55="","",IF($C55="TOTAL",SUM($AF$8:AF54),ROUND(R55*$AU$7%,0))),"")</f>
        <v>0</v>
      </c>
      <c r="AG55" s="62">
        <f t="shared" si="8"/>
        <v>0</v>
      </c>
      <c r="AH55" s="64">
        <f>IFERROR(IF(C55="","",IF($C55="TOTAL",SUM($AH$8:AH54),SUM(R55-AG55))),"")</f>
        <v>10405</v>
      </c>
      <c r="AQ55" s="183">
        <f t="shared" si="17"/>
        <v>42</v>
      </c>
      <c r="AR55" s="183">
        <f t="shared" si="18"/>
        <v>42</v>
      </c>
      <c r="AT55" s="185">
        <v>44136</v>
      </c>
      <c r="AV55" s="185">
        <f t="shared" si="40"/>
        <v>44958</v>
      </c>
      <c r="AW55" s="185" t="str">
        <f t="shared" si="34"/>
        <v/>
      </c>
      <c r="AX55" s="185">
        <f t="shared" si="20"/>
        <v>44958</v>
      </c>
      <c r="AY55" s="185">
        <f t="shared" si="21"/>
        <v>44958</v>
      </c>
      <c r="AZ55" s="185">
        <f t="shared" si="35"/>
        <v>44958</v>
      </c>
      <c r="BA55" s="184">
        <f t="shared" si="36"/>
        <v>113800</v>
      </c>
      <c r="BB55" s="184">
        <f t="shared" si="22"/>
        <v>22760</v>
      </c>
      <c r="BC55" s="184">
        <f t="shared" si="23"/>
        <v>57355</v>
      </c>
      <c r="BD55" s="184">
        <f t="shared" si="37"/>
        <v>10242</v>
      </c>
      <c r="BE55" s="184"/>
      <c r="BF55" s="184">
        <f t="shared" si="38"/>
        <v>108000</v>
      </c>
      <c r="BG55" s="184">
        <f t="shared" si="24"/>
        <v>21600</v>
      </c>
      <c r="BH55" s="184">
        <f t="shared" si="25"/>
        <v>54432</v>
      </c>
      <c r="BI55" s="184">
        <f t="shared" si="39"/>
        <v>9720</v>
      </c>
      <c r="BJ55" s="184">
        <f t="shared" si="45"/>
        <v>3675</v>
      </c>
      <c r="BM55" s="184">
        <f t="shared" si="27"/>
        <v>10405</v>
      </c>
      <c r="BN55" s="184">
        <f t="shared" si="46"/>
        <v>3675</v>
      </c>
      <c r="BO55" s="184" t="str">
        <f t="shared" si="29"/>
        <v/>
      </c>
      <c r="BP55" s="184" t="str">
        <f t="shared" si="42"/>
        <v/>
      </c>
      <c r="BQ55" s="184">
        <f t="shared" si="43"/>
        <v>0</v>
      </c>
      <c r="BR55" s="184">
        <f t="shared" si="44"/>
        <v>0</v>
      </c>
      <c r="BW55" s="184">
        <f t="shared" si="30"/>
        <v>2100</v>
      </c>
      <c r="BY55" s="179">
        <f t="shared" si="31"/>
        <v>875</v>
      </c>
      <c r="BZ55" s="179">
        <f>IF(AZ56="","",IF(AZ56="TOTAL","",IF($AU$16=$AU$17,0,IF(AND(AZ56&gt;$BY$1,$AI$3=$AR$2,'Master Sheet'!$D$27&gt;0),'Master Sheet'!$D$27,IF(AND(AZ56=$BY$1),IF($AU$9&lt;18001,135,IF($AU$9&lt;33501,220,IF($AU$9&lt;54001,330,440))),IF(AND(AZ56&gt;$BY$1),IF($AU$9&lt;18001,265,IF($AU$9&lt;33501,440,IF($AU$9&lt;54001,658,875))),""))))))</f>
        <v>875</v>
      </c>
    </row>
    <row r="56" spans="1:85" ht="21" customHeight="1">
      <c r="A56" s="110">
        <f t="shared" si="32"/>
        <v>49</v>
      </c>
      <c r="B56" s="60">
        <f t="shared" si="1"/>
        <v>49</v>
      </c>
      <c r="C56" s="61">
        <f t="shared" si="33"/>
        <v>45017</v>
      </c>
      <c r="D56" s="62">
        <f>IFERROR(IF($C55="TOTAL","अक्षरें राशि :-",IF($C56="TOTAL",SUM($D$8:D55),IF(BA57="","",BA57))),"")</f>
        <v>113800</v>
      </c>
      <c r="E56" s="62">
        <f>IFERROR(IF($C56="TOTAL",SUM($E$8:E55),IF(BC57="","",BC57)),"")</f>
        <v>57355</v>
      </c>
      <c r="F56" s="62">
        <f>IFERROR(IF($C56="TOTAL",SUM($F$8:F55),IF(OR(C56=$AS$16,C56=$AS$17,C56=$AS$18,C56=$AS$19,C56=$AS$20,C56=$AS$21,C56=$AS$22,C56=$AS$23,C56=$AS$24),0,IF(BD57="","",BD57))),"")</f>
        <v>10242</v>
      </c>
      <c r="G56" s="62">
        <f>IFERROR(IF($C56="TOTAL",SUM($G$8:G55),IF(BB57="","",BB57)),"")</f>
        <v>22760</v>
      </c>
      <c r="H56" s="62">
        <f t="shared" si="3"/>
        <v>204157</v>
      </c>
      <c r="I56" s="62">
        <f>IFERROR(IF($C56="TOTAL",SUM($I$8:I55),IF(BF57="","",BF57)),"")</f>
        <v>108000</v>
      </c>
      <c r="J56" s="62">
        <f>IFERROR(IF($C56="TOTAL",SUM($J$8:J55),IF(BH57="","",BH57)),"")</f>
        <v>54432</v>
      </c>
      <c r="K56" s="62">
        <f>IFERROR(IF($C56="TOTAL",SUM($K$8:K55),IF(OR(C56=$AS$16,C56=$AS$17,C56=$AS$18,C56=$AS$19,C56=$AS$20,C56=$AS$21,C56=$AS$22,C56=$AS$23,C56=$AS$24),0,IF(BI57="","",BI57))),"")</f>
        <v>9720</v>
      </c>
      <c r="L56" s="62">
        <f>IFERROR(IF($C56="TOTAL",SUM($L$8:L55),IF(BG57="","",BG57)),"")</f>
        <v>21600</v>
      </c>
      <c r="M56" s="62">
        <f t="shared" si="4"/>
        <v>193752</v>
      </c>
      <c r="N56" s="62">
        <f>IFERROR(IF(C56="","",IF(D56="","",IF(I56="","",IF($C56="TOTAL",SUM($N$8:N55),SUM(D56-I56))))),"")</f>
        <v>5800</v>
      </c>
      <c r="O56" s="62">
        <f>IFERROR(IF(C56="","",IF(E56="","",IF(J56="","",IF($C56="TOTAL",SUM($O$8:O55),SUM(E56-J56))))),"")</f>
        <v>2923</v>
      </c>
      <c r="P56" s="62">
        <f>IFERROR(IF(C56="","",IF(F56="","",IF(K56="","",IF($C56="TOTAL",SUM($P$8:P55),SUM(F56-K56))))),"")</f>
        <v>522</v>
      </c>
      <c r="Q56" s="62">
        <f t="shared" si="5"/>
        <v>1160</v>
      </c>
      <c r="R56" s="62">
        <f t="shared" si="13"/>
        <v>10405</v>
      </c>
      <c r="S56" s="62">
        <f>IFERROR(IF(C56="","",IF($C56="TOTAL",SUM($S$8:S55),IF(AND(C56&gt;$AR$1,$AI$3=$AR$2),BW57,IF($AU$18=$AU$20,SUM(BJ57+BR57),ROUND((D56+E56)*10%,0))))),"")</f>
        <v>2100</v>
      </c>
      <c r="T56" s="62">
        <f>IFERROR(IF(C56="","",IF(I56="","",IF(J56="","",IF($C56="TOTAL",SUM($T$8:T55),IF(AND(C56&gt;$AR$1,$AI$3=$AR$2),BW57,IF($AU$18=$AU$20,$AU$21,ROUND((I56+J56)*10%,0))))))),"")</f>
        <v>2100</v>
      </c>
      <c r="U56" s="62">
        <f t="shared" si="14"/>
        <v>0</v>
      </c>
      <c r="V56" s="63">
        <f>IFERROR(IF(C56="","",IF($AU$16=$AU$17,0,IF($C56="TOTAL",SUM($V$8:V55),IF($AU$19=$AU$31,0,IF(AND($AU$32=$AU$20,C56=$AU$33),$AU$34,V55))))),"")</f>
        <v>2100</v>
      </c>
      <c r="W56" s="63">
        <f>IFERROR(IF(C56="","",IF($AU$16=$AU$17,0,IF($C56="TOTAL",SUM($W$8:W55),IF($AU$19=$AU$20,$AU$24,0)))),"")</f>
        <v>2100</v>
      </c>
      <c r="X56" s="62">
        <f t="shared" si="15"/>
        <v>0</v>
      </c>
      <c r="Y56" s="62">
        <f>IFERROR(IF(C56="","",IF($AU$16=$AU$17,0,IF($C56="TOTAL",SUM($Y$8:Y55),BZ56))),"")</f>
        <v>875</v>
      </c>
      <c r="Z56" s="62">
        <f>IFERROR(IF(C56="","",IF($AU$16=$AU$17,0,IF($C56="TOTAL",SUM($Z$8:Z55),BY56))),"")</f>
        <v>875</v>
      </c>
      <c r="AA56" s="62">
        <f t="shared" si="41"/>
        <v>0</v>
      </c>
      <c r="AB56" s="62" t="str">
        <f>IFERROR(IF(C56="","",IF(D56="","",IF($C56="TOTAL",SUM($AB$8:AB55),IF(C56=$AU$1,ROUND(D56*5/31,0.01),"")))),"")</f>
        <v/>
      </c>
      <c r="AC56" s="62" t="str">
        <f>IFERROR(IF(C56="","",IF(I56="","",IF($C56="TOTAL",SUM($AC$8:AC55),IF(C56=$AU$1,ROUND(I56*5/31,0.01),"")))),"")</f>
        <v/>
      </c>
      <c r="AD56" s="62" t="str">
        <f t="shared" si="16"/>
        <v/>
      </c>
      <c r="AE56" s="62" t="str">
        <f>IFERROR(IF(C56="","",IF(AND(BP57="",BW57=""),"",IF($C56="TOTAL",SUM($AE$8:AE55),BP57))),"")</f>
        <v/>
      </c>
      <c r="AF56" s="62">
        <f>IFERROR(IF(C56="","",IF($C56="TOTAL",SUM($AF$8:AF55),ROUND(R56*$AU$7%,0))),"")</f>
        <v>0</v>
      </c>
      <c r="AG56" s="62">
        <f t="shared" si="8"/>
        <v>0</v>
      </c>
      <c r="AH56" s="64">
        <f>IFERROR(IF(C56="","",IF($C56="TOTAL",SUM($AH$8:AH55),SUM(R56-AG56))),"")</f>
        <v>10405</v>
      </c>
      <c r="AQ56" s="183">
        <f t="shared" si="17"/>
        <v>42</v>
      </c>
      <c r="AR56" s="183">
        <f t="shared" si="18"/>
        <v>42</v>
      </c>
      <c r="AT56" s="185">
        <v>44166</v>
      </c>
      <c r="AV56" s="185">
        <f t="shared" si="40"/>
        <v>44986</v>
      </c>
      <c r="AW56" s="185" t="str">
        <f t="shared" si="34"/>
        <v/>
      </c>
      <c r="AX56" s="185">
        <f t="shared" si="20"/>
        <v>44986</v>
      </c>
      <c r="AY56" s="185">
        <f t="shared" si="21"/>
        <v>44986</v>
      </c>
      <c r="AZ56" s="185">
        <f t="shared" si="35"/>
        <v>44986</v>
      </c>
      <c r="BA56" s="184">
        <f t="shared" si="36"/>
        <v>113800</v>
      </c>
      <c r="BB56" s="184">
        <f t="shared" si="22"/>
        <v>22760</v>
      </c>
      <c r="BC56" s="184">
        <f t="shared" si="23"/>
        <v>57355</v>
      </c>
      <c r="BD56" s="184">
        <f t="shared" si="37"/>
        <v>10242</v>
      </c>
      <c r="BE56" s="184"/>
      <c r="BF56" s="184">
        <f t="shared" si="38"/>
        <v>108000</v>
      </c>
      <c r="BG56" s="184">
        <f t="shared" si="24"/>
        <v>21600</v>
      </c>
      <c r="BH56" s="184">
        <f t="shared" si="25"/>
        <v>54432</v>
      </c>
      <c r="BI56" s="184">
        <f t="shared" si="39"/>
        <v>9720</v>
      </c>
      <c r="BJ56" s="184">
        <f t="shared" si="45"/>
        <v>3675</v>
      </c>
      <c r="BM56" s="184">
        <f t="shared" si="27"/>
        <v>10405</v>
      </c>
      <c r="BN56" s="184">
        <f t="shared" si="46"/>
        <v>3675</v>
      </c>
      <c r="BO56" s="184" t="str">
        <f t="shared" si="29"/>
        <v/>
      </c>
      <c r="BP56" s="184" t="str">
        <f t="shared" si="42"/>
        <v/>
      </c>
      <c r="BQ56" s="184">
        <f t="shared" si="43"/>
        <v>0</v>
      </c>
      <c r="BR56" s="184">
        <f t="shared" si="44"/>
        <v>0</v>
      </c>
      <c r="BW56" s="184">
        <f t="shared" si="30"/>
        <v>2100</v>
      </c>
      <c r="BY56" s="179">
        <f t="shared" si="31"/>
        <v>875</v>
      </c>
      <c r="BZ56" s="179">
        <f>IF(AZ57="","",IF(AZ57="TOTAL","",IF($AU$16=$AU$17,0,IF(AND(AZ57&gt;$BY$1,$AI$3=$AR$2,'Master Sheet'!$D$27&gt;0),'Master Sheet'!$D$27,IF(AND(AZ57=$BY$1),IF($AU$9&lt;18001,135,IF($AU$9&lt;33501,220,IF($AU$9&lt;54001,330,440))),IF(AND(AZ57&gt;$BY$1),IF($AU$9&lt;18001,265,IF($AU$9&lt;33501,440,IF($AU$9&lt;54001,658,875))),""))))))</f>
        <v>875</v>
      </c>
    </row>
    <row r="57" spans="1:85" ht="21" customHeight="1">
      <c r="A57" s="110">
        <f t="shared" si="32"/>
        <v>50</v>
      </c>
      <c r="B57" s="60">
        <f t="shared" si="1"/>
        <v>50</v>
      </c>
      <c r="C57" s="61">
        <f t="shared" si="33"/>
        <v>45047</v>
      </c>
      <c r="D57" s="62">
        <f>IFERROR(IF($C56="TOTAL","अक्षरें राशि :-",IF($C57="TOTAL",SUM($D$8:D56),IF(BA58="","",BA58))),"")</f>
        <v>113800</v>
      </c>
      <c r="E57" s="62">
        <f>IFERROR(IF($C57="TOTAL",SUM($E$8:E56),IF(BC58="","",BC58)),"")</f>
        <v>57355</v>
      </c>
      <c r="F57" s="62">
        <f>IFERROR(IF($C57="TOTAL",SUM($F$8:F56),IF(OR(C57=$AS$16,C57=$AS$17,C57=$AS$18,C57=$AS$19,C57=$AS$20,C57=$AS$21,C57=$AS$22,C57=$AS$23,C57=$AS$24),0,IF(BD58="","",BD58))),"")</f>
        <v>10242</v>
      </c>
      <c r="G57" s="62">
        <f>IFERROR(IF($C57="TOTAL",SUM($G$8:G56),IF(BB58="","",BB58)),"")</f>
        <v>22760</v>
      </c>
      <c r="H57" s="62">
        <f t="shared" si="3"/>
        <v>204157</v>
      </c>
      <c r="I57" s="62">
        <f>IFERROR(IF($C57="TOTAL",SUM($I$8:I56),IF(BF58="","",BF58)),"")</f>
        <v>108000</v>
      </c>
      <c r="J57" s="62">
        <f>IFERROR(IF($C57="TOTAL",SUM($J$8:J56),IF(BH58="","",BH58)),"")</f>
        <v>54432</v>
      </c>
      <c r="K57" s="62">
        <f>IFERROR(IF($C57="TOTAL",SUM($K$8:K56),IF(OR(C57=$AS$16,C57=$AS$17,C57=$AS$18,C57=$AS$19,C57=$AS$20,C57=$AS$21,C57=$AS$22,C57=$AS$23,C57=$AS$24),0,IF(BI58="","",BI58))),"")</f>
        <v>9720</v>
      </c>
      <c r="L57" s="62">
        <f>IFERROR(IF($C57="TOTAL",SUM($L$8:L56),IF(BG58="","",BG58)),"")</f>
        <v>21600</v>
      </c>
      <c r="M57" s="62">
        <f t="shared" si="4"/>
        <v>193752</v>
      </c>
      <c r="N57" s="62">
        <f>IFERROR(IF(C57="","",IF(D57="","",IF(I57="","",IF($C57="TOTAL",SUM($N$8:N56),SUM(D57-I57))))),"")</f>
        <v>5800</v>
      </c>
      <c r="O57" s="62">
        <f>IFERROR(IF(C57="","",IF(E57="","",IF(J57="","",IF($C57="TOTAL",SUM($O$8:O56),SUM(E57-J57))))),"")</f>
        <v>2923</v>
      </c>
      <c r="P57" s="62">
        <f>IFERROR(IF(C57="","",IF(F57="","",IF(K57="","",IF($C57="TOTAL",SUM($P$8:P56),SUM(F57-K57))))),"")</f>
        <v>522</v>
      </c>
      <c r="Q57" s="62">
        <f t="shared" si="5"/>
        <v>1160</v>
      </c>
      <c r="R57" s="62">
        <f t="shared" si="13"/>
        <v>10405</v>
      </c>
      <c r="S57" s="62">
        <f>IFERROR(IF(C57="","",IF($C57="TOTAL",SUM($S$8:S56),IF(AND(C57&gt;$AR$1,$AI$3=$AR$2),BW58,IF($AU$18=$AU$20,SUM(BJ58+BR58),ROUND((D57+E57)*10%,0))))),"")</f>
        <v>2100</v>
      </c>
      <c r="T57" s="62">
        <f>IFERROR(IF(C57="","",IF(I57="","",IF(J57="","",IF($C57="TOTAL",SUM($T$8:T56),IF(AND(C57&gt;$AR$1,$AI$3=$AR$2),BW58,IF($AU$18=$AU$20,$AU$21,ROUND((I57+J57)*10%,0))))))),"")</f>
        <v>2100</v>
      </c>
      <c r="U57" s="62">
        <f t="shared" si="14"/>
        <v>0</v>
      </c>
      <c r="V57" s="63">
        <f>IFERROR(IF(C57="","",IF($AU$16=$AU$17,0,IF($C57="TOTAL",SUM($V$8:V56),IF($AU$19=$AU$31,0,IF(AND($AU$32=$AU$20,C57=$AU$33),$AU$34,V56))))),"")</f>
        <v>2100</v>
      </c>
      <c r="W57" s="63">
        <f>IFERROR(IF(C57="","",IF($AU$16=$AU$17,0,IF($C57="TOTAL",SUM($W$8:W56),IF($AU$19=$AU$20,$AU$24,0)))),"")</f>
        <v>2100</v>
      </c>
      <c r="X57" s="62">
        <f t="shared" si="15"/>
        <v>0</v>
      </c>
      <c r="Y57" s="62">
        <f>IFERROR(IF(C57="","",IF($AU$16=$AU$17,0,IF($C57="TOTAL",SUM($Y$8:Y56),BZ57))),"")</f>
        <v>875</v>
      </c>
      <c r="Z57" s="62">
        <f>IFERROR(IF(C57="","",IF($AU$16=$AU$17,0,IF($C57="TOTAL",SUM($Z$8:Z56),BY57))),"")</f>
        <v>875</v>
      </c>
      <c r="AA57" s="62">
        <f t="shared" si="41"/>
        <v>0</v>
      </c>
      <c r="AB57" s="62" t="str">
        <f>IFERROR(IF(C57="","",IF(D57="","",IF($C57="TOTAL",SUM($AB$8:AB56),IF(C57=$AU$1,ROUND(D57*5/31,0.01),"")))),"")</f>
        <v/>
      </c>
      <c r="AC57" s="62" t="str">
        <f>IFERROR(IF(C57="","",IF(I57="","",IF($C57="TOTAL",SUM($AC$8:AC56),IF(C57=$AU$1,ROUND(I57*5/31,0.01),"")))),"")</f>
        <v/>
      </c>
      <c r="AD57" s="62" t="str">
        <f t="shared" si="16"/>
        <v/>
      </c>
      <c r="AE57" s="62" t="str">
        <f>IFERROR(IF(C57="","",IF(AND(BP58="",BW58=""),"",IF($C57="TOTAL",SUM($AE$8:AE56),BP58))),"")</f>
        <v/>
      </c>
      <c r="AF57" s="62">
        <f>IFERROR(IF(C57="","",IF($C57="TOTAL",SUM($AF$8:AF56),ROUND(R57*$AU$7%,0))),"")</f>
        <v>0</v>
      </c>
      <c r="AG57" s="62">
        <f t="shared" si="8"/>
        <v>0</v>
      </c>
      <c r="AH57" s="64">
        <f>IFERROR(IF(C57="","",IF($C57="TOTAL",SUM($AH$8:AH56),SUM(R57-AG57))),"")</f>
        <v>10405</v>
      </c>
      <c r="AQ57" s="183">
        <f t="shared" si="17"/>
        <v>42</v>
      </c>
      <c r="AR57" s="183">
        <f t="shared" si="18"/>
        <v>42</v>
      </c>
      <c r="AT57" s="185">
        <v>44197</v>
      </c>
      <c r="AV57" s="185">
        <f t="shared" si="40"/>
        <v>45017</v>
      </c>
      <c r="AW57" s="185" t="str">
        <f t="shared" si="34"/>
        <v/>
      </c>
      <c r="AX57" s="185">
        <f t="shared" si="20"/>
        <v>45017</v>
      </c>
      <c r="AY57" s="185">
        <f t="shared" si="21"/>
        <v>45017</v>
      </c>
      <c r="AZ57" s="185">
        <f t="shared" si="35"/>
        <v>45017</v>
      </c>
      <c r="BA57" s="184">
        <f t="shared" si="36"/>
        <v>113800</v>
      </c>
      <c r="BB57" s="184">
        <f t="shared" si="22"/>
        <v>22760</v>
      </c>
      <c r="BC57" s="184">
        <f t="shared" si="23"/>
        <v>57355</v>
      </c>
      <c r="BD57" s="184">
        <f t="shared" si="37"/>
        <v>10242</v>
      </c>
      <c r="BE57" s="184"/>
      <c r="BF57" s="184">
        <f t="shared" si="38"/>
        <v>108000</v>
      </c>
      <c r="BG57" s="184">
        <f t="shared" si="24"/>
        <v>21600</v>
      </c>
      <c r="BH57" s="184">
        <f t="shared" si="25"/>
        <v>54432</v>
      </c>
      <c r="BI57" s="184">
        <f t="shared" si="39"/>
        <v>9720</v>
      </c>
      <c r="BJ57" s="184">
        <f t="shared" si="45"/>
        <v>3675</v>
      </c>
      <c r="BM57" s="184">
        <f t="shared" si="27"/>
        <v>10405</v>
      </c>
      <c r="BN57" s="184">
        <f t="shared" si="46"/>
        <v>3675</v>
      </c>
      <c r="BO57" s="184" t="str">
        <f t="shared" si="29"/>
        <v/>
      </c>
      <c r="BP57" s="184" t="str">
        <f t="shared" si="42"/>
        <v/>
      </c>
      <c r="BQ57" s="184">
        <f t="shared" si="43"/>
        <v>0</v>
      </c>
      <c r="BR57" s="184">
        <f t="shared" si="44"/>
        <v>0</v>
      </c>
      <c r="BW57" s="184">
        <f t="shared" si="30"/>
        <v>2100</v>
      </c>
      <c r="BY57" s="179">
        <f t="shared" si="31"/>
        <v>875</v>
      </c>
      <c r="BZ57" s="179">
        <f>IF(AZ58="","",IF(AZ58="TOTAL","",IF($AU$16=$AU$17,0,IF(AND(AZ58&gt;$BY$1,$AI$3=$AR$2,'Master Sheet'!$D$27&gt;0),'Master Sheet'!$D$27,IF(AND(AZ58=$BY$1),IF($AU$9&lt;18001,135,IF($AU$9&lt;33501,220,IF($AU$9&lt;54001,330,440))),IF(AND(AZ58&gt;$BY$1),IF($AU$9&lt;18001,265,IF($AU$9&lt;33501,440,IF($AU$9&lt;54001,658,875))),""))))))</f>
        <v>875</v>
      </c>
    </row>
    <row r="58" spans="1:85" ht="21" customHeight="1">
      <c r="A58" s="110">
        <f t="shared" si="32"/>
        <v>51</v>
      </c>
      <c r="B58" s="60">
        <f t="shared" si="1"/>
        <v>51</v>
      </c>
      <c r="C58" s="61">
        <f t="shared" si="33"/>
        <v>45078</v>
      </c>
      <c r="D58" s="62">
        <f>IFERROR(IF($C57="TOTAL","अक्षरें राशि :-",IF($C58="TOTAL",SUM($D$8:D57),IF(BA59="","",BA59))),"")</f>
        <v>113800</v>
      </c>
      <c r="E58" s="62">
        <f>IFERROR(IF($C58="TOTAL",SUM($E$8:E57),IF(BC59="","",BC59)),"")</f>
        <v>57355</v>
      </c>
      <c r="F58" s="62">
        <f>IFERROR(IF($C58="TOTAL",SUM($F$8:F57),IF(OR(C58=$AS$16,C58=$AS$17,C58=$AS$18,C58=$AS$19,C58=$AS$20,C58=$AS$21,C58=$AS$22,C58=$AS$23,C58=$AS$24),0,IF(BD59="","",BD59))),"")</f>
        <v>10242</v>
      </c>
      <c r="G58" s="62">
        <f>IFERROR(IF($C58="TOTAL",SUM($G$8:G57),IF(BB59="","",BB59)),"")</f>
        <v>22760</v>
      </c>
      <c r="H58" s="62">
        <f t="shared" si="3"/>
        <v>204157</v>
      </c>
      <c r="I58" s="62">
        <f>IFERROR(IF($C58="TOTAL",SUM($I$8:I57),IF(BF59="","",BF59)),"")</f>
        <v>108000</v>
      </c>
      <c r="J58" s="62">
        <f>IFERROR(IF($C58="TOTAL",SUM($J$8:J57),IF(BH59="","",BH59)),"")</f>
        <v>54432</v>
      </c>
      <c r="K58" s="62">
        <f>IFERROR(IF($C58="TOTAL",SUM($K$8:K57),IF(OR(C58=$AS$16,C58=$AS$17,C58=$AS$18,C58=$AS$19,C58=$AS$20,C58=$AS$21,C58=$AS$22,C58=$AS$23,C58=$AS$24),0,IF(BI59="","",BI59))),"")</f>
        <v>9720</v>
      </c>
      <c r="L58" s="62">
        <f>IFERROR(IF($C58="TOTAL",SUM($L$8:L57),IF(BG59="","",BG59)),"")</f>
        <v>21600</v>
      </c>
      <c r="M58" s="62">
        <f t="shared" si="4"/>
        <v>193752</v>
      </c>
      <c r="N58" s="62">
        <f>IFERROR(IF(C58="","",IF(D58="","",IF(I58="","",IF($C58="TOTAL",SUM($N$8:N57),SUM(D58-I58))))),"")</f>
        <v>5800</v>
      </c>
      <c r="O58" s="62">
        <f>IFERROR(IF(C58="","",IF(E58="","",IF(J58="","",IF($C58="TOTAL",SUM($O$8:O57),SUM(E58-J58))))),"")</f>
        <v>2923</v>
      </c>
      <c r="P58" s="62">
        <f>IFERROR(IF(C58="","",IF(F58="","",IF(K58="","",IF($C58="TOTAL",SUM($P$8:P57),SUM(F58-K58))))),"")</f>
        <v>522</v>
      </c>
      <c r="Q58" s="62">
        <f t="shared" si="5"/>
        <v>1160</v>
      </c>
      <c r="R58" s="62">
        <f t="shared" si="13"/>
        <v>10405</v>
      </c>
      <c r="S58" s="62">
        <f>IFERROR(IF(C58="","",IF($C58="TOTAL",SUM($S$8:S57),IF(AND(C58&gt;$AR$1,$AI$3=$AR$2),BW59,IF($AU$18=$AU$20,SUM(BJ59+BR59),ROUND((D58+E58)*10%,0))))),"")</f>
        <v>2100</v>
      </c>
      <c r="T58" s="62">
        <f>IFERROR(IF(C58="","",IF(I58="","",IF(J58="","",IF($C58="TOTAL",SUM($T$8:T57),IF(AND(C58&gt;$AR$1,$AI$3=$AR$2),BW59,IF($AU$18=$AU$20,$AU$21,ROUND((I58+J58)*10%,0))))))),"")</f>
        <v>2100</v>
      </c>
      <c r="U58" s="62">
        <f t="shared" si="14"/>
        <v>0</v>
      </c>
      <c r="V58" s="63">
        <f>IFERROR(IF(C58="","",IF($AU$16=$AU$17,0,IF($C58="TOTAL",SUM($V$8:V57),IF($AU$19=$AU$31,0,IF(AND($AU$32=$AU$20,C58=$AU$33),$AU$34,V57))))),"")</f>
        <v>2100</v>
      </c>
      <c r="W58" s="63">
        <f>IFERROR(IF(C58="","",IF($AU$16=$AU$17,0,IF($C58="TOTAL",SUM($W$8:W57),IF($AU$19=$AU$20,$AU$24,0)))),"")</f>
        <v>2100</v>
      </c>
      <c r="X58" s="62">
        <f t="shared" si="15"/>
        <v>0</v>
      </c>
      <c r="Y58" s="62">
        <f>IFERROR(IF(C58="","",IF($AU$16=$AU$17,0,IF($C58="TOTAL",SUM($Y$8:Y57),BZ58))),"")</f>
        <v>875</v>
      </c>
      <c r="Z58" s="62">
        <f>IFERROR(IF(C58="","",IF($AU$16=$AU$17,0,IF($C58="TOTAL",SUM($Z$8:Z57),BY58))),"")</f>
        <v>875</v>
      </c>
      <c r="AA58" s="62">
        <f t="shared" si="41"/>
        <v>0</v>
      </c>
      <c r="AB58" s="62" t="str">
        <f>IFERROR(IF(C58="","",IF(D58="","",IF($C58="TOTAL",SUM($AB$8:AB57),IF(C58=$AU$1,ROUND(D58*5/31,0.01),"")))),"")</f>
        <v/>
      </c>
      <c r="AC58" s="62" t="str">
        <f>IFERROR(IF(C58="","",IF(I58="","",IF($C58="TOTAL",SUM($AC$8:AC57),IF(C58=$AU$1,ROUND(I58*5/31,0.01),"")))),"")</f>
        <v/>
      </c>
      <c r="AD58" s="62" t="str">
        <f t="shared" si="16"/>
        <v/>
      </c>
      <c r="AE58" s="62" t="str">
        <f>IFERROR(IF(C58="","",IF(AND(BP59="",BW59=""),"",IF($C58="TOTAL",SUM($AE$8:AE57),BP59))),"")</f>
        <v/>
      </c>
      <c r="AF58" s="62">
        <f>IFERROR(IF(C58="","",IF($C58="TOTAL",SUM($AF$8:AF57),ROUND(R58*$AU$7%,0))),"")</f>
        <v>0</v>
      </c>
      <c r="AG58" s="62">
        <f t="shared" si="8"/>
        <v>0</v>
      </c>
      <c r="AH58" s="64">
        <f>IFERROR(IF(C58="","",IF($C58="TOTAL",SUM($AH$8:AH57),SUM(R58-AG58))),"")</f>
        <v>10405</v>
      </c>
      <c r="AQ58" s="183">
        <f t="shared" si="17"/>
        <v>42</v>
      </c>
      <c r="AR58" s="183">
        <f t="shared" si="18"/>
        <v>42</v>
      </c>
      <c r="AT58" s="185">
        <v>44228</v>
      </c>
      <c r="AV58" s="185">
        <f t="shared" si="40"/>
        <v>45047</v>
      </c>
      <c r="AW58" s="185" t="str">
        <f t="shared" si="34"/>
        <v/>
      </c>
      <c r="AX58" s="185">
        <f t="shared" si="20"/>
        <v>45047</v>
      </c>
      <c r="AY58" s="185">
        <f t="shared" si="21"/>
        <v>45047</v>
      </c>
      <c r="AZ58" s="185">
        <f t="shared" si="35"/>
        <v>45047</v>
      </c>
      <c r="BA58" s="184">
        <f t="shared" si="36"/>
        <v>113800</v>
      </c>
      <c r="BB58" s="184">
        <f t="shared" si="22"/>
        <v>22760</v>
      </c>
      <c r="BC58" s="184">
        <f t="shared" si="23"/>
        <v>57355</v>
      </c>
      <c r="BD58" s="184">
        <f t="shared" si="37"/>
        <v>10242</v>
      </c>
      <c r="BE58" s="184"/>
      <c r="BF58" s="184">
        <f t="shared" si="38"/>
        <v>108000</v>
      </c>
      <c r="BG58" s="184">
        <f t="shared" si="24"/>
        <v>21600</v>
      </c>
      <c r="BH58" s="184">
        <f t="shared" si="25"/>
        <v>54432</v>
      </c>
      <c r="BI58" s="184">
        <f t="shared" si="39"/>
        <v>9720</v>
      </c>
      <c r="BJ58" s="184">
        <f t="shared" si="45"/>
        <v>3675</v>
      </c>
      <c r="BM58" s="184">
        <f t="shared" si="27"/>
        <v>10405</v>
      </c>
      <c r="BN58" s="184">
        <f t="shared" si="46"/>
        <v>3675</v>
      </c>
      <c r="BO58" s="184" t="str">
        <f t="shared" si="29"/>
        <v/>
      </c>
      <c r="BP58" s="184" t="str">
        <f t="shared" si="42"/>
        <v/>
      </c>
      <c r="BQ58" s="184">
        <f t="shared" si="43"/>
        <v>0</v>
      </c>
      <c r="BR58" s="184">
        <f t="shared" si="44"/>
        <v>0</v>
      </c>
      <c r="BW58" s="184">
        <f t="shared" si="30"/>
        <v>2100</v>
      </c>
      <c r="BY58" s="179">
        <f t="shared" si="31"/>
        <v>875</v>
      </c>
      <c r="BZ58" s="179">
        <f>IF(AZ59="","",IF(AZ59="TOTAL","",IF($AU$16=$AU$17,0,IF(AND(AZ59&gt;$BY$1,$AI$3=$AR$2,'Master Sheet'!$D$27&gt;0),'Master Sheet'!$D$27,IF(AND(AZ59=$BY$1),IF($AU$9&lt;18001,135,IF($AU$9&lt;33501,220,IF($AU$9&lt;54001,330,440))),IF(AND(AZ59&gt;$BY$1),IF($AU$9&lt;18001,265,IF($AU$9&lt;33501,440,IF($AU$9&lt;54001,658,875))),""))))))</f>
        <v>875</v>
      </c>
    </row>
    <row r="59" spans="1:85" ht="21" customHeight="1">
      <c r="A59" s="110">
        <f t="shared" si="32"/>
        <v>52</v>
      </c>
      <c r="B59" s="60">
        <f t="shared" si="1"/>
        <v>52</v>
      </c>
      <c r="C59" s="61">
        <f t="shared" si="33"/>
        <v>45108</v>
      </c>
      <c r="D59" s="62">
        <f>IFERROR(IF($C58="TOTAL","अक्षरें राशि :-",IF($C59="TOTAL",SUM($D$8:D58),IF(BA60="","",BA60))),"")</f>
        <v>117200</v>
      </c>
      <c r="E59" s="62">
        <f>IFERROR(IF($C59="TOTAL",SUM($E$8:E58),IF(BC60="","",BC60)),"")</f>
        <v>59069</v>
      </c>
      <c r="F59" s="62">
        <f>IFERROR(IF($C59="TOTAL",SUM($F$8:F58),IF(OR(C59=$AS$16,C59=$AS$17,C59=$AS$18,C59=$AS$19,C59=$AS$20,C59=$AS$21,C59=$AS$22,C59=$AS$23,C59=$AS$24),0,IF(BD60="","",BD60))),"")</f>
        <v>10548</v>
      </c>
      <c r="G59" s="62">
        <f>IFERROR(IF($C59="TOTAL",SUM($G$8:G58),IF(BB60="","",BB60)),"")</f>
        <v>23440</v>
      </c>
      <c r="H59" s="62">
        <f t="shared" si="3"/>
        <v>210257</v>
      </c>
      <c r="I59" s="62">
        <f>IFERROR(IF($C59="TOTAL",SUM($I$8:I58),IF(BF60="","",BF60)),"")</f>
        <v>111200</v>
      </c>
      <c r="J59" s="62">
        <f>IFERROR(IF($C59="TOTAL",SUM($J$8:J58),IF(BH60="","",BH60)),"")</f>
        <v>56045</v>
      </c>
      <c r="K59" s="62">
        <f>IFERROR(IF($C59="TOTAL",SUM($K$8:K58),IF(OR(C59=$AS$16,C59=$AS$17,C59=$AS$18,C59=$AS$19,C59=$AS$20,C59=$AS$21,C59=$AS$22,C59=$AS$23,C59=$AS$24),0,IF(BI60="","",BI60))),"")</f>
        <v>10008</v>
      </c>
      <c r="L59" s="62">
        <f>IFERROR(IF($C59="TOTAL",SUM($L$8:L58),IF(BG60="","",BG60)),"")</f>
        <v>22240</v>
      </c>
      <c r="M59" s="62">
        <f t="shared" si="4"/>
        <v>199493</v>
      </c>
      <c r="N59" s="62">
        <f>IFERROR(IF(C59="","",IF(D59="","",IF(I59="","",IF($C59="TOTAL",SUM($N$8:N58),SUM(D59-I59))))),"")</f>
        <v>6000</v>
      </c>
      <c r="O59" s="62">
        <f>IFERROR(IF(C59="","",IF(E59="","",IF(J59="","",IF($C59="TOTAL",SUM($O$8:O58),SUM(E59-J59))))),"")</f>
        <v>3024</v>
      </c>
      <c r="P59" s="62">
        <f>IFERROR(IF(C59="","",IF(F59="","",IF(K59="","",IF($C59="TOTAL",SUM($P$8:P58),SUM(F59-K59))))),"")</f>
        <v>540</v>
      </c>
      <c r="Q59" s="62">
        <f t="shared" si="5"/>
        <v>1200</v>
      </c>
      <c r="R59" s="62">
        <f t="shared" si="13"/>
        <v>10764</v>
      </c>
      <c r="S59" s="62">
        <f>IFERROR(IF(C59="","",IF($C59="TOTAL",SUM($S$8:S58),IF(AND(C59&gt;$AR$1,$AI$3=$AR$2),BW60,IF($AU$18=$AU$20,SUM(BJ60+BR60),ROUND((D59+E59)*10%,0))))),"")</f>
        <v>2100</v>
      </c>
      <c r="T59" s="62">
        <f>IFERROR(IF(C59="","",IF(I59="","",IF(J59="","",IF($C59="TOTAL",SUM($T$8:T58),IF(AND(C59&gt;$AR$1,$AI$3=$AR$2),BW60,IF($AU$18=$AU$20,$AU$21,ROUND((I59+J59)*10%,0))))))),"")</f>
        <v>2100</v>
      </c>
      <c r="U59" s="62">
        <f t="shared" si="14"/>
        <v>0</v>
      </c>
      <c r="V59" s="63">
        <f>IFERROR(IF(C59="","",IF($AU$16=$AU$17,0,IF($C59="TOTAL",SUM($V$8:V58),IF($AU$19=$AU$31,0,IF(AND($AU$32=$AU$20,C59=$AU$33),$AU$34,V58))))),"")</f>
        <v>2100</v>
      </c>
      <c r="W59" s="63">
        <f>IFERROR(IF(C59="","",IF($AU$16=$AU$17,0,IF($C59="TOTAL",SUM($W$8:W58),IF($AU$19=$AU$20,$AU$24,0)))),"")</f>
        <v>2100</v>
      </c>
      <c r="X59" s="62">
        <f t="shared" si="15"/>
        <v>0</v>
      </c>
      <c r="Y59" s="62">
        <f>IFERROR(IF(C59="","",IF($AU$16=$AU$17,0,IF($C59="TOTAL",SUM($Y$8:Y58),BZ59))),"")</f>
        <v>875</v>
      </c>
      <c r="Z59" s="62">
        <f>IFERROR(IF(C59="","",IF($AU$16=$AU$17,0,IF($C59="TOTAL",SUM($Z$8:Z58),BY59))),"")</f>
        <v>875</v>
      </c>
      <c r="AA59" s="62">
        <f t="shared" si="41"/>
        <v>0</v>
      </c>
      <c r="AB59" s="62" t="str">
        <f>IFERROR(IF(C59="","",IF(D59="","",IF($C59="TOTAL",SUM($AB$8:AB58),IF(C59=$AU$1,ROUND(D59*5/31,0.01),"")))),"")</f>
        <v/>
      </c>
      <c r="AC59" s="62" t="str">
        <f>IFERROR(IF(C59="","",IF(I59="","",IF($C59="TOTAL",SUM($AC$8:AC58),IF(C59=$AU$1,ROUND(I59*5/31,0.01),"")))),"")</f>
        <v/>
      </c>
      <c r="AD59" s="62" t="str">
        <f t="shared" si="16"/>
        <v/>
      </c>
      <c r="AE59" s="62" t="str">
        <f>IFERROR(IF(C59="","",IF(AND(BP60="",BW60=""),"",IF($C59="TOTAL",SUM($AE$8:AE58),BP60))),"")</f>
        <v/>
      </c>
      <c r="AF59" s="62">
        <f>IFERROR(IF(C59="","",IF($C59="TOTAL",SUM($AF$8:AF58),ROUND(R59*$AU$7%,0))),"")</f>
        <v>0</v>
      </c>
      <c r="AG59" s="62">
        <f t="shared" si="8"/>
        <v>0</v>
      </c>
      <c r="AH59" s="64">
        <f>IFERROR(IF(C59="","",IF($C59="TOTAL",SUM($AH$8:AH58),SUM(R59-AG59))),"")</f>
        <v>10764</v>
      </c>
      <c r="AQ59" s="183">
        <f t="shared" si="17"/>
        <v>42</v>
      </c>
      <c r="AR59" s="183">
        <f t="shared" si="18"/>
        <v>42</v>
      </c>
      <c r="AT59" s="185">
        <v>44256</v>
      </c>
      <c r="AV59" s="185">
        <f t="shared" si="40"/>
        <v>45078</v>
      </c>
      <c r="AW59" s="185" t="str">
        <f t="shared" si="34"/>
        <v/>
      </c>
      <c r="AX59" s="185">
        <f t="shared" si="20"/>
        <v>45078</v>
      </c>
      <c r="AY59" s="185">
        <f t="shared" si="21"/>
        <v>45078</v>
      </c>
      <c r="AZ59" s="185">
        <f t="shared" si="35"/>
        <v>45078</v>
      </c>
      <c r="BA59" s="184">
        <f t="shared" si="36"/>
        <v>113800</v>
      </c>
      <c r="BB59" s="184">
        <f t="shared" si="22"/>
        <v>22760</v>
      </c>
      <c r="BC59" s="184">
        <f t="shared" si="23"/>
        <v>57355</v>
      </c>
      <c r="BD59" s="184">
        <f t="shared" si="37"/>
        <v>10242</v>
      </c>
      <c r="BE59" s="184"/>
      <c r="BF59" s="184">
        <f t="shared" si="38"/>
        <v>108000</v>
      </c>
      <c r="BG59" s="184">
        <f t="shared" si="24"/>
        <v>21600</v>
      </c>
      <c r="BH59" s="184">
        <f t="shared" si="25"/>
        <v>54432</v>
      </c>
      <c r="BI59" s="184">
        <f t="shared" si="39"/>
        <v>9720</v>
      </c>
      <c r="BJ59" s="184">
        <f t="shared" si="45"/>
        <v>3675</v>
      </c>
      <c r="BM59" s="184">
        <f t="shared" si="27"/>
        <v>10405</v>
      </c>
      <c r="BN59" s="184">
        <f t="shared" si="46"/>
        <v>3675</v>
      </c>
      <c r="BO59" s="184" t="str">
        <f t="shared" si="29"/>
        <v/>
      </c>
      <c r="BP59" s="184" t="str">
        <f t="shared" si="42"/>
        <v/>
      </c>
      <c r="BQ59" s="184">
        <f t="shared" si="43"/>
        <v>0</v>
      </c>
      <c r="BR59" s="184">
        <f t="shared" si="44"/>
        <v>0</v>
      </c>
      <c r="BW59" s="184">
        <f t="shared" si="30"/>
        <v>2100</v>
      </c>
      <c r="BY59" s="179">
        <f t="shared" si="31"/>
        <v>875</v>
      </c>
      <c r="BZ59" s="179">
        <f>IF(AZ60="","",IF(AZ60="TOTAL","",IF($AU$16=$AU$17,0,IF(AND(AZ60&gt;$BY$1,$AI$3=$AR$2,'Master Sheet'!$D$27&gt;0),'Master Sheet'!$D$27,IF(AND(AZ60=$BY$1),IF($AU$9&lt;18001,135,IF($AU$9&lt;33501,220,IF($AU$9&lt;54001,330,440))),IF(AND(AZ60&gt;$BY$1),IF($AU$9&lt;18001,265,IF($AU$9&lt;33501,440,IF($AU$9&lt;54001,658,875))),""))))))</f>
        <v>875</v>
      </c>
    </row>
    <row r="60" spans="1:85" ht="21" customHeight="1">
      <c r="A60" s="110">
        <f t="shared" si="32"/>
        <v>53</v>
      </c>
      <c r="B60" s="60">
        <f t="shared" si="1"/>
        <v>53</v>
      </c>
      <c r="C60" s="61">
        <f t="shared" si="33"/>
        <v>45139</v>
      </c>
      <c r="D60" s="62">
        <f>IFERROR(IF($C59="TOTAL","अक्षरें राशि :-",IF($C60="TOTAL",SUM($D$8:D59),IF(BA61="","",BA61))),"")</f>
        <v>117200</v>
      </c>
      <c r="E60" s="62">
        <f>IFERROR(IF($C60="TOTAL",SUM($E$8:E59),IF(BC61="","",BC61)),"")</f>
        <v>59069</v>
      </c>
      <c r="F60" s="62">
        <f>IFERROR(IF($C60="TOTAL",SUM($F$8:F59),IF(OR(C60=$AS$16,C60=$AS$17,C60=$AS$18,C60=$AS$19,C60=$AS$20,C60=$AS$21,C60=$AS$22,C60=$AS$23,C60=$AS$24),0,IF(BD61="","",BD61))),"")</f>
        <v>10548</v>
      </c>
      <c r="G60" s="62">
        <f>IFERROR(IF($C60="TOTAL",SUM($G$8:G59),IF(BB61="","",BB61)),"")</f>
        <v>23440</v>
      </c>
      <c r="H60" s="62">
        <f t="shared" si="3"/>
        <v>210257</v>
      </c>
      <c r="I60" s="62">
        <f>IFERROR(IF($C60="TOTAL",SUM($I$8:I59),IF(BF61="","",BF61)),"")</f>
        <v>111200</v>
      </c>
      <c r="J60" s="62">
        <f>IFERROR(IF($C60="TOTAL",SUM($J$8:J59),IF(BH61="","",BH61)),"")</f>
        <v>56045</v>
      </c>
      <c r="K60" s="62">
        <f>IFERROR(IF($C60="TOTAL",SUM($K$8:K59),IF(OR(C60=$AS$16,C60=$AS$17,C60=$AS$18,C60=$AS$19,C60=$AS$20,C60=$AS$21,C60=$AS$22,C60=$AS$23,C60=$AS$24),0,IF(BI61="","",BI61))),"")</f>
        <v>10008</v>
      </c>
      <c r="L60" s="62">
        <f>IFERROR(IF($C60="TOTAL",SUM($L$8:L59),IF(BG61="","",BG61)),"")</f>
        <v>22240</v>
      </c>
      <c r="M60" s="62">
        <f t="shared" si="4"/>
        <v>199493</v>
      </c>
      <c r="N60" s="62">
        <f>IFERROR(IF(C60="","",IF(D60="","",IF(I60="","",IF($C60="TOTAL",SUM($N$8:N59),SUM(D60-I60))))),"")</f>
        <v>6000</v>
      </c>
      <c r="O60" s="62">
        <f>IFERROR(IF(C60="","",IF(E60="","",IF(J60="","",IF($C60="TOTAL",SUM($O$8:O59),SUM(E60-J60))))),"")</f>
        <v>3024</v>
      </c>
      <c r="P60" s="62">
        <f>IFERROR(IF(C60="","",IF(F60="","",IF(K60="","",IF($C60="TOTAL",SUM($P$8:P59),SUM(F60-K60))))),"")</f>
        <v>540</v>
      </c>
      <c r="Q60" s="62">
        <f t="shared" si="5"/>
        <v>1200</v>
      </c>
      <c r="R60" s="62">
        <f t="shared" si="13"/>
        <v>10764</v>
      </c>
      <c r="S60" s="62">
        <f>IFERROR(IF(C60="","",IF($C60="TOTAL",SUM($S$8:S59),IF(AND(C60&gt;$AR$1,$AI$3=$AR$2),BW61,IF($AU$18=$AU$20,SUM(BJ61+BR61),ROUND((D60+E60)*10%,0))))),"")</f>
        <v>2100</v>
      </c>
      <c r="T60" s="62">
        <f>IFERROR(IF(C60="","",IF(I60="","",IF(J60="","",IF($C60="TOTAL",SUM($T$8:T59),IF(AND(C60&gt;$AR$1,$AI$3=$AR$2),BW61,IF($AU$18=$AU$20,$AU$21,ROUND((I60+J60)*10%,0))))))),"")</f>
        <v>2100</v>
      </c>
      <c r="U60" s="62">
        <f t="shared" si="14"/>
        <v>0</v>
      </c>
      <c r="V60" s="63">
        <f>IFERROR(IF(C60="","",IF($AU$16=$AU$17,0,IF($C60="TOTAL",SUM($V$8:V59),IF($AU$19=$AU$31,0,IF(AND($AU$32=$AU$20,C60=$AU$33),$AU$34,V59))))),"")</f>
        <v>2100</v>
      </c>
      <c r="W60" s="63">
        <f>IFERROR(IF(C60="","",IF($AU$16=$AU$17,0,IF($C60="TOTAL",SUM($W$8:W59),IF($AU$19=$AU$20,$AU$24,0)))),"")</f>
        <v>2100</v>
      </c>
      <c r="X60" s="62">
        <f t="shared" si="15"/>
        <v>0</v>
      </c>
      <c r="Y60" s="62">
        <f>IFERROR(IF(C60="","",IF($AU$16=$AU$17,0,IF($C60="TOTAL",SUM($Y$8:Y59),BZ60))),"")</f>
        <v>875</v>
      </c>
      <c r="Z60" s="62">
        <f>IFERROR(IF(C60="","",IF($AU$16=$AU$17,0,IF($C60="TOTAL",SUM($Z$8:Z59),BY60))),"")</f>
        <v>875</v>
      </c>
      <c r="AA60" s="62">
        <f t="shared" si="41"/>
        <v>0</v>
      </c>
      <c r="AB60" s="62" t="str">
        <f>IFERROR(IF(C60="","",IF(D60="","",IF($C60="TOTAL",SUM($AB$8:AB59),IF(C60=$AU$1,ROUND(D60*5/31,0.01),"")))),"")</f>
        <v/>
      </c>
      <c r="AC60" s="62" t="str">
        <f>IFERROR(IF(C60="","",IF(I60="","",IF($C60="TOTAL",SUM($AC$8:AC59),IF(C60=$AU$1,ROUND(I60*5/31,0.01),"")))),"")</f>
        <v/>
      </c>
      <c r="AD60" s="62" t="str">
        <f t="shared" si="16"/>
        <v/>
      </c>
      <c r="AE60" s="62" t="str">
        <f>IFERROR(IF(C60="","",IF(AND(BP61="",BW61=""),"",IF($C60="TOTAL",SUM($AE$8:AE59),BP61))),"")</f>
        <v/>
      </c>
      <c r="AF60" s="62">
        <f>IFERROR(IF(C60="","",IF($C60="TOTAL",SUM($AF$8:AF59),ROUND(R60*$AU$7%,0))),"")</f>
        <v>0</v>
      </c>
      <c r="AG60" s="62">
        <f t="shared" si="8"/>
        <v>0</v>
      </c>
      <c r="AH60" s="64">
        <f>IFERROR(IF(C60="","",IF($C60="TOTAL",SUM($AH$8:AH59),SUM(R60-AG60))),"")</f>
        <v>10764</v>
      </c>
      <c r="AQ60" s="183">
        <f t="shared" si="17"/>
        <v>42</v>
      </c>
      <c r="AR60" s="183">
        <f t="shared" si="18"/>
        <v>42</v>
      </c>
      <c r="AT60" s="185">
        <v>44287</v>
      </c>
      <c r="AV60" s="185">
        <f t="shared" si="40"/>
        <v>45108</v>
      </c>
      <c r="AW60" s="185" t="str">
        <f t="shared" si="34"/>
        <v/>
      </c>
      <c r="AX60" s="185">
        <f t="shared" si="20"/>
        <v>45108</v>
      </c>
      <c r="AY60" s="185">
        <f t="shared" si="21"/>
        <v>45108</v>
      </c>
      <c r="AZ60" s="185">
        <f t="shared" si="35"/>
        <v>45108</v>
      </c>
      <c r="BA60" s="184">
        <f t="shared" si="36"/>
        <v>117200</v>
      </c>
      <c r="BB60" s="184">
        <f t="shared" si="22"/>
        <v>23440</v>
      </c>
      <c r="BC60" s="184">
        <f t="shared" si="23"/>
        <v>59069</v>
      </c>
      <c r="BD60" s="184">
        <f t="shared" si="37"/>
        <v>10548</v>
      </c>
      <c r="BE60" s="184"/>
      <c r="BF60" s="184">
        <f t="shared" si="38"/>
        <v>111200</v>
      </c>
      <c r="BG60" s="184">
        <f t="shared" si="24"/>
        <v>22240</v>
      </c>
      <c r="BH60" s="184">
        <f t="shared" si="25"/>
        <v>56045</v>
      </c>
      <c r="BI60" s="184">
        <f t="shared" si="39"/>
        <v>10008</v>
      </c>
      <c r="BJ60" s="184">
        <f t="shared" si="45"/>
        <v>3675</v>
      </c>
      <c r="BM60" s="184">
        <f t="shared" si="27"/>
        <v>10764</v>
      </c>
      <c r="BN60" s="184">
        <f t="shared" si="46"/>
        <v>3675</v>
      </c>
      <c r="BO60" s="184" t="str">
        <f t="shared" si="29"/>
        <v/>
      </c>
      <c r="BP60" s="184" t="str">
        <f t="shared" si="42"/>
        <v/>
      </c>
      <c r="BQ60" s="184">
        <f t="shared" si="43"/>
        <v>0</v>
      </c>
      <c r="BR60" s="184">
        <f t="shared" si="44"/>
        <v>0</v>
      </c>
      <c r="BW60" s="184">
        <f t="shared" si="30"/>
        <v>2100</v>
      </c>
      <c r="BY60" s="179">
        <f t="shared" si="31"/>
        <v>875</v>
      </c>
      <c r="BZ60" s="179">
        <f>IF(AZ61="","",IF(AZ61="TOTAL","",IF($AU$16=$AU$17,0,IF(AND(AZ61&gt;$BY$1,$AI$3=$AR$2,'Master Sheet'!$D$27&gt;0),'Master Sheet'!$D$27,IF(AND(AZ61=$BY$1),IF($AU$9&lt;18001,135,IF($AU$9&lt;33501,220,IF($AU$9&lt;54001,330,440))),IF(AND(AZ61&gt;$BY$1),IF($AU$9&lt;18001,265,IF($AU$9&lt;33501,440,IF($AU$9&lt;54001,658,875))),""))))))</f>
        <v>875</v>
      </c>
    </row>
    <row r="61" spans="1:85" ht="21" customHeight="1">
      <c r="A61" s="110">
        <f t="shared" si="32"/>
        <v>54</v>
      </c>
      <c r="B61" s="60">
        <f t="shared" si="1"/>
        <v>54</v>
      </c>
      <c r="C61" s="61">
        <f t="shared" si="33"/>
        <v>45170</v>
      </c>
      <c r="D61" s="62">
        <f>IFERROR(IF($C60="TOTAL","अक्षरें राशि :-",IF($C61="TOTAL",SUM($D$8:D60),IF(BA62="","",BA62))),"")</f>
        <v>117200</v>
      </c>
      <c r="E61" s="62">
        <f>IFERROR(IF($C61="TOTAL",SUM($E$8:E60),IF(BC62="","",BC62)),"")</f>
        <v>59069</v>
      </c>
      <c r="F61" s="62">
        <f>IFERROR(IF($C61="TOTAL",SUM($F$8:F60),IF(OR(C61=$AS$16,C61=$AS$17,C61=$AS$18,C61=$AS$19,C61=$AS$20,C61=$AS$21,C61=$AS$22,C61=$AS$23,C61=$AS$24),0,IF(BD62="","",BD62))),"")</f>
        <v>10548</v>
      </c>
      <c r="G61" s="62">
        <f>IFERROR(IF($C61="TOTAL",SUM($G$8:G60),IF(BB62="","",BB62)),"")</f>
        <v>23440</v>
      </c>
      <c r="H61" s="62">
        <f t="shared" si="3"/>
        <v>210257</v>
      </c>
      <c r="I61" s="62">
        <f>IFERROR(IF($C61="TOTAL",SUM($I$8:I60),IF(BF62="","",BF62)),"")</f>
        <v>111200</v>
      </c>
      <c r="J61" s="62">
        <f>IFERROR(IF($C61="TOTAL",SUM($J$8:J60),IF(BH62="","",BH62)),"")</f>
        <v>56045</v>
      </c>
      <c r="K61" s="62">
        <f>IFERROR(IF($C61="TOTAL",SUM($K$8:K60),IF(OR(C61=$AS$16,C61=$AS$17,C61=$AS$18,C61=$AS$19,C61=$AS$20,C61=$AS$21,C61=$AS$22,C61=$AS$23,C61=$AS$24),0,IF(BI62="","",BI62))),"")</f>
        <v>10008</v>
      </c>
      <c r="L61" s="62">
        <f>IFERROR(IF($C61="TOTAL",SUM($L$8:L60),IF(BG62="","",BG62)),"")</f>
        <v>22240</v>
      </c>
      <c r="M61" s="62">
        <f t="shared" si="4"/>
        <v>199493</v>
      </c>
      <c r="N61" s="62">
        <f>IFERROR(IF(C61="","",IF(D61="","",IF(I61="","",IF($C61="TOTAL",SUM($N$8:N60),SUM(D61-I61))))),"")</f>
        <v>6000</v>
      </c>
      <c r="O61" s="62">
        <f>IFERROR(IF(C61="","",IF(E61="","",IF(J61="","",IF($C61="TOTAL",SUM($O$8:O60),SUM(E61-J61))))),"")</f>
        <v>3024</v>
      </c>
      <c r="P61" s="62">
        <f>IFERROR(IF(C61="","",IF(F61="","",IF(K61="","",IF($C61="TOTAL",SUM($P$8:P60),SUM(F61-K61))))),"")</f>
        <v>540</v>
      </c>
      <c r="Q61" s="62">
        <f t="shared" si="5"/>
        <v>1200</v>
      </c>
      <c r="R61" s="62">
        <f t="shared" si="13"/>
        <v>10764</v>
      </c>
      <c r="S61" s="62">
        <f>IFERROR(IF(C61="","",IF($C61="TOTAL",SUM($S$8:S60),IF(AND(C61&gt;$AR$1,$AI$3=$AR$2),BW62,IF($AU$18=$AU$20,SUM(BJ62+BR62),ROUND((D61+E61)*10%,0))))),"")</f>
        <v>2100</v>
      </c>
      <c r="T61" s="62">
        <f>IFERROR(IF(C61="","",IF(I61="","",IF(J61="","",IF($C61="TOTAL",SUM($T$8:T60),IF(AND(C61&gt;$AR$1,$AI$3=$AR$2),BW62,IF($AU$18=$AU$20,$AU$21,ROUND((I61+J61)*10%,0))))))),"")</f>
        <v>2100</v>
      </c>
      <c r="U61" s="62">
        <f t="shared" si="14"/>
        <v>0</v>
      </c>
      <c r="V61" s="63">
        <f>IFERROR(IF(C61="","",IF($AU$16=$AU$17,0,IF($C61="TOTAL",SUM($V$8:V60),IF($AU$19=$AU$31,0,IF(AND($AU$32=$AU$20,C61=$AU$33),$AU$34,V60))))),"")</f>
        <v>2100</v>
      </c>
      <c r="W61" s="63">
        <f>IFERROR(IF(C61="","",IF($AU$16=$AU$17,0,IF($C61="TOTAL",SUM($W$8:W60),IF($AU$19=$AU$20,$AU$24,0)))),"")</f>
        <v>2100</v>
      </c>
      <c r="X61" s="62">
        <f t="shared" si="15"/>
        <v>0</v>
      </c>
      <c r="Y61" s="62">
        <f>IFERROR(IF(C61="","",IF($AU$16=$AU$17,0,IF($C61="TOTAL",SUM($Y$8:Y60),BZ61))),"")</f>
        <v>875</v>
      </c>
      <c r="Z61" s="62">
        <f>IFERROR(IF(C61="","",IF($AU$16=$AU$17,0,IF($C61="TOTAL",SUM($Z$8:Z60),BY61))),"")</f>
        <v>875</v>
      </c>
      <c r="AA61" s="62">
        <f t="shared" si="41"/>
        <v>0</v>
      </c>
      <c r="AB61" s="62" t="str">
        <f>IFERROR(IF(C61="","",IF(D61="","",IF($C61="TOTAL",SUM($AB$8:AB60),IF(C61=$AU$1,ROUND(D61*5/31,0.01),"")))),"")</f>
        <v/>
      </c>
      <c r="AC61" s="62" t="str">
        <f>IFERROR(IF(C61="","",IF(I61="","",IF($C61="TOTAL",SUM($AC$8:AC60),IF(C61=$AU$1,ROUND(I61*5/31,0.01),"")))),"")</f>
        <v/>
      </c>
      <c r="AD61" s="62" t="str">
        <f t="shared" si="16"/>
        <v/>
      </c>
      <c r="AE61" s="62" t="str">
        <f>IFERROR(IF(C61="","",IF(AND(BP62="",BW62=""),"",IF($C61="TOTAL",SUM($AE$8:AE60),BP62))),"")</f>
        <v/>
      </c>
      <c r="AF61" s="62">
        <f>IFERROR(IF(C61="","",IF($C61="TOTAL",SUM($AF$8:AF60),ROUND(R61*$AU$7%,0))),"")</f>
        <v>0</v>
      </c>
      <c r="AG61" s="62">
        <f t="shared" si="8"/>
        <v>0</v>
      </c>
      <c r="AH61" s="64">
        <f>IFERROR(IF(C61="","",IF($C61="TOTAL",SUM($AH$8:AH60),SUM(R61-AG61))),"")</f>
        <v>10764</v>
      </c>
      <c r="AQ61" s="183">
        <f t="shared" si="17"/>
        <v>42</v>
      </c>
      <c r="AR61" s="183">
        <f t="shared" si="18"/>
        <v>42</v>
      </c>
      <c r="AT61" s="185">
        <v>44317</v>
      </c>
      <c r="AV61" s="185">
        <f t="shared" si="40"/>
        <v>45139</v>
      </c>
      <c r="AW61" s="185" t="str">
        <f t="shared" si="34"/>
        <v/>
      </c>
      <c r="AX61" s="185">
        <f t="shared" si="20"/>
        <v>45139</v>
      </c>
      <c r="AY61" s="185">
        <f t="shared" si="21"/>
        <v>45139</v>
      </c>
      <c r="AZ61" s="185">
        <f t="shared" si="35"/>
        <v>45139</v>
      </c>
      <c r="BA61" s="184">
        <f t="shared" si="36"/>
        <v>117200</v>
      </c>
      <c r="BB61" s="184">
        <f t="shared" si="22"/>
        <v>23440</v>
      </c>
      <c r="BC61" s="184">
        <f t="shared" si="23"/>
        <v>59069</v>
      </c>
      <c r="BD61" s="184">
        <f t="shared" si="37"/>
        <v>10548</v>
      </c>
      <c r="BE61" s="184"/>
      <c r="BF61" s="184">
        <f t="shared" si="38"/>
        <v>111200</v>
      </c>
      <c r="BG61" s="184">
        <f t="shared" si="24"/>
        <v>22240</v>
      </c>
      <c r="BH61" s="184">
        <f t="shared" si="25"/>
        <v>56045</v>
      </c>
      <c r="BI61" s="184">
        <f t="shared" si="39"/>
        <v>10008</v>
      </c>
      <c r="BJ61" s="184">
        <f t="shared" si="45"/>
        <v>3675</v>
      </c>
      <c r="BM61" s="184">
        <f t="shared" si="27"/>
        <v>10764</v>
      </c>
      <c r="BN61" s="184">
        <f t="shared" si="46"/>
        <v>3675</v>
      </c>
      <c r="BO61" s="184" t="str">
        <f t="shared" si="29"/>
        <v/>
      </c>
      <c r="BP61" s="184" t="str">
        <f t="shared" si="42"/>
        <v/>
      </c>
      <c r="BQ61" s="184">
        <f t="shared" si="43"/>
        <v>0</v>
      </c>
      <c r="BR61" s="184">
        <f t="shared" si="44"/>
        <v>0</v>
      </c>
      <c r="BT61" s="164">
        <f>SUM(ROUND(D62*34%,0))-SUM(ROUND(D62*31%,0))</f>
        <v>3516</v>
      </c>
      <c r="BW61" s="184">
        <f t="shared" si="30"/>
        <v>2100</v>
      </c>
      <c r="BY61" s="179">
        <f t="shared" si="31"/>
        <v>875</v>
      </c>
      <c r="BZ61" s="179">
        <f>IF(AZ62="","",IF(AZ62="TOTAL","",IF($AU$16=$AU$17,0,IF(AND(AZ62&gt;$BY$1,$AI$3=$AR$2,'Master Sheet'!$D$27&gt;0),'Master Sheet'!$D$27,IF(AND(AZ62=$BY$1),IF($AU$9&lt;18001,135,IF($AU$9&lt;33501,220,IF($AU$9&lt;54001,330,440))),IF(AND(AZ62&gt;$BY$1),IF($AU$9&lt;18001,265,IF($AU$9&lt;33501,440,IF($AU$9&lt;54001,658,875))),""))))))</f>
        <v>875</v>
      </c>
    </row>
    <row r="62" spans="1:85" ht="21" customHeight="1">
      <c r="A62" s="110">
        <f t="shared" si="32"/>
        <v>55</v>
      </c>
      <c r="B62" s="60">
        <f t="shared" si="1"/>
        <v>55</v>
      </c>
      <c r="C62" s="61">
        <f t="shared" si="33"/>
        <v>45200</v>
      </c>
      <c r="D62" s="62">
        <f>IFERROR(IF($C61="TOTAL","अक्षरें राशि :-",IF($C62="TOTAL",SUM($D$8:D61),IF(BA63="","",BA63))),"")</f>
        <v>117200</v>
      </c>
      <c r="E62" s="62">
        <f>IFERROR(IF($C62="TOTAL",SUM($E$8:E61),IF(BC63="","",BC63)),"")</f>
        <v>59069</v>
      </c>
      <c r="F62" s="62">
        <f>IFERROR(IF($C62="TOTAL",SUM($F$8:F61),IF(OR(C62=$AS$16,C62=$AS$17,C62=$AS$18,C62=$AS$19,C62=$AS$20,C62=$AS$21,C62=$AS$22,C62=$AS$23,C62=$AS$24),0,IF(BD63="","",BD63))),"")</f>
        <v>10548</v>
      </c>
      <c r="G62" s="62">
        <f>IFERROR(IF($C62="TOTAL",SUM($G$8:G61),IF(BB63="","",BB63)),"")</f>
        <v>23440</v>
      </c>
      <c r="H62" s="62">
        <f t="shared" si="3"/>
        <v>210257</v>
      </c>
      <c r="I62" s="62">
        <f>IFERROR(IF($C62="TOTAL",SUM($I$8:I61),IF(BF63="","",BF63)),"")</f>
        <v>111200</v>
      </c>
      <c r="J62" s="62">
        <f>IFERROR(IF($C62="TOTAL",SUM($J$8:J61),IF(BH63="","",BH63)),"")</f>
        <v>56045</v>
      </c>
      <c r="K62" s="62">
        <f>IFERROR(IF($C62="TOTAL",SUM($K$8:K61),IF(OR(C62=$AS$16,C62=$AS$17,C62=$AS$18,C62=$AS$19,C62=$AS$20,C62=$AS$21,C62=$AS$22,C62=$AS$23,C62=$AS$24),0,IF(BI63="","",BI63))),"")</f>
        <v>10008</v>
      </c>
      <c r="L62" s="62">
        <f>IFERROR(IF($C62="TOTAL",SUM($L$8:L61),IF(BG63="","",BG63)),"")</f>
        <v>22240</v>
      </c>
      <c r="M62" s="62">
        <f t="shared" si="4"/>
        <v>199493</v>
      </c>
      <c r="N62" s="62">
        <f>IFERROR(IF(C62="","",IF(D62="","",IF(I62="","",IF($C62="TOTAL",SUM($N$8:N61),SUM(D62-I62))))),"")</f>
        <v>6000</v>
      </c>
      <c r="O62" s="62">
        <f>IFERROR(IF(C62="","",IF(E62="","",IF(J62="","",IF($C62="TOTAL",SUM($O$8:O61),SUM(E62-J62))))),"")</f>
        <v>3024</v>
      </c>
      <c r="P62" s="62">
        <f>IFERROR(IF(C62="","",IF(F62="","",IF(K62="","",IF($C62="TOTAL",SUM($P$8:P61),SUM(F62-K62))))),"")</f>
        <v>540</v>
      </c>
      <c r="Q62" s="62">
        <f t="shared" si="5"/>
        <v>1200</v>
      </c>
      <c r="R62" s="62">
        <f t="shared" si="13"/>
        <v>10764</v>
      </c>
      <c r="S62" s="62">
        <f>IFERROR(IF(C62="","",IF($C62="TOTAL",SUM($S$8:S61),IF(AND(C62&gt;$AR$1,$AI$3=$AR$2),BW63,IF($AU$18=$AU$20,SUM(BJ63+BR63),ROUND((D62+E62)*10%,0))))),"")</f>
        <v>2100</v>
      </c>
      <c r="T62" s="62">
        <f>IFERROR(IF(C62="","",IF(I62="","",IF(J62="","",IF($C62="TOTAL",SUM($T$8:T61),IF(AND(C62&gt;$AR$1,$AI$3=$AR$2),BW63,IF($AU$18=$AU$20,$AU$21,ROUND((I62+J62)*10%,0))))))),"")</f>
        <v>2100</v>
      </c>
      <c r="U62" s="62">
        <f>IFERROR(IF(C62="","",SUM(S62-T62)),"")</f>
        <v>0</v>
      </c>
      <c r="V62" s="63">
        <f>IFERROR(IF(C62="","",IF($AU$16=$AU$17,0,IF($C62="TOTAL",SUM($V$8:V61),IF($AU$19=$AU$31,0,IF(AND($AU$32=$AU$20,C62=$AU$33),$AU$34,V61))))),"")</f>
        <v>2100</v>
      </c>
      <c r="W62" s="63">
        <f>IFERROR(IF(C62="","",IF($AU$16=$AU$17,0,IF($C62="TOTAL",SUM($W$8:W61),IF($AU$19=$AU$20,$AU$24,0)))),"")</f>
        <v>2100</v>
      </c>
      <c r="X62" s="62">
        <f t="shared" si="15"/>
        <v>0</v>
      </c>
      <c r="Y62" s="62">
        <f>IFERROR(IF(C62="","",IF($AU$16=$AU$17,0,IF($C62="TOTAL",SUM($Y$8:Y61),BZ62))),"")</f>
        <v>875</v>
      </c>
      <c r="Z62" s="62">
        <f>IFERROR(IF(C62="","",IF($AU$16=$AU$17,0,IF($C62="TOTAL",SUM($Z$8:Z61),BY62))),"")</f>
        <v>875</v>
      </c>
      <c r="AA62" s="62">
        <f t="shared" si="41"/>
        <v>0</v>
      </c>
      <c r="AB62" s="62" t="str">
        <f>IFERROR(IF(C62="","",IF(D62="","",IF($C62="TOTAL",SUM($AB$8:AB61),IF(C62=$AU$1,ROUND(D62*5/31,0.01),"")))),"")</f>
        <v/>
      </c>
      <c r="AC62" s="62" t="str">
        <f>IFERROR(IF(C62="","",IF(I62="","",IF($C62="TOTAL",SUM($AC$8:AC61),IF(C62=$AU$1,ROUND(I62*5/31,0.01),"")))),"")</f>
        <v/>
      </c>
      <c r="AD62" s="62" t="str">
        <f t="shared" si="16"/>
        <v/>
      </c>
      <c r="AE62" s="62" t="str">
        <f>IFERROR(IF(C62="","",IF(AND(BP63="",BW63=""),"",IF($C62="TOTAL",SUM($AE$8:AE61),BP63))),"")</f>
        <v/>
      </c>
      <c r="AF62" s="62">
        <f>IFERROR(IF(C62="","",IF($C62="TOTAL",SUM($AF$8:AF61),ROUND(R62*$AU$7%,0))),"")</f>
        <v>0</v>
      </c>
      <c r="AG62" s="62">
        <f t="shared" si="8"/>
        <v>0</v>
      </c>
      <c r="AH62" s="64">
        <f>IFERROR(IF(C62="","",IF($C62="TOTAL",SUM($AH$8:AH61),SUM(R62-AG62))),"")</f>
        <v>10764</v>
      </c>
      <c r="AQ62" s="183">
        <f t="shared" si="17"/>
        <v>42</v>
      </c>
      <c r="AR62" s="183">
        <f t="shared" si="18"/>
        <v>42</v>
      </c>
      <c r="AT62" s="185">
        <v>44348</v>
      </c>
      <c r="AV62" s="185">
        <f t="shared" si="40"/>
        <v>45170</v>
      </c>
      <c r="AW62" s="185" t="str">
        <f t="shared" si="34"/>
        <v/>
      </c>
      <c r="AX62" s="185">
        <f t="shared" si="20"/>
        <v>45170</v>
      </c>
      <c r="AY62" s="185">
        <f t="shared" si="21"/>
        <v>45170</v>
      </c>
      <c r="AZ62" s="185">
        <f t="shared" si="35"/>
        <v>45170</v>
      </c>
      <c r="BA62" s="184">
        <f t="shared" si="36"/>
        <v>117200</v>
      </c>
      <c r="BB62" s="184">
        <f t="shared" si="22"/>
        <v>23440</v>
      </c>
      <c r="BC62" s="184">
        <f t="shared" si="23"/>
        <v>59069</v>
      </c>
      <c r="BD62" s="184">
        <f t="shared" si="37"/>
        <v>10548</v>
      </c>
      <c r="BE62" s="184"/>
      <c r="BF62" s="184">
        <f t="shared" si="38"/>
        <v>111200</v>
      </c>
      <c r="BG62" s="184">
        <f t="shared" si="24"/>
        <v>22240</v>
      </c>
      <c r="BH62" s="184">
        <f t="shared" si="25"/>
        <v>56045</v>
      </c>
      <c r="BI62" s="184">
        <f t="shared" si="39"/>
        <v>10008</v>
      </c>
      <c r="BJ62" s="184">
        <f t="shared" si="45"/>
        <v>3675</v>
      </c>
      <c r="BM62" s="184">
        <f t="shared" si="27"/>
        <v>10764</v>
      </c>
      <c r="BN62" s="184">
        <f t="shared" si="46"/>
        <v>3675</v>
      </c>
      <c r="BO62" s="184" t="str">
        <f t="shared" si="29"/>
        <v/>
      </c>
      <c r="BP62" s="184" t="str">
        <f t="shared" si="42"/>
        <v/>
      </c>
      <c r="BQ62" s="184">
        <f t="shared" si="43"/>
        <v>0</v>
      </c>
      <c r="BR62" s="184">
        <f t="shared" si="44"/>
        <v>0</v>
      </c>
      <c r="BW62" s="184">
        <f t="shared" si="30"/>
        <v>2100</v>
      </c>
      <c r="BY62" s="179">
        <f t="shared" si="31"/>
        <v>875</v>
      </c>
      <c r="BZ62" s="179">
        <f>IF(AZ63="","",IF(AZ63="TOTAL","",IF($AU$16=$AU$17,0,IF(AND(AZ63&gt;$BY$1,$AI$3=$AR$2,'Master Sheet'!$D$27&gt;0),'Master Sheet'!$D$27,IF(AND(AZ63=$BY$1),IF($AU$9&lt;18001,135,IF($AU$9&lt;33501,220,IF($AU$9&lt;54001,330,440))),IF(AND(AZ63&gt;$BY$1),IF($AU$9&lt;18001,265,IF($AU$9&lt;33501,440,IF($AU$9&lt;54001,658,875))),""))))))</f>
        <v>875</v>
      </c>
    </row>
    <row r="63" spans="1:85" ht="21" customHeight="1">
      <c r="A63" s="110">
        <f t="shared" si="32"/>
        <v>56</v>
      </c>
      <c r="B63" s="60">
        <f t="shared" si="1"/>
        <v>56</v>
      </c>
      <c r="C63" s="61">
        <f t="shared" si="33"/>
        <v>45231</v>
      </c>
      <c r="D63" s="62">
        <f>IFERROR(IF($C62="TOTAL","अक्षरें राशि :-",IF($C63="TOTAL",SUM($D$8:D62),IF(BA64="","",BA64))),"")</f>
        <v>117200</v>
      </c>
      <c r="E63" s="62">
        <f>IFERROR(IF($C63="TOTAL",SUM($E$8:E62),IF(BC64="","",BC64)),"")</f>
        <v>59069</v>
      </c>
      <c r="F63" s="62">
        <f>IFERROR(IF($C63="TOTAL",SUM($F$8:F62),IF(OR(C63=$AS$16,C63=$AS$17,C63=$AS$18,C63=$AS$19,C63=$AS$20,C63=$AS$21,C63=$AS$22,C63=$AS$23,C63=$AS$24),0,IF(BD64="","",BD64))),"")</f>
        <v>10548</v>
      </c>
      <c r="G63" s="62">
        <f>IFERROR(IF($C63="TOTAL",SUM($G$8:G62),IF(BB64="","",BB64)),"")</f>
        <v>23440</v>
      </c>
      <c r="H63" s="62">
        <f t="shared" si="3"/>
        <v>210257</v>
      </c>
      <c r="I63" s="62">
        <f>IFERROR(IF($C63="TOTAL",SUM($I$8:I62),IF(BF64="","",BF64)),"")</f>
        <v>111200</v>
      </c>
      <c r="J63" s="62">
        <f>IFERROR(IF($C63="TOTAL",SUM($J$8:J62),IF(BH64="","",BH64)),"")</f>
        <v>56045</v>
      </c>
      <c r="K63" s="62">
        <f>IFERROR(IF($C63="TOTAL",SUM($K$8:K62),IF(OR(C63=$AS$16,C63=$AS$17,C63=$AS$18,C63=$AS$19,C63=$AS$20,C63=$AS$21,C63=$AS$22,C63=$AS$23,C63=$AS$24),0,IF(BI64="","",BI64))),"")</f>
        <v>10008</v>
      </c>
      <c r="L63" s="62">
        <f>IFERROR(IF($C63="TOTAL",SUM($L$8:L62),IF(BG64="","",BG64)),"")</f>
        <v>22240</v>
      </c>
      <c r="M63" s="62">
        <f t="shared" si="4"/>
        <v>199493</v>
      </c>
      <c r="N63" s="62">
        <f>IFERROR(IF(C63="","",IF(D63="","",IF(I63="","",IF($C63="TOTAL",SUM($N$8:N62),SUM(D63-I63))))),"")</f>
        <v>6000</v>
      </c>
      <c r="O63" s="62">
        <f>IFERROR(IF(C63="","",IF(E63="","",IF(J63="","",IF($C63="TOTAL",SUM($O$8:O62),SUM(E63-J63))))),"")</f>
        <v>3024</v>
      </c>
      <c r="P63" s="62">
        <f>IFERROR(IF(C63="","",IF(F63="","",IF(K63="","",IF($C63="TOTAL",SUM($P$8:P62),SUM(F63-K63))))),"")</f>
        <v>540</v>
      </c>
      <c r="Q63" s="62">
        <f t="shared" si="5"/>
        <v>1200</v>
      </c>
      <c r="R63" s="62">
        <f t="shared" si="13"/>
        <v>10764</v>
      </c>
      <c r="S63" s="62">
        <f>IFERROR(IF(C63="","",IF($C63="TOTAL",SUM($S$8:S62),IF(AND(C63&gt;$AR$1,$AI$3=$AR$2),BW64,IF($AU$18=$AU$20,SUM(BJ64+BR64),ROUND((D63+E63)*10%,0))))),"")</f>
        <v>2100</v>
      </c>
      <c r="T63" s="62">
        <f>IFERROR(IF(C63="","",IF(I63="","",IF(J63="","",IF($C63="TOTAL",SUM($T$8:T62),IF(AND(C63&gt;$AR$1,$AI$3=$AR$2),BW64,IF($AU$18=$AU$20,$AU$21,ROUND((I63+J63)*10%,0))))))),"")</f>
        <v>2100</v>
      </c>
      <c r="U63" s="62">
        <f t="shared" si="14"/>
        <v>0</v>
      </c>
      <c r="V63" s="63">
        <f>IFERROR(IF(C63="","",IF($AU$16=$AU$17,0,IF($C63="TOTAL",SUM($V$8:V62),IF($AU$19=$AU$31,0,IF(AND($AU$32=$AU$20,C63=$AU$33),$AU$34,V62))))),"")</f>
        <v>2100</v>
      </c>
      <c r="W63" s="63">
        <f>IFERROR(IF(C63="","",IF($AU$16=$AU$17,0,IF($C63="TOTAL",SUM($W$8:W62),IF($AU$19=$AU$20,$AU$24,0)))),"")</f>
        <v>2100</v>
      </c>
      <c r="X63" s="62">
        <f t="shared" si="15"/>
        <v>0</v>
      </c>
      <c r="Y63" s="62">
        <f>IFERROR(IF(C63="","",IF($AU$16=$AU$17,0,IF($C63="TOTAL",SUM($Y$8:Y62),BZ63))),"")</f>
        <v>875</v>
      </c>
      <c r="Z63" s="62">
        <f>IFERROR(IF(C63="","",IF($AU$16=$AU$17,0,IF($C63="TOTAL",SUM($Z$8:Z62),BY63))),"")</f>
        <v>875</v>
      </c>
      <c r="AA63" s="62">
        <f t="shared" si="41"/>
        <v>0</v>
      </c>
      <c r="AB63" s="62" t="str">
        <f>IFERROR(IF(C63="","",IF(D63="","",IF($C63="TOTAL",SUM($AB$8:AB62),IF(C63=$AU$1,ROUND(D63*5/31,0.01),"")))),"")</f>
        <v/>
      </c>
      <c r="AC63" s="62" t="str">
        <f>IFERROR(IF(C63="","",IF(I63="","",IF($C63="TOTAL",SUM($AC$8:AC62),IF(C63=$AU$1,ROUND(I63*5/31,0.01),"")))),"")</f>
        <v/>
      </c>
      <c r="AD63" s="62" t="str">
        <f t="shared" si="16"/>
        <v/>
      </c>
      <c r="AE63" s="62" t="str">
        <f>IFERROR(IF(C63="","",IF(AND(BP64="",BW64=""),"",IF($C63="TOTAL",SUM($AE$8:AE62),BP64))),"")</f>
        <v/>
      </c>
      <c r="AF63" s="62">
        <f>IFERROR(IF(C63="","",IF($C63="TOTAL",SUM($AF$8:AF62),ROUND(R63*$AU$7%,0))),"")</f>
        <v>0</v>
      </c>
      <c r="AG63" s="62">
        <f t="shared" si="8"/>
        <v>0</v>
      </c>
      <c r="AH63" s="64">
        <f>IFERROR(IF(C63="","",IF($C63="TOTAL",SUM($AH$8:AH62),SUM(R63-AG63))),"")</f>
        <v>10764</v>
      </c>
      <c r="AQ63" s="183">
        <f t="shared" si="17"/>
        <v>42</v>
      </c>
      <c r="AR63" s="183">
        <f t="shared" si="18"/>
        <v>42</v>
      </c>
      <c r="AT63" s="185">
        <v>44378</v>
      </c>
      <c r="AV63" s="185">
        <f t="shared" si="40"/>
        <v>45200</v>
      </c>
      <c r="AW63" s="185" t="str">
        <f t="shared" si="34"/>
        <v/>
      </c>
      <c r="AX63" s="185">
        <f t="shared" si="20"/>
        <v>45200</v>
      </c>
      <c r="AY63" s="185">
        <f t="shared" si="21"/>
        <v>45200</v>
      </c>
      <c r="AZ63" s="185">
        <f t="shared" si="35"/>
        <v>45200</v>
      </c>
      <c r="BA63" s="184">
        <f t="shared" si="36"/>
        <v>117200</v>
      </c>
      <c r="BB63" s="184">
        <f t="shared" si="22"/>
        <v>23440</v>
      </c>
      <c r="BC63" s="184">
        <f t="shared" si="23"/>
        <v>59069</v>
      </c>
      <c r="BD63" s="184">
        <f t="shared" si="37"/>
        <v>10548</v>
      </c>
      <c r="BE63" s="184"/>
      <c r="BF63" s="184">
        <f t="shared" si="38"/>
        <v>111200</v>
      </c>
      <c r="BG63" s="184">
        <f t="shared" si="24"/>
        <v>22240</v>
      </c>
      <c r="BH63" s="184">
        <f t="shared" si="25"/>
        <v>56045</v>
      </c>
      <c r="BI63" s="184">
        <f t="shared" si="39"/>
        <v>10008</v>
      </c>
      <c r="BJ63" s="184">
        <f t="shared" si="45"/>
        <v>3675</v>
      </c>
      <c r="BM63" s="184">
        <f t="shared" si="27"/>
        <v>10764</v>
      </c>
      <c r="BN63" s="184">
        <f t="shared" si="46"/>
        <v>3675</v>
      </c>
      <c r="BO63" s="184" t="str">
        <f>IF(OR(AZ63=$AT$63,AZ63=$AT$64,AZ63=$AT$65),"YES","")</f>
        <v/>
      </c>
      <c r="BP63" s="184" t="str">
        <f t="shared" si="42"/>
        <v/>
      </c>
      <c r="BQ63" s="184">
        <f t="shared" si="43"/>
        <v>0</v>
      </c>
      <c r="BR63" s="184">
        <f t="shared" si="44"/>
        <v>0</v>
      </c>
      <c r="BS63" s="164">
        <f>SUM(ROUND(D62*3%,0))</f>
        <v>3516</v>
      </c>
      <c r="BT63" s="164">
        <f>IF($AS$7="NO",ROUND((I62+N62)*3%,0)-ROUND(ROUND((N62+I62)*3%,0)*10%,0),ROUND((N62+O62)*3%,0)-ROUND(ROUND((N62+O62)*3%,0)*10%,0))</f>
        <v>244</v>
      </c>
      <c r="BU63" s="164">
        <f>ROUND((N62+O62)*3%,0)-ROUND(ROUND((N62+O62)*3%,0)*10%,0)</f>
        <v>244</v>
      </c>
      <c r="BV63" s="164" t="str">
        <f>IF(AND($AU$16=$AU$17,BO63="YES"),SUM(ROUND(D62*3%,0))-ROUND(ROUND(D62*3%,0)*10%,0),IF(AND($AU$16=$AU$15,BO63="YES",$AS$7="NO"),ROUND((I62+N62)*3%,0)-ROUND(ROUND((N62+I62)*3%,0)*10%,0),IF(AND($AU$16=$AU$15,BO63="YES",$AS$7="YES"),ROUND((N62+O62)*3%,0)-ROUND(ROUND((N62+O62)*3%,0)*10%,0),"")))</f>
        <v/>
      </c>
      <c r="BW63" s="184">
        <f t="shared" si="30"/>
        <v>2100</v>
      </c>
      <c r="BX63" s="164">
        <f>IF(C62="","",IF($C62="TOTAL",1,2))</f>
        <v>2</v>
      </c>
      <c r="BY63" s="179">
        <f t="shared" si="31"/>
        <v>875</v>
      </c>
      <c r="BZ63" s="179">
        <f>IF(AZ64="","",IF(AZ64="TOTAL","",IF($AU$16=$AU$17,0,IF(AND(AZ64&gt;$BY$1,$AI$3=$AR$2,'Master Sheet'!$D$27&gt;0),'Master Sheet'!$D$27,IF(AND(AZ64=$BY$1),IF($AU$9&lt;18001,135,IF($AU$9&lt;33501,220,IF($AU$9&lt;54001,330,440))),IF(AND(AZ64&gt;$BY$1),IF($AU$9&lt;18001,265,IF($AU$9&lt;33501,440,IF($AU$9&lt;54001,658,875))),""))))))</f>
        <v>875</v>
      </c>
    </row>
    <row r="64" spans="1:85" ht="21" customHeight="1">
      <c r="A64" s="110" t="str">
        <f t="shared" si="32"/>
        <v/>
      </c>
      <c r="B64" s="60" t="str">
        <f t="shared" si="1"/>
        <v/>
      </c>
      <c r="C64" s="61" t="str">
        <f t="shared" si="33"/>
        <v>TOTAL</v>
      </c>
      <c r="D64" s="62">
        <f>IFERROR(IF($C63="TOTAL","अक्षरें राशि :-",IF($C64="TOTAL",SUM($D$8:D63),IF(BA65="","",BA65))),"")</f>
        <v>6085467</v>
      </c>
      <c r="E64" s="62">
        <f>IFERROR(IF($C64="TOTAL",SUM($E$8:E63),IF(BC65="","",BC65)),"")</f>
        <v>2024586</v>
      </c>
      <c r="F64" s="62">
        <f>IFERROR(IF($C64="TOTAL",SUM($F$8:F63),IF(OR(C64=$AS$16,C64=$AS$17,C64=$AS$18,C64=$AS$19,C64=$AS$20,C64=$AS$21,C64=$AS$22,C64=$AS$23,C64=$AS$24),0,IF(BD65="","",BD65))),"")</f>
        <v>519613</v>
      </c>
      <c r="G64" s="62">
        <f>IFERROR(IF($C64="TOTAL",SUM($G$8:G63),IF(BB65="","",BB65)),"")</f>
        <v>1217093</v>
      </c>
      <c r="H64" s="62">
        <f t="shared" si="3"/>
        <v>9846759</v>
      </c>
      <c r="I64" s="62">
        <f>IFERROR(IF($C64="TOTAL",SUM($I$8:I63),IF(BF65="","",BF65)),"")</f>
        <v>5773733</v>
      </c>
      <c r="J64" s="62">
        <f>IFERROR(IF($C64="TOTAL",SUM($J$8:J63),IF(BH65="","",BH65)),"")</f>
        <v>1921127</v>
      </c>
      <c r="K64" s="62">
        <f>IFERROR(IF($C64="TOTAL",SUM($K$8:K63),IF(OR(C64=$AS$16,C64=$AS$17,C64=$AS$18,C64=$AS$19,C64=$AS$20,C64=$AS$21,C64=$AS$22,C64=$AS$23,C64=$AS$24),0,IF(BI65="","",BI65))),"")</f>
        <v>493007</v>
      </c>
      <c r="L64" s="62">
        <f>IFERROR(IF($C64="TOTAL",SUM($L$8:L63),IF(BG65="","",BG65)),"")</f>
        <v>1154747</v>
      </c>
      <c r="M64" s="62">
        <f t="shared" si="4"/>
        <v>9342614</v>
      </c>
      <c r="N64" s="62">
        <f>IFERROR(IF(C64="","",IF(D64="","",IF(I64="","",IF($C64="TOTAL",SUM($N$8:N63),SUM(D64-I64))))),"")</f>
        <v>311734</v>
      </c>
      <c r="O64" s="62">
        <f>IFERROR(IF(C64="","",IF(E64="","",IF(J64="","",IF($C64="TOTAL",SUM($O$8:O63),SUM(E64-J64))))),"")</f>
        <v>103459</v>
      </c>
      <c r="P64" s="62">
        <f>IFERROR(IF(C64="","",IF(F64="","",IF(K64="","",IF($C64="TOTAL",SUM($P$8:P63),SUM(F64-K64))))),"")</f>
        <v>26606</v>
      </c>
      <c r="Q64" s="62">
        <f t="shared" si="5"/>
        <v>62346</v>
      </c>
      <c r="R64" s="62">
        <f t="shared" si="13"/>
        <v>504145</v>
      </c>
      <c r="S64" s="62">
        <f>IFERROR(IF(C64="","",IF($C64="TOTAL",SUM($S$8:S63),IF(AND(C64&gt;$AR$1,$AI$3=$AR$2),BW65,IF($AU$18=$AU$20,SUM(BJ65+BR65),ROUND((D64+E64)*10%,0))))),"")</f>
        <v>516092</v>
      </c>
      <c r="T64" s="62">
        <f>IFERROR(IF(C64="","",IF(I64="","",IF(J64="","",IF($C64="TOTAL",SUM($T$8:T63),IF(AND(C64&gt;$AR$1,$AI$3=$AR$2),BW65,IF($AU$18=$AU$20,$AU$21,ROUND((I64+J64)*10%,0))))))),"")</f>
        <v>491754</v>
      </c>
      <c r="U64" s="62">
        <f t="shared" si="14"/>
        <v>24338</v>
      </c>
      <c r="V64" s="63">
        <f>IFERROR(IF(C64="","",IF($AU$16=$AU$17,0,IF($C64="TOTAL",SUM($V$8:V63),IF($AU$19=$AU$31,0,IF(AND($AU$32=$AU$20,C64=$AU$33),$AU$34,V63))))),"")</f>
        <v>117600</v>
      </c>
      <c r="W64" s="63">
        <f>IFERROR(IF(C64="","",IF($AU$16=$AU$17,0,IF($C64="TOTAL",SUM($W$8:W63),IF($AU$19=$AU$20,$AU$24,0)))),"")</f>
        <v>117600</v>
      </c>
      <c r="X64" s="62">
        <f t="shared" si="15"/>
        <v>0</v>
      </c>
      <c r="Y64" s="62">
        <f>IFERROR(IF(C64="","",IF($AU$16=$AU$17,0,IF($C64="TOTAL",SUM($Y$8:Y63),BZ64))),"")</f>
        <v>17940</v>
      </c>
      <c r="Z64" s="62">
        <f>IFERROR(IF(C64="","",IF($AU$16=$AU$17,0,IF($C64="TOTAL",SUM($Z$8:Z63),BY64))),"")</f>
        <v>17940</v>
      </c>
      <c r="AA64" s="62">
        <f t="shared" si="41"/>
        <v>0</v>
      </c>
      <c r="AB64" s="62">
        <f>IFERROR(IF(C64="","",IF(D64="","",IF($C64="TOTAL",SUM($AB$8:AB63),IF(C64=$AU$1,ROUND(D64*5/31,0.01),"")))),"")</f>
        <v>16806</v>
      </c>
      <c r="AC64" s="62">
        <f>IFERROR(IF(C64="","",IF(I64="","",IF($C64="TOTAL",SUM($AC$8:AC63),IF(C64=$AU$1,ROUND(I64*5/31,0.01),"")))),"")</f>
        <v>15935</v>
      </c>
      <c r="AD64" s="62">
        <f t="shared" si="16"/>
        <v>871</v>
      </c>
      <c r="AE64" s="62" t="str">
        <f>IFERROR(IF(C64="","",IF(AND(BP65="",BW65=""),"",IF($C64="TOTAL",SUM($AE$8:AE63),BP65))),"")</f>
        <v/>
      </c>
      <c r="AF64" s="62">
        <f>IFERROR(IF(C64="","",IF($C64="TOTAL",SUM($AF$8:AF63),ROUND(R64*$AU$7%,0))),"")</f>
        <v>0</v>
      </c>
      <c r="AG64" s="62">
        <f t="shared" si="8"/>
        <v>25209</v>
      </c>
      <c r="AH64" s="64">
        <f>IFERROR(IF(C64="","",IF($C64="TOTAL",SUM($AH$8:AH63),SUM(R64-AG64))),"")</f>
        <v>478432</v>
      </c>
      <c r="AQ64" s="183">
        <f t="shared" si="17"/>
        <v>42</v>
      </c>
      <c r="AR64" s="183">
        <f t="shared" si="18"/>
        <v>42</v>
      </c>
      <c r="AT64" s="185">
        <v>44409</v>
      </c>
      <c r="AV64" s="185">
        <f t="shared" si="40"/>
        <v>45231</v>
      </c>
      <c r="AW64" s="185" t="str">
        <f t="shared" si="34"/>
        <v/>
      </c>
      <c r="AX64" s="185">
        <f t="shared" si="20"/>
        <v>45231</v>
      </c>
      <c r="AY64" s="185">
        <f t="shared" si="21"/>
        <v>45231</v>
      </c>
      <c r="AZ64" s="185">
        <f t="shared" si="35"/>
        <v>45231</v>
      </c>
      <c r="BA64" s="184">
        <f t="shared" si="36"/>
        <v>117200</v>
      </c>
      <c r="BB64" s="184">
        <f t="shared" si="22"/>
        <v>23440</v>
      </c>
      <c r="BC64" s="184">
        <f t="shared" si="23"/>
        <v>59069</v>
      </c>
      <c r="BD64" s="184">
        <f t="shared" si="37"/>
        <v>10548</v>
      </c>
      <c r="BE64" s="184"/>
      <c r="BF64" s="184">
        <f t="shared" si="38"/>
        <v>111200</v>
      </c>
      <c r="BG64" s="184">
        <f t="shared" si="24"/>
        <v>22240</v>
      </c>
      <c r="BH64" s="184">
        <f t="shared" si="25"/>
        <v>56045</v>
      </c>
      <c r="BI64" s="184">
        <f t="shared" si="39"/>
        <v>10008</v>
      </c>
      <c r="BJ64" s="184">
        <f t="shared" si="45"/>
        <v>3675</v>
      </c>
      <c r="BM64" s="184">
        <f t="shared" si="27"/>
        <v>10764</v>
      </c>
      <c r="BN64" s="184">
        <f t="shared" si="46"/>
        <v>3675</v>
      </c>
      <c r="BO64" s="184" t="str">
        <f t="shared" si="29"/>
        <v/>
      </c>
      <c r="BP64" s="184" t="str">
        <f t="shared" si="42"/>
        <v/>
      </c>
      <c r="BQ64" s="184">
        <f t="shared" si="43"/>
        <v>0</v>
      </c>
      <c r="BR64" s="184">
        <f t="shared" si="44"/>
        <v>0</v>
      </c>
      <c r="BS64" s="164">
        <f>ROUND(ROUND(N63*3%,0)*10%,0)</f>
        <v>18</v>
      </c>
      <c r="BU64" s="164">
        <f>ROUND(ROUND((N64+I64)*3%,0)*10%,0)</f>
        <v>18256</v>
      </c>
      <c r="BV64" s="164">
        <f>ROUND((I62+N62)*3%,0)-ROUND(ROUND((N62+I62)*3%,0)*10%,0)</f>
        <v>3164</v>
      </c>
      <c r="BW64" s="184">
        <f t="shared" si="30"/>
        <v>2100</v>
      </c>
      <c r="BY64" s="179" t="str">
        <f t="shared" si="31"/>
        <v/>
      </c>
      <c r="BZ64" s="179" t="str">
        <f>IF(AZ65="","",IF(AZ65="TOTAL","",IF($AU$16=$AU$17,0,IF(AND(AZ65&gt;$BY$1,$AI$3=$AR$2,'Master Sheet'!$D$27&gt;0),'Master Sheet'!$D$27,IF(AND(AZ65=$BY$1),IF($AU$9&lt;18001,135,IF($AU$9&lt;33501,220,IF($AU$9&lt;54001,330,440))),IF(AND(AZ65&gt;$BY$1),IF($AU$9&lt;18001,265,IF($AU$9&lt;33501,440,IF($AU$9&lt;54001,658,875))),""))))))</f>
        <v/>
      </c>
    </row>
    <row r="65" spans="1:78" ht="21" customHeight="1">
      <c r="A65" s="110" t="str">
        <f t="shared" si="32"/>
        <v/>
      </c>
      <c r="B65" s="60" t="str">
        <f t="shared" si="1"/>
        <v/>
      </c>
      <c r="C65" s="61" t="str">
        <f t="shared" si="33"/>
        <v/>
      </c>
      <c r="D65" s="62" t="str">
        <f>IFERROR(IF($C64="TOTAL","अक्षरें राशि :-",IF($C65="TOTAL",SUM($D$8:D64),IF(BA66="","",BA66))),"")</f>
        <v>अक्षरें राशि :-</v>
      </c>
      <c r="E65" s="62" t="str">
        <f>IFERROR(IF($C65="TOTAL",SUM($E$8:E64),IF(BC66="","",BC66)),"")</f>
        <v/>
      </c>
      <c r="F65" s="62" t="str">
        <f>IFERROR(IF($C65="TOTAL",SUM($F$8:F64),IF(OR(C65=$AS$16,C65=$AS$17,C65=$AS$18,C65=$AS$19,C65=$AS$20,C65=$AS$21,C65=$AS$22,C65=$AS$23,C65=$AS$24),0,IF(BD66="","",BD66))),"")</f>
        <v/>
      </c>
      <c r="G65" s="62" t="str">
        <f>IFERROR(IF($C65="TOTAL",SUM($G$8:G64),IF(BB66="","",BB66)),"")</f>
        <v/>
      </c>
      <c r="H65" s="62" t="str">
        <f t="shared" si="3"/>
        <v/>
      </c>
      <c r="I65" s="62" t="str">
        <f>IFERROR(IF($C65="TOTAL",SUM($I$8:I64),IF(BF66="","",BF66)),"")</f>
        <v/>
      </c>
      <c r="J65" s="62" t="str">
        <f>IFERROR(IF($C65="TOTAL",SUM($J$8:J64),IF(BH66="","",BH66)),"")</f>
        <v/>
      </c>
      <c r="K65" s="62" t="str">
        <f>IFERROR(IF($C65="TOTAL",SUM($K$8:K64),IF(OR(C65=$AS$16,C65=$AS$17,C65=$AS$18,C65=$AS$19,C65=$AS$20,C65=$AS$21,C65=$AS$22,C65=$AS$23,C65=$AS$24),0,IF(BI66="","",BI66))),"")</f>
        <v/>
      </c>
      <c r="L65" s="62" t="str">
        <f>IFERROR(IF($C65="TOTAL",SUM($L$8:L64),IF(BG66="","",BG66)),"")</f>
        <v/>
      </c>
      <c r="M65" s="62" t="str">
        <f t="shared" si="4"/>
        <v/>
      </c>
      <c r="N65" s="62" t="str">
        <f>IFERROR(IF(C65="","",IF(D65="","",IF(I65="","",IF($C65="TOTAL",SUM($N$8:N64),SUM(D65-I65))))),"")</f>
        <v/>
      </c>
      <c r="O65" s="62" t="str">
        <f>IFERROR(IF(C65="","",IF(E65="","",IF(J65="","",IF($C65="TOTAL",SUM($O$8:O64),SUM(E65-J65))))),"")</f>
        <v/>
      </c>
      <c r="P65" s="62" t="str">
        <f>IFERROR(IF(C65="","",IF(F65="","",IF(K65="","",IF($C65="TOTAL",SUM($P$8:P64),SUM(F65-K65))))),"")</f>
        <v/>
      </c>
      <c r="Q65" s="62" t="str">
        <f t="shared" si="5"/>
        <v/>
      </c>
      <c r="R65" s="62" t="str">
        <f t="shared" si="13"/>
        <v/>
      </c>
      <c r="S65" s="62" t="str">
        <f>IFERROR(IF(C65="","",IF($C65="TOTAL",SUM($S$8:S64),IF(AND(C65&gt;$AR$1,$AI$3=$AR$2),BW66,IF($AU$18=$AU$20,SUM(BJ66+BR66),ROUND((D65+E65)*10%,0))))),"")</f>
        <v/>
      </c>
      <c r="T65" s="62" t="str">
        <f>IFERROR(IF(C65="","",IF(I65="","",IF(J65="","",IF($C65="TOTAL",SUM($T$8:T64),IF(AND(C65&gt;$AR$1,$AI$3=$AR$2),BW66,IF($AU$18=$AU$20,$AU$21,ROUND((I65+J65)*10%,0))))))),"")</f>
        <v/>
      </c>
      <c r="U65" s="62" t="str">
        <f t="shared" si="14"/>
        <v/>
      </c>
      <c r="V65" s="63" t="str">
        <f>IFERROR(IF(C65="","",IF($AU$16=$AU$17,0,IF($C65="TOTAL",SUM($V$8:V64),IF($AU$19=$AU$31,0,IF(AND($AU$32=$AU$20,C65=$AU$33),$AU$34,V64))))),"")</f>
        <v/>
      </c>
      <c r="W65" s="63" t="str">
        <f>IFERROR(IF(C65="","",IF($AU$16=$AU$17,0,IF($C65="TOTAL",SUM($W$8:W64),IF($AU$19=$AU$20,$AU$24,0)))),"")</f>
        <v/>
      </c>
      <c r="X65" s="62" t="str">
        <f t="shared" si="15"/>
        <v/>
      </c>
      <c r="Y65" s="62" t="str">
        <f>IFERROR(IF(C65="","",IF($AU$16=$AU$17,0,IF($C65="TOTAL",SUM($Y$8:Y64),BZ65))),"")</f>
        <v/>
      </c>
      <c r="Z65" s="62" t="str">
        <f>IFERROR(IF(C65="","",IF($AU$16=$AU$17,0,IF($C65="TOTAL",SUM($Z$8:Z64),BY65))),"")</f>
        <v/>
      </c>
      <c r="AA65" s="62" t="str">
        <f t="shared" si="41"/>
        <v/>
      </c>
      <c r="AB65" s="62" t="str">
        <f>IFERROR(IF(C65="","",IF(D65="","",IF($C65="TOTAL",SUM($AB$8:AB64),IF(C65=$AU$1,ROUND(D65*5/31,0.01),"")))),"")</f>
        <v/>
      </c>
      <c r="AC65" s="62" t="str">
        <f>IFERROR(IF(C65="","",IF(I65="","",IF($C65="TOTAL",SUM($AC$8:AC64),IF(C65=$AU$1,ROUND(I65*5/31,0.01),"")))),"")</f>
        <v/>
      </c>
      <c r="AD65" s="62" t="str">
        <f t="shared" si="16"/>
        <v/>
      </c>
      <c r="AE65" s="62" t="str">
        <f>IFERROR(IF(C65="","",IF(AND(BP66="",BW66=""),"",IF($C65="TOTAL",SUM($AE$8:AE64),BP66))),"")</f>
        <v/>
      </c>
      <c r="AF65" s="62" t="str">
        <f>IFERROR(IF(C65="","",IF($C65="TOTAL",SUM($AF$8:AF64),ROUND(R65*$AU$7%,0))),"")</f>
        <v/>
      </c>
      <c r="AG65" s="62" t="str">
        <f t="shared" si="8"/>
        <v/>
      </c>
      <c r="AH65" s="64" t="str">
        <f>IFERROR(IF(C65="","",IF($C65="TOTAL",SUM($AH$8:AH64),SUM(R65-AG65))),"")</f>
        <v/>
      </c>
      <c r="AQ65" s="183">
        <f t="shared" si="17"/>
        <v>42</v>
      </c>
      <c r="AR65" s="183">
        <f t="shared" si="18"/>
        <v>42</v>
      </c>
      <c r="AT65" s="185">
        <v>44440</v>
      </c>
      <c r="AV65" s="185">
        <f t="shared" si="40"/>
        <v>45261</v>
      </c>
      <c r="AW65" s="185" t="str">
        <f t="shared" si="34"/>
        <v/>
      </c>
      <c r="AX65" s="185">
        <f t="shared" si="20"/>
        <v>45261</v>
      </c>
      <c r="AY65" s="185">
        <f t="shared" si="21"/>
        <v>45261</v>
      </c>
      <c r="AZ65" s="185" t="str">
        <f t="shared" si="35"/>
        <v>TOTAL</v>
      </c>
      <c r="BA65" s="184">
        <f t="shared" si="36"/>
        <v>117200</v>
      </c>
      <c r="BB65" s="184" t="str">
        <f t="shared" si="22"/>
        <v/>
      </c>
      <c r="BC65" s="184" t="str">
        <f t="shared" si="23"/>
        <v/>
      </c>
      <c r="BD65" s="184" t="str">
        <f t="shared" si="37"/>
        <v/>
      </c>
      <c r="BE65" s="184"/>
      <c r="BF65" s="184" t="str">
        <f t="shared" si="38"/>
        <v/>
      </c>
      <c r="BG65" s="184" t="str">
        <f t="shared" si="24"/>
        <v/>
      </c>
      <c r="BH65" s="184" t="str">
        <f t="shared" si="25"/>
        <v/>
      </c>
      <c r="BI65" s="184" t="str">
        <f t="shared" si="39"/>
        <v/>
      </c>
      <c r="BJ65" s="184" t="str">
        <f t="shared" si="45"/>
        <v/>
      </c>
      <c r="BM65" s="184" t="str">
        <f t="shared" si="27"/>
        <v/>
      </c>
      <c r="BN65" s="184">
        <f t="shared" si="46"/>
        <v>3675</v>
      </c>
      <c r="BO65" s="184" t="str">
        <f t="shared" si="29"/>
        <v/>
      </c>
      <c r="BP65" s="184" t="str">
        <f t="shared" si="42"/>
        <v/>
      </c>
      <c r="BQ65" s="184">
        <f t="shared" si="43"/>
        <v>0</v>
      </c>
      <c r="BR65" s="184">
        <f t="shared" si="44"/>
        <v>0</v>
      </c>
      <c r="BS65" s="164">
        <f>SUM(ROUND(N64*3%,0))-ROUND(ROUND(N64*3%,0)*10%,0)</f>
        <v>8417</v>
      </c>
      <c r="BT65" s="164">
        <f>SUM(ROUND(N64*3%,0))-ROUND(ROUND(N64*3%,0)*10%,0)</f>
        <v>8417</v>
      </c>
      <c r="BW65" s="184" t="str">
        <f t="shared" si="30"/>
        <v/>
      </c>
      <c r="BY65" s="179" t="str">
        <f t="shared" si="31"/>
        <v/>
      </c>
      <c r="BZ65" s="179" t="str">
        <f>IF(AZ66="","",IF(AZ66="TOTAL","",IF($AU$16=$AU$17,0,IF(AND(AZ66&gt;$BY$1,$AI$3=$AR$2,'Master Sheet'!$D$27&gt;0),'Master Sheet'!$D$27,IF(AND(AZ66=$BY$1),IF($AU$9&lt;18001,135,IF($AU$9&lt;33501,220,IF($AU$9&lt;54001,330,440))),IF(AND(AZ66&gt;$BY$1),IF($AU$9&lt;18001,265,IF($AU$9&lt;33501,440,IF($AU$9&lt;54001,658,875))),""))))))</f>
        <v/>
      </c>
    </row>
    <row r="66" spans="1:78" ht="21" customHeight="1">
      <c r="A66" s="110" t="str">
        <f t="shared" si="32"/>
        <v/>
      </c>
      <c r="B66" s="60" t="str">
        <f t="shared" si="1"/>
        <v/>
      </c>
      <c r="C66" s="61" t="str">
        <f t="shared" ref="C66:C68" si="47">IFERROR(IF(AZ67="","",AZ67),"")</f>
        <v/>
      </c>
      <c r="D66" s="62" t="str">
        <f>IFERROR(IF($C65="TOTAL","अक्षरें राशि :-",IF($C66="TOTAL",SUM($D$8:D65),IF(BA67="","",BA67))),"")</f>
        <v/>
      </c>
      <c r="E66" s="62" t="str">
        <f>IFERROR(IF($C66="TOTAL",SUM($E$8:E65),IF(BC67="","",BC67)),"")</f>
        <v/>
      </c>
      <c r="F66" s="62" t="str">
        <f>IFERROR(IF($C66="TOTAL",SUM($F$8:F65),IF(OR(C66=$AS$16,C66=$AS$17,C66=$AS$18,C66=$AS$19,C66=$AS$20,C66=$AS$21,C66=$AS$22,C66=$AS$23,C66=$AS$24),0,IF(BD67="","",BD67))),"")</f>
        <v/>
      </c>
      <c r="G66" s="62" t="str">
        <f>IFERROR(IF($C66="TOTAL",SUM($G$8:G65),IF(BB67="","",BB67)),"")</f>
        <v/>
      </c>
      <c r="H66" s="62" t="str">
        <f t="shared" si="3"/>
        <v/>
      </c>
      <c r="I66" s="62" t="str">
        <f>IFERROR(IF($C66="TOTAL",SUM($I$8:I65),IF(BF67="","",BF67)),"")</f>
        <v/>
      </c>
      <c r="J66" s="62" t="str">
        <f>IFERROR(IF($C66="TOTAL",SUM($J$8:J65),IF(BH67="","",BH67)),"")</f>
        <v/>
      </c>
      <c r="K66" s="62" t="str">
        <f>IFERROR(IF($C66="TOTAL",SUM($K$8:K65),IF(OR(C66=$AS$16,C66=$AS$17,C66=$AS$18,C66=$AS$19,C66=$AS$20,C66=$AS$21,C66=$AS$22,C66=$AS$23,C66=$AS$24),0,IF(BI67="","",BI67))),"")</f>
        <v/>
      </c>
      <c r="L66" s="62" t="str">
        <f>IFERROR(IF($C66="TOTAL",SUM($L$8:L65),IF(BG67="","",BG67)),"")</f>
        <v/>
      </c>
      <c r="M66" s="62" t="str">
        <f t="shared" si="4"/>
        <v/>
      </c>
      <c r="N66" s="62" t="str">
        <f>IFERROR(IF(C66="","",IF(D66="","",IF(I66="","",IF($C66="TOTAL",SUM($N$8:N65),SUM(D66-I66))))),"")</f>
        <v/>
      </c>
      <c r="O66" s="62" t="str">
        <f>IFERROR(IF(C66="","",IF(E66="","",IF(J66="","",IF($C66="TOTAL",SUM($O$8:O65),SUM(E66-J66))))),"")</f>
        <v/>
      </c>
      <c r="P66" s="62" t="str">
        <f>IFERROR(IF(C66="","",IF(F66="","",IF(K66="","",IF($C66="TOTAL",SUM($P$8:P65),SUM(F66-K66))))),"")</f>
        <v/>
      </c>
      <c r="Q66" s="62" t="str">
        <f t="shared" si="5"/>
        <v/>
      </c>
      <c r="R66" s="62" t="str">
        <f t="shared" si="13"/>
        <v/>
      </c>
      <c r="S66" s="62" t="str">
        <f>IFERROR(IF(C66="","",IF($C66="TOTAL",SUM($S$8:S65),IF(AND(C66&gt;$AR$1,$AI$3=$AR$2),BW67,IF($AU$18=$AU$20,SUM(BJ67+BR67),ROUND((D66+E66)*10%,0))))),"")</f>
        <v/>
      </c>
      <c r="T66" s="62" t="str">
        <f>IFERROR(IF(C66="","",IF(I66="","",IF(J66="","",IF($C66="TOTAL",SUM($T$8:T65),IF(AND(C66&gt;$AR$1,$AI$3=$AR$2),BW67,IF($AU$18=$AU$20,$AU$21,ROUND((I66+J66)*10%,0))))))),"")</f>
        <v/>
      </c>
      <c r="U66" s="62" t="str">
        <f t="shared" si="14"/>
        <v/>
      </c>
      <c r="V66" s="63" t="str">
        <f>IFERROR(IF(C66="","",IF($AU$16=$AU$17,0,IF($C66="TOTAL",SUM($V$8:V65),IF($AU$19=$AU$31,0,IF(AND($AU$32=$AU$20,C66=$AU$33),$AU$34,V65))))),"")</f>
        <v/>
      </c>
      <c r="W66" s="63" t="str">
        <f>IFERROR(IF(C66="","",IF($AU$16=$AU$17,0,IF($C66="TOTAL",SUM($W$8:W65),IF($AU$19=$AU$20,$AU$24,0)))),"")</f>
        <v/>
      </c>
      <c r="X66" s="62" t="str">
        <f t="shared" si="15"/>
        <v/>
      </c>
      <c r="Y66" s="62" t="str">
        <f>IFERROR(IF(C66="","",IF($AU$16=$AU$17,0,IF($C66="TOTAL",SUM($Y$8:Y65),BZ66))),"")</f>
        <v/>
      </c>
      <c r="Z66" s="62" t="str">
        <f>IFERROR(IF(C66="","",IF($AU$16=$AU$17,0,IF($C66="TOTAL",SUM($Z$8:Z65),BY66))),"")</f>
        <v/>
      </c>
      <c r="AA66" s="62" t="str">
        <f t="shared" si="41"/>
        <v/>
      </c>
      <c r="AB66" s="62" t="str">
        <f>IFERROR(IF(C66="","",IF(D66="","",IF($C66="TOTAL",SUM($AB$8:AB65),IF(C66=$AU$1,ROUND(D66*5/31,0.01),"")))),"")</f>
        <v/>
      </c>
      <c r="AC66" s="62" t="str">
        <f>IFERROR(IF(C66="","",IF(I66="","",IF($C66="TOTAL",SUM($AC$8:AC65),IF(C66=$AU$1,ROUND(I66*5/31,0.01),"")))),"")</f>
        <v/>
      </c>
      <c r="AD66" s="62" t="str">
        <f t="shared" si="16"/>
        <v/>
      </c>
      <c r="AE66" s="62" t="str">
        <f>IFERROR(IF(C66="","",IF(AND(BP67="",BW67=""),"",IF($C66="TOTAL",SUM($AE$8:AE65),BP67))),"")</f>
        <v/>
      </c>
      <c r="AF66" s="62" t="str">
        <f>IFERROR(IF(C66="","",IF($C66="TOTAL",SUM($AF$8:AF65),ROUND(R66*$AU$7%,0))),"")</f>
        <v/>
      </c>
      <c r="AG66" s="62" t="str">
        <f t="shared" si="8"/>
        <v/>
      </c>
      <c r="AH66" s="64" t="str">
        <f>IFERROR(IF(C66="","",IF($C66="TOTAL",SUM($AH$8:AH65),SUM(R66-AG66))),"")</f>
        <v/>
      </c>
      <c r="AQ66" s="183">
        <f t="shared" si="17"/>
        <v>42</v>
      </c>
      <c r="AR66" s="183">
        <f t="shared" si="18"/>
        <v>42</v>
      </c>
      <c r="AT66" s="185">
        <v>44470</v>
      </c>
      <c r="AV66" s="185">
        <f t="shared" si="40"/>
        <v>45292</v>
      </c>
      <c r="AW66" s="185" t="str">
        <f t="shared" si="34"/>
        <v/>
      </c>
      <c r="AX66" s="185" t="str">
        <f t="shared" si="20"/>
        <v/>
      </c>
      <c r="AY66" s="185" t="str">
        <f t="shared" si="21"/>
        <v/>
      </c>
      <c r="AZ66" s="185" t="str">
        <f t="shared" si="35"/>
        <v/>
      </c>
      <c r="BA66" s="184" t="str">
        <f t="shared" si="36"/>
        <v/>
      </c>
      <c r="BB66" s="184" t="str">
        <f t="shared" si="22"/>
        <v/>
      </c>
      <c r="BC66" s="184" t="str">
        <f t="shared" si="23"/>
        <v/>
      </c>
      <c r="BD66" s="184" t="str">
        <f t="shared" si="37"/>
        <v/>
      </c>
      <c r="BE66" s="184"/>
      <c r="BF66" s="184" t="str">
        <f t="shared" si="38"/>
        <v/>
      </c>
      <c r="BG66" s="184" t="str">
        <f t="shared" si="24"/>
        <v/>
      </c>
      <c r="BH66" s="184" t="str">
        <f t="shared" si="25"/>
        <v/>
      </c>
      <c r="BI66" s="184" t="str">
        <f t="shared" si="39"/>
        <v/>
      </c>
      <c r="BJ66" s="184" t="str">
        <f t="shared" si="45"/>
        <v/>
      </c>
      <c r="BM66" s="184" t="str">
        <f t="shared" si="27"/>
        <v/>
      </c>
      <c r="BN66" s="184" t="str">
        <f t="shared" si="46"/>
        <v/>
      </c>
      <c r="BO66" s="184" t="str">
        <f t="shared" si="29"/>
        <v/>
      </c>
      <c r="BP66" s="184" t="str">
        <f t="shared" si="42"/>
        <v/>
      </c>
      <c r="BQ66" s="184">
        <f t="shared" si="43"/>
        <v>0</v>
      </c>
      <c r="BR66" s="184">
        <f t="shared" si="44"/>
        <v>0</v>
      </c>
      <c r="BW66" s="184" t="str">
        <f t="shared" si="30"/>
        <v/>
      </c>
      <c r="BY66" s="179" t="str">
        <f t="shared" si="31"/>
        <v/>
      </c>
      <c r="BZ66" s="179" t="str">
        <f>IF(AZ67="","",IF(AZ67="TOTAL","",IF($AU$16=$AU$17,0,IF(AND(AZ67&gt;$BY$1,$AI$3=$AR$2,'Master Sheet'!$D$27&gt;0),'Master Sheet'!$D$27,IF(AND(AZ67=$BY$1),IF($AU$9&lt;18001,135,IF($AU$9&lt;33501,220,IF($AU$9&lt;54001,330,440))),IF(AND(AZ67&gt;$BY$1),IF($AU$9&lt;18001,265,IF($AU$9&lt;33501,440,IF($AU$9&lt;54001,658,875))),""))))))</f>
        <v/>
      </c>
    </row>
    <row r="67" spans="1:78" ht="21" customHeight="1">
      <c r="A67" s="110" t="str">
        <f t="shared" si="32"/>
        <v/>
      </c>
      <c r="B67" s="60" t="str">
        <f t="shared" si="1"/>
        <v/>
      </c>
      <c r="C67" s="61" t="str">
        <f>IFERROR(IF(AZ68="","",AZ68),"")</f>
        <v/>
      </c>
      <c r="D67" s="62" t="str">
        <f>IFERROR(IF($C66="TOTAL","अक्षरें राशि :-",IF($C67="TOTAL",SUM($D$8:D66),IF(BA68="","",BA68))),"")</f>
        <v/>
      </c>
      <c r="E67" s="62" t="str">
        <f>IFERROR(IF($C67="TOTAL",SUM($E$8:E66),IF(BC68="","",BC68)),"")</f>
        <v/>
      </c>
      <c r="F67" s="62" t="str">
        <f>IFERROR(IF($C67="TOTAL",SUM($F$8:F66),IF(OR(C67=$AS$16,C67=$AS$17,C67=$AS$18,C67=$AS$19,C67=$AS$20,C67=$AS$21,C67=$AS$22,C67=$AS$23,C67=$AS$24),0,IF(BD68="","",BD68))),"")</f>
        <v/>
      </c>
      <c r="G67" s="62" t="str">
        <f>IFERROR(IF($C67="TOTAL",SUM($G$8:G66),IF(BB68="","",BB68)),"")</f>
        <v/>
      </c>
      <c r="H67" s="62" t="str">
        <f t="shared" si="3"/>
        <v/>
      </c>
      <c r="I67" s="62" t="str">
        <f>IFERROR(IF($C67="TOTAL",SUM($I$8:I66),IF(BF68="","",BF68)),"")</f>
        <v/>
      </c>
      <c r="J67" s="62" t="str">
        <f>IFERROR(IF($C67="TOTAL",SUM($J$8:J66),IF(BH68="","",BH68)),"")</f>
        <v/>
      </c>
      <c r="K67" s="62" t="str">
        <f>IFERROR(IF($C67="TOTAL",SUM($K$8:K66),IF(OR(C67=$AS$16,C67=$AS$17,C67=$AS$18,C67=$AS$19,C67=$AS$20,C67=$AS$21,C67=$AS$22,C67=$AS$23,C67=$AS$24),0,IF(BI68="","",BI68))),"")</f>
        <v/>
      </c>
      <c r="L67" s="62" t="str">
        <f>IFERROR(IF($C67="TOTAL",SUM($L$8:L66),IF(BG68="","",BG68)),"")</f>
        <v/>
      </c>
      <c r="M67" s="62" t="str">
        <f t="shared" si="4"/>
        <v/>
      </c>
      <c r="N67" s="62" t="str">
        <f>IFERROR(IF(C67="","",IF(D67="","",IF(I67="","",IF($C67="TOTAL",SUM($N$8:N66),SUM(D67-I67))))),"")</f>
        <v/>
      </c>
      <c r="O67" s="62" t="str">
        <f>IFERROR(IF(C67="","",IF(E67="","",IF(J67="","",IF($C67="TOTAL",SUM($O$8:O66),SUM(E67-J67))))),"")</f>
        <v/>
      </c>
      <c r="P67" s="62" t="str">
        <f>IFERROR(IF(C67="","",IF(F67="","",IF(K67="","",IF($C67="TOTAL",SUM($P$8:P66),SUM(F67-K67))))),"")</f>
        <v/>
      </c>
      <c r="Q67" s="62" t="str">
        <f t="shared" si="5"/>
        <v/>
      </c>
      <c r="R67" s="62" t="str">
        <f t="shared" si="13"/>
        <v/>
      </c>
      <c r="S67" s="62" t="str">
        <f>IFERROR(IF(C67="","",IF($C67="TOTAL",SUM($S$8:S66),IF(AND(C67&gt;$AR$1,$AI$3=$AR$2),BW68,IF($AU$18=$AU$20,SUM(BJ68+BR68),ROUND((D67+E67)*10%,0))))),"")</f>
        <v/>
      </c>
      <c r="T67" s="62" t="str">
        <f>IFERROR(IF(C67="","",IF(I67="","",IF(J67="","",IF($C67="TOTAL",SUM($T$8:T66),IF(AND(C67&gt;$AR$1,$AI$3=$AR$2),BW68,IF($AU$18=$AU$20,$AU$21,ROUND((I67+J67)*10%,0))))))),"")</f>
        <v/>
      </c>
      <c r="U67" s="62" t="str">
        <f t="shared" si="14"/>
        <v/>
      </c>
      <c r="V67" s="63" t="str">
        <f>IFERROR(IF(C67="","",IF($AU$16=$AU$17,0,IF($C67="TOTAL",SUM($V$8:V66),IF($AU$19=$AU$31,0,IF(AND($AU$32=$AU$20,C67=$AU$33),$AU$34,V66))))),"")</f>
        <v/>
      </c>
      <c r="W67" s="63" t="str">
        <f>IFERROR(IF(C67="","",IF($AU$16=$AU$17,0,IF($C67="TOTAL",SUM($W$8:W66),IF($AU$19=$AU$20,$AU$24,0)))),"")</f>
        <v/>
      </c>
      <c r="X67" s="62" t="str">
        <f t="shared" si="15"/>
        <v/>
      </c>
      <c r="Y67" s="62" t="str">
        <f>IFERROR(IF(C67="","",IF($AU$16=$AU$17,0,IF($C67="TOTAL",SUM($Y$8:Y66),BZ67))),"")</f>
        <v/>
      </c>
      <c r="Z67" s="62" t="str">
        <f>IFERROR(IF(C67="","",IF($AU$16=$AU$17,0,IF($C67="TOTAL",SUM($Z$8:Z66),BY67))),"")</f>
        <v/>
      </c>
      <c r="AA67" s="62" t="str">
        <f t="shared" si="41"/>
        <v/>
      </c>
      <c r="AB67" s="62" t="str">
        <f>IFERROR(IF(C67="","",IF(D67="","",IF($C67="TOTAL",SUM($AB$8:AB66),IF(C67=$AU$1,ROUND(D67*5/31,0.01),"")))),"")</f>
        <v/>
      </c>
      <c r="AC67" s="62" t="str">
        <f>IFERROR(IF(C67="","",IF(I67="","",IF($C67="TOTAL",SUM($AC$8:AC66),IF(C67=$AU$1,ROUND(I67*5/31,0.01),"")))),"")</f>
        <v/>
      </c>
      <c r="AD67" s="62" t="str">
        <f t="shared" si="16"/>
        <v/>
      </c>
      <c r="AE67" s="62" t="str">
        <f>IFERROR(IF(C67="","",IF(AND(BP68="",BW68=""),"",IF($C67="TOTAL",SUM($AE$8:AE66),BP68))),"")</f>
        <v/>
      </c>
      <c r="AF67" s="62" t="str">
        <f>IFERROR(IF(C67="","",IF($C67="TOTAL",SUM($AF$8:AF66),ROUND(R67*$AU$7%,0))),"")</f>
        <v/>
      </c>
      <c r="AG67" s="62" t="str">
        <f t="shared" si="8"/>
        <v/>
      </c>
      <c r="AH67" s="64" t="str">
        <f>IFERROR(IF(C67="","",IF($C67="TOTAL",SUM($AH$8:AH66),SUM(R67-AG67))),"")</f>
        <v/>
      </c>
      <c r="AQ67" s="183">
        <f t="shared" si="17"/>
        <v>42</v>
      </c>
      <c r="AR67" s="183">
        <f t="shared" si="18"/>
        <v>42</v>
      </c>
      <c r="AT67" s="185">
        <v>44501</v>
      </c>
      <c r="AV67" s="185">
        <f t="shared" si="40"/>
        <v>45323</v>
      </c>
      <c r="AW67" s="185" t="str">
        <f t="shared" si="34"/>
        <v/>
      </c>
      <c r="AX67" s="185" t="str">
        <f t="shared" si="20"/>
        <v/>
      </c>
      <c r="AY67" s="185" t="str">
        <f t="shared" si="21"/>
        <v/>
      </c>
      <c r="AZ67" s="185" t="str">
        <f t="shared" si="35"/>
        <v/>
      </c>
      <c r="BA67" s="184" t="str">
        <f t="shared" si="36"/>
        <v/>
      </c>
      <c r="BB67" s="184" t="str">
        <f t="shared" si="22"/>
        <v/>
      </c>
      <c r="BC67" s="184" t="str">
        <f t="shared" si="23"/>
        <v/>
      </c>
      <c r="BD67" s="184" t="str">
        <f t="shared" si="37"/>
        <v/>
      </c>
      <c r="BE67" s="184"/>
      <c r="BF67" s="184" t="str">
        <f t="shared" si="38"/>
        <v/>
      </c>
      <c r="BG67" s="184" t="str">
        <f t="shared" si="24"/>
        <v/>
      </c>
      <c r="BH67" s="184" t="str">
        <f t="shared" si="25"/>
        <v/>
      </c>
      <c r="BI67" s="184" t="str">
        <f t="shared" si="39"/>
        <v/>
      </c>
      <c r="BJ67" s="184" t="str">
        <f t="shared" si="45"/>
        <v/>
      </c>
      <c r="BM67" s="184" t="str">
        <f t="shared" si="27"/>
        <v/>
      </c>
      <c r="BN67" s="184" t="str">
        <f t="shared" si="46"/>
        <v/>
      </c>
      <c r="BO67" s="184" t="str">
        <f t="shared" si="29"/>
        <v/>
      </c>
      <c r="BP67" s="184" t="str">
        <f t="shared" si="42"/>
        <v/>
      </c>
      <c r="BQ67" s="184">
        <f t="shared" si="43"/>
        <v>0</v>
      </c>
      <c r="BR67" s="184">
        <f t="shared" si="44"/>
        <v>0</v>
      </c>
      <c r="BW67" s="184" t="str">
        <f t="shared" si="30"/>
        <v/>
      </c>
      <c r="BY67" s="179" t="str">
        <f t="shared" si="31"/>
        <v/>
      </c>
      <c r="BZ67" s="179" t="str">
        <f>IF(AZ68="","",IF(AZ68="TOTAL","",IF($AU$16=$AU$17,0,IF(AND(AZ68&gt;$BY$1,$AI$3=$AR$2,'Master Sheet'!$D$27&gt;0),'Master Sheet'!$D$27,IF(AND(AZ68=$BY$1),IF($AU$9&lt;18001,135,IF($AU$9&lt;33501,220,IF($AU$9&lt;54001,330,440))),IF(AND(AZ68&gt;$BY$1),IF($AU$9&lt;18001,265,IF($AU$9&lt;33501,440,IF($AU$9&lt;54001,658,875))),""))))))</f>
        <v/>
      </c>
    </row>
    <row r="68" spans="1:78" ht="21" customHeight="1">
      <c r="A68" s="110" t="str">
        <f t="shared" si="32"/>
        <v/>
      </c>
      <c r="B68" s="60" t="str">
        <f t="shared" si="1"/>
        <v/>
      </c>
      <c r="C68" s="61" t="str">
        <f t="shared" si="47"/>
        <v/>
      </c>
      <c r="D68" s="62" t="str">
        <f>IFERROR(IF($C67="TOTAL","अक्षरें राशि :-",IF($C68="TOTAL",SUM($D$8:D67),IF(BA69="","",BA69))),"")</f>
        <v/>
      </c>
      <c r="E68" s="62" t="str">
        <f>IFERROR(IF($C68="TOTAL",SUM($E$8:E67),IF(BC69="","",BC69)),"")</f>
        <v/>
      </c>
      <c r="F68" s="62" t="str">
        <f>IFERROR(IF($C68="TOTAL",SUM($F$8:F67),IF(BD69="","",BD69)),"")</f>
        <v/>
      </c>
      <c r="G68" s="62" t="str">
        <f>IFERROR(IF($C68="TOTAL",SUM($G$8:G67),IF(BB69="","",BB69)),"")</f>
        <v/>
      </c>
      <c r="H68" s="62" t="str">
        <f t="shared" si="3"/>
        <v/>
      </c>
      <c r="I68" s="62" t="str">
        <f>IFERROR(IF($C68="TOTAL",SUM($I$8:I67),IF(BF69="","",BF69)),"")</f>
        <v/>
      </c>
      <c r="J68" s="62" t="str">
        <f>IFERROR(IF($C68="TOTAL",SUM($J$8:J67),IF(BH69="","",BH69)),"")</f>
        <v/>
      </c>
      <c r="K68" s="62" t="str">
        <f>IFERROR(IF($C68="TOTAL",SUM($K$8:K67),IF(BI69="","",BI69)),"")</f>
        <v/>
      </c>
      <c r="L68" s="62" t="str">
        <f>IFERROR(IF($C68="TOTAL",SUM($L$8:L67),IF(BG69="","",BG69)),"")</f>
        <v/>
      </c>
      <c r="M68" s="62" t="str">
        <f t="shared" si="4"/>
        <v/>
      </c>
      <c r="N68" s="62" t="str">
        <f>IFERROR(IF(C68="","",IF(D68="","",IF(I68="","",IF($C68="TOTAL",SUM($N$8:N67),SUM(D68-I68))))),"")</f>
        <v/>
      </c>
      <c r="O68" s="62" t="str">
        <f>IFERROR(IF(C68="","",IF(E68="","",IF(J68="","",IF($C68="TOTAL",SUM($O$8:O67),SUM(E68-J68))))),"")</f>
        <v/>
      </c>
      <c r="P68" s="62" t="str">
        <f>IFERROR(IF(C68="","",IF(F68="","",IF(K68="","",IF($C68="TOTAL",SUM($P$8:P67),SUM(F68-K68))))),"")</f>
        <v/>
      </c>
      <c r="Q68" s="62" t="str">
        <f t="shared" si="5"/>
        <v/>
      </c>
      <c r="R68" s="62" t="str">
        <f t="shared" si="13"/>
        <v/>
      </c>
      <c r="S68" s="62" t="str">
        <f>IFERROR(IF(C68="","",IF($C68="TOTAL",SUM($S$8:S67),IF(AND(C68&gt;$AR$1,$AI$3=$AR$2),BW69,IF($AU$18=$AU$20,SUM(BJ69+BR69),ROUND((D68+E68)*10%,0))))),"")</f>
        <v/>
      </c>
      <c r="T68" s="62" t="str">
        <f>IFERROR(IF(C68="","",IF(I68="","",IF(J68="","",IF($C68="TOTAL",SUM($T$8:T67),IF(AND(C68&gt;$AR$1,$AI$3=$AR$2),BW69,IF($AU$18=$AU$20,$AU$21,ROUND((I68+J68)*10%,0))))))),"")</f>
        <v/>
      </c>
      <c r="U68" s="62" t="str">
        <f t="shared" si="14"/>
        <v/>
      </c>
      <c r="V68" s="63" t="str">
        <f>IFERROR(IF(C68="","",IF($AU$16=$AU$17,0,IF($C68="TOTAL",SUM($V$8:V67),IF($AU$19=$AU$20,$AU$25,0)))),"")</f>
        <v/>
      </c>
      <c r="W68" s="63" t="str">
        <f>IFERROR(IF(C68="","",IF($AU$16=$AU$17,0,IF($C68="TOTAL",SUM($W$8:W67),IF($AU$19=$AU$20,$AU$24,0)))),"")</f>
        <v/>
      </c>
      <c r="X68" s="62" t="str">
        <f t="shared" si="15"/>
        <v/>
      </c>
      <c r="Y68" s="62" t="str">
        <f>IFERROR(IF(C68="","",IF($AU$16=$AU$17,0,IF($C68="TOTAL",SUM($Y$8:Y67),BZ68))),"")</f>
        <v/>
      </c>
      <c r="Z68" s="62" t="str">
        <f>IFERROR(IF(C68="","",IF($AU$16=$AU$17,0,IF($C68="TOTAL",SUM($Z$8:Z67),BY68))),"")</f>
        <v/>
      </c>
      <c r="AA68" s="62" t="str">
        <f t="shared" si="41"/>
        <v/>
      </c>
      <c r="AB68" s="62" t="str">
        <f>IFERROR(IF(C68="","",IF(D68="","",IF($C68="TOTAL",SUM($AB$8:AB67),IF(C68=$AU$1,ROUND(D68*5/31,0.01),"")))),"")</f>
        <v/>
      </c>
      <c r="AC68" s="62" t="str">
        <f>IFERROR(IF(C68="","",IF(I68="","",IF($C68="TOTAL",SUM($AC$8:AC67),IF(C68=$AU$1,ROUND(I68*5/31,0.01),"")))),"")</f>
        <v/>
      </c>
      <c r="AD68" s="62" t="str">
        <f t="shared" si="16"/>
        <v/>
      </c>
      <c r="AE68" s="62" t="str">
        <f>IFERROR(IF(C68="","",IF(AND(BP69="",BW69=""),"",IF($C68="TOTAL",SUM($AE$8:AE67),BP69))),"")</f>
        <v/>
      </c>
      <c r="AF68" s="62" t="str">
        <f>IFERROR(IF(C68="","",IF($C68="TOTAL",SUM($AF$8:AF67),ROUND(R68*$AU$7%,0))),"")</f>
        <v/>
      </c>
      <c r="AG68" s="62" t="str">
        <f t="shared" si="8"/>
        <v/>
      </c>
      <c r="AH68" s="64" t="str">
        <f>IFERROR(IF(C68="","",IF($C68="TOTAL",SUM($AH$8:AH67),SUM(R68-AG68))),"")</f>
        <v/>
      </c>
      <c r="AQ68" s="183">
        <f t="shared" si="17"/>
        <v>42</v>
      </c>
      <c r="AR68" s="183">
        <f t="shared" si="18"/>
        <v>42</v>
      </c>
      <c r="AT68" s="185">
        <v>44531</v>
      </c>
      <c r="AV68" s="185">
        <f t="shared" si="40"/>
        <v>45352</v>
      </c>
      <c r="AW68" s="185" t="str">
        <f t="shared" si="34"/>
        <v/>
      </c>
      <c r="AX68" s="185" t="str">
        <f t="shared" si="20"/>
        <v/>
      </c>
      <c r="AY68" s="185" t="str">
        <f t="shared" si="21"/>
        <v/>
      </c>
      <c r="AZ68" s="185" t="str">
        <f t="shared" si="35"/>
        <v/>
      </c>
      <c r="BA68" s="184" t="str">
        <f t="shared" si="36"/>
        <v/>
      </c>
      <c r="BB68" s="184" t="str">
        <f t="shared" si="22"/>
        <v/>
      </c>
      <c r="BC68" s="184" t="str">
        <f t="shared" si="23"/>
        <v/>
      </c>
      <c r="BD68" s="184" t="str">
        <f t="shared" si="37"/>
        <v/>
      </c>
      <c r="BE68" s="184"/>
      <c r="BF68" s="184" t="str">
        <f t="shared" si="38"/>
        <v/>
      </c>
      <c r="BG68" s="184" t="str">
        <f t="shared" si="24"/>
        <v/>
      </c>
      <c r="BH68" s="184" t="str">
        <f t="shared" si="25"/>
        <v/>
      </c>
      <c r="BI68" s="184" t="str">
        <f t="shared" si="39"/>
        <v/>
      </c>
      <c r="BJ68" s="184" t="str">
        <f t="shared" si="45"/>
        <v/>
      </c>
      <c r="BM68" s="184" t="str">
        <f t="shared" si="27"/>
        <v/>
      </c>
      <c r="BN68" s="184" t="str">
        <f t="shared" si="46"/>
        <v/>
      </c>
      <c r="BO68" s="184" t="str">
        <f t="shared" si="29"/>
        <v/>
      </c>
      <c r="BP68" s="184" t="str">
        <f t="shared" si="42"/>
        <v/>
      </c>
      <c r="BQ68" s="184">
        <f t="shared" si="43"/>
        <v>0</v>
      </c>
      <c r="BR68" s="184">
        <f t="shared" si="44"/>
        <v>0</v>
      </c>
      <c r="BW68" s="184" t="str">
        <f t="shared" si="30"/>
        <v/>
      </c>
      <c r="BY68" s="179" t="str">
        <f t="shared" si="31"/>
        <v/>
      </c>
      <c r="BZ68" s="179" t="str">
        <f>IF(AZ69="","",IF(AZ69="TOTAL","",IF($AU$16=$AU$17,0,IF(AND(AZ69&gt;$BY$1,$AI$3=$AR$2,'Master Sheet'!$D$27&gt;0),'Master Sheet'!$D$27,IF(AND(AZ69=$BY$1),IF($AU$9&lt;18001,135,IF($AU$9&lt;33501,220,IF($AU$9&lt;54001,330,440))),IF(AND(AZ69&gt;$BY$1),IF($AU$9&lt;18001,265,IF($AU$9&lt;33501,440,IF($AU$9&lt;54001,658,875))),""))))))</f>
        <v/>
      </c>
    </row>
    <row r="69" spans="1:78" ht="21" customHeight="1">
      <c r="A69" s="110" t="str">
        <f t="shared" si="32"/>
        <v/>
      </c>
      <c r="B69" s="60" t="str">
        <f t="shared" si="1"/>
        <v/>
      </c>
      <c r="C69" s="61" t="str">
        <f t="shared" ref="C69:C72" si="48">IFERROR(IF(AZ70="","",AZ70),"")</f>
        <v/>
      </c>
      <c r="D69" s="62" t="str">
        <f>IFERROR(IF($C68="TOTAL","अक्षरें राशि :-",IF($C69="TOTAL",SUM($D$8:D68),IF(BA70="","",BA70))),"")</f>
        <v/>
      </c>
      <c r="E69" s="62" t="str">
        <f>IFERROR(IF($C69="TOTAL",SUM($E$8:E68),IF(BC70="","",BC70)),"")</f>
        <v/>
      </c>
      <c r="F69" s="62" t="str">
        <f>IFERROR(IF($C69="TOTAL",SUM($F$8:F68),IF(BD70="","",BD70)),"")</f>
        <v/>
      </c>
      <c r="G69" s="62" t="str">
        <f>IFERROR(IF($C69="TOTAL",SUM($G$8:G68),IF(BB70="","",BB70)),"")</f>
        <v/>
      </c>
      <c r="H69" s="62" t="str">
        <f t="shared" si="3"/>
        <v/>
      </c>
      <c r="I69" s="62" t="str">
        <f>IFERROR(IF($C69="TOTAL",SUM($I$8:I68),IF(BF70="","",BF70)),"")</f>
        <v/>
      </c>
      <c r="J69" s="62" t="str">
        <f>IFERROR(IF($C69="TOTAL",SUM($J$8:J68),IF(BH70="","",BH70)),"")</f>
        <v/>
      </c>
      <c r="K69" s="62" t="str">
        <f>IFERROR(IF($C69="TOTAL",SUM($K$8:K68),IF(BI70="","",BI70)),"")</f>
        <v/>
      </c>
      <c r="L69" s="62" t="str">
        <f>IFERROR(IF($C69="TOTAL",SUM($L$8:L68),IF(BG70="","",BG70)),"")</f>
        <v/>
      </c>
      <c r="M69" s="62" t="str">
        <f t="shared" si="4"/>
        <v/>
      </c>
      <c r="N69" s="62" t="str">
        <f>IFERROR(IF(C69="","",IF(D69="","",IF(I69="","",IF($C69="TOTAL",SUM($N$8:N68),SUM(D69-I69))))),"")</f>
        <v/>
      </c>
      <c r="O69" s="62" t="str">
        <f>IFERROR(IF(C69="","",IF(E69="","",IF(J69="","",IF($C69="TOTAL",SUM($O$8:O68),SUM(E69-J69))))),"")</f>
        <v/>
      </c>
      <c r="P69" s="62" t="str">
        <f>IFERROR(IF(C69="","",IF(F69="","",IF(K69="","",IF($C69="TOTAL",SUM($P$8:P68),SUM(F69-K69))))),"")</f>
        <v/>
      </c>
      <c r="Q69" s="62" t="str">
        <f t="shared" si="5"/>
        <v/>
      </c>
      <c r="R69" s="62" t="str">
        <f t="shared" ref="R69:R72" si="49">IFERROR(IF(C69="","",IF(H69="","",IF(M69="","",SUM(H69-M69)))),"")</f>
        <v/>
      </c>
      <c r="S69" s="62" t="str">
        <f>IFERROR(IF(C69="","",IF($C69="TOTAL",SUM($S$8:S68),IF(AND(C69&gt;$AR$1,$AI$3=$AR$2),BW70,IF($AU$18=$AU$20,SUM(BJ70+BR70),ROUND((D69+E69)*10%,0))))),"")</f>
        <v/>
      </c>
      <c r="T69" s="62" t="str">
        <f>IFERROR(IF(C69="","",IF(I69="","",IF(J69="","",IF($C69="TOTAL",SUM($T$8:T68),IF(AND(C69&gt;$AR$1,$AI$3=$AR$2),BW70,IF($AU$18=$AU$20,$AU$21,ROUND((I69+J69)*10%,0))))))),"")</f>
        <v/>
      </c>
      <c r="U69" s="62" t="str">
        <f t="shared" ref="U69:U72" si="50">IFERROR(IF(C69="","",SUM(S69-T69)),"")</f>
        <v/>
      </c>
      <c r="V69" s="63" t="str">
        <f>IFERROR(IF(C69="","",IF($AU$16=$AU$17,0,IF($C69="TOTAL",SUM($V$8:V68),IF($AU$19=$AU$20,$AU$25,0)))),"")</f>
        <v/>
      </c>
      <c r="W69" s="63" t="str">
        <f>IFERROR(IF(C69="","",IF($AU$16=$AU$17,0,IF($C69="TOTAL",SUM($W$8:W68),IF($AU$19=$AU$20,$AU$24,0)))),"")</f>
        <v/>
      </c>
      <c r="X69" s="62" t="str">
        <f t="shared" ref="X69:X72" si="51">IFERROR(IF(C69="","",SUM(V69-W69)),"")</f>
        <v/>
      </c>
      <c r="Y69" s="62" t="str">
        <f>IFERROR(IF(C69="","",IF($AU$16=$AU$17,0,IF($C69="TOTAL",SUM($Y$8:Y68),BZ69))),"")</f>
        <v/>
      </c>
      <c r="Z69" s="62" t="str">
        <f>IFERROR(IF(C69="","",IF($AU$16=$AU$17,0,IF($C69="TOTAL",SUM($Z$8:Z68),BY69))),"")</f>
        <v/>
      </c>
      <c r="AA69" s="62" t="str">
        <f t="shared" si="41"/>
        <v/>
      </c>
      <c r="AB69" s="62" t="str">
        <f>IFERROR(IF(C69="","",IF(D69="","",IF($C69="TOTAL",SUM($AB$8:AB68),IF(C69=$AU$1,ROUND(D69*5/31,0.01),"")))),"")</f>
        <v/>
      </c>
      <c r="AC69" s="62" t="str">
        <f>IFERROR(IF(C69="","",IF(I69="","",IF($C69="TOTAL",SUM($AC$8:AC68),IF(C69=$AU$1,ROUND(I69*5/31,0.01),"")))),"")</f>
        <v/>
      </c>
      <c r="AD69" s="62" t="str">
        <f t="shared" si="16"/>
        <v/>
      </c>
      <c r="AE69" s="62" t="str">
        <f>IFERROR(IF(C69="","",IF(AND(BP70="",BW70=""),"",IF($C69="TOTAL",SUM($AE$8:AE68),BP70))),"")</f>
        <v/>
      </c>
      <c r="AF69" s="62" t="str">
        <f>IFERROR(IF(C69="","",IF($C69="TOTAL",SUM($AF$8:AF68),ROUND(R69*$AU$7%,0))),"")</f>
        <v/>
      </c>
      <c r="AG69" s="62" t="str">
        <f t="shared" si="8"/>
        <v/>
      </c>
      <c r="AH69" s="64" t="str">
        <f>IFERROR(IF(C69="","",IF($C69="TOTAL",SUM($AH$8:AH68),SUM(R69-AG69))),"")</f>
        <v/>
      </c>
      <c r="AQ69" s="183">
        <f t="shared" si="17"/>
        <v>42</v>
      </c>
      <c r="AR69" s="183">
        <f t="shared" si="18"/>
        <v>42</v>
      </c>
      <c r="AT69" s="185">
        <v>44562</v>
      </c>
      <c r="AV69" s="185">
        <f t="shared" si="40"/>
        <v>45383</v>
      </c>
      <c r="AW69" s="185" t="str">
        <f t="shared" si="34"/>
        <v/>
      </c>
      <c r="AX69" s="185" t="str">
        <f t="shared" si="20"/>
        <v/>
      </c>
      <c r="AY69" s="185" t="str">
        <f t="shared" si="21"/>
        <v/>
      </c>
      <c r="AZ69" s="185" t="str">
        <f t="shared" si="35"/>
        <v/>
      </c>
      <c r="BA69" s="184" t="str">
        <f t="shared" si="36"/>
        <v/>
      </c>
      <c r="BB69" s="184" t="str">
        <f t="shared" si="22"/>
        <v/>
      </c>
      <c r="BC69" s="184" t="str">
        <f t="shared" si="23"/>
        <v/>
      </c>
      <c r="BD69" s="184" t="str">
        <f t="shared" si="37"/>
        <v/>
      </c>
      <c r="BE69" s="184"/>
      <c r="BF69" s="184" t="str">
        <f t="shared" si="38"/>
        <v/>
      </c>
      <c r="BG69" s="184" t="str">
        <f t="shared" si="24"/>
        <v/>
      </c>
      <c r="BH69" s="184" t="str">
        <f t="shared" si="25"/>
        <v/>
      </c>
      <c r="BI69" s="184" t="str">
        <f t="shared" si="39"/>
        <v/>
      </c>
      <c r="BJ69" s="184" t="str">
        <f t="shared" si="45"/>
        <v/>
      </c>
      <c r="BM69" s="184" t="str">
        <f t="shared" si="27"/>
        <v/>
      </c>
      <c r="BN69" s="184" t="str">
        <f t="shared" si="46"/>
        <v/>
      </c>
      <c r="BO69" s="184" t="str">
        <f t="shared" si="29"/>
        <v/>
      </c>
      <c r="BP69" s="184" t="str">
        <f t="shared" si="42"/>
        <v/>
      </c>
      <c r="BQ69" s="184">
        <f t="shared" si="43"/>
        <v>0</v>
      </c>
      <c r="BR69" s="184">
        <f t="shared" si="44"/>
        <v>0</v>
      </c>
      <c r="BW69" s="184" t="str">
        <f t="shared" si="30"/>
        <v/>
      </c>
      <c r="BY69" s="179" t="str">
        <f t="shared" si="31"/>
        <v/>
      </c>
      <c r="BZ69" s="179" t="str">
        <f>IF(AZ70="","",IF(AZ70="TOTAL","",IF($AU$16=$AU$17,0,IF(AND(AZ70&gt;$BY$1,$AI$3=$AR$2,'Master Sheet'!$D$27&gt;0),'Master Sheet'!$D$27,IF(AND(AZ70=$BY$1),IF($AU$9&lt;18001,135,IF($AU$9&lt;33501,220,IF($AU$9&lt;54001,330,440))),IF(AND(AZ70&gt;$BY$1),IF($AU$9&lt;18001,265,IF($AU$9&lt;33501,440,IF($AU$9&lt;54001,658,875))),""))))))</f>
        <v/>
      </c>
    </row>
    <row r="70" spans="1:78" ht="21" customHeight="1">
      <c r="A70" s="110" t="str">
        <f t="shared" si="32"/>
        <v/>
      </c>
      <c r="B70" s="60" t="str">
        <f t="shared" si="1"/>
        <v/>
      </c>
      <c r="C70" s="61" t="str">
        <f t="shared" si="48"/>
        <v/>
      </c>
      <c r="D70" s="62" t="str">
        <f>IFERROR(IF($C69="TOTAL","अक्षरें राशि :-",IF($C70="TOTAL",SUM($D$8:D69),IF(BA71="","",BA71))),"")</f>
        <v/>
      </c>
      <c r="E70" s="62" t="str">
        <f>IFERROR(IF($C70="TOTAL",SUM($E$8:E69),IF(BC71="","",BC71)),"")</f>
        <v/>
      </c>
      <c r="F70" s="62" t="str">
        <f>IFERROR(IF($C70="TOTAL",SUM($F$8:F69),IF(BD71="","",BD71)),"")</f>
        <v/>
      </c>
      <c r="G70" s="62" t="str">
        <f>IFERROR(IF($C70="TOTAL",SUM($G$8:G69),IF(BB71="","",BB71)),"")</f>
        <v/>
      </c>
      <c r="H70" s="62" t="str">
        <f t="shared" si="3"/>
        <v/>
      </c>
      <c r="I70" s="62" t="str">
        <f>IFERROR(IF($C70="TOTAL",SUM($I$8:I69),IF(BF71="","",BF71)),"")</f>
        <v/>
      </c>
      <c r="J70" s="62" t="str">
        <f>IFERROR(IF($C70="TOTAL",SUM($J$8:J69),IF(BH71="","",BH71)),"")</f>
        <v/>
      </c>
      <c r="K70" s="62" t="str">
        <f>IFERROR(IF($C70="TOTAL",SUM($K$8:K69),IF(BI71="","",BI71)),"")</f>
        <v/>
      </c>
      <c r="L70" s="62" t="str">
        <f>IFERROR(IF($C70="TOTAL",SUM($L$8:L69),IF(BG71="","",BG71)),"")</f>
        <v/>
      </c>
      <c r="M70" s="62" t="str">
        <f t="shared" si="4"/>
        <v/>
      </c>
      <c r="N70" s="62" t="str">
        <f>IFERROR(IF(C70="","",IF(D70="","",IF(I70="","",IF($C70="TOTAL",SUM($N$8:N69),SUM(D70-I70))))),"")</f>
        <v/>
      </c>
      <c r="O70" s="62" t="str">
        <f>IFERROR(IF(C70="","",IF(E70="","",IF(J70="","",IF($C70="TOTAL",SUM($O$8:O69),SUM(E70-J70))))),"")</f>
        <v/>
      </c>
      <c r="P70" s="62" t="str">
        <f>IFERROR(IF(C70="","",IF(F70="","",IF(K70="","",IF($C70="TOTAL",SUM($P$8:P69),SUM(F70-K70))))),"")</f>
        <v/>
      </c>
      <c r="Q70" s="62" t="str">
        <f t="shared" si="5"/>
        <v/>
      </c>
      <c r="R70" s="62" t="str">
        <f t="shared" si="49"/>
        <v/>
      </c>
      <c r="S70" s="62" t="str">
        <f>IFERROR(IF(C70="","",IF($C70="TOTAL",SUM($S$8:S69),IF(AND(C70&gt;$AR$1,$AI$3=$AR$2),BW71,IF($AU$18=$AU$20,SUM(BJ71+BR71),ROUND((D70+E70)*10%,0))))),"")</f>
        <v/>
      </c>
      <c r="T70" s="62" t="str">
        <f>IFERROR(IF(C70="","",IF(I70="","",IF(J70="","",IF($C70="TOTAL",SUM($T$8:T69),IF(AND(C70&gt;$AR$1,$AI$3=$AR$2),BW71,IF($AU$18=$AU$20,$AU$21,ROUND((I70+J70)*10%,0))))))),"")</f>
        <v/>
      </c>
      <c r="U70" s="62" t="str">
        <f t="shared" si="50"/>
        <v/>
      </c>
      <c r="V70" s="63" t="str">
        <f>IFERROR(IF(C70="","",IF($AU$16=$AU$17,0,IF($C70="TOTAL",SUM($V$8:V69),IF($AU$19=$AU$20,$AU$25,0)))),"")</f>
        <v/>
      </c>
      <c r="W70" s="63" t="str">
        <f>IFERROR(IF(C70="","",IF($AU$16=$AU$17,0,IF($C70="TOTAL",SUM($W$8:W69),IF($AU$19=$AU$20,$AU$24,0)))),"")</f>
        <v/>
      </c>
      <c r="X70" s="62" t="str">
        <f t="shared" si="51"/>
        <v/>
      </c>
      <c r="Y70" s="62" t="str">
        <f>IFERROR(IF(C70="","",IF($AU$16=$AU$17,0,IF($C70="TOTAL",SUM($Y$8:Y69),BZ70))),"")</f>
        <v/>
      </c>
      <c r="Z70" s="62" t="str">
        <f>IFERROR(IF(C70="","",IF($AU$16=$AU$17,0,IF($C70="TOTAL",SUM($Z$8:Z69),BY70))),"")</f>
        <v/>
      </c>
      <c r="AA70" s="62" t="str">
        <f t="shared" si="41"/>
        <v/>
      </c>
      <c r="AB70" s="62" t="str">
        <f>IFERROR(IF(C70="","",IF(D70="","",IF($C70="TOTAL",SUM($AB$8:AB69),IF(C70=$AU$1,ROUND(D70*5/31,0.01),"")))),"")</f>
        <v/>
      </c>
      <c r="AC70" s="62" t="str">
        <f>IFERROR(IF(C70="","",IF(I70="","",IF($C70="TOTAL",SUM($AC$8:AC69),IF(C70=$AU$1,ROUND(I70*5/31,0.01),"")))),"")</f>
        <v/>
      </c>
      <c r="AD70" s="62" t="str">
        <f t="shared" si="16"/>
        <v/>
      </c>
      <c r="AE70" s="62" t="str">
        <f>IFERROR(IF(C70="","",IF(AND(BP71="",BW71=""),"",IF($C70="TOTAL",SUM($AE$8:AE69),BP71))),"")</f>
        <v/>
      </c>
      <c r="AF70" s="62" t="str">
        <f>IFERROR(IF(C70="","",IF($C70="TOTAL",SUM($AF$8:AF69),ROUND(R70*$AU$7%,0))),"")</f>
        <v/>
      </c>
      <c r="AG70" s="62" t="str">
        <f t="shared" si="8"/>
        <v/>
      </c>
      <c r="AH70" s="64" t="str">
        <f>IFERROR(IF(C70="","",IF($C70="TOTAL",SUM($AH$8:AH69),SUM(R70-AG70))),"")</f>
        <v/>
      </c>
      <c r="AQ70" s="183">
        <f t="shared" si="17"/>
        <v>42</v>
      </c>
      <c r="AR70" s="183">
        <f t="shared" si="18"/>
        <v>42</v>
      </c>
      <c r="AT70" s="185">
        <v>44593</v>
      </c>
      <c r="AV70" s="185">
        <f t="shared" si="40"/>
        <v>45413</v>
      </c>
      <c r="AW70" s="185" t="str">
        <f t="shared" si="34"/>
        <v/>
      </c>
      <c r="AX70" s="185" t="str">
        <f t="shared" si="20"/>
        <v/>
      </c>
      <c r="AY70" s="185" t="str">
        <f>IFERROR(IF(AND(AW70="",AX70=""),"",IF(AW70="",AX70,AW70)),"")</f>
        <v/>
      </c>
      <c r="AZ70" s="185" t="str">
        <f t="shared" si="35"/>
        <v/>
      </c>
      <c r="BA70" s="184" t="str">
        <f t="shared" si="36"/>
        <v/>
      </c>
      <c r="BB70" s="184" t="str">
        <f t="shared" si="22"/>
        <v/>
      </c>
      <c r="BC70" s="184" t="str">
        <f t="shared" si="23"/>
        <v/>
      </c>
      <c r="BD70" s="184" t="str">
        <f t="shared" si="37"/>
        <v/>
      </c>
      <c r="BE70" s="184"/>
      <c r="BF70" s="184" t="str">
        <f t="shared" si="38"/>
        <v/>
      </c>
      <c r="BG70" s="184" t="str">
        <f t="shared" si="24"/>
        <v/>
      </c>
      <c r="BH70" s="184" t="str">
        <f t="shared" si="25"/>
        <v/>
      </c>
      <c r="BI70" s="184" t="str">
        <f t="shared" si="39"/>
        <v/>
      </c>
      <c r="BJ70" s="184" t="str">
        <f t="shared" si="45"/>
        <v/>
      </c>
      <c r="BM70" s="184" t="str">
        <f t="shared" si="27"/>
        <v/>
      </c>
      <c r="BN70" s="184" t="str">
        <f t="shared" si="46"/>
        <v/>
      </c>
      <c r="BO70" s="184" t="str">
        <f t="shared" si="29"/>
        <v/>
      </c>
      <c r="BP70" s="184" t="str">
        <f t="shared" si="42"/>
        <v/>
      </c>
      <c r="BQ70" s="184">
        <f t="shared" si="43"/>
        <v>0</v>
      </c>
      <c r="BR70" s="184">
        <f t="shared" si="44"/>
        <v>0</v>
      </c>
      <c r="BW70" s="184" t="str">
        <f t="shared" si="30"/>
        <v/>
      </c>
      <c r="BY70" s="179" t="str">
        <f t="shared" si="31"/>
        <v/>
      </c>
      <c r="BZ70" s="179" t="str">
        <f>IF(AZ71="","",IF(AZ71="TOTAL","",IF($AU$16=$AU$17,0,IF(AND(AZ71&gt;$BY$1,$AI$3=$AR$2,'Master Sheet'!$D$27&gt;0),'Master Sheet'!$D$27,IF(AND(AZ71=$BY$1),IF($AU$9&lt;18001,135,IF($AU$9&lt;33501,220,IF($AU$9&lt;54001,330,440))),IF(AND(AZ71&gt;$BY$1),IF($AU$9&lt;18001,265,IF($AU$9&lt;33501,440,IF($AU$9&lt;54001,658,875))),""))))))</f>
        <v/>
      </c>
    </row>
    <row r="71" spans="1:78" ht="21" customHeight="1">
      <c r="A71" s="110" t="str">
        <f t="shared" si="32"/>
        <v/>
      </c>
      <c r="B71" s="60" t="str">
        <f t="shared" si="1"/>
        <v/>
      </c>
      <c r="C71" s="61" t="str">
        <f t="shared" si="48"/>
        <v/>
      </c>
      <c r="D71" s="62" t="str">
        <f>IFERROR(IF($C70="TOTAL","अक्षरें राशि :-",IF($C71="TOTAL",SUM($D$8:D70),IF(BA72="","",BA72))),"")</f>
        <v/>
      </c>
      <c r="E71" s="62" t="str">
        <f>IFERROR(IF($C71="TOTAL",SUM($E$8:E70),IF(BC72="","",BC72)),"")</f>
        <v/>
      </c>
      <c r="F71" s="62" t="str">
        <f>IFERROR(IF($C71="TOTAL",SUM($F$8:F70),IF(BD72="","",BD72)),"")</f>
        <v/>
      </c>
      <c r="G71" s="62" t="str">
        <f>IFERROR(IF($C71="TOTAL",SUM($G$8:G70),IF(BB72="","",BB72)),"")</f>
        <v/>
      </c>
      <c r="H71" s="62" t="str">
        <f t="shared" si="3"/>
        <v/>
      </c>
      <c r="I71" s="62" t="str">
        <f>IFERROR(IF($C71="TOTAL",SUM($I$8:I70),IF(BF72="","",BF72)),"")</f>
        <v/>
      </c>
      <c r="J71" s="62" t="str">
        <f>IFERROR(IF($C71="TOTAL",SUM($J$8:J70),IF(BH72="","",BH72)),"")</f>
        <v/>
      </c>
      <c r="K71" s="62" t="str">
        <f>IFERROR(IF($C71="TOTAL",SUM($K$8:K70),IF(BI72="","",BI72)),"")</f>
        <v/>
      </c>
      <c r="L71" s="62" t="str">
        <f>IFERROR(IF($C71="TOTAL",SUM($L$8:L70),IF(BG72="","",BG72)),"")</f>
        <v/>
      </c>
      <c r="M71" s="62" t="str">
        <f t="shared" si="4"/>
        <v/>
      </c>
      <c r="N71" s="62" t="str">
        <f>IFERROR(IF(C71="","",IF(D71="","",IF(I71="","",IF($C71="TOTAL",SUM($N$8:N70),SUM(D71-I71))))),"")</f>
        <v/>
      </c>
      <c r="O71" s="62" t="str">
        <f>IFERROR(IF(C71="","",IF(E71="","",IF(J71="","",IF($C71="TOTAL",SUM($O$8:O70),SUM(E71-J71))))),"")</f>
        <v/>
      </c>
      <c r="P71" s="62" t="str">
        <f>IFERROR(IF(C71="","",IF(F71="","",IF(K71="","",IF($C71="TOTAL",SUM($P$8:P70),SUM(F71-K71))))),"")</f>
        <v/>
      </c>
      <c r="Q71" s="62" t="str">
        <f t="shared" si="5"/>
        <v/>
      </c>
      <c r="R71" s="62" t="str">
        <f t="shared" si="49"/>
        <v/>
      </c>
      <c r="S71" s="62" t="str">
        <f>IFERROR(IF(C71="","",IF($C71="TOTAL",SUM($S$8:S70),IF(AND(C71&gt;$AR$1,$AI$3=$AR$2),BW72,IF($AU$18=$AU$20,SUM(BJ72+BR72),ROUND((D71+E71)*10%,0))))),"")</f>
        <v/>
      </c>
      <c r="T71" s="62" t="str">
        <f>IFERROR(IF(C71="","",IF(I71="","",IF(J71="","",IF($C71="TOTAL",SUM($T$8:T70),IF(AND(C71&gt;$AR$1,$AI$3=$AR$2),BW72,IF($AU$18=$AU$20,$AU$21,ROUND((I71+J71)*10%,0))))))),"")</f>
        <v/>
      </c>
      <c r="U71" s="62" t="str">
        <f t="shared" si="50"/>
        <v/>
      </c>
      <c r="V71" s="63" t="str">
        <f>IFERROR(IF(C71="","",IF($AU$16=$AU$17,0,IF($C71="TOTAL",SUM($V$8:V70),IF($AU$19=$AU$20,$AU$25,0)))),"")</f>
        <v/>
      </c>
      <c r="W71" s="63" t="str">
        <f>IFERROR(IF(C71="","",IF($AU$16=$AU$17,0,IF($C71="TOTAL",SUM($W$8:W70),IF($AU$19=$AU$20,$AU$24,0)))),"")</f>
        <v/>
      </c>
      <c r="X71" s="62" t="str">
        <f t="shared" si="51"/>
        <v/>
      </c>
      <c r="Y71" s="62" t="str">
        <f>IFERROR(IF(C71="","",IF($AU$16=$AU$17,0,IF($C71="TOTAL",SUM($Y$8:Y70),BZ71))),"")</f>
        <v/>
      </c>
      <c r="Z71" s="62" t="str">
        <f>IFERROR(IF(C71="","",IF($AU$16=$AU$17,0,IF($C71="TOTAL",SUM($Z$8:Z70),BY71))),"")</f>
        <v/>
      </c>
      <c r="AA71" s="62" t="str">
        <f t="shared" si="41"/>
        <v/>
      </c>
      <c r="AB71" s="62" t="str">
        <f>IFERROR(IF(C71="","",IF(D71="","",IF($C71="TOTAL",SUM($AB$8:AB70),IF(C71=$AU$1,ROUND(D71*5/31,0.01),"")))),"")</f>
        <v/>
      </c>
      <c r="AC71" s="62" t="str">
        <f>IFERROR(IF(C71="","",IF(I71="","",IF($C71="TOTAL",SUM($AC$8:AC70),IF(C71=$AU$1,ROUND(I71*5/31,0.01),"")))),"")</f>
        <v/>
      </c>
      <c r="AD71" s="62" t="str">
        <f t="shared" si="16"/>
        <v/>
      </c>
      <c r="AE71" s="62" t="str">
        <f>IFERROR(IF(C71="","",IF(AND(BP72="",BW72=""),"",IF($C71="TOTAL",SUM($AE$8:AE70),BP72))),"")</f>
        <v/>
      </c>
      <c r="AF71" s="62" t="str">
        <f>IFERROR(IF(C71="","",IF($C71="TOTAL",SUM($AF$8:AF70),ROUND(R71*$AU$7%,0))),"")</f>
        <v/>
      </c>
      <c r="AG71" s="62" t="str">
        <f t="shared" si="8"/>
        <v/>
      </c>
      <c r="AH71" s="64" t="str">
        <f>IFERROR(IF(C71="","",IF($C71="TOTAL",SUM($AH$8:AH70),SUM(R71-AG71))),"")</f>
        <v/>
      </c>
      <c r="AQ71" s="183">
        <f t="shared" si="17"/>
        <v>42</v>
      </c>
      <c r="AR71" s="183">
        <f t="shared" si="18"/>
        <v>42</v>
      </c>
      <c r="AT71" s="185">
        <v>44621</v>
      </c>
      <c r="AU71" s="165">
        <v>44621</v>
      </c>
      <c r="AV71" s="185">
        <f t="shared" si="40"/>
        <v>45444</v>
      </c>
      <c r="AW71" s="185" t="str">
        <f>IF(AND(AV71=""),"",IF(AND(AV71=$AT$9),$AT$9,IF(AND(AV71=$AT$10),$AT$10,IF(AND(AV71=$AT$11),$AT$11,IF(AND(AV71=$AT$12),$AT$12,IF(AND(AV71=$AT$13),$AT$13,IF(AND(AV71=$AT$14),$AT$14,IF(AND(AV71=$AT$15),$AT$15,IF(AND(AV71=$AT$16),$AT$16,IF(AND(AV71=$AT$17),$AT$17,IF(AND(AV71=$AT$18),$AT$18,IF(AND(AV71=$AT$19),$AT$19,IF(AND(AV71=$AT$20),$AT$20,IF(AND(AV71=$AT$21),$AT$21,IF(AND(AV71=$AT$22),$AT$22,IF(AND(AV71=$AT$23),$AT$23,IF(AND(AV71=$AT$24),$AT$24,IF(AND(AV71=$AT$25),$AT$25,IF(AND(AV71=$AT$26),$AT$26,IF(AND(AV71=$AT$27),$AT$27,IF(AND(AV71=$AT$28),$AT$28,IF(AND(AV71=$AT$29),$AT$29,IF(AND(AV71=$AT$30),$AT$30,IF(AND(AV71=$AT$31),$AT$31,IF(AND(AV71=$AT$32),$AT$32,IF(AND(AV71=$AT$33),$AT$33,IF(AND(AV71=$AT$34),$AT$34,IF(AND(AV71=$AT$35),$AT$35,IF(AND(AV71=$AT$36),$AT$36,IF(AND(AV71=$AT$37),$AT$37,IF(AND(AV71=$AT$38),$AT$38,IF(AND(AV71=$AT$39),$AT$39,IF(AND(AV71=$AT$40),$AT$40,IF(AND(AV71=$AT$41),$AT$41,IF(AND(AV71=$AT$42),$AT$42,IF(AND(AV71=$AT$43),$AT$43,IF(AND(AV71=$AT$44),$AT$44,IF(AND(AV71=$AT$45),$AT$45,IF(AND(AV71=$AT$46),$AT$46,IF(AND(AV71=$AT$47),$AT$47,IF(AND(AV71=$AT$48),$AT$48,IF(AND(AV71=$AT$49),$AT$49,IF(AND(AV71=$AT$50),$AT$50,IF(AND(AV71=$AT$51),$AT$51,IF(AND(AV71=$AT$52),$AT$52,IF(AND(AV71=$AT$53),$AT$53,IF(AND(AV71=$AT$54),$AT$54,IF(AND(AV71=$AT$55),$AT$55,IF(AND(AV71=$AT$56),$AT$56,IF(AND(AV71=$AT$57),$AT$57,IF(AND(AV71=$AT$58),$AT$58,IF(AND(AV71=$AT$59),$AT$59,IF(AND(AV71=$AT$60),$AT$60,IF(AND(AV71=$AT$61),$AT$61,IF(AND(AV71=$AT$62),$AT$62,IF(AND(AV71=$AT$63),$AT$63,IF(AND(AV71=$AT$64),$AT$64,IF(AND(AV71=$AT$65),$AT$65,IF(AND(AV71=$AT$66),$AT$66,IF(AND(AV71=$AT$67),$AT$67,IF(AND(AV71=$AT$68),$AT$68,IF(AND(AV71=$AT$69),$AT$69,IF(AND(AV71=$AT$70),$AT$70,IF(AND(AV71=$AT$71),$AT$71,""))))))))))))))))))))))))))))))))))))))))))))))))))))))))))))))))</f>
        <v/>
      </c>
      <c r="AX71" s="185" t="str">
        <f t="shared" si="20"/>
        <v/>
      </c>
      <c r="AY71" s="185" t="str">
        <f>IFERROR(IF(AND(AW71="",AX71=""),"",IF(AW71="",AX71,AW71)),"")</f>
        <v/>
      </c>
      <c r="AZ71" s="185" t="str">
        <f t="shared" si="35"/>
        <v/>
      </c>
      <c r="BA71" s="184" t="str">
        <f t="shared" si="36"/>
        <v/>
      </c>
      <c r="BB71" s="184" t="str">
        <f t="shared" si="22"/>
        <v/>
      </c>
      <c r="BC71" s="184" t="str">
        <f t="shared" si="23"/>
        <v/>
      </c>
      <c r="BD71" s="184" t="str">
        <f t="shared" si="37"/>
        <v/>
      </c>
      <c r="BE71" s="184"/>
      <c r="BF71" s="184" t="str">
        <f t="shared" si="38"/>
        <v/>
      </c>
      <c r="BG71" s="184" t="str">
        <f t="shared" si="24"/>
        <v/>
      </c>
      <c r="BH71" s="184" t="str">
        <f t="shared" si="25"/>
        <v/>
      </c>
      <c r="BI71" s="184" t="str">
        <f t="shared" si="39"/>
        <v/>
      </c>
      <c r="BJ71" s="184" t="str">
        <f t="shared" si="45"/>
        <v/>
      </c>
      <c r="BM71" s="184" t="str">
        <f t="shared" si="27"/>
        <v/>
      </c>
      <c r="BN71" s="184" t="str">
        <f t="shared" si="46"/>
        <v/>
      </c>
      <c r="BO71" s="184" t="str">
        <f t="shared" si="29"/>
        <v/>
      </c>
      <c r="BP71" s="184" t="str">
        <f t="shared" si="42"/>
        <v/>
      </c>
      <c r="BQ71" s="184">
        <f t="shared" si="43"/>
        <v>0</v>
      </c>
      <c r="BR71" s="184">
        <f t="shared" si="44"/>
        <v>0</v>
      </c>
      <c r="BW71" s="184" t="str">
        <f t="shared" si="30"/>
        <v/>
      </c>
      <c r="BY71" s="179" t="str">
        <f t="shared" si="31"/>
        <v/>
      </c>
      <c r="BZ71" s="179" t="str">
        <f>IF(AZ72="","",IF(AZ72="TOTAL","",IF($AU$16=$AU$17,0,IF(AND(AZ72&gt;$BY$1,$AI$3=$AR$2,'Master Sheet'!$D$27&gt;0),'Master Sheet'!$D$27,IF(AND(AZ72=$BY$1),IF($AU$9&lt;18001,135,IF($AU$9&lt;33501,220,IF($AU$9&lt;54001,330,440))),IF(AND(AZ72&gt;$BY$1),IF($AU$9&lt;18001,265,IF($AU$9&lt;33501,440,IF($AU$9&lt;54001,658,875))),""))))))</f>
        <v/>
      </c>
    </row>
    <row r="72" spans="1:78" ht="21" customHeight="1">
      <c r="A72" s="110" t="str">
        <f t="shared" si="32"/>
        <v/>
      </c>
      <c r="B72" s="60" t="str">
        <f t="shared" si="1"/>
        <v/>
      </c>
      <c r="C72" s="61" t="str">
        <f t="shared" si="48"/>
        <v/>
      </c>
      <c r="D72" s="62" t="str">
        <f>IFERROR(IF($C71="TOTAL","अक्षरें राशि :-",IF($C72="TOTAL",SUM($D$8:D71),IF(BA73="","",BA73))),"")</f>
        <v/>
      </c>
      <c r="E72" s="62" t="str">
        <f>IFERROR(IF($C72="TOTAL",SUM($E$8:E71),IF(BC73="","",BC73)),"")</f>
        <v/>
      </c>
      <c r="F72" s="62" t="str">
        <f>IFERROR(IF($C72="TOTAL",SUM($F$8:F71),IF(BD73="","",BD73)),"")</f>
        <v/>
      </c>
      <c r="G72" s="62" t="str">
        <f>IFERROR(IF($C72="TOTAL",SUM($G$8:G71),IF(BB73="","",BB73)),"")</f>
        <v/>
      </c>
      <c r="H72" s="62" t="str">
        <f t="shared" si="3"/>
        <v/>
      </c>
      <c r="I72" s="62" t="str">
        <f>IFERROR(IF($C72="TOTAL",SUM($I$8:I71),IF(BF73="","",BF73)),"")</f>
        <v/>
      </c>
      <c r="J72" s="62" t="str">
        <f>IFERROR(IF($C72="TOTAL",SUM($J$8:J71),IF(BH73="","",BH73)),"")</f>
        <v/>
      </c>
      <c r="K72" s="62" t="str">
        <f>IFERROR(IF($C72="TOTAL",SUM($K$8:K71),IF(BI73="","",BI73)),"")</f>
        <v/>
      </c>
      <c r="L72" s="62" t="str">
        <f>IFERROR(IF($C72="TOTAL",SUM($L$8:L71),IF(BG73="","",BG73)),"")</f>
        <v/>
      </c>
      <c r="M72" s="62" t="str">
        <f t="shared" si="4"/>
        <v/>
      </c>
      <c r="N72" s="62" t="str">
        <f>IFERROR(IF(C72="","",IF(D72="","",IF(I72="","",IF($C72="TOTAL",SUM($N$8:N71),SUM(D72-I72))))),"")</f>
        <v/>
      </c>
      <c r="O72" s="62" t="str">
        <f>IFERROR(IF(C72="","",IF(E72="","",IF(J72="","",IF($C72="TOTAL",SUM($O$8:O71),SUM(E72-J72))))),"")</f>
        <v/>
      </c>
      <c r="P72" s="62" t="str">
        <f>IFERROR(IF(C72="","",IF(F72="","",IF(K72="","",IF($C72="TOTAL",SUM($P$8:P71),SUM(F72-K72))))),"")</f>
        <v/>
      </c>
      <c r="Q72" s="62" t="str">
        <f t="shared" si="5"/>
        <v/>
      </c>
      <c r="R72" s="62" t="str">
        <f t="shared" si="49"/>
        <v/>
      </c>
      <c r="S72" s="62" t="str">
        <f>IFERROR(IF(C72="","",IF($C72="TOTAL",SUM($S$8:S71),IF(AND(C72&gt;$AR$1,$AI$3=$AR$2),BW73,IF($AU$18=$AU$20,SUM(BJ73+BR73),ROUND((D72+E72)*10%,0))))),"")</f>
        <v/>
      </c>
      <c r="T72" s="62" t="str">
        <f>IFERROR(IF(C72="","",IF(I72="","",IF(J72="","",IF($C72="TOTAL",SUM($T$8:T71),IF(AND(C72&gt;$AR$1,$AI$3=$AR$2),BW73,IF($AU$18=$AU$20,$AU$21,ROUND((I72+J72)*10%,0))))))),"")</f>
        <v/>
      </c>
      <c r="U72" s="62" t="str">
        <f t="shared" si="50"/>
        <v/>
      </c>
      <c r="V72" s="63" t="str">
        <f>IFERROR(IF(C72="","",IF($AU$16=$AU$17,0,IF($C72="TOTAL",SUM($V$8:V71),IF($AU$19=$AU$20,$AU$25,0)))),"")</f>
        <v/>
      </c>
      <c r="W72" s="63" t="str">
        <f>IFERROR(IF(C72="","",IF($AU$16=$AU$17,0,IF($C72="TOTAL",SUM($W$8:W71),IF($AU$19=$AU$20,$AU$24,0)))),"")</f>
        <v/>
      </c>
      <c r="X72" s="62" t="str">
        <f t="shared" si="51"/>
        <v/>
      </c>
      <c r="Y72" s="62" t="str">
        <f>IFERROR(IF(C72="","",IF($AU$16=$AU$17,0,IF($C72="TOTAL",SUM($Y$8:Y71),BZ72))),"")</f>
        <v/>
      </c>
      <c r="Z72" s="62" t="str">
        <f>IFERROR(IF(C72="","",IF($AU$16=$AU$17,0,IF($C72="TOTAL",SUM($Z$8:Z71),BY72))),"")</f>
        <v/>
      </c>
      <c r="AA72" s="62" t="str">
        <f t="shared" ref="AA72:AA99" si="52">IFERROR(IF(C72="","",SUM(Y72-Z72)),"")</f>
        <v/>
      </c>
      <c r="AB72" s="62" t="str">
        <f>IFERROR(IF(C72="","",IF(D72="","",IF($C72="TOTAL",SUM($AB$8:AB71),IF(C72=$AU$1,ROUND(D72*5/31,0.01),"")))),"")</f>
        <v/>
      </c>
      <c r="AC72" s="62" t="str">
        <f>IFERROR(IF(C72="","",IF(I72="","",IF($C72="TOTAL",SUM($AC$8:AC71),IF(C72=$AU$1,ROUND(I72*5/31,0.01),"")))),"")</f>
        <v/>
      </c>
      <c r="AD72" s="62" t="str">
        <f t="shared" si="16"/>
        <v/>
      </c>
      <c r="AE72" s="62" t="str">
        <f>IFERROR(IF(C72="","",IF(AND(BP73="",BW73=""),"",IF($C72="TOTAL",SUM($AE$8:AE71),BP73))),"")</f>
        <v/>
      </c>
      <c r="AF72" s="62" t="str">
        <f>IFERROR(IF(C72="","",IF($C72="TOTAL",SUM($AF$8:AF71),ROUND(R72*$AU$7%,0))),"")</f>
        <v/>
      </c>
      <c r="AG72" s="62" t="str">
        <f t="shared" si="8"/>
        <v/>
      </c>
      <c r="AH72" s="64" t="str">
        <f>IFERROR(IF(C72="","",IF($C72="TOTAL",SUM($AH$8:AH71),SUM(R72-AG72))),"")</f>
        <v/>
      </c>
      <c r="AQ72" s="183">
        <f t="shared" si="17"/>
        <v>42</v>
      </c>
      <c r="AR72" s="183">
        <f t="shared" si="18"/>
        <v>42</v>
      </c>
      <c r="AT72" s="185">
        <v>44652</v>
      </c>
      <c r="AU72" s="165">
        <v>44652</v>
      </c>
      <c r="AV72" s="185">
        <f t="shared" si="40"/>
        <v>45474</v>
      </c>
      <c r="AW72" s="185" t="str">
        <f>IF(AND(AV72=""),"",IF(AND(AV72=$AT$9),$AT$9,IF(AND(AV72=$AT$10),$AT$10,IF(AND(AV72=$AT$11),$AT$11,IF(AND(AV72=$AT$12),$AT$12,IF(AND(AV72=$AT$13),$AT$13,IF(AND(AV72=$AT$14),$AT$14,IF(AND(AV72=$AT$15),$AT$15,IF(AND(AV72=$AT$16),$AT$16,IF(AND(AV72=$AT$17),$AT$17,IF(AND(AV72=$AT$18),$AT$18,IF(AND(AV72=$AT$19),$AT$19,IF(AND(AV72=$AT$20),$AT$20,IF(AND(AV72=$AT$21),$AT$21,IF(AND(AV72=$AT$22),$AT$22,IF(AND(AV72=$AT$23),$AT$23,IF(AND(AV72=$AT$24),$AT$24,IF(AND(AV72=$AT$25),$AT$25,IF(AND(AV72=$AT$26),$AT$26,IF(AND(AV72=$AT$27),$AT$27,IF(AND(AV72=$AT$28),$AT$28,IF(AND(AV72=$AT$29),$AT$29,IF(AND(AV72=$AT$30),$AT$30,IF(AND(AV72=$AT$31),$AT$31,IF(AND(AV72=$AT$32),$AT$32,IF(AND(AV72=$AT$33),$AT$33,IF(AND(AV72=$AT$34),$AT$34,IF(AND(AV72=$AT$35),$AT$35,IF(AND(AV72=$AT$36),$AT$36,IF(AND(AV72=$AT$37),$AT$37,IF(AND(AV72=$AT$38),$AT$38,IF(AND(AV72=$AT$39),$AT$39,IF(AND(AV72=$AT$40),$AT$40,IF(AND(AV72=$AT$41),$AT$41,IF(AND(AV72=$AT$42),$AT$42,IF(AND(AV72=$AT$43),$AT$43,IF(AND(AV72=$AT$44),$AT$44,IF(AND(AV72=$AT$45),$AT$45,IF(AND(AV72=$AT$46),$AT$46,IF(AND(AV72=$AT$47),$AT$47,IF(AND(AV72=$AT$48),$AT$48,IF(AND(AV72=$AT$49),$AT$49,IF(AND(AV72=$AT$50),$AT$50,IF(AND(AV72=$AT$51),$AT$51,IF(AND(AV72=$AT$52),$AT$52,IF(AND(AV72=$AT$53),$AT$53,IF(AND(AV72=$AT$54),$AT$54,IF(AND(AV72=$AT$55),$AT$55,IF(AND(AV72=$AT$56),$AT$56,IF(AND(AV72=$AT$57),$AT$57,IF(AND(AV72=$AT$58),$AT$58,IF(AND(AV72=$AT$59),$AT$59,IF(AND(AV72=$AT$60),$AT$60,IF(AND(AV72=$AT$61),$AT$61,IF(AND(AV72=$AT$62),$AT$62,IF(AND(AV72=$AT$63),$AT$63,IF(AND(AV72=$AT$64),$AT$64,IF(AND(AV72=$AT$65),$AT$65,IF(AND(AV72=$AT$66),$AT$66,IF(AND(AV72=$AT$67),$AT$67,IF(AND(AV72=$AT$68),$AT$68,IF(AND(AV72=$AT$69),$AT$69,IF(AND(AV72=$AT$70),$AT$70,IF(AND(AV72=$AT$71),$AT$71,""))))))))))))))))))))))))))))))))))))))))))))))))))))))))))))))))</f>
        <v/>
      </c>
      <c r="AX72" s="185" t="str">
        <f>IF(AND(AV72=""),"",IF(AND(AV72=$AT$72),$AU$72,IF(AND(AV72=$AT$73),$AU$73,IF(AND(AV72=$AT$74),$AU$74,IF(AND(AV72=$AT$75),$AU$75,IF(AND(AV72=$AT$76),$AU$76,IF(AND(AV72=$AT$77),$AU$77,IF(AND(AV72=$AT$78),$AU$78,IF(AND(AV72=$AT$79),$AU$79,IF(AND(AV72=$AT$80),$AU$80,IF(AND(AV72=$AT$81),$AU$81,IF(AND(AV72=$AT$82),$AU$82,IF(AND(AV72=$AT$83),$AU$83,IF(AND(AV72=$AT$84),$AU$84,IF(AND(AV72=$AT$85),$AU$85,IF(AND(AV72=$AT$86),$AU$86,IF(AND(AV72=$AT$87),$AU$87,IF(AND(AV72=$AT$88),$AU$88,IF(AND(AV72=$AT$89),$AU$89,IF(AND(AV72=$AT$90),$AU$90,IF(AND(AV72=$AT$91),$AU$91,IF(AND(AV72=$AT$92),$AU$92,IF(AND(AV72=$AT$93),$AU$93,"")))))))))))))))))))))))</f>
        <v/>
      </c>
      <c r="AY72" s="185" t="str">
        <f>IFERROR(IF(AND(AW72="",AX72=""),"",IF(AW72="",AX72,AW72)),"")</f>
        <v/>
      </c>
      <c r="AZ72" s="185" t="str">
        <f t="shared" si="35"/>
        <v/>
      </c>
      <c r="BA72" s="184" t="str">
        <f>IFERROR(IF(AZ72="","",IF(AND($AU$20=$AU$28,$AU$30=AZ72),$AU$29,IF(OR(AZ72=$BD$2,AZ72=$BD$3,AZ72=$BD$4,AZ72=$BD$5,AZ72=$BD$6,AZ72=$BD$7,AZ72=$BE$2),MROUND(BA71*1.03,100),BA71))),"")</f>
        <v/>
      </c>
      <c r="BB72" s="184" t="str">
        <f t="shared" si="22"/>
        <v/>
      </c>
      <c r="BC72" s="184" t="str">
        <f t="shared" si="23"/>
        <v/>
      </c>
      <c r="BD72" s="184" t="str">
        <f t="shared" si="37"/>
        <v/>
      </c>
      <c r="BE72" s="184"/>
      <c r="BF72" s="184" t="str">
        <f t="shared" si="38"/>
        <v/>
      </c>
      <c r="BG72" s="184" t="str">
        <f t="shared" si="24"/>
        <v/>
      </c>
      <c r="BH72" s="184" t="str">
        <f t="shared" si="25"/>
        <v/>
      </c>
      <c r="BI72" s="184" t="str">
        <f t="shared" si="39"/>
        <v/>
      </c>
      <c r="BJ72" s="184" t="str">
        <f t="shared" si="45"/>
        <v/>
      </c>
      <c r="BM72" s="184" t="str">
        <f t="shared" si="27"/>
        <v/>
      </c>
      <c r="BN72" s="184" t="str">
        <f t="shared" si="46"/>
        <v/>
      </c>
      <c r="BO72" s="184" t="str">
        <f t="shared" si="29"/>
        <v/>
      </c>
      <c r="BP72" s="184" t="str">
        <f t="shared" si="42"/>
        <v/>
      </c>
      <c r="BQ72" s="184">
        <f t="shared" si="43"/>
        <v>0</v>
      </c>
      <c r="BR72" s="184">
        <f t="shared" si="44"/>
        <v>0</v>
      </c>
      <c r="BW72" s="184" t="str">
        <f t="shared" si="30"/>
        <v/>
      </c>
      <c r="BY72" s="179" t="str">
        <f t="shared" si="31"/>
        <v/>
      </c>
      <c r="BZ72" s="179" t="str">
        <f>IF(AZ73="","",IF(AZ73="TOTAL","",IF($AU$16=$AU$17,0,IF(AND(AZ73&gt;$BY$1,$AI$3=$AR$2,'Master Sheet'!$D$27&gt;0),'Master Sheet'!$D$27,IF(AND(AZ73=$BY$1),IF($AU$9&lt;18001,135,IF($AU$9&lt;33501,220,IF($AU$9&lt;54001,330,440))),IF(AND(AZ73&gt;$BY$1),IF($AU$9&lt;18001,265,IF($AU$9&lt;33501,440,IF($AU$9&lt;54001,658,875))),""))))))</f>
        <v/>
      </c>
    </row>
    <row r="73" spans="1:78" ht="21" customHeight="1">
      <c r="A73" s="110" t="str">
        <f t="shared" si="32"/>
        <v/>
      </c>
      <c r="B73" s="60" t="str">
        <f t="shared" ref="B73:B89" si="53">IFERROR(IF(A73="","",IF(A73=0,"",A73)),"")</f>
        <v/>
      </c>
      <c r="C73" s="61" t="str">
        <f t="shared" ref="C73:C80" si="54">IFERROR(IF(AZ74="","",AZ74),"")</f>
        <v/>
      </c>
      <c r="D73" s="62" t="str">
        <f>IFERROR(IF($C72="TOTAL","अक्षरें राशि :-",IF($C73="TOTAL",SUM($D$8:D72),IF(BA74="","",BA74))),"")</f>
        <v/>
      </c>
      <c r="E73" s="62" t="str">
        <f>IFERROR(IF($C73="TOTAL",SUM($E$8:E72),IF(BC74="","",BC74)),"")</f>
        <v/>
      </c>
      <c r="F73" s="62" t="str">
        <f>IFERROR(IF($C73="TOTAL",SUM($F$8:F72),IF(BD74="","",BD74)),"")</f>
        <v/>
      </c>
      <c r="G73" s="62" t="str">
        <f>IFERROR(IF($C73="TOTAL",SUM($G$8:G72),IF(BB74="","",BB74)),"")</f>
        <v/>
      </c>
      <c r="H73" s="62" t="str">
        <f t="shared" ref="H73:H95" si="55">IF(C73="","",SUM(D73:G73))</f>
        <v/>
      </c>
      <c r="I73" s="62" t="str">
        <f>IFERROR(IF($C73="TOTAL",SUM($I$8:I72),IF(BF74="","",BF74)),"")</f>
        <v/>
      </c>
      <c r="J73" s="62" t="str">
        <f>IFERROR(IF($C73="TOTAL",SUM($J$8:J72),IF(BH74="","",BH74)),"")</f>
        <v/>
      </c>
      <c r="K73" s="62" t="str">
        <f>IFERROR(IF($C73="TOTAL",SUM($K$8:K72),IF(BI74="","",BI74)),"")</f>
        <v/>
      </c>
      <c r="L73" s="62" t="str">
        <f>IFERROR(IF($C73="TOTAL",SUM($L$8:L72),IF(BG74="","",BG74)),"")</f>
        <v/>
      </c>
      <c r="M73" s="62" t="str">
        <f t="shared" ref="M73:M95" si="56">IF(C73="","",SUM(I73:L73))</f>
        <v/>
      </c>
      <c r="N73" s="62" t="str">
        <f>IFERROR(IF(C73="","",IF(D73="","",IF(I73="","",IF($C73="TOTAL",SUM($N$8:N72),SUM(D73-I73))))),"")</f>
        <v/>
      </c>
      <c r="O73" s="62" t="str">
        <f>IFERROR(IF(C73="","",IF(E73="","",IF(J73="","",IF($C73="TOTAL",SUM($O$8:O72),SUM(E73-J73))))),"")</f>
        <v/>
      </c>
      <c r="P73" s="62" t="str">
        <f>IFERROR(IF(C73="","",IF(F73="","",IF(K73="","",IF($C73="TOTAL",SUM($P$8:P72),SUM(F73-K73))))),"")</f>
        <v/>
      </c>
      <c r="Q73" s="62" t="str">
        <f t="shared" ref="Q73:Q95" si="57">IFERROR(IF(D73="","",IF(G73="","",IF(L73="","",SUM(G73-L73)))),"")</f>
        <v/>
      </c>
      <c r="R73" s="62" t="str">
        <f t="shared" ref="R73:R80" si="58">IFERROR(IF(C73="","",IF(H73="","",IF(M73="","",SUM(H73-M73)))),"")</f>
        <v/>
      </c>
      <c r="S73" s="62" t="str">
        <f>IFERROR(IF(C73="","",IF($C73="TOTAL",SUM($S$8:S72),IF(AND(C73&gt;$AR$1,$AI$3=$AR$2),BW74,IF($AU$18=$AU$20,SUM(BJ74+BR74),ROUND((D73+E73)*10%,0))))),"")</f>
        <v/>
      </c>
      <c r="T73" s="62" t="str">
        <f>IFERROR(IF(C73="","",IF(I73="","",IF(J73="","",IF($C73="TOTAL",SUM($T$8:T72),IF(AND(C73&gt;$AR$1,$AI$3=$AR$2),BW74,IF($AU$18=$AU$20,$AU$21,ROUND((I73+J73)*10%,0))))))),"")</f>
        <v/>
      </c>
      <c r="U73" s="62" t="str">
        <f t="shared" ref="U73:U80" si="59">IFERROR(IF(C73="","",SUM(S73-T73)),"")</f>
        <v/>
      </c>
      <c r="V73" s="63" t="str">
        <f>IFERROR(IF(C73="","",IF($AU$16=$AU$17,0,IF($C73="TOTAL",SUM($V$8:V72),IF($AU$19=$AU$20,$AU$25,0)))),"")</f>
        <v/>
      </c>
      <c r="W73" s="63" t="str">
        <f>IFERROR(IF(C73="","",IF($AU$16=$AU$17,0,IF($C73="TOTAL",SUM($W$8:W72),IF($AU$19=$AU$20,$AU$24,0)))),"")</f>
        <v/>
      </c>
      <c r="X73" s="62" t="str">
        <f t="shared" ref="X73:X80" si="60">IFERROR(IF(C73="","",SUM(V73-W73)),"")</f>
        <v/>
      </c>
      <c r="Y73" s="62" t="str">
        <f>IFERROR(IF(C73="","",IF($AU$16=$AU$17,0,IF($C73="TOTAL",SUM($Y$8:Y72),BZ73))),"")</f>
        <v/>
      </c>
      <c r="Z73" s="62" t="str">
        <f>IFERROR(IF(C73="","",IF($AU$16=$AU$17,0,IF($C73="TOTAL",SUM($Z$8:Z72),BY73))),"")</f>
        <v/>
      </c>
      <c r="AA73" s="62" t="str">
        <f t="shared" si="52"/>
        <v/>
      </c>
      <c r="AB73" s="62" t="str">
        <f>IFERROR(IF(C73="","",IF(D73="","",IF($C73="TOTAL",SUM($AB$8:AB72),IF(C73=$AU$1,ROUND(D73*5/31,0.01),"")))),"")</f>
        <v/>
      </c>
      <c r="AC73" s="62" t="str">
        <f>IFERROR(IF(C73="","",IF(I73="","",IF($C73="TOTAL",SUM($AC$8:AC72),IF(C73=$AU$1,ROUND(I73*5/31,0.01),"")))),"")</f>
        <v/>
      </c>
      <c r="AD73" s="62" t="str">
        <f t="shared" si="16"/>
        <v/>
      </c>
      <c r="AE73" s="62" t="str">
        <f>IFERROR(IF(C73="","",IF(AND(BP74="",BW74=""),"",IF($C73="TOTAL",SUM($AE$8:AE72),BP74))),"")</f>
        <v/>
      </c>
      <c r="AF73" s="62" t="str">
        <f>IFERROR(IF(C73="","",IF($C73="TOTAL",SUM($AF$8:AF72),ROUND(R73*$AU$7%,0))),"")</f>
        <v/>
      </c>
      <c r="AG73" s="62" t="str">
        <f t="shared" ref="AG73:AG95" si="61">IFERROR(IF(C73="","",IF($AI$3="GPF",SUM(U73,X73,AA73,AD73,AE73,AF73),SUM(U73,X73,AA73,AD73,AE73,AF73))),"")</f>
        <v/>
      </c>
      <c r="AH73" s="64" t="str">
        <f>IFERROR(IF(C73="","",IF($C73="TOTAL",SUM($AH$8:AH72),SUM(R73-AG73))),"")</f>
        <v/>
      </c>
      <c r="AQ73" s="183">
        <f t="shared" si="17"/>
        <v>42</v>
      </c>
      <c r="AR73" s="183">
        <f t="shared" si="18"/>
        <v>42</v>
      </c>
      <c r="AT73" s="185">
        <v>44682</v>
      </c>
      <c r="AU73" s="165">
        <v>44682</v>
      </c>
      <c r="AV73" s="185">
        <f t="shared" si="40"/>
        <v>45505</v>
      </c>
      <c r="AW73" s="185" t="str">
        <f t="shared" si="34"/>
        <v/>
      </c>
      <c r="AX73" s="185" t="str">
        <f t="shared" ref="AX73:AX93" si="62">IF(AND(AV73=""),"",IF(AND(AV73=$AT$72),$AU$72,IF(AND(AV73=$AT$73),$AU$73,IF(AND(AV73=$AT$74),$AU$74,IF(AND(AV73=$AT$75),$AU$75,IF(AND(AV73=$AT$76),$AU$76,IF(AND(AV73=$AT$77),$AU$77,IF(AND(AV73=$AT$78),$AU$78,IF(AND(AV73=$AT$79),$AU$79,IF(AND(AV73=$AT$80),$AU$80,IF(AND(AV73=$AT$81),$AU$81,IF(AND(AV73=$AT$82),$AU$82,IF(AND(AV73=$AT$83),$AU$83,IF(AND(AV73=$AT$84),$AU$84,IF(AND(AV73=$AT$85),$AU$85,IF(AND(AV73=$AT$86),$AU$86,IF(AND(AV73=$AT$87),$AU$87,IF(AND(AV73=$AT$88),$AU$88,IF(AND(AV73=$AT$89),$AU$89,IF(AND(AV73=$AT$90),$AU$90,IF(AND(AV73=$AT$91),$AU$91,IF(AND(AV73=$AT$92),$AU$92,IF(AND(AV73=$AT$93),$AU$93,"")))))))))))))))))))))))</f>
        <v/>
      </c>
      <c r="AY73" s="185" t="str">
        <f t="shared" si="21"/>
        <v/>
      </c>
      <c r="AZ73" s="185" t="str">
        <f>IFERROR(IF(AY73="","",IF(DATE(YEAR(AY73),MONTH(AY73),DAY(AY73))=DATE(YEAR($AV$6),MONTH($AV$6)+1,DAY($AV$6)),"TOTAL",IF(AY73&gt;$AV$6,"",AY73))),"")</f>
        <v/>
      </c>
      <c r="BA73" s="184" t="str">
        <f t="shared" si="36"/>
        <v/>
      </c>
      <c r="BB73" s="184" t="str">
        <f t="shared" si="22"/>
        <v/>
      </c>
      <c r="BC73" s="184" t="str">
        <f t="shared" si="23"/>
        <v/>
      </c>
      <c r="BD73" s="184" t="str">
        <f t="shared" si="37"/>
        <v/>
      </c>
      <c r="BE73" s="184"/>
      <c r="BF73" s="184" t="str">
        <f t="shared" si="38"/>
        <v/>
      </c>
      <c r="BG73" s="184" t="str">
        <f t="shared" si="24"/>
        <v/>
      </c>
      <c r="BH73" s="184" t="str">
        <f t="shared" si="25"/>
        <v/>
      </c>
      <c r="BI73" s="184" t="str">
        <f t="shared" si="39"/>
        <v/>
      </c>
      <c r="BJ73" s="184" t="str">
        <f t="shared" si="45"/>
        <v/>
      </c>
      <c r="BM73" s="184" t="str">
        <f t="shared" si="27"/>
        <v/>
      </c>
      <c r="BN73" s="184" t="str">
        <f t="shared" si="46"/>
        <v/>
      </c>
      <c r="BO73" s="184" t="str">
        <f t="shared" si="29"/>
        <v/>
      </c>
      <c r="BP73" s="184" t="str">
        <f t="shared" ref="BP73:BP96" si="63">IF(BO73="","",IF($AU$16=$AU$17,ROUND((D72)*3%,0),IF(OR(AZ73=$AT$63,AZ73=$AT$64,AZ73=$AT$65),SUM(ROUND((D72-I72)*3%,0)),IF(OR(AZ73=$AT$69,AZ73=$AT$70,AZ73=$AT$71),SUM(ROUND((D72-I72)*3%,0)),""))))</f>
        <v/>
      </c>
      <c r="BQ73" s="184">
        <f t="shared" ref="BQ73:BQ96" si="64">IFERROR(IF(AND($AU$16=$AU$17,BO73="YES"),ROUND(ROUND(D72*3%,0)*10%,0),IF(AND($AU$16=$AU$15,BO73="YES",$AS$7="NO"),ROUND(ROUND((N72+I72)*3%,0)*10%,0),IF(AND($AU$16=$AU$15,BO73="YES",$AS$7="YES"),ROUND(ROUND((N72+O72)*3%,0)*10%,0),0))),"")</f>
        <v>0</v>
      </c>
      <c r="BR73" s="184">
        <f t="shared" ref="BR73:BR96" si="65">IF(AND($AU$16=$AU$17,BO73="YES"),ROUND(D72*3%,0),IF(AND($AU$16=$AU$15,BO73="YES",$AS$7="NO"),ROUND((N72+I72)*3%,0),IF(AND($AU$16=$AU$15,BO73="YES",$AS$7="YES"),ROUND((N72+O72)*3%,0),0)))</f>
        <v>0</v>
      </c>
      <c r="BW73" s="184" t="str">
        <f t="shared" si="30"/>
        <v/>
      </c>
      <c r="BY73" s="179" t="str">
        <f t="shared" si="31"/>
        <v/>
      </c>
      <c r="BZ73" s="179" t="str">
        <f>IF(AZ74="","",IF(AZ74="TOTAL","",IF($AU$16=$AU$17,0,IF(AND(AZ74&gt;$BY$1,$AI$3=$AR$2,'Master Sheet'!$D$27&gt;0),'Master Sheet'!$D$27,IF(AND(AZ74=$BY$1),IF($AU$9&lt;18001,135,IF($AU$9&lt;33501,220,IF($AU$9&lt;54001,330,440))),IF(AND(AZ74&gt;$BY$1),IF($AU$9&lt;18001,265,IF($AU$9&lt;33501,440,IF($AU$9&lt;54001,658,875))),""))))))</f>
        <v/>
      </c>
    </row>
    <row r="74" spans="1:78" ht="21" customHeight="1">
      <c r="A74" s="110" t="str">
        <f t="shared" si="32"/>
        <v/>
      </c>
      <c r="B74" s="60" t="str">
        <f t="shared" si="53"/>
        <v/>
      </c>
      <c r="C74" s="61" t="str">
        <f t="shared" si="54"/>
        <v/>
      </c>
      <c r="D74" s="62" t="str">
        <f>IFERROR(IF($C73="TOTAL","अक्षरें राशि :-",IF($C74="TOTAL",SUM($D$8:D73),IF(BA75="","",BA75))),"")</f>
        <v/>
      </c>
      <c r="E74" s="62" t="str">
        <f>IFERROR(IF($C74="TOTAL",SUM($E$8:E73),IF(BC75="","",BC75)),"")</f>
        <v/>
      </c>
      <c r="F74" s="62" t="str">
        <f>IFERROR(IF($C74="TOTAL",SUM($F$8:F73),IF(BD75="","",BD75)),"")</f>
        <v/>
      </c>
      <c r="G74" s="62" t="str">
        <f>IFERROR(IF($C74="TOTAL",SUM($G$8:G73),IF(BB75="","",BB75)),"")</f>
        <v/>
      </c>
      <c r="H74" s="62" t="str">
        <f t="shared" si="55"/>
        <v/>
      </c>
      <c r="I74" s="62" t="str">
        <f>IFERROR(IF($C74="TOTAL",SUM($I$8:I73),IF(BF75="","",BF75)),"")</f>
        <v/>
      </c>
      <c r="J74" s="62" t="str">
        <f>IFERROR(IF($C74="TOTAL",SUM($J$8:J73),IF(BH75="","",BH75)),"")</f>
        <v/>
      </c>
      <c r="K74" s="62" t="str">
        <f>IFERROR(IF($C74="TOTAL",SUM($K$8:K73),IF(BI75="","",BI75)),"")</f>
        <v/>
      </c>
      <c r="L74" s="62" t="str">
        <f>IFERROR(IF($C74="TOTAL",SUM($L$8:L73),IF(BG75="","",BG75)),"")</f>
        <v/>
      </c>
      <c r="M74" s="62" t="str">
        <f t="shared" si="56"/>
        <v/>
      </c>
      <c r="N74" s="62" t="str">
        <f>IFERROR(IF(C74="","",IF(D74="","",IF(I74="","",IF($C74="TOTAL",SUM($N$8:N73),SUM(D74-I74))))),"")</f>
        <v/>
      </c>
      <c r="O74" s="62" t="str">
        <f>IFERROR(IF(C74="","",IF(E74="","",IF(J74="","",IF($C74="TOTAL",SUM($O$8:O73),SUM(E74-J74))))),"")</f>
        <v/>
      </c>
      <c r="P74" s="62" t="str">
        <f>IFERROR(IF(C74="","",IF(F74="","",IF(K74="","",IF($C74="TOTAL",SUM($P$8:P73),SUM(F74-K74))))),"")</f>
        <v/>
      </c>
      <c r="Q74" s="62" t="str">
        <f t="shared" si="57"/>
        <v/>
      </c>
      <c r="R74" s="62" t="str">
        <f t="shared" si="58"/>
        <v/>
      </c>
      <c r="S74" s="62" t="str">
        <f>IFERROR(IF(C74="","",IF($C74="TOTAL",SUM($S$8:S73),IF(AND(C74&gt;$AR$1,$AI$3=$AR$2),BW75,IF($AU$18=$AU$20,SUM(BJ75+BR75),ROUND((D74+E74)*10%,0))))),"")</f>
        <v/>
      </c>
      <c r="T74" s="62" t="str">
        <f>IFERROR(IF(C74="","",IF(I74="","",IF(J74="","",IF($C74="TOTAL",SUM($T$8:T73),IF(AND(C74&gt;$AR$1,$AI$3=$AR$2),BW75,IF($AU$18=$AU$20,$AU$21,ROUND((I74+J74)*10%,0))))))),"")</f>
        <v/>
      </c>
      <c r="U74" s="62" t="str">
        <f t="shared" si="59"/>
        <v/>
      </c>
      <c r="V74" s="63" t="str">
        <f>IFERROR(IF(C74="","",IF($AU$16=$AU$17,0,IF($C74="TOTAL",SUM($V$8:V73),IF($AU$19=$AU$20,$AU$25,0)))),"")</f>
        <v/>
      </c>
      <c r="W74" s="63" t="str">
        <f>IFERROR(IF(C74="","",IF($AU$16=$AU$17,0,IF($C74="TOTAL",SUM($W$8:W73),IF($AU$19=$AU$20,$AU$24,0)))),"")</f>
        <v/>
      </c>
      <c r="X74" s="62" t="str">
        <f t="shared" si="60"/>
        <v/>
      </c>
      <c r="Y74" s="62" t="str">
        <f>IFERROR(IF(C74="","",IF($AU$16=$AU$17,0,IF($C74="TOTAL",SUM($Y$8:Y73),BZ74))),"")</f>
        <v/>
      </c>
      <c r="Z74" s="62" t="str">
        <f>IFERROR(IF(C74="","",IF($AU$16=$AU$17,0,IF($C74="TOTAL",SUM($Z$8:Z73),BY74))),"")</f>
        <v/>
      </c>
      <c r="AA74" s="62" t="str">
        <f t="shared" si="52"/>
        <v/>
      </c>
      <c r="AB74" s="62" t="str">
        <f>IFERROR(IF(C74="","",IF(D74="","",IF($C74="TOTAL",SUM($AB$8:AB73),IF(C74=$AU$1,ROUND(D74*5/31,0.01),"")))),"")</f>
        <v/>
      </c>
      <c r="AC74" s="62" t="str">
        <f>IFERROR(IF(C74="","",IF(I74="","",IF($C74="TOTAL",SUM($AC$8:AC73),IF(C74=$AU$1,ROUND(I74*5/31,0.01),"")))),"")</f>
        <v/>
      </c>
      <c r="AD74" s="62" t="str">
        <f t="shared" ref="AD74:AD95" si="66">IFERROR(IF(I74="","",SUM(AB74-AC74)),"")</f>
        <v/>
      </c>
      <c r="AE74" s="62" t="str">
        <f>IFERROR(IF(C74="","",IF(AND(BP75="",BW75=""),"",IF($C74="TOTAL",SUM($AE$8:AE73),BP75))),"")</f>
        <v/>
      </c>
      <c r="AF74" s="62" t="str">
        <f>IFERROR(IF(C74="","",IF($C74="TOTAL",SUM($AF$8:AF73),ROUND(R74*$AU$7%,0))),"")</f>
        <v/>
      </c>
      <c r="AG74" s="62" t="str">
        <f t="shared" si="61"/>
        <v/>
      </c>
      <c r="AH74" s="64" t="str">
        <f>IFERROR(IF(C74="","",IF($C74="TOTAL",SUM($AH$8:AH73),SUM(R74-AG74))),"")</f>
        <v/>
      </c>
      <c r="AQ74" s="183">
        <f t="shared" ref="AQ74:AQ94" si="67">IF(OR(AZ74=$AT$9,AZ74=$AT$10,AZ74=$AT$11,AZ74=$AT$12,AZ74=$AT$13,AZ74=$AT$14),4,IF(OR(AZ74=$AT$15,AZ74=$AT$16,AZ74=$AT$17,AZ74=$AT$18,AZ74=$AT$19,AZ74=$AT$20),5,IF(OR(AZ74=$AT$21,AZ74=$AT$22,AZ74=$AT$23,AZ74=$AT$24,AZ74=$AT$25,AZ74=$AT$26),7,IF(OR(AZ74=$AT$27,AZ74=$AT$28,AZ74=$AT$29,AZ74=$AT$30,AZ74=$AT$31,AZ74=$AT$32),9,IF(OR(AZ74=$AT$33,AZ74=$AT$34,AZ74=$AT$35,AZ74=$AT$36,AZ74=$AT$37,AZ74=$AT$38),12,IF(OR(AZ74=$AT$39,AZ74=$AT$40,AZ74=$AT$41,AZ74=$AT$42,AZ74=$AT$43,AZ74=$AT$44,AZ74=$AT$45,AZ74=$AT$46,AZ74=$AT$47,AZ74=$AT$48,AZ74=$AT$49,AZ74=$AT$50,AZ74=$AT$51,AZ74=$AT$52,AZ74=$AT$53,AZ74=$AT$54,AZ74=$AT$55,AZ74=$AT$56,AZ74=$AT$57,AZ74=$AT$58,AZ74=$AT$59,AZ74=$AT$60,AZ74=$AT$61,AZ74=$AT$62),17,IF(OR(AZ74=$AT$63,AZ74=$AT$64,AZ74=$AT$65,AZ74=$AT$66,AZ74=$AT$67,AZ74=$AT$68),31,IF(OR(AZ74=$AT$69,AZ74=$AT$70,AZ74=$AT$71,AZ74=$AT$72,AZ74=$AT$73,AZ74=$AT$74),34,IF(OR(AZ74=$AT$75,AZ74=$AT$76,AZ74=$AT$77,AZ74=$AT$78,AZ74=$AT$79,AZ74=$AT$80),38,42)))))))))</f>
        <v>42</v>
      </c>
      <c r="AR74" s="183">
        <f t="shared" ref="AR74:AR94" si="68">IF(OR(AZ74=$AT$9,AZ74=$AT$10,AZ74=$AT$11,AZ74=$AT$12,AZ74=$AT$13,AZ74=$AT$14),4,IF(OR(AZ74=$AT$15,AZ74=$AT$16,AZ74=$AT$17,AZ74=$AT$18,AZ74=$AT$19,AZ74=$AT$20),5,IF(OR(AZ74=$AT$21,AZ74=$AT$22,AZ74=$AT$23,AZ74=$AT$24,AZ74=$AT$25,AZ74=$AT$26),7,IF(OR(AZ74=$AT$27,AZ74=$AT$28,AZ74=$AT$29,AZ74=$AT$30,AZ74=$AT$31,AZ74=$AT$32),9,IF(OR(AZ74=$AT$33,AZ74=$AT$34,AZ74=$AT$35,AZ74=$AT$36,AZ74=$AT$37,AZ74=$AT$38),12,IF(OR(AZ74=$AT$39,AZ74=$AT$40,AZ74=$AT$41,AZ74=$AT$42,AZ74=$AT$43,AZ74=$AT$44,AZ74=$AT$45,AZ74=$AT$46,AZ74=$AT$47,AZ74=$AT$48,AZ74=$AT$49,AZ74=$AT$50,AZ74=$AT$51,AZ74=$AT$52,AZ74=$AT$53,AZ74=$AT$54,AZ74=$AT$55,AZ74=$AT$56,AZ74=$AT$57,AZ74=$AT$58,AZ74=$AT$59,AZ74=$AT$60,AZ74=$AT$61,AZ74=$AT$62),17,IF(OR(AZ74=$AT$63,AZ74=$AT$64,AZ74=$AT$65,AZ74=$AT$66,AZ74=$AT$67,AZ74=$AT$68),31,IF(OR(AZ74=$AT$69,AZ74=$AT$70,AZ74=$AT$71,AZ74=$AT$72,AZ74=$AT$73,AZ74=$AT$74),34,IF(OR(AZ74=$AT$75,AZ74=$AT$76,AZ74=$AT$77,AZ74=$AT$78,AZ74=$AT$79,AZ74=$AT$80),38,42)))))))))</f>
        <v>42</v>
      </c>
      <c r="AT74" s="185">
        <v>44713</v>
      </c>
      <c r="AU74" s="165">
        <v>44713</v>
      </c>
      <c r="AV74" s="185">
        <f t="shared" si="40"/>
        <v>45536</v>
      </c>
      <c r="AW74" s="185" t="str">
        <f t="shared" ref="AW74:AW81" si="69">IF(AND(AV74=""),"",IF(AND(AV74=$AT$9),$AT$9,IF(AND(AV74=$AT$10),$AT$10,IF(AND(AV74=$AT$11),$AT$11,IF(AND(AV74=$AT$12),$AT$12,IF(AND(AV74=$AT$13),$AT$13,IF(AND(AV74=$AT$14),$AT$14,IF(AND(AV74=$AT$15),$AT$15,IF(AND(AV74=$AT$16),$AT$16,IF(AND(AV74=$AT$17),$AT$17,IF(AND(AV74=$AT$18),$AT$18,IF(AND(AV74=$AT$19),$AT$19,IF(AND(AV74=$AT$20),$AT$20,IF(AND(AV74=$AT$21),$AT$21,IF(AND(AV74=$AT$22),$AT$22,IF(AND(AV74=$AT$23),$AT$23,IF(AND(AV74=$AT$24),$AT$24,IF(AND(AV74=$AT$25),$AT$25,IF(AND(AV74=$AT$26),$AT$26,IF(AND(AV74=$AT$27),$AT$27,IF(AND(AV74=$AT$28),$AT$28,IF(AND(AV74=$AT$29),$AT$29,IF(AND(AV74=$AT$30),$AT$30,IF(AND(AV74=$AT$31),$AT$31,IF(AND(AV74=$AT$32),$AT$32,IF(AND(AV74=$AT$33),$AT$33,IF(AND(AV74=$AT$34),$AT$34,IF(AND(AV74=$AT$35),$AT$35,IF(AND(AV74=$AT$36),$AT$36,IF(AND(AV74=$AT$37),$AT$37,IF(AND(AV74=$AT$38),$AT$38,IF(AND(AV74=$AT$39),$AT$39,IF(AND(AV74=$AT$40),$AT$40,IF(AND(AV74=$AT$41),$AT$41,IF(AND(AV74=$AT$42),$AT$42,IF(AND(AV74=$AT$43),$AT$43,IF(AND(AV74=$AT$44),$AT$44,IF(AND(AV74=$AT$45),$AT$45,IF(AND(AV74=$AT$46),$AT$46,IF(AND(AV74=$AT$47),$AT$47,IF(AND(AV74=$AT$48),$AT$48,IF(AND(AV74=$AT$49),$AT$49,IF(AND(AV74=$AT$50),$AT$50,IF(AND(AV74=$AT$51),$AT$51,IF(AND(AV74=$AT$52),$AT$52,IF(AND(AV74=$AT$53),$AT$53,IF(AND(AV74=$AT$54),$AT$54,IF(AND(AV74=$AT$55),$AT$55,IF(AND(AV74=$AT$56),$AT$56,IF(AND(AV74=$AT$57),$AT$57,IF(AND(AV74=$AT$58),$AT$58,IF(AND(AV74=$AT$59),$AT$59,IF(AND(AV74=$AT$60),$AT$60,IF(AND(AV74=$AT$61),$AT$61,IF(AND(AV74=$AT$62),$AT$62,IF(AND(AV74=$AT$63),$AT$63,IF(AND(AV74=$AT$64),$AT$64,IF(AND(AV74=$AT$65),$AT$65,IF(AND(AV74=$AT$66),$AT$66,IF(AND(AV74=$AT$67),$AT$67,IF(AND(AV74=$AT$68),$AT$68,IF(AND(AV74=$AT$69),$AT$69,IF(AND(AV74=$AT$70),$AT$70,IF(AND(AV74=$AT$71),$AT$71,""))))))))))))))))))))))))))))))))))))))))))))))))))))))))))))))))</f>
        <v/>
      </c>
      <c r="AX74" s="185" t="str">
        <f t="shared" si="62"/>
        <v/>
      </c>
      <c r="AY74" s="185" t="str">
        <f t="shared" ref="AY74:AY91" si="70">IFERROR(IF(AND(AW74="",AX74=""),"",IF(AW74="",AX74,AW74)),"")</f>
        <v/>
      </c>
      <c r="AZ74" s="185" t="str">
        <f>IFERROR(IF(AY74="","",IF(DATE(YEAR(AY74),MONTH(AY74),DAY(AY74))=DATE(YEAR($AV$6),MONTH($AV$6)+1,DAY($AV$6)),"TOTAL",IF(AY74&gt;$AV$6,"",AY74))),"")</f>
        <v/>
      </c>
      <c r="BA74" s="184" t="str">
        <f t="shared" si="36"/>
        <v/>
      </c>
      <c r="BB74" s="184" t="str">
        <f t="shared" ref="BB74:BB94" si="71">IF(AZ74="","",IF(AZ74="TOTAL","",ROUND((BA74*20/100),0.01)))</f>
        <v/>
      </c>
      <c r="BC74" s="184" t="str">
        <f t="shared" ref="BC74:BC94" si="72">IF(AZ74="","",IF(AZ74="TOTAL","",ROUND((BA74+BB74)*AQ74%,0)))</f>
        <v/>
      </c>
      <c r="BD74" s="184" t="str">
        <f t="shared" si="37"/>
        <v/>
      </c>
      <c r="BE74" s="184"/>
      <c r="BF74" s="184" t="str">
        <f t="shared" si="38"/>
        <v/>
      </c>
      <c r="BG74" s="184" t="str">
        <f t="shared" ref="BG74:BG94" si="73">IF(AZ74="","",IF(AZ74="TOTAL","",ROUND((BF74*20/100),0.01)))</f>
        <v/>
      </c>
      <c r="BH74" s="184" t="str">
        <f t="shared" ref="BH74:BH94" si="74">IF(AZ74="","",IF(BF74="","",IF($AU$16=$AU$17,0,ROUND((BF74+BG74)*AR74%,0))))</f>
        <v/>
      </c>
      <c r="BI74" s="184" t="str">
        <f t="shared" si="39"/>
        <v/>
      </c>
      <c r="BJ74" s="184" t="str">
        <f t="shared" ref="BJ74:BJ96" si="75">IF(AZ74="","",IF(AZ74="TOTAL","",IF(BF74="","",IF($AU$16=$AU$17,0,IF(OR(C73=$AS$16,C73=$AS$17,C73=$AS$18,C73=$AS$19,C73=$AS$20,C73=$AS$21,C73=$AS$22,C73=$AS$23,C73=$AS$24),SUM(BM74+BN74),BN74)))))</f>
        <v/>
      </c>
      <c r="BM74" s="184" t="str">
        <f t="shared" ref="BM74:BM96" si="76">IF(AZ74="","",IF(AZ74="TOTAL","",IF(BF74="","",SUM(R73)-SUM(($AU$22-$AU$21)+SUM(X73,AA73,AF73)))))</f>
        <v/>
      </c>
      <c r="BN74" s="184" t="str">
        <f t="shared" ref="BN74:BN96" si="77">IF(AZ73="","",IF(AZ73="TOTAL","",IF(AND($AU$20=$AU$36,C74=$AU$37),$AU$38,BN73)))</f>
        <v/>
      </c>
      <c r="BO74" s="184" t="str">
        <f t="shared" ref="BO74:BO90" si="78">IF(OR(AZ74=$AT$63,AZ74=$AT$64,AZ74=$AT$65),"YES","")</f>
        <v/>
      </c>
      <c r="BP74" s="184" t="str">
        <f t="shared" si="63"/>
        <v/>
      </c>
      <c r="BQ74" s="184">
        <f t="shared" si="64"/>
        <v>0</v>
      </c>
      <c r="BR74" s="184">
        <f t="shared" si="65"/>
        <v>0</v>
      </c>
      <c r="BW74" s="184" t="str">
        <f t="shared" ref="BW74:BW97" si="79">IF(AZ74="","",IF(AZ74="TOTAL","",IF(AND(AZ74&gt;$AR$1,$AI$3=$AR$2),$AY$1,"")))</f>
        <v/>
      </c>
      <c r="BY74" s="179" t="str">
        <f t="shared" ref="BY74:BY125" si="80">IF(AZ75="","",IF(AZ75="TOTAL","",IF($AU$16=$AU$17,0,IF(AND(AZ75=$BY$1),IF($AU$14&lt;18001,135,IF($AU$14&lt;33501,220,IF($AU$14&lt;54001,330,440))),IF(AND(AZ75&gt;$BY$1),IF($AU$14&lt;18001,265,IF($AU$14&lt;33501,440,IF($AU$14&lt;54001,658,875))),"")))))</f>
        <v/>
      </c>
      <c r="BZ74" s="179" t="str">
        <f>IF(AZ75="","",IF(AZ75="TOTAL","",IF($AU$16=$AU$17,0,IF(AND(AZ75&gt;$BY$1,$AI$3=$AR$2,'Master Sheet'!$D$27&gt;0),'Master Sheet'!$D$27,IF(AND(AZ75=$BY$1),IF($AU$9&lt;18001,135,IF($AU$9&lt;33501,220,IF($AU$9&lt;54001,330,440))),IF(AND(AZ75&gt;$BY$1),IF($AU$9&lt;18001,265,IF($AU$9&lt;33501,440,IF($AU$9&lt;54001,658,875))),""))))))</f>
        <v/>
      </c>
    </row>
    <row r="75" spans="1:78" ht="21" customHeight="1">
      <c r="A75" s="110" t="str">
        <f t="shared" si="32"/>
        <v/>
      </c>
      <c r="B75" s="60" t="str">
        <f t="shared" si="53"/>
        <v/>
      </c>
      <c r="C75" s="61" t="str">
        <f t="shared" si="54"/>
        <v/>
      </c>
      <c r="D75" s="62" t="str">
        <f>IFERROR(IF($C74="TOTAL","अक्षरें राशि :-",IF($C75="TOTAL",SUM($D$8:D74),IF(BA76="","",BA76))),"")</f>
        <v/>
      </c>
      <c r="E75" s="62" t="str">
        <f>IFERROR(IF($C75="TOTAL",SUM($E$8:E74),IF(BC76="","",BC76)),"")</f>
        <v/>
      </c>
      <c r="F75" s="62" t="str">
        <f>IFERROR(IF($C75="TOTAL",SUM($F$8:F74),IF(BD76="","",BD76)),"")</f>
        <v/>
      </c>
      <c r="G75" s="62" t="str">
        <f>IFERROR(IF($C75="TOTAL",SUM($G$8:G74),IF(BB76="","",BB76)),"")</f>
        <v/>
      </c>
      <c r="H75" s="62" t="str">
        <f t="shared" si="55"/>
        <v/>
      </c>
      <c r="I75" s="62" t="str">
        <f>IFERROR(IF($C75="TOTAL",SUM($I$8:I74),IF(BF76="","",BF76)),"")</f>
        <v/>
      </c>
      <c r="J75" s="62" t="str">
        <f>IFERROR(IF($C75="TOTAL",SUM($J$8:J74),IF(BH76="","",BH76)),"")</f>
        <v/>
      </c>
      <c r="K75" s="62" t="str">
        <f>IFERROR(IF($C75="TOTAL",SUM($K$8:K74),IF(BI76="","",BI76)),"")</f>
        <v/>
      </c>
      <c r="L75" s="62" t="str">
        <f>IFERROR(IF($C75="TOTAL",SUM($L$8:L74),IF(BG76="","",BG76)),"")</f>
        <v/>
      </c>
      <c r="M75" s="62" t="str">
        <f t="shared" si="56"/>
        <v/>
      </c>
      <c r="N75" s="62" t="str">
        <f>IFERROR(IF(C75="","",IF(D75="","",IF(I75="","",IF($C75="TOTAL",SUM($N$8:N74),SUM(D75-I75))))),"")</f>
        <v/>
      </c>
      <c r="O75" s="62" t="str">
        <f>IFERROR(IF(C75="","",IF(E75="","",IF(J75="","",IF($C75="TOTAL",SUM($O$8:O74),SUM(E75-J75))))),"")</f>
        <v/>
      </c>
      <c r="P75" s="62" t="str">
        <f>IFERROR(IF(C75="","",IF(F75="","",IF(K75="","",IF($C75="TOTAL",SUM($P$8:P74),SUM(F75-K75))))),"")</f>
        <v/>
      </c>
      <c r="Q75" s="62" t="str">
        <f t="shared" si="57"/>
        <v/>
      </c>
      <c r="R75" s="62" t="str">
        <f t="shared" si="58"/>
        <v/>
      </c>
      <c r="S75" s="62" t="str">
        <f>IFERROR(IF(C75="","",IF($C75="TOTAL",SUM($S$8:S74),IF(AND(C75&gt;$AR$1,$AI$3=$AR$2),BW76,IF($AU$18=$AU$20,SUM(BJ76+BR76),ROUND((D75+E75)*10%,0))))),"")</f>
        <v/>
      </c>
      <c r="T75" s="62" t="str">
        <f>IFERROR(IF(C75="","",IF(I75="","",IF(J75="","",IF($C75="TOTAL",SUM($T$8:T74),IF(AND(C75&gt;$AR$1,$AI$3=$AR$2),BW76,IF($AU$18=$AU$20,$AU$21,ROUND((I75+J75)*10%,0))))))),"")</f>
        <v/>
      </c>
      <c r="U75" s="62" t="str">
        <f t="shared" si="59"/>
        <v/>
      </c>
      <c r="V75" s="63" t="str">
        <f>IFERROR(IF(C75="","",IF($AU$16=$AU$17,0,IF($C75="TOTAL",SUM($V$8:V74),IF($AU$19=$AU$20,$AU$25,0)))),"")</f>
        <v/>
      </c>
      <c r="W75" s="63" t="str">
        <f>IFERROR(IF(C75="","",IF($AU$16=$AU$17,0,IF($C75="TOTAL",SUM($W$8:W74),IF($AU$19=$AU$20,$AU$24,0)))),"")</f>
        <v/>
      </c>
      <c r="X75" s="62" t="str">
        <f t="shared" si="60"/>
        <v/>
      </c>
      <c r="Y75" s="62" t="str">
        <f>IFERROR(IF(C75="","",IF($AU$16=$AU$17,0,IF($C75="TOTAL",SUM($Y$8:Y74),BZ75))),"")</f>
        <v/>
      </c>
      <c r="Z75" s="62" t="str">
        <f>IFERROR(IF(C75="","",IF($AU$16=$AU$17,0,IF($C75="TOTAL",SUM($Z$8:Z74),BY75))),"")</f>
        <v/>
      </c>
      <c r="AA75" s="62" t="str">
        <f t="shared" si="52"/>
        <v/>
      </c>
      <c r="AB75" s="62" t="str">
        <f>IFERROR(IF(C75="","",IF(D75="","",IF($C75="TOTAL",SUM($AB$8:AB74),IF(C75=$AU$1,ROUND(D75*5/31,0.01),"")))),"")</f>
        <v/>
      </c>
      <c r="AC75" s="62" t="str">
        <f>IFERROR(IF(C75="","",IF(I75="","",IF($C75="TOTAL",SUM($AC$8:AC74),IF(C75=$AU$1,ROUND(I75*5/31,0.01),"")))),"")</f>
        <v/>
      </c>
      <c r="AD75" s="62" t="str">
        <f t="shared" si="66"/>
        <v/>
      </c>
      <c r="AE75" s="62" t="str">
        <f>IFERROR(IF(C75="","",IF(AND(BP76="",BW76=""),"",IF($C75="TOTAL",SUM($AE$8:AE74),BP76))),"")</f>
        <v/>
      </c>
      <c r="AF75" s="62" t="str">
        <f>IFERROR(IF(C75="","",IF($C75="TOTAL",SUM($AF$8:AF74),ROUND(R75*$AU$7%,0))),"")</f>
        <v/>
      </c>
      <c r="AG75" s="62" t="str">
        <f t="shared" si="61"/>
        <v/>
      </c>
      <c r="AH75" s="64" t="str">
        <f>IFERROR(IF(C75="","",IF($C75="TOTAL",SUM($AH$8:AH74),SUM(R75-AG75))),"")</f>
        <v/>
      </c>
      <c r="AQ75" s="183">
        <f t="shared" si="67"/>
        <v>42</v>
      </c>
      <c r="AR75" s="183">
        <f t="shared" si="68"/>
        <v>42</v>
      </c>
      <c r="AT75" s="185">
        <v>44743</v>
      </c>
      <c r="AU75" s="165">
        <v>44743</v>
      </c>
      <c r="AV75" s="185">
        <f t="shared" si="40"/>
        <v>45566</v>
      </c>
      <c r="AW75" s="185" t="str">
        <f t="shared" si="69"/>
        <v/>
      </c>
      <c r="AX75" s="185" t="str">
        <f t="shared" si="62"/>
        <v/>
      </c>
      <c r="AY75" s="185" t="str">
        <f t="shared" si="70"/>
        <v/>
      </c>
      <c r="AZ75" s="185" t="str">
        <f t="shared" ref="AZ75:AZ83" si="81">IFERROR(IF(AY75="","",IF(DATE(YEAR(AY75),MONTH(AY75),DAY(AY75))=DATE(YEAR($AV$6),MONTH($AV$6)+1,DAY($AV$6)),"TOTAL",IF(AY75&gt;$AV$6,"",AY75))),"")</f>
        <v/>
      </c>
      <c r="BA75" s="184" t="str">
        <f t="shared" si="36"/>
        <v/>
      </c>
      <c r="BB75" s="184" t="str">
        <f t="shared" si="71"/>
        <v/>
      </c>
      <c r="BC75" s="184" t="str">
        <f t="shared" si="72"/>
        <v/>
      </c>
      <c r="BD75" s="184" t="str">
        <f t="shared" si="37"/>
        <v/>
      </c>
      <c r="BE75" s="184"/>
      <c r="BF75" s="184" t="str">
        <f t="shared" si="38"/>
        <v/>
      </c>
      <c r="BG75" s="184" t="str">
        <f t="shared" si="73"/>
        <v/>
      </c>
      <c r="BH75" s="184" t="str">
        <f t="shared" si="74"/>
        <v/>
      </c>
      <c r="BI75" s="184" t="str">
        <f t="shared" si="39"/>
        <v/>
      </c>
      <c r="BJ75" s="184" t="str">
        <f t="shared" si="75"/>
        <v/>
      </c>
      <c r="BM75" s="184" t="str">
        <f t="shared" si="76"/>
        <v/>
      </c>
      <c r="BN75" s="184" t="str">
        <f t="shared" si="77"/>
        <v/>
      </c>
      <c r="BO75" s="184" t="str">
        <f t="shared" si="78"/>
        <v/>
      </c>
      <c r="BP75" s="184" t="str">
        <f t="shared" si="63"/>
        <v/>
      </c>
      <c r="BQ75" s="184">
        <f t="shared" si="64"/>
        <v>0</v>
      </c>
      <c r="BR75" s="184">
        <f t="shared" si="65"/>
        <v>0</v>
      </c>
      <c r="BW75" s="184" t="str">
        <f t="shared" si="79"/>
        <v/>
      </c>
      <c r="BY75" s="179" t="str">
        <f t="shared" si="80"/>
        <v/>
      </c>
      <c r="BZ75" s="179" t="str">
        <f>IF(AZ76="","",IF(AZ76="TOTAL","",IF($AU$16=$AU$17,0,IF(AND(AZ76&gt;$BY$1,$AI$3=$AR$2,'Master Sheet'!$D$27&gt;0),'Master Sheet'!$D$27,IF(AND(AZ76=$BY$1),IF($AU$9&lt;18001,135,IF($AU$9&lt;33501,220,IF($AU$9&lt;54001,330,440))),IF(AND(AZ76&gt;$BY$1),IF($AU$9&lt;18001,265,IF($AU$9&lt;33501,440,IF($AU$9&lt;54001,658,875))),""))))))</f>
        <v/>
      </c>
    </row>
    <row r="76" spans="1:78" ht="21" customHeight="1">
      <c r="A76" s="110" t="str">
        <f t="shared" ref="A76:A83" si="82">IF(C76="TOTAL","",IF(B75="","",IF(LEN(C76)&gt;=2,B75+1,0)))</f>
        <v/>
      </c>
      <c r="B76" s="60" t="str">
        <f t="shared" si="53"/>
        <v/>
      </c>
      <c r="C76" s="61" t="str">
        <f t="shared" si="54"/>
        <v/>
      </c>
      <c r="D76" s="62" t="str">
        <f>IFERROR(IF($C75="TOTAL","अक्षरें राशि :-",IF($C76="TOTAL",SUM($D$8:D75),IF(BA77="","",BA77))),"")</f>
        <v/>
      </c>
      <c r="E76" s="62" t="str">
        <f>IFERROR(IF($C76="TOTAL",SUM($E$8:E75),IF(BC77="","",BC77)),"")</f>
        <v/>
      </c>
      <c r="F76" s="62" t="str">
        <f>IFERROR(IF($C76="TOTAL",SUM($F$8:F75),IF(BD77="","",BD77)),"")</f>
        <v/>
      </c>
      <c r="G76" s="62" t="str">
        <f>IFERROR(IF($C76="TOTAL",SUM($G$8:G75),IF(BB77="","",BB77)),"")</f>
        <v/>
      </c>
      <c r="H76" s="62" t="str">
        <f t="shared" si="55"/>
        <v/>
      </c>
      <c r="I76" s="62" t="str">
        <f>IFERROR(IF($C76="TOTAL",SUM($I$8:I75),IF(BF77="","",BF77)),"")</f>
        <v/>
      </c>
      <c r="J76" s="62" t="str">
        <f>IFERROR(IF($C76="TOTAL",SUM($J$8:J75),IF(BH77="","",BH77)),"")</f>
        <v/>
      </c>
      <c r="K76" s="62" t="str">
        <f>IFERROR(IF($C76="TOTAL",SUM($K$8:K75),IF(BI77="","",BI77)),"")</f>
        <v/>
      </c>
      <c r="L76" s="62" t="str">
        <f>IFERROR(IF($C76="TOTAL",SUM($L$8:L75),IF(BG77="","",BG77)),"")</f>
        <v/>
      </c>
      <c r="M76" s="62" t="str">
        <f t="shared" si="56"/>
        <v/>
      </c>
      <c r="N76" s="62" t="str">
        <f>IFERROR(IF(C76="","",IF(D76="","",IF(I76="","",IF($C76="TOTAL",SUM($N$8:N75),SUM(D76-I76))))),"")</f>
        <v/>
      </c>
      <c r="O76" s="62" t="str">
        <f>IFERROR(IF(C76="","",IF(E76="","",IF(J76="","",IF($C76="TOTAL",SUM($O$8:O75),SUM(E76-J76))))),"")</f>
        <v/>
      </c>
      <c r="P76" s="62" t="str">
        <f>IFERROR(IF(C76="","",IF(F76="","",IF(K76="","",IF($C76="TOTAL",SUM($P$8:P75),SUM(F76-K76))))),"")</f>
        <v/>
      </c>
      <c r="Q76" s="62" t="str">
        <f t="shared" si="57"/>
        <v/>
      </c>
      <c r="R76" s="62" t="str">
        <f t="shared" si="58"/>
        <v/>
      </c>
      <c r="S76" s="62" t="str">
        <f>IFERROR(IF(C76="","",IF($C76="TOTAL",SUM($S$8:S75),IF(AND(C76&gt;$AR$1,$AI$3=$AR$2),BW77,IF($AU$18=$AU$20,SUM(BJ77+BR77),ROUND((D76+E76)*10%,0))))),"")</f>
        <v/>
      </c>
      <c r="T76" s="62" t="str">
        <f>IFERROR(IF(C76="","",IF(I76="","",IF(J76="","",IF($C76="TOTAL",SUM($T$8:T75),IF(AND(C76&gt;$AR$1,$AI$3=$AR$2),BW77,IF($AU$18=$AU$20,$AU$21,ROUND((I76+J76)*10%,0))))))),"")</f>
        <v/>
      </c>
      <c r="U76" s="62" t="str">
        <f t="shared" si="59"/>
        <v/>
      </c>
      <c r="V76" s="63" t="str">
        <f>IFERROR(IF(C76="","",IF($AU$16=$AU$17,0,IF($C76="TOTAL",SUM($V$8:V75),IF($AU$19=$AU$20,$AU$25,0)))),"")</f>
        <v/>
      </c>
      <c r="W76" s="63" t="str">
        <f>IFERROR(IF(C76="","",IF($AU$16=$AU$17,0,IF($C76="TOTAL",SUM($W$8:W75),IF($AU$19=$AU$20,$AU$24,0)))),"")</f>
        <v/>
      </c>
      <c r="X76" s="62" t="str">
        <f t="shared" si="60"/>
        <v/>
      </c>
      <c r="Y76" s="62" t="str">
        <f>IFERROR(IF(C76="","",IF($AU$16=$AU$17,0,IF($C76="TOTAL",SUM($Y$8:Y75),BZ76))),"")</f>
        <v/>
      </c>
      <c r="Z76" s="62" t="str">
        <f>IFERROR(IF(C76="","",IF($AU$16=$AU$17,0,IF($C76="TOTAL",SUM($Z$8:Z75),BY76))),"")</f>
        <v/>
      </c>
      <c r="AA76" s="62" t="str">
        <f t="shared" si="52"/>
        <v/>
      </c>
      <c r="AB76" s="62" t="str">
        <f>IFERROR(IF(C76="","",IF(D76="","",IF($C76="TOTAL",SUM($AB$8:AB75),IF(C76=$AU$1,ROUND(D76*5/31,0.01),"")))),"")</f>
        <v/>
      </c>
      <c r="AC76" s="62" t="str">
        <f>IFERROR(IF(C76="","",IF(I76="","",IF($C76="TOTAL",SUM($AC$8:AC75),IF(C76=$AU$1,ROUND(I76*5/31,0.01),"")))),"")</f>
        <v/>
      </c>
      <c r="AD76" s="62" t="str">
        <f t="shared" si="66"/>
        <v/>
      </c>
      <c r="AE76" s="62" t="str">
        <f>IFERROR(IF(C76="","",IF(AND(BP77="",BW77=""),"",IF($C76="TOTAL",SUM($AE$8:AE75),BP77))),"")</f>
        <v/>
      </c>
      <c r="AF76" s="62" t="str">
        <f>IFERROR(IF(C76="","",IF($C76="TOTAL",SUM($AF$8:AF75),ROUND(R76*$AU$7%,0))),"")</f>
        <v/>
      </c>
      <c r="AG76" s="62" t="str">
        <f t="shared" si="61"/>
        <v/>
      </c>
      <c r="AH76" s="64" t="str">
        <f>IFERROR(IF(C76="","",IF($C76="TOTAL",SUM($AH$8:AH75),SUM(R76-AG76))),"")</f>
        <v/>
      </c>
      <c r="AQ76" s="183">
        <f t="shared" si="67"/>
        <v>42</v>
      </c>
      <c r="AR76" s="183">
        <f t="shared" si="68"/>
        <v>42</v>
      </c>
      <c r="AT76" s="185">
        <v>44774</v>
      </c>
      <c r="AU76" s="165">
        <v>44774</v>
      </c>
      <c r="AV76" s="185">
        <f t="shared" si="40"/>
        <v>45597</v>
      </c>
      <c r="AW76" s="185" t="str">
        <f t="shared" si="69"/>
        <v/>
      </c>
      <c r="AX76" s="185" t="str">
        <f t="shared" si="62"/>
        <v/>
      </c>
      <c r="AY76" s="185" t="str">
        <f t="shared" si="70"/>
        <v/>
      </c>
      <c r="AZ76" s="185" t="str">
        <f t="shared" si="81"/>
        <v/>
      </c>
      <c r="BA76" s="184" t="str">
        <f t="shared" ref="BA76:BA90" si="83">IFERROR(IF(AZ76="","",IF(AND($AU$20=$AU$28,$AU$30=AZ76),$AU$29,IF(OR(AZ76=$BD$2,AZ76=$BD$3,AZ76=$BD$4,AZ76=$BD$5,AZ76=$BD$6,AZ76=$BD$7,AZ76=$BE$2),MROUND(BA75*1.03,100),BA75))),"")</f>
        <v/>
      </c>
      <c r="BB76" s="184" t="str">
        <f t="shared" si="71"/>
        <v/>
      </c>
      <c r="BC76" s="184" t="str">
        <f t="shared" si="72"/>
        <v/>
      </c>
      <c r="BD76" s="184" t="str">
        <f t="shared" ref="BD76:BD90" si="84">IF(AZ76="","",IF(AZ76="TOTAL","",IF(AZ76&gt;=$BC$7,ROUND(BA76*$BA$7%,0),ROUND(BA76*$AW$7%,0))))</f>
        <v/>
      </c>
      <c r="BE76" s="184"/>
      <c r="BF76" s="184" t="str">
        <f t="shared" ref="BF76:BF90" si="85">IFERROR(IF(AZ76="","",IF(AZ76="TOTAL","",IF($AU$16=$AU$17,$AU$10,IF(OR(AZ76=$BD$2,AZ76=$BD$3,AZ76=$BD$4,AZ76=$BD$5,AZ76=$BD$6,AZ76=$BD$7,AZ76=$BE$2),MROUND(BF75*1.03,100),BF75)))),"")</f>
        <v/>
      </c>
      <c r="BG76" s="184" t="str">
        <f t="shared" si="73"/>
        <v/>
      </c>
      <c r="BH76" s="184" t="str">
        <f t="shared" si="74"/>
        <v/>
      </c>
      <c r="BI76" s="184" t="str">
        <f t="shared" ref="BI76:BI90" si="86">IF(AZ76="","",IF(AZ76="TOTAL","",IF(BF76="","",IF($AU$16=$AU$17,0,IF(AZ76&gt;=$BC$7,ROUND(BF76*$BA$7%,0),ROUND(BF76*$AW$7%,0))))))</f>
        <v/>
      </c>
      <c r="BJ76" s="184" t="str">
        <f t="shared" si="75"/>
        <v/>
      </c>
      <c r="BM76" s="184" t="str">
        <f t="shared" si="76"/>
        <v/>
      </c>
      <c r="BN76" s="184" t="str">
        <f t="shared" si="77"/>
        <v/>
      </c>
      <c r="BO76" s="184" t="str">
        <f t="shared" si="78"/>
        <v/>
      </c>
      <c r="BP76" s="184" t="str">
        <f t="shared" si="63"/>
        <v/>
      </c>
      <c r="BQ76" s="184">
        <f t="shared" si="64"/>
        <v>0</v>
      </c>
      <c r="BR76" s="184">
        <f t="shared" si="65"/>
        <v>0</v>
      </c>
      <c r="BW76" s="184" t="str">
        <f t="shared" si="79"/>
        <v/>
      </c>
      <c r="BY76" s="179" t="str">
        <f t="shared" si="80"/>
        <v/>
      </c>
      <c r="BZ76" s="179" t="str">
        <f>IF(AZ77="","",IF(AZ77="TOTAL","",IF($AU$16=$AU$17,0,IF(AND(AZ77&gt;$BY$1,$AI$3=$AR$2,'Master Sheet'!$D$27&gt;0),'Master Sheet'!$D$27,IF(AND(AZ77=$BY$1),IF($AU$9&lt;18001,135,IF($AU$9&lt;33501,220,IF($AU$9&lt;54001,330,440))),IF(AND(AZ77&gt;$BY$1),IF($AU$9&lt;18001,265,IF($AU$9&lt;33501,440,IF($AU$9&lt;54001,658,875))),""))))))</f>
        <v/>
      </c>
    </row>
    <row r="77" spans="1:78" ht="21" customHeight="1">
      <c r="A77" s="110" t="str">
        <f t="shared" si="82"/>
        <v/>
      </c>
      <c r="B77" s="60" t="str">
        <f t="shared" si="53"/>
        <v/>
      </c>
      <c r="C77" s="61" t="str">
        <f t="shared" si="54"/>
        <v/>
      </c>
      <c r="D77" s="62" t="str">
        <f>IFERROR(IF($C76="TOTAL","अक्षरें राशि :-",IF($C77="TOTAL",SUM($D$8:D76),IF(BA78="","",BA78))),"")</f>
        <v/>
      </c>
      <c r="E77" s="62" t="str">
        <f>IFERROR(IF($C77="TOTAL",SUM($E$8:E76),IF(BC78="","",BC78)),"")</f>
        <v/>
      </c>
      <c r="F77" s="62" t="str">
        <f>IFERROR(IF($C77="TOTAL",SUM($F$8:F76),IF(BD78="","",BD78)),"")</f>
        <v/>
      </c>
      <c r="G77" s="62" t="str">
        <f>IFERROR(IF($C77="TOTAL",SUM($G$8:G76),IF(BB78="","",BB78)),"")</f>
        <v/>
      </c>
      <c r="H77" s="62" t="str">
        <f t="shared" si="55"/>
        <v/>
      </c>
      <c r="I77" s="62" t="str">
        <f>IFERROR(IF($C77="TOTAL",SUM($I$8:I76),IF(BF78="","",BF78)),"")</f>
        <v/>
      </c>
      <c r="J77" s="62" t="str">
        <f>IFERROR(IF($C77="TOTAL",SUM($J$8:J76),IF(BH78="","",BH78)),"")</f>
        <v/>
      </c>
      <c r="K77" s="62" t="str">
        <f>IFERROR(IF($C77="TOTAL",SUM($K$8:K76),IF(BI78="","",BI78)),"")</f>
        <v/>
      </c>
      <c r="L77" s="62" t="str">
        <f>IFERROR(IF($C77="TOTAL",SUM($L$8:L76),IF(BG78="","",BG78)),"")</f>
        <v/>
      </c>
      <c r="M77" s="62" t="str">
        <f t="shared" si="56"/>
        <v/>
      </c>
      <c r="N77" s="62" t="str">
        <f>IFERROR(IF(C77="","",IF(D77="","",IF(I77="","",IF($C77="TOTAL",SUM($N$8:N76),SUM(D77-I77))))),"")</f>
        <v/>
      </c>
      <c r="O77" s="62" t="str">
        <f>IFERROR(IF(C77="","",IF(E77="","",IF(J77="","",IF($C77="TOTAL",SUM($O$8:O76),SUM(E77-J77))))),"")</f>
        <v/>
      </c>
      <c r="P77" s="62" t="str">
        <f>IFERROR(IF(C77="","",IF(F77="","",IF(K77="","",IF($C77="TOTAL",SUM($P$8:P76),SUM(F77-K77))))),"")</f>
        <v/>
      </c>
      <c r="Q77" s="62" t="str">
        <f t="shared" si="57"/>
        <v/>
      </c>
      <c r="R77" s="62" t="str">
        <f t="shared" si="58"/>
        <v/>
      </c>
      <c r="S77" s="62" t="str">
        <f>IFERROR(IF(C77="","",IF($C77="TOTAL",SUM($S$8:S76),IF(AND(C77&gt;$AR$1,$AI$3=$AR$2),BW78,IF($AU$18=$AU$20,SUM(BJ78+BR78),ROUND((D77+E77)*10%,0))))),"")</f>
        <v/>
      </c>
      <c r="T77" s="62" t="str">
        <f>IFERROR(IF(C77="","",IF(I77="","",IF(J77="","",IF($C77="TOTAL",SUM($T$8:T76),IF(AND(C77&gt;$AR$1,$AI$3=$AR$2),BW78,IF($AU$18=$AU$20,$AU$21,ROUND((I77+J77)*10%,0))))))),"")</f>
        <v/>
      </c>
      <c r="U77" s="62" t="str">
        <f t="shared" si="59"/>
        <v/>
      </c>
      <c r="V77" s="63" t="str">
        <f>IFERROR(IF(C77="","",IF($AU$16=$AU$17,0,IF($C77="TOTAL",SUM($V$8:V76),IF($AU$19=$AU$20,$AU$25,0)))),"")</f>
        <v/>
      </c>
      <c r="W77" s="63" t="str">
        <f>IFERROR(IF(C77="","",IF($AU$16=$AU$17,0,IF($C77="TOTAL",SUM($W$8:W76),IF($AU$19=$AU$20,$AU$24,0)))),"")</f>
        <v/>
      </c>
      <c r="X77" s="62" t="str">
        <f t="shared" si="60"/>
        <v/>
      </c>
      <c r="Y77" s="62" t="str">
        <f>IFERROR(IF(C77="","",IF($AU$16=$AU$17,0,IF($C77="TOTAL",SUM($Y$8:Y76),BZ77))),"")</f>
        <v/>
      </c>
      <c r="Z77" s="62" t="str">
        <f>IFERROR(IF(C77="","",IF($AU$16=$AU$17,0,IF($C77="TOTAL",SUM($Z$8:Z76),BY77))),"")</f>
        <v/>
      </c>
      <c r="AA77" s="62" t="str">
        <f t="shared" si="52"/>
        <v/>
      </c>
      <c r="AB77" s="62" t="str">
        <f>IFERROR(IF(C77="","",IF(D77="","",IF($C77="TOTAL",SUM($AB$8:AB76),IF(C77=$AU$1,ROUND(D77*5/31,0.01),"")))),"")</f>
        <v/>
      </c>
      <c r="AC77" s="62" t="str">
        <f>IFERROR(IF(C77="","",IF(I77="","",IF($C77="TOTAL",SUM($AC$8:AC76),IF(C77=$AU$1,ROUND(I77*5/31,0.01),"")))),"")</f>
        <v/>
      </c>
      <c r="AD77" s="62" t="str">
        <f t="shared" si="66"/>
        <v/>
      </c>
      <c r="AE77" s="62" t="str">
        <f>IFERROR(IF(C77="","",IF(AND(BP78="",BW78=""),"",IF($C77="TOTAL",SUM($AE$8:AE76),BP78))),"")</f>
        <v/>
      </c>
      <c r="AF77" s="62" t="str">
        <f>IFERROR(IF(C77="","",IF($C77="TOTAL",SUM($AF$8:AF76),ROUND(R77*$AU$7%,0))),"")</f>
        <v/>
      </c>
      <c r="AG77" s="62" t="str">
        <f t="shared" si="61"/>
        <v/>
      </c>
      <c r="AH77" s="64" t="str">
        <f>IFERROR(IF(C77="","",IF($C77="TOTAL",SUM($AH$8:AH76),SUM(R77-AG77))),"")</f>
        <v/>
      </c>
      <c r="AQ77" s="183">
        <f t="shared" si="67"/>
        <v>42</v>
      </c>
      <c r="AR77" s="183">
        <f t="shared" si="68"/>
        <v>42</v>
      </c>
      <c r="AT77" s="185">
        <v>44805</v>
      </c>
      <c r="AU77" s="165">
        <v>44805</v>
      </c>
      <c r="AV77" s="185">
        <f t="shared" si="40"/>
        <v>45627</v>
      </c>
      <c r="AW77" s="185" t="str">
        <f t="shared" si="69"/>
        <v/>
      </c>
      <c r="AX77" s="185" t="str">
        <f t="shared" si="62"/>
        <v/>
      </c>
      <c r="AY77" s="185" t="str">
        <f t="shared" si="70"/>
        <v/>
      </c>
      <c r="AZ77" s="185" t="str">
        <f t="shared" si="81"/>
        <v/>
      </c>
      <c r="BA77" s="184" t="str">
        <f t="shared" si="83"/>
        <v/>
      </c>
      <c r="BB77" s="184" t="str">
        <f t="shared" si="71"/>
        <v/>
      </c>
      <c r="BC77" s="184" t="str">
        <f t="shared" si="72"/>
        <v/>
      </c>
      <c r="BD77" s="184" t="str">
        <f t="shared" si="84"/>
        <v/>
      </c>
      <c r="BE77" s="184"/>
      <c r="BF77" s="184" t="str">
        <f t="shared" si="85"/>
        <v/>
      </c>
      <c r="BG77" s="184" t="str">
        <f t="shared" si="73"/>
        <v/>
      </c>
      <c r="BH77" s="184" t="str">
        <f t="shared" si="74"/>
        <v/>
      </c>
      <c r="BI77" s="184" t="str">
        <f t="shared" si="86"/>
        <v/>
      </c>
      <c r="BJ77" s="184" t="str">
        <f t="shared" si="75"/>
        <v/>
      </c>
      <c r="BM77" s="184" t="str">
        <f t="shared" si="76"/>
        <v/>
      </c>
      <c r="BN77" s="184" t="str">
        <f t="shared" si="77"/>
        <v/>
      </c>
      <c r="BO77" s="184" t="str">
        <f t="shared" si="78"/>
        <v/>
      </c>
      <c r="BP77" s="184" t="str">
        <f t="shared" si="63"/>
        <v/>
      </c>
      <c r="BQ77" s="184">
        <f t="shared" si="64"/>
        <v>0</v>
      </c>
      <c r="BR77" s="184">
        <f t="shared" si="65"/>
        <v>0</v>
      </c>
      <c r="BW77" s="184" t="str">
        <f t="shared" si="79"/>
        <v/>
      </c>
      <c r="BY77" s="179" t="str">
        <f t="shared" si="80"/>
        <v/>
      </c>
      <c r="BZ77" s="179" t="str">
        <f>IF(AZ78="","",IF(AZ78="TOTAL","",IF($AU$16=$AU$17,0,IF(AND(AZ78&gt;$BY$1,$AI$3=$AR$2,'Master Sheet'!$D$27&gt;0),'Master Sheet'!$D$27,IF(AND(AZ78=$BY$1),IF($AU$9&lt;18001,135,IF($AU$9&lt;33501,220,IF($AU$9&lt;54001,330,440))),IF(AND(AZ78&gt;$BY$1),IF($AU$9&lt;18001,265,IF($AU$9&lt;33501,440,IF($AU$9&lt;54001,658,875))),""))))))</f>
        <v/>
      </c>
    </row>
    <row r="78" spans="1:78" ht="21" customHeight="1">
      <c r="A78" s="110" t="str">
        <f t="shared" si="82"/>
        <v/>
      </c>
      <c r="B78" s="60" t="str">
        <f t="shared" si="53"/>
        <v/>
      </c>
      <c r="C78" s="61" t="str">
        <f t="shared" si="54"/>
        <v/>
      </c>
      <c r="D78" s="62" t="str">
        <f>IFERROR(IF($C77="TOTAL","अक्षरें राशि :-",IF($C78="TOTAL",SUM($D$8:D77),IF(BA79="","",BA79))),"")</f>
        <v/>
      </c>
      <c r="E78" s="62" t="str">
        <f>IFERROR(IF($C78="TOTAL",SUM($E$8:E77),IF(BC79="","",BC79)),"")</f>
        <v/>
      </c>
      <c r="F78" s="62" t="str">
        <f>IFERROR(IF($C78="TOTAL",SUM($F$8:F77),IF(BD79="","",BD79)),"")</f>
        <v/>
      </c>
      <c r="G78" s="62" t="str">
        <f>IFERROR(IF($C78="TOTAL",SUM($G$8:G77),IF(BB79="","",BB79)),"")</f>
        <v/>
      </c>
      <c r="H78" s="62" t="str">
        <f t="shared" si="55"/>
        <v/>
      </c>
      <c r="I78" s="62" t="str">
        <f>IFERROR(IF($C78="TOTAL",SUM($I$8:I77),IF(BF79="","",BF79)),"")</f>
        <v/>
      </c>
      <c r="J78" s="62" t="str">
        <f>IFERROR(IF($C78="TOTAL",SUM($J$8:J77),IF(BH79="","",BH79)),"")</f>
        <v/>
      </c>
      <c r="K78" s="62" t="str">
        <f>IFERROR(IF($C78="TOTAL",SUM($K$8:K77),IF(BI79="","",BI79)),"")</f>
        <v/>
      </c>
      <c r="L78" s="62" t="str">
        <f>IFERROR(IF($C78="TOTAL",SUM($L$8:L77),IF(BG79="","",BG79)),"")</f>
        <v/>
      </c>
      <c r="M78" s="62" t="str">
        <f t="shared" si="56"/>
        <v/>
      </c>
      <c r="N78" s="62" t="str">
        <f>IFERROR(IF(C78="","",IF(D78="","",IF(I78="","",IF($C78="TOTAL",SUM($N$8:N77),SUM(D78-I78))))),"")</f>
        <v/>
      </c>
      <c r="O78" s="62" t="str">
        <f>IFERROR(IF(C78="","",IF(E78="","",IF(J78="","",IF($C78="TOTAL",SUM($O$8:O77),SUM(E78-J78))))),"")</f>
        <v/>
      </c>
      <c r="P78" s="62" t="str">
        <f>IFERROR(IF(C78="","",IF(F78="","",IF(K78="","",IF($C78="TOTAL",SUM($P$8:P77),SUM(F78-K78))))),"")</f>
        <v/>
      </c>
      <c r="Q78" s="62" t="str">
        <f t="shared" si="57"/>
        <v/>
      </c>
      <c r="R78" s="62" t="str">
        <f t="shared" si="58"/>
        <v/>
      </c>
      <c r="S78" s="62" t="str">
        <f>IFERROR(IF(C78="","",IF($C78="TOTAL",SUM($S$8:S77),IF(AND(C78&gt;$AR$1,$AI$3=$AR$2),BW79,IF($AU$18=$AU$20,SUM(BJ79+BR79),ROUND((D78+E78)*10%,0))))),"")</f>
        <v/>
      </c>
      <c r="T78" s="62" t="str">
        <f>IFERROR(IF(C78="","",IF(I78="","",IF(J78="","",IF($C78="TOTAL",SUM($T$8:T77),IF(AND(C78&gt;$AR$1,$AI$3=$AR$2),BW79,IF($AU$18=$AU$20,$AU$21,ROUND((I78+J78)*10%,0))))))),"")</f>
        <v/>
      </c>
      <c r="U78" s="62" t="str">
        <f t="shared" si="59"/>
        <v/>
      </c>
      <c r="V78" s="63" t="str">
        <f>IFERROR(IF(C78="","",IF($AU$16=$AU$17,0,IF($C78="TOTAL",SUM($V$8:V77),IF($AU$19=$AU$20,$AU$25,0)))),"")</f>
        <v/>
      </c>
      <c r="W78" s="63" t="str">
        <f>IFERROR(IF(C78="","",IF($AU$16=$AU$17,0,IF($C78="TOTAL",SUM($W$8:W77),IF($AU$19=$AU$20,$AU$24,0)))),"")</f>
        <v/>
      </c>
      <c r="X78" s="62" t="str">
        <f t="shared" si="60"/>
        <v/>
      </c>
      <c r="Y78" s="62" t="str">
        <f>IFERROR(IF(C78="","",IF($AU$16=$AU$17,0,IF($C78="TOTAL",SUM($Y$8:Y77),BZ78))),"")</f>
        <v/>
      </c>
      <c r="Z78" s="62" t="str">
        <f>IFERROR(IF(C78="","",IF($AU$16=$AU$17,0,IF($C78="TOTAL",SUM($Z$8:Z77),BY78))),"")</f>
        <v/>
      </c>
      <c r="AA78" s="62" t="str">
        <f t="shared" si="52"/>
        <v/>
      </c>
      <c r="AB78" s="62" t="str">
        <f>IFERROR(IF(C78="","",IF(D78="","",IF($C78="TOTAL",SUM($AB$8:AB77),IF(C78=$AU$1,ROUND(D78*5/31,0.01),"")))),"")</f>
        <v/>
      </c>
      <c r="AC78" s="62" t="str">
        <f>IFERROR(IF(C78="","",IF(I78="","",IF($C78="TOTAL",SUM($AC$8:AC77),IF(C78=$AU$1,ROUND(I78*5/31,0.01),"")))),"")</f>
        <v/>
      </c>
      <c r="AD78" s="62" t="str">
        <f t="shared" si="66"/>
        <v/>
      </c>
      <c r="AE78" s="62" t="str">
        <f>IFERROR(IF(C78="","",IF(AND(BP79="",BW79=""),"",IF($C78="TOTAL",SUM($AE$8:AE77),BP79))),"")</f>
        <v/>
      </c>
      <c r="AF78" s="62" t="str">
        <f>IFERROR(IF(C78="","",IF($C78="TOTAL",SUM($AF$8:AF77),ROUND(R78*$AU$7%,0))),"")</f>
        <v/>
      </c>
      <c r="AG78" s="62" t="str">
        <f t="shared" si="61"/>
        <v/>
      </c>
      <c r="AH78" s="64" t="str">
        <f>IFERROR(IF(C78="","",IF($C78="TOTAL",SUM($AH$8:AH77),SUM(R78-AG78))),"")</f>
        <v/>
      </c>
      <c r="AQ78" s="183">
        <f t="shared" si="67"/>
        <v>42</v>
      </c>
      <c r="AR78" s="183">
        <f t="shared" si="68"/>
        <v>42</v>
      </c>
      <c r="AT78" s="185">
        <v>44835</v>
      </c>
      <c r="AU78" s="165">
        <v>44835</v>
      </c>
      <c r="AV78" s="185">
        <f t="shared" si="40"/>
        <v>45658</v>
      </c>
      <c r="AW78" s="185" t="str">
        <f t="shared" si="69"/>
        <v/>
      </c>
      <c r="AX78" s="185" t="str">
        <f t="shared" si="62"/>
        <v/>
      </c>
      <c r="AY78" s="185" t="str">
        <f t="shared" si="70"/>
        <v/>
      </c>
      <c r="AZ78" s="185" t="str">
        <f t="shared" si="81"/>
        <v/>
      </c>
      <c r="BA78" s="184" t="str">
        <f t="shared" si="83"/>
        <v/>
      </c>
      <c r="BB78" s="184" t="str">
        <f t="shared" si="71"/>
        <v/>
      </c>
      <c r="BC78" s="184" t="str">
        <f t="shared" si="72"/>
        <v/>
      </c>
      <c r="BD78" s="184" t="str">
        <f t="shared" si="84"/>
        <v/>
      </c>
      <c r="BE78" s="184"/>
      <c r="BF78" s="184" t="str">
        <f t="shared" si="85"/>
        <v/>
      </c>
      <c r="BG78" s="184" t="str">
        <f t="shared" si="73"/>
        <v/>
      </c>
      <c r="BH78" s="184" t="str">
        <f t="shared" si="74"/>
        <v/>
      </c>
      <c r="BI78" s="184" t="str">
        <f t="shared" si="86"/>
        <v/>
      </c>
      <c r="BJ78" s="184" t="str">
        <f t="shared" si="75"/>
        <v/>
      </c>
      <c r="BM78" s="184" t="str">
        <f t="shared" si="76"/>
        <v/>
      </c>
      <c r="BN78" s="184" t="str">
        <f t="shared" si="77"/>
        <v/>
      </c>
      <c r="BO78" s="184" t="str">
        <f t="shared" si="78"/>
        <v/>
      </c>
      <c r="BP78" s="184" t="str">
        <f t="shared" si="63"/>
        <v/>
      </c>
      <c r="BQ78" s="184">
        <f t="shared" si="64"/>
        <v>0</v>
      </c>
      <c r="BR78" s="184">
        <f t="shared" si="65"/>
        <v>0</v>
      </c>
      <c r="BW78" s="184" t="str">
        <f t="shared" si="79"/>
        <v/>
      </c>
      <c r="BY78" s="179" t="str">
        <f t="shared" si="80"/>
        <v/>
      </c>
      <c r="BZ78" s="179" t="str">
        <f>IF(AZ79="","",IF(AZ79="TOTAL","",IF($AU$16=$AU$17,0,IF(AND(AZ79&gt;$BY$1,$AI$3=$AR$2,'Master Sheet'!$D$27&gt;0),'Master Sheet'!$D$27,IF(AND(AZ79=$BY$1),IF($AU$9&lt;18001,135,IF($AU$9&lt;33501,220,IF($AU$9&lt;54001,330,440))),IF(AND(AZ79&gt;$BY$1),IF($AU$9&lt;18001,265,IF($AU$9&lt;33501,440,IF($AU$9&lt;54001,658,875))),""))))))</f>
        <v/>
      </c>
    </row>
    <row r="79" spans="1:78" ht="21" customHeight="1">
      <c r="A79" s="110" t="str">
        <f t="shared" si="82"/>
        <v/>
      </c>
      <c r="B79" s="60" t="str">
        <f t="shared" si="53"/>
        <v/>
      </c>
      <c r="C79" s="61" t="str">
        <f t="shared" si="54"/>
        <v/>
      </c>
      <c r="D79" s="62" t="str">
        <f>IFERROR(IF($C78="TOTAL","अक्षरें राशि :-",IF($C79="TOTAL",SUM($D$8:D78),IF(BA80="","",BA80))),"")</f>
        <v/>
      </c>
      <c r="E79" s="62" t="str">
        <f>IFERROR(IF($C79="TOTAL",SUM($E$8:E78),IF(BC80="","",BC80)),"")</f>
        <v/>
      </c>
      <c r="F79" s="62" t="str">
        <f>IFERROR(IF($C79="TOTAL",SUM($F$8:F78),IF(BD80="","",BD80)),"")</f>
        <v/>
      </c>
      <c r="G79" s="62" t="str">
        <f>IFERROR(IF($C79="TOTAL",SUM($G$8:G78),IF(BB80="","",BB80)),"")</f>
        <v/>
      </c>
      <c r="H79" s="62" t="str">
        <f t="shared" si="55"/>
        <v/>
      </c>
      <c r="I79" s="62" t="str">
        <f>IFERROR(IF($C79="TOTAL",SUM($I$8:I78),IF(BF80="","",BF80)),"")</f>
        <v/>
      </c>
      <c r="J79" s="62" t="str">
        <f>IFERROR(IF($C79="TOTAL",SUM($J$8:J78),IF(BH80="","",BH80)),"")</f>
        <v/>
      </c>
      <c r="K79" s="62" t="str">
        <f>IFERROR(IF($C79="TOTAL",SUM($K$8:K78),IF(BI80="","",BI80)),"")</f>
        <v/>
      </c>
      <c r="L79" s="62" t="str">
        <f>IFERROR(IF($C79="TOTAL",SUM($L$8:L78),IF(BG80="","",BG80)),"")</f>
        <v/>
      </c>
      <c r="M79" s="62" t="str">
        <f t="shared" si="56"/>
        <v/>
      </c>
      <c r="N79" s="62" t="str">
        <f>IFERROR(IF(C79="","",IF(D79="","",IF(I79="","",IF($C79="TOTAL",SUM($N$8:N78),SUM(D79-I79))))),"")</f>
        <v/>
      </c>
      <c r="O79" s="62" t="str">
        <f>IFERROR(IF(C79="","",IF(E79="","",IF(J79="","",IF($C79="TOTAL",SUM($O$8:O78),SUM(E79-J79))))),"")</f>
        <v/>
      </c>
      <c r="P79" s="62" t="str">
        <f>IFERROR(IF(C79="","",IF(F79="","",IF(K79="","",IF($C79="TOTAL",SUM($P$8:P78),SUM(F79-K79))))),"")</f>
        <v/>
      </c>
      <c r="Q79" s="62" t="str">
        <f t="shared" si="57"/>
        <v/>
      </c>
      <c r="R79" s="62" t="str">
        <f t="shared" si="58"/>
        <v/>
      </c>
      <c r="S79" s="62" t="str">
        <f>IFERROR(IF(C79="","",IF($C79="TOTAL",SUM($S$8:S78),IF(AND(C79&gt;$AR$1,$AI$3=$AR$2),BW80,IF($AU$18=$AU$20,SUM(BJ80+BR80),ROUND((D79+E79)*10%,0))))),"")</f>
        <v/>
      </c>
      <c r="T79" s="62" t="str">
        <f>IFERROR(IF(C79="","",IF(I79="","",IF(J79="","",IF($C79="TOTAL",SUM($T$8:T78),IF(AND(C79&gt;$AR$1,$AI$3=$AR$2),BW80,IF($AU$18=$AU$20,$AU$21,ROUND((I79+J79)*10%,0))))))),"")</f>
        <v/>
      </c>
      <c r="U79" s="62" t="str">
        <f t="shared" si="59"/>
        <v/>
      </c>
      <c r="V79" s="63" t="str">
        <f>IFERROR(IF(C79="","",IF($AU$16=$AU$17,0,IF($C79="TOTAL",SUM($V$8:V78),IF($AU$19=$AU$20,$AU$25,0)))),"")</f>
        <v/>
      </c>
      <c r="W79" s="63" t="str">
        <f>IFERROR(IF(C79="","",IF($AU$16=$AU$17,0,IF($C79="TOTAL",SUM($W$8:W78),IF($AU$19=$AU$20,$AU$24,0)))),"")</f>
        <v/>
      </c>
      <c r="X79" s="62" t="str">
        <f t="shared" si="60"/>
        <v/>
      </c>
      <c r="Y79" s="62" t="str">
        <f>IFERROR(IF(C79="","",IF($AU$16=$AU$17,0,IF($C79="TOTAL",SUM($Y$8:Y78),BZ79))),"")</f>
        <v/>
      </c>
      <c r="Z79" s="62" t="str">
        <f>IFERROR(IF(C79="","",IF($AU$16=$AU$17,0,IF($C79="TOTAL",SUM($Z$8:Z78),BY79))),"")</f>
        <v/>
      </c>
      <c r="AA79" s="62" t="str">
        <f t="shared" si="52"/>
        <v/>
      </c>
      <c r="AB79" s="62" t="str">
        <f>IFERROR(IF(C79="","",IF(D79="","",IF($C79="TOTAL",SUM($AB$8:AB78),IF(C79=$AU$1,ROUND(D79*5/31,0.01),"")))),"")</f>
        <v/>
      </c>
      <c r="AC79" s="62" t="str">
        <f>IFERROR(IF(C79="","",IF(I79="","",IF($C79="TOTAL",SUM($AC$8:AC78),IF(C79=$AU$1,ROUND(I79*5/31,0.01),"")))),"")</f>
        <v/>
      </c>
      <c r="AD79" s="62" t="str">
        <f t="shared" si="66"/>
        <v/>
      </c>
      <c r="AE79" s="62" t="str">
        <f>IFERROR(IF(C79="","",IF(AND(BP80="",BW80=""),"",IF($C79="TOTAL",SUM($AE$8:AE78),BP80))),"")</f>
        <v/>
      </c>
      <c r="AF79" s="62" t="str">
        <f>IFERROR(IF(C79="","",IF($C79="TOTAL",SUM($AF$8:AF78),ROUND(R79*$AU$7%,0))),"")</f>
        <v/>
      </c>
      <c r="AG79" s="62" t="str">
        <f t="shared" si="61"/>
        <v/>
      </c>
      <c r="AH79" s="64" t="str">
        <f>IFERROR(IF(C79="","",IF($C79="TOTAL",SUM($AH$8:AH78),SUM(R79-AG79))),"")</f>
        <v/>
      </c>
      <c r="AQ79" s="183">
        <f t="shared" si="67"/>
        <v>42</v>
      </c>
      <c r="AR79" s="183">
        <f t="shared" si="68"/>
        <v>42</v>
      </c>
      <c r="AT79" s="185">
        <v>44866</v>
      </c>
      <c r="AU79" s="165">
        <v>44866</v>
      </c>
      <c r="AV79" s="185">
        <f t="shared" si="40"/>
        <v>45689</v>
      </c>
      <c r="AW79" s="185" t="str">
        <f t="shared" si="69"/>
        <v/>
      </c>
      <c r="AX79" s="185" t="str">
        <f t="shared" si="62"/>
        <v/>
      </c>
      <c r="AY79" s="185" t="str">
        <f t="shared" si="70"/>
        <v/>
      </c>
      <c r="AZ79" s="185" t="str">
        <f t="shared" si="81"/>
        <v/>
      </c>
      <c r="BA79" s="184" t="str">
        <f t="shared" si="83"/>
        <v/>
      </c>
      <c r="BB79" s="184" t="str">
        <f t="shared" si="71"/>
        <v/>
      </c>
      <c r="BC79" s="184" t="str">
        <f t="shared" si="72"/>
        <v/>
      </c>
      <c r="BD79" s="184" t="str">
        <f t="shared" si="84"/>
        <v/>
      </c>
      <c r="BE79" s="184"/>
      <c r="BF79" s="184" t="str">
        <f t="shared" si="85"/>
        <v/>
      </c>
      <c r="BG79" s="184" t="str">
        <f t="shared" si="73"/>
        <v/>
      </c>
      <c r="BH79" s="184" t="str">
        <f t="shared" si="74"/>
        <v/>
      </c>
      <c r="BI79" s="184" t="str">
        <f t="shared" si="86"/>
        <v/>
      </c>
      <c r="BJ79" s="184" t="str">
        <f t="shared" si="75"/>
        <v/>
      </c>
      <c r="BM79" s="184" t="str">
        <f t="shared" si="76"/>
        <v/>
      </c>
      <c r="BN79" s="184" t="str">
        <f t="shared" si="77"/>
        <v/>
      </c>
      <c r="BO79" s="184" t="str">
        <f t="shared" si="78"/>
        <v/>
      </c>
      <c r="BP79" s="184" t="str">
        <f t="shared" si="63"/>
        <v/>
      </c>
      <c r="BQ79" s="184">
        <f t="shared" si="64"/>
        <v>0</v>
      </c>
      <c r="BR79" s="184">
        <f t="shared" si="65"/>
        <v>0</v>
      </c>
      <c r="BW79" s="184" t="str">
        <f t="shared" si="79"/>
        <v/>
      </c>
      <c r="BY79" s="179" t="str">
        <f t="shared" si="80"/>
        <v/>
      </c>
      <c r="BZ79" s="179" t="str">
        <f>IF(AZ80="","",IF(AZ80="TOTAL","",IF($AU$16=$AU$17,0,IF(AND(AZ80&gt;$BY$1,$AI$3=$AR$2,'Master Sheet'!$D$27&gt;0),'Master Sheet'!$D$27,IF(AND(AZ80=$BY$1),IF($AU$9&lt;18001,135,IF($AU$9&lt;33501,220,IF($AU$9&lt;54001,330,440))),IF(AND(AZ80&gt;$BY$1),IF($AU$9&lt;18001,265,IF($AU$9&lt;33501,440,IF($AU$9&lt;54001,658,875))),""))))))</f>
        <v/>
      </c>
    </row>
    <row r="80" spans="1:78" ht="21" customHeight="1">
      <c r="A80" s="110" t="str">
        <f t="shared" si="82"/>
        <v/>
      </c>
      <c r="B80" s="60" t="str">
        <f t="shared" si="53"/>
        <v/>
      </c>
      <c r="C80" s="61" t="str">
        <f t="shared" si="54"/>
        <v/>
      </c>
      <c r="D80" s="62" t="str">
        <f>IFERROR(IF($C79="TOTAL","अक्षरें राशि :-",IF($C80="TOTAL",SUM($D$8:D79),IF(BA81="","",BA81))),"")</f>
        <v/>
      </c>
      <c r="E80" s="62" t="str">
        <f>IFERROR(IF($C80="TOTAL",SUM($E$8:E79),IF(BC81="","",BC81)),"")</f>
        <v/>
      </c>
      <c r="F80" s="62" t="str">
        <f>IFERROR(IF($C80="TOTAL",SUM($F$8:F79),IF(BD81="","",BD81)),"")</f>
        <v/>
      </c>
      <c r="G80" s="62" t="str">
        <f>IFERROR(IF($C80="TOTAL",SUM($G$8:G79),IF(BB81="","",BB81)),"")</f>
        <v/>
      </c>
      <c r="H80" s="62" t="str">
        <f t="shared" si="55"/>
        <v/>
      </c>
      <c r="I80" s="62" t="str">
        <f>IFERROR(IF($C80="TOTAL",SUM($I$8:I79),IF(BF81="","",BF81)),"")</f>
        <v/>
      </c>
      <c r="J80" s="62" t="str">
        <f>IFERROR(IF($C80="TOTAL",SUM($J$8:J79),IF(BH81="","",BH81)),"")</f>
        <v/>
      </c>
      <c r="K80" s="62" t="str">
        <f>IFERROR(IF($C80="TOTAL",SUM($K$8:K79),IF(BI81="","",BI81)),"")</f>
        <v/>
      </c>
      <c r="L80" s="62" t="str">
        <f>IFERROR(IF($C80="TOTAL",SUM($L$8:L79),IF(BG81="","",BG81)),"")</f>
        <v/>
      </c>
      <c r="M80" s="62" t="str">
        <f t="shared" si="56"/>
        <v/>
      </c>
      <c r="N80" s="62" t="str">
        <f>IFERROR(IF(C80="","",IF(D80="","",IF(I80="","",IF($C80="TOTAL",SUM($N$8:N79),SUM(D80-I80))))),"")</f>
        <v/>
      </c>
      <c r="O80" s="62" t="str">
        <f>IFERROR(IF(C80="","",IF(E80="","",IF(J80="","",IF($C80="TOTAL",SUM($O$8:O79),SUM(E80-J80))))),"")</f>
        <v/>
      </c>
      <c r="P80" s="62" t="str">
        <f>IFERROR(IF(C80="","",IF(F80="","",IF(K80="","",IF($C80="TOTAL",SUM($P$8:P79),SUM(F80-K80))))),"")</f>
        <v/>
      </c>
      <c r="Q80" s="62" t="str">
        <f t="shared" si="57"/>
        <v/>
      </c>
      <c r="R80" s="62" t="str">
        <f t="shared" si="58"/>
        <v/>
      </c>
      <c r="S80" s="62" t="str">
        <f>IFERROR(IF(C80="","",IF($C80="TOTAL",SUM($S$8:S79),IF(AND(C80&gt;$AR$1,$AI$3=$AR$2),BW81,IF($AU$18=$AU$20,SUM(BJ81+BR81),ROUND((D80+E80)*10%,0))))),"")</f>
        <v/>
      </c>
      <c r="T80" s="62" t="str">
        <f>IFERROR(IF(C80="","",IF(I80="","",IF(J80="","",IF($C80="TOTAL",SUM($T$8:T79),IF(AND(C80&gt;$AR$1,$AI$3=$AR$2),BW81,IF($AU$18=$AU$20,$AU$21,ROUND((I80+J80)*10%,0))))))),"")</f>
        <v/>
      </c>
      <c r="U80" s="62" t="str">
        <f t="shared" si="59"/>
        <v/>
      </c>
      <c r="V80" s="63" t="str">
        <f>IFERROR(IF(C80="","",IF($AU$16=$AU$17,0,IF($C80="TOTAL",SUM($V$8:V79),IF($AU$19=$AU$20,$AU$25,0)))),"")</f>
        <v/>
      </c>
      <c r="W80" s="63" t="str">
        <f>IFERROR(IF(C80="","",IF($AU$16=$AU$17,0,IF($C80="TOTAL",SUM($W$8:W79),IF($AU$19=$AU$20,$AU$24,0)))),"")</f>
        <v/>
      </c>
      <c r="X80" s="62" t="str">
        <f t="shared" si="60"/>
        <v/>
      </c>
      <c r="Y80" s="62" t="str">
        <f>IFERROR(IF(C80="","",IF($AU$16=$AU$17,0,IF($C80="TOTAL",SUM($Y$8:Y79),BZ80))),"")</f>
        <v/>
      </c>
      <c r="Z80" s="62" t="str">
        <f>IFERROR(IF(C80="","",IF($AU$16=$AU$17,0,IF($C80="TOTAL",SUM($Z$8:Z79),BY80))),"")</f>
        <v/>
      </c>
      <c r="AA80" s="62" t="str">
        <f t="shared" si="52"/>
        <v/>
      </c>
      <c r="AB80" s="62" t="str">
        <f>IFERROR(IF(C80="","",IF(D80="","",IF($C80="TOTAL",SUM($AB$8:AB79),IF(C80=$AU$1,ROUND(D80*5/31,0.01),"")))),"")</f>
        <v/>
      </c>
      <c r="AC80" s="62" t="str">
        <f>IFERROR(IF(C80="","",IF(I80="","",IF($C80="TOTAL",SUM($AC$8:AC79),IF(C80=$AU$1,ROUND(I80*5/31,0.01),"")))),"")</f>
        <v/>
      </c>
      <c r="AD80" s="62" t="str">
        <f t="shared" si="66"/>
        <v/>
      </c>
      <c r="AE80" s="62" t="str">
        <f>IFERROR(IF(C80="","",IF(AND(BP81="",BW81=""),"",IF($C80="TOTAL",SUM($AE$8:AE79),BP81))),"")</f>
        <v/>
      </c>
      <c r="AF80" s="62" t="str">
        <f>IFERROR(IF(C80="","",IF($C80="TOTAL",SUM($AF$8:AF79),ROUND(R80*$AU$7%,0))),"")</f>
        <v/>
      </c>
      <c r="AG80" s="62" t="str">
        <f t="shared" si="61"/>
        <v/>
      </c>
      <c r="AH80" s="64" t="str">
        <f>IFERROR(IF(C80="","",IF($C80="TOTAL",SUM($AH$8:AH79),SUM(R80-AG80))),"")</f>
        <v/>
      </c>
      <c r="AQ80" s="183">
        <f t="shared" si="67"/>
        <v>42</v>
      </c>
      <c r="AR80" s="183">
        <f t="shared" si="68"/>
        <v>42</v>
      </c>
      <c r="AT80" s="185">
        <v>44896</v>
      </c>
      <c r="AU80" s="165">
        <v>44896</v>
      </c>
      <c r="AV80" s="185">
        <f>IF(AND($AU$6&gt;$AV$6),"",DATE(YEAR(AV79),MONTH(AV79)+1,DAY(AV79)))</f>
        <v>45717</v>
      </c>
      <c r="AW80" s="185" t="str">
        <f t="shared" si="69"/>
        <v/>
      </c>
      <c r="AX80" s="185" t="str">
        <f t="shared" si="62"/>
        <v/>
      </c>
      <c r="AY80" s="185" t="str">
        <f t="shared" si="70"/>
        <v/>
      </c>
      <c r="AZ80" s="185" t="str">
        <f t="shared" si="81"/>
        <v/>
      </c>
      <c r="BA80" s="184" t="str">
        <f t="shared" si="83"/>
        <v/>
      </c>
      <c r="BB80" s="184" t="str">
        <f t="shared" si="71"/>
        <v/>
      </c>
      <c r="BC80" s="184" t="str">
        <f t="shared" si="72"/>
        <v/>
      </c>
      <c r="BD80" s="184" t="str">
        <f t="shared" si="84"/>
        <v/>
      </c>
      <c r="BE80" s="184"/>
      <c r="BF80" s="184" t="str">
        <f t="shared" si="85"/>
        <v/>
      </c>
      <c r="BG80" s="184" t="str">
        <f t="shared" si="73"/>
        <v/>
      </c>
      <c r="BH80" s="184" t="str">
        <f t="shared" si="74"/>
        <v/>
      </c>
      <c r="BI80" s="184" t="str">
        <f t="shared" si="86"/>
        <v/>
      </c>
      <c r="BJ80" s="184" t="str">
        <f t="shared" si="75"/>
        <v/>
      </c>
      <c r="BM80" s="184" t="str">
        <f t="shared" si="76"/>
        <v/>
      </c>
      <c r="BN80" s="184" t="str">
        <f t="shared" si="77"/>
        <v/>
      </c>
      <c r="BO80" s="184" t="str">
        <f t="shared" si="78"/>
        <v/>
      </c>
      <c r="BP80" s="184" t="str">
        <f t="shared" si="63"/>
        <v/>
      </c>
      <c r="BQ80" s="184">
        <f t="shared" si="64"/>
        <v>0</v>
      </c>
      <c r="BR80" s="184">
        <f t="shared" si="65"/>
        <v>0</v>
      </c>
      <c r="BW80" s="184" t="str">
        <f t="shared" si="79"/>
        <v/>
      </c>
      <c r="BY80" s="179" t="str">
        <f t="shared" si="80"/>
        <v/>
      </c>
      <c r="BZ80" s="179" t="str">
        <f>IF(AZ81="","",IF(AZ81="TOTAL","",IF($AU$16=$AU$17,0,IF(AND(AZ81&gt;$BY$1,$AI$3=$AR$2,'Master Sheet'!$D$27&gt;0),'Master Sheet'!$D$27,IF(AND(AZ81=$BY$1),IF($AU$9&lt;18001,135,IF($AU$9&lt;33501,220,IF($AU$9&lt;54001,330,440))),IF(AND(AZ81&gt;$BY$1),IF($AU$9&lt;18001,265,IF($AU$9&lt;33501,440,IF($AU$9&lt;54001,658,875))),""))))))</f>
        <v/>
      </c>
    </row>
    <row r="81" spans="1:78" ht="21" customHeight="1">
      <c r="A81" s="110" t="str">
        <f t="shared" si="82"/>
        <v/>
      </c>
      <c r="B81" s="60" t="str">
        <f t="shared" si="53"/>
        <v/>
      </c>
      <c r="C81" s="61" t="str">
        <f t="shared" ref="C81:C95" si="87">IFERROR(IF(AZ82="","",AZ82),"")</f>
        <v/>
      </c>
      <c r="D81" s="62" t="str">
        <f>IFERROR(IF($C80="TOTAL","अक्षरें राशि :-",IF($C81="TOTAL",SUM($D$8:D80),IF(BA82="","",BA82))),"")</f>
        <v/>
      </c>
      <c r="E81" s="62" t="str">
        <f>IFERROR(IF($C81="TOTAL",SUM($E$8:E80),IF(BC82="","",BC82)),"")</f>
        <v/>
      </c>
      <c r="F81" s="62" t="str">
        <f>IFERROR(IF($C81="TOTAL",SUM($F$8:F80),IF(BD82="","",BD82)),"")</f>
        <v/>
      </c>
      <c r="G81" s="62" t="str">
        <f>IFERROR(IF($C81="TOTAL",SUM($G$8:G80),IF(BB82="","",BB82)),"")</f>
        <v/>
      </c>
      <c r="H81" s="62" t="str">
        <f t="shared" si="55"/>
        <v/>
      </c>
      <c r="I81" s="62" t="str">
        <f>IFERROR(IF($C81="TOTAL",SUM($I$8:I80),IF(BF82="","",BF82)),"")</f>
        <v/>
      </c>
      <c r="J81" s="62" t="str">
        <f>IFERROR(IF($C81="TOTAL",SUM($J$8:J80),IF(BH82="","",BH82)),"")</f>
        <v/>
      </c>
      <c r="K81" s="62" t="str">
        <f>IFERROR(IF($C81="TOTAL",SUM($K$8:K80),IF(BI82="","",BI82)),"")</f>
        <v/>
      </c>
      <c r="L81" s="62" t="str">
        <f>IFERROR(IF($C81="TOTAL",SUM($L$8:L80),IF(BG82="","",BG82)),"")</f>
        <v/>
      </c>
      <c r="M81" s="62" t="str">
        <f t="shared" si="56"/>
        <v/>
      </c>
      <c r="N81" s="62" t="str">
        <f>IFERROR(IF(C81="","",IF(D81="","",IF(I81="","",IF($C81="TOTAL",SUM($N$8:N80),SUM(D81-I81))))),"")</f>
        <v/>
      </c>
      <c r="O81" s="62" t="str">
        <f>IFERROR(IF(C81="","",IF(E81="","",IF(J81="","",IF($C81="TOTAL",SUM($O$8:O80),SUM(E81-J81))))),"")</f>
        <v/>
      </c>
      <c r="P81" s="62" t="str">
        <f>IFERROR(IF(C81="","",IF(F81="","",IF(K81="","",IF($C81="TOTAL",SUM($P$8:P80),SUM(F81-K81))))),"")</f>
        <v/>
      </c>
      <c r="Q81" s="62" t="str">
        <f t="shared" si="57"/>
        <v/>
      </c>
      <c r="R81" s="62" t="str">
        <f t="shared" ref="R81:R95" si="88">IFERROR(IF(C81="","",IF(H81="","",IF(M81="","",SUM(H81-M81)))),"")</f>
        <v/>
      </c>
      <c r="S81" s="62" t="str">
        <f>IFERROR(IF(C81="","",IF($C81="TOTAL",SUM($S$8:S80),IF(AND(C81&gt;$AR$1,$AI$3=$AR$2),BW82,IF($AU$18=$AU$20,SUM(BJ82+BR82),ROUND((D81+E81)*10%,0))))),"")</f>
        <v/>
      </c>
      <c r="T81" s="62" t="str">
        <f>IFERROR(IF(C81="","",IF(I81="","",IF(J81="","",IF($C81="TOTAL",SUM($T$8:T80),IF(AND(C81&gt;$AR$1,$AI$3=$AR$2),BW82,IF($AU$18=$AU$20,$AU$21,ROUND((I81+J81)*10%,0))))))),"")</f>
        <v/>
      </c>
      <c r="U81" s="62" t="str">
        <f t="shared" ref="U81:U95" si="89">IFERROR(IF(C81="","",SUM(S81-T81)),"")</f>
        <v/>
      </c>
      <c r="V81" s="63" t="str">
        <f>IFERROR(IF(C81="","",IF($AU$16=$AU$17,0,IF($C81="TOTAL",SUM($V$8:V80),IF($AU$19=$AU$20,$AU$25,0)))),"")</f>
        <v/>
      </c>
      <c r="W81" s="63" t="str">
        <f>IFERROR(IF(C81="","",IF($AU$16=$AU$17,0,IF($C81="TOTAL",SUM($W$8:W80),IF($AU$19=$AU$20,$AU$24,0)))),"")</f>
        <v/>
      </c>
      <c r="X81" s="62" t="str">
        <f t="shared" ref="X81:X95" si="90">IFERROR(IF(C81="","",SUM(V81-W81)),"")</f>
        <v/>
      </c>
      <c r="Y81" s="62" t="str">
        <f>IFERROR(IF(C81="","",IF($AU$16=$AU$17,0,IF($C81="TOTAL",SUM($Y$8:Y80),BZ81))),"")</f>
        <v/>
      </c>
      <c r="Z81" s="62" t="str">
        <f>IFERROR(IF(C81="","",IF($AU$16=$AU$17,0,IF($C81="TOTAL",SUM($Z$8:Z80),BY81))),"")</f>
        <v/>
      </c>
      <c r="AA81" s="62" t="str">
        <f t="shared" si="52"/>
        <v/>
      </c>
      <c r="AB81" s="62" t="str">
        <f>IFERROR(IF(C81="","",IF(D81="","",IF($C81="TOTAL",SUM($AB$8:AB80),IF(C81=$AU$1,ROUND(D81*5/31,0.01),"")))),"")</f>
        <v/>
      </c>
      <c r="AC81" s="62" t="str">
        <f>IFERROR(IF(C81="","",IF(I81="","",IF($C81="TOTAL",SUM($AC$8:AC80),IF(C81=$AU$1,ROUND(I81*5/31,0.01),"")))),"")</f>
        <v/>
      </c>
      <c r="AD81" s="62" t="str">
        <f t="shared" si="66"/>
        <v/>
      </c>
      <c r="AE81" s="62" t="str">
        <f>IFERROR(IF(C81="","",IF(AND(BP82="",BW82=""),"",IF($C81="TOTAL",SUM($AE$8:AE80),BP82))),"")</f>
        <v/>
      </c>
      <c r="AF81" s="62" t="str">
        <f>IFERROR(IF(C81="","",IF($C81="TOTAL",SUM($AF$8:AF80),ROUND(R81*$AU$7%,0))),"")</f>
        <v/>
      </c>
      <c r="AG81" s="62" t="str">
        <f t="shared" si="61"/>
        <v/>
      </c>
      <c r="AH81" s="64" t="str">
        <f>IFERROR(IF(C81="","",IF($C81="TOTAL",SUM($AH$8:AH80),SUM(R81-AG81))),"")</f>
        <v/>
      </c>
      <c r="AQ81" s="183">
        <f t="shared" si="67"/>
        <v>42</v>
      </c>
      <c r="AR81" s="183">
        <f t="shared" si="68"/>
        <v>42</v>
      </c>
      <c r="AT81" s="185">
        <v>44927</v>
      </c>
      <c r="AU81" s="165">
        <v>44927</v>
      </c>
      <c r="AV81" s="185">
        <f t="shared" si="40"/>
        <v>45748</v>
      </c>
      <c r="AW81" s="185" t="str">
        <f t="shared" si="69"/>
        <v/>
      </c>
      <c r="AX81" s="185" t="str">
        <f t="shared" si="62"/>
        <v/>
      </c>
      <c r="AY81" s="185" t="str">
        <f t="shared" si="70"/>
        <v/>
      </c>
      <c r="AZ81" s="185" t="str">
        <f t="shared" si="81"/>
        <v/>
      </c>
      <c r="BA81" s="184" t="str">
        <f t="shared" si="83"/>
        <v/>
      </c>
      <c r="BB81" s="184" t="str">
        <f t="shared" si="71"/>
        <v/>
      </c>
      <c r="BC81" s="184" t="str">
        <f t="shared" si="72"/>
        <v/>
      </c>
      <c r="BD81" s="184" t="str">
        <f t="shared" si="84"/>
        <v/>
      </c>
      <c r="BF81" s="184" t="str">
        <f t="shared" si="85"/>
        <v/>
      </c>
      <c r="BG81" s="184" t="str">
        <f t="shared" si="73"/>
        <v/>
      </c>
      <c r="BH81" s="184" t="str">
        <f t="shared" si="74"/>
        <v/>
      </c>
      <c r="BI81" s="184" t="str">
        <f t="shared" si="86"/>
        <v/>
      </c>
      <c r="BJ81" s="184" t="str">
        <f t="shared" si="75"/>
        <v/>
      </c>
      <c r="BM81" s="184" t="str">
        <f t="shared" si="76"/>
        <v/>
      </c>
      <c r="BN81" s="184" t="str">
        <f t="shared" si="77"/>
        <v/>
      </c>
      <c r="BO81" s="184" t="str">
        <f t="shared" si="78"/>
        <v/>
      </c>
      <c r="BP81" s="184" t="str">
        <f t="shared" si="63"/>
        <v/>
      </c>
      <c r="BQ81" s="184">
        <f t="shared" si="64"/>
        <v>0</v>
      </c>
      <c r="BR81" s="184">
        <f t="shared" si="65"/>
        <v>0</v>
      </c>
      <c r="BW81" s="184" t="str">
        <f t="shared" si="79"/>
        <v/>
      </c>
      <c r="BY81" s="179" t="str">
        <f t="shared" si="80"/>
        <v/>
      </c>
      <c r="BZ81" s="179" t="str">
        <f>IF(AZ82="","",IF(AZ82="TOTAL","",IF($AU$16=$AU$17,0,IF(AND(AZ82&gt;$BY$1,$AI$3=$AR$2,'Master Sheet'!$D$27&gt;0),'Master Sheet'!$D$27,IF(AND(AZ82=$BY$1),IF($AU$9&lt;18001,135,IF($AU$9&lt;33501,220,IF($AU$9&lt;54001,330,440))),IF(AND(AZ82&gt;$BY$1),IF($AU$9&lt;18001,265,IF($AU$9&lt;33501,440,IF($AU$9&lt;54001,658,875))),""))))))</f>
        <v/>
      </c>
    </row>
    <row r="82" spans="1:78" ht="21" customHeight="1">
      <c r="A82" s="110" t="str">
        <f t="shared" si="82"/>
        <v/>
      </c>
      <c r="B82" s="60" t="str">
        <f t="shared" si="53"/>
        <v/>
      </c>
      <c r="C82" s="61" t="str">
        <f t="shared" si="87"/>
        <v/>
      </c>
      <c r="D82" s="62" t="str">
        <f>IFERROR(IF($C81="TOTAL","अक्षरें राशि :-",IF($C82="TOTAL",SUM($D$8:D81),IF(BA83="","",BA83))),"")</f>
        <v/>
      </c>
      <c r="E82" s="62" t="str">
        <f>IFERROR(IF($C82="TOTAL",SUM($E$8:E81),IF(BC83="","",BC83)),"")</f>
        <v/>
      </c>
      <c r="F82" s="62" t="str">
        <f>IFERROR(IF($C82="TOTAL",SUM($F$8:F81),IF(BD83="","",BD83)),"")</f>
        <v/>
      </c>
      <c r="G82" s="62" t="str">
        <f>IFERROR(IF($C82="TOTAL",SUM($G$8:G81),IF(BB83="","",BB83)),"")</f>
        <v/>
      </c>
      <c r="H82" s="62" t="str">
        <f t="shared" si="55"/>
        <v/>
      </c>
      <c r="I82" s="62" t="str">
        <f>IFERROR(IF($C82="TOTAL",SUM($I$8:I81),IF(BF83="","",BF83)),"")</f>
        <v/>
      </c>
      <c r="J82" s="62" t="str">
        <f>IFERROR(IF($C82="TOTAL",SUM($J$8:J81),IF(BH83="","",BH83)),"")</f>
        <v/>
      </c>
      <c r="K82" s="62" t="str">
        <f>IFERROR(IF($C82="TOTAL",SUM($K$8:K81),IF(BI83="","",BI83)),"")</f>
        <v/>
      </c>
      <c r="L82" s="62" t="str">
        <f>IFERROR(IF($C82="TOTAL",SUM($L$8:L81),IF(BG83="","",BG83)),"")</f>
        <v/>
      </c>
      <c r="M82" s="62" t="str">
        <f t="shared" si="56"/>
        <v/>
      </c>
      <c r="N82" s="62" t="str">
        <f>IFERROR(IF(C82="","",IF(D82="","",IF(I82="","",IF($C82="TOTAL",SUM($N$8:N81),SUM(D82-I82))))),"")</f>
        <v/>
      </c>
      <c r="O82" s="62" t="str">
        <f>IFERROR(IF(C82="","",IF(E82="","",IF(J82="","",IF($C82="TOTAL",SUM($O$8:O81),SUM(E82-J82))))),"")</f>
        <v/>
      </c>
      <c r="P82" s="62" t="str">
        <f>IFERROR(IF(C82="","",IF(F82="","",IF(K82="","",IF($C82="TOTAL",SUM($P$8:P81),SUM(F82-K82))))),"")</f>
        <v/>
      </c>
      <c r="Q82" s="62" t="str">
        <f t="shared" si="57"/>
        <v/>
      </c>
      <c r="R82" s="62" t="str">
        <f t="shared" si="88"/>
        <v/>
      </c>
      <c r="S82" s="62" t="str">
        <f>IFERROR(IF(C82="","",IF($C82="TOTAL",SUM($S$8:S81),IF(AND(C82&gt;$AR$1,$AI$3=$AR$2),BW83,IF($AU$18=$AU$20,SUM(BJ83+BR83),ROUND((D82+E82)*10%,0))))),"")</f>
        <v/>
      </c>
      <c r="T82" s="62" t="str">
        <f>IFERROR(IF(C82="","",IF(I82="","",IF(J82="","",IF($C82="TOTAL",SUM($T$8:T81),IF(AND(C82&gt;$AR$1,$AI$3=$AR$2),BW83,IF($AU$18=$AU$20,$AU$21,ROUND((I82+J82)*10%,0))))))),"")</f>
        <v/>
      </c>
      <c r="U82" s="62" t="str">
        <f t="shared" si="89"/>
        <v/>
      </c>
      <c r="V82" s="63" t="str">
        <f>IFERROR(IF(C82="","",IF($AU$16=$AU$17,0,IF($C82="TOTAL",SUM($V$8:V81),IF($AU$19=$AU$20,$AU$25,0)))),"")</f>
        <v/>
      </c>
      <c r="W82" s="63" t="str">
        <f>IFERROR(IF(C82="","",IF($AU$16=$AU$17,0,IF($C82="TOTAL",SUM($W$8:W81),IF($AU$19=$AU$20,$AU$24,0)))),"")</f>
        <v/>
      </c>
      <c r="X82" s="62" t="str">
        <f t="shared" si="90"/>
        <v/>
      </c>
      <c r="Y82" s="62" t="str">
        <f>IFERROR(IF(C82="","",IF($AU$16=$AU$17,0,IF($C82="TOTAL",SUM($Y$8:Y81),BZ82))),"")</f>
        <v/>
      </c>
      <c r="Z82" s="62" t="str">
        <f>IFERROR(IF(C82="","",IF($AU$16=$AU$17,0,IF($C82="TOTAL",SUM($Z$8:Z81),BY82))),"")</f>
        <v/>
      </c>
      <c r="AA82" s="62" t="str">
        <f t="shared" si="52"/>
        <v/>
      </c>
      <c r="AB82" s="62" t="str">
        <f>IFERROR(IF(C82="","",IF(D82="","",IF($C82="TOTAL",SUM($AB$8:AB81),IF(C82=$AU$1,ROUND(D82*5/31,0.01),"")))),"")</f>
        <v/>
      </c>
      <c r="AC82" s="62" t="str">
        <f>IFERROR(IF(C82="","",IF(I82="","",IF($C82="TOTAL",SUM($AC$8:AC81),IF(C82=$AU$1,ROUND(I82*5/31,0.01),"")))),"")</f>
        <v/>
      </c>
      <c r="AD82" s="62" t="str">
        <f t="shared" si="66"/>
        <v/>
      </c>
      <c r="AE82" s="62" t="str">
        <f>IFERROR(IF(C82="","",IF(AND(BP83="",BW83=""),"",IF($C82="TOTAL",SUM($AE$8:AE81),BP83))),"")</f>
        <v/>
      </c>
      <c r="AF82" s="62" t="str">
        <f>IFERROR(IF(C82="","",IF($C82="TOTAL",SUM($AF$8:AF81),ROUND(R82*$AU$7%,0))),"")</f>
        <v/>
      </c>
      <c r="AG82" s="62" t="str">
        <f t="shared" si="61"/>
        <v/>
      </c>
      <c r="AH82" s="64" t="str">
        <f>IFERROR(IF(C82="","",IF($C82="TOTAL",SUM($AH$8:AH81),SUM(R82-AG82))),"")</f>
        <v/>
      </c>
      <c r="AQ82" s="183">
        <f t="shared" si="67"/>
        <v>42</v>
      </c>
      <c r="AR82" s="183">
        <f t="shared" si="68"/>
        <v>42</v>
      </c>
      <c r="AT82" s="185">
        <v>44958</v>
      </c>
      <c r="AU82" s="165">
        <v>44958</v>
      </c>
      <c r="AV82" s="185">
        <f t="shared" si="40"/>
        <v>45778</v>
      </c>
      <c r="AX82" s="185" t="str">
        <f t="shared" si="62"/>
        <v/>
      </c>
      <c r="AY82" s="185" t="str">
        <f t="shared" si="70"/>
        <v/>
      </c>
      <c r="AZ82" s="185" t="str">
        <f t="shared" si="81"/>
        <v/>
      </c>
      <c r="BA82" s="184" t="str">
        <f t="shared" si="83"/>
        <v/>
      </c>
      <c r="BB82" s="184" t="str">
        <f t="shared" si="71"/>
        <v/>
      </c>
      <c r="BC82" s="184" t="str">
        <f t="shared" si="72"/>
        <v/>
      </c>
      <c r="BD82" s="184" t="str">
        <f t="shared" si="84"/>
        <v/>
      </c>
      <c r="BF82" s="184" t="str">
        <f t="shared" si="85"/>
        <v/>
      </c>
      <c r="BG82" s="184" t="str">
        <f t="shared" si="73"/>
        <v/>
      </c>
      <c r="BH82" s="184" t="str">
        <f t="shared" si="74"/>
        <v/>
      </c>
      <c r="BI82" s="184" t="str">
        <f t="shared" si="86"/>
        <v/>
      </c>
      <c r="BJ82" s="184" t="str">
        <f t="shared" si="75"/>
        <v/>
      </c>
      <c r="BM82" s="184" t="str">
        <f t="shared" si="76"/>
        <v/>
      </c>
      <c r="BN82" s="184" t="str">
        <f t="shared" si="77"/>
        <v/>
      </c>
      <c r="BO82" s="184" t="str">
        <f t="shared" si="78"/>
        <v/>
      </c>
      <c r="BP82" s="184" t="str">
        <f t="shared" si="63"/>
        <v/>
      </c>
      <c r="BQ82" s="184">
        <f t="shared" si="64"/>
        <v>0</v>
      </c>
      <c r="BR82" s="184">
        <f t="shared" si="65"/>
        <v>0</v>
      </c>
      <c r="BW82" s="184" t="str">
        <f t="shared" si="79"/>
        <v/>
      </c>
      <c r="BY82" s="179" t="str">
        <f t="shared" si="80"/>
        <v/>
      </c>
      <c r="BZ82" s="179" t="str">
        <f>IF(AZ83="","",IF(AZ83="TOTAL","",IF($AU$16=$AU$17,0,IF(AND(AZ83&gt;$BY$1,$AI$3=$AR$2,'Master Sheet'!$D$27&gt;0),'Master Sheet'!$D$27,IF(AND(AZ83=$BY$1),IF($AU$9&lt;18001,135,IF($AU$9&lt;33501,220,IF($AU$9&lt;54001,330,440))),IF(AND(AZ83&gt;$BY$1),IF($AU$9&lt;18001,265,IF($AU$9&lt;33501,440,IF($AU$9&lt;54001,658,875))),""))))))</f>
        <v/>
      </c>
    </row>
    <row r="83" spans="1:78" ht="21" customHeight="1">
      <c r="A83" s="110" t="str">
        <f t="shared" si="82"/>
        <v/>
      </c>
      <c r="B83" s="60" t="str">
        <f t="shared" si="53"/>
        <v/>
      </c>
      <c r="C83" s="61" t="str">
        <f t="shared" si="87"/>
        <v/>
      </c>
      <c r="D83" s="62" t="str">
        <f>IFERROR(IF($C82="TOTAL","अक्षरें राशि :-",IF($C83="TOTAL",SUM($D$8:D82),IF(BA84="","",BA84))),"")</f>
        <v/>
      </c>
      <c r="E83" s="62" t="str">
        <f>IFERROR(IF($C83="TOTAL",SUM($E$8:E82),IF(BC84="","",BC84)),"")</f>
        <v/>
      </c>
      <c r="F83" s="62" t="str">
        <f>IFERROR(IF($C83="TOTAL",SUM($F$8:F82),IF(BD84="","",BD84)),"")</f>
        <v/>
      </c>
      <c r="G83" s="62" t="str">
        <f>IFERROR(IF($C83="TOTAL",SUM($G$8:G82),IF(BB84="","",BB84)),"")</f>
        <v/>
      </c>
      <c r="H83" s="62" t="str">
        <f t="shared" si="55"/>
        <v/>
      </c>
      <c r="I83" s="62" t="str">
        <f>IFERROR(IF($C83="TOTAL",SUM($I$8:I82),IF(BF84="","",BF84)),"")</f>
        <v/>
      </c>
      <c r="J83" s="62" t="str">
        <f>IFERROR(IF($C83="TOTAL",SUM($J$8:J82),IF(BH84="","",BH84)),"")</f>
        <v/>
      </c>
      <c r="K83" s="62" t="str">
        <f>IFERROR(IF($C83="TOTAL",SUM($K$8:K82),IF(BI84="","",BI84)),"")</f>
        <v/>
      </c>
      <c r="L83" s="62" t="str">
        <f>IFERROR(IF($C83="TOTAL",SUM($L$8:L82),IF(BG84="","",BG84)),"")</f>
        <v/>
      </c>
      <c r="M83" s="62" t="str">
        <f t="shared" si="56"/>
        <v/>
      </c>
      <c r="N83" s="62" t="str">
        <f>IFERROR(IF(C83="","",IF(D83="","",IF(I83="","",IF($C83="TOTAL",SUM($N$8:N82),SUM(D83-I83))))),"")</f>
        <v/>
      </c>
      <c r="O83" s="62" t="str">
        <f>IFERROR(IF(C83="","",IF(E83="","",IF(J83="","",IF($C83="TOTAL",SUM($O$8:O82),SUM(E83-J83))))),"")</f>
        <v/>
      </c>
      <c r="P83" s="62" t="str">
        <f>IFERROR(IF(C83="","",IF(F83="","",IF(K83="","",IF($C83="TOTAL",SUM($P$8:P82),SUM(F83-K83))))),"")</f>
        <v/>
      </c>
      <c r="Q83" s="62" t="str">
        <f t="shared" si="57"/>
        <v/>
      </c>
      <c r="R83" s="62" t="str">
        <f t="shared" si="88"/>
        <v/>
      </c>
      <c r="S83" s="62" t="str">
        <f>IFERROR(IF(C83="","",IF($C83="TOTAL",SUM($S$8:S82),IF(AND(C83&gt;$AR$1,$AI$3=$AR$2),BW84,IF($AU$18=$AU$20,SUM(BJ84+BR84),ROUND((D83+E83)*10%,0))))),"")</f>
        <v/>
      </c>
      <c r="T83" s="62" t="str">
        <f>IFERROR(IF(C83="","",IF(I83="","",IF(J83="","",IF($C83="TOTAL",SUM($T$8:T82),IF(AND(C83&gt;$AR$1,$AI$3=$AR$2),BW84,IF($AU$18=$AU$20,$AU$21,ROUND((I83+J83)*10%,0))))))),"")</f>
        <v/>
      </c>
      <c r="U83" s="62" t="str">
        <f t="shared" si="89"/>
        <v/>
      </c>
      <c r="V83" s="63" t="str">
        <f>IFERROR(IF(C83="","",IF($AU$16=$AU$17,0,IF($C83="TOTAL",SUM($V$8:V82),IF($AU$19=$AU$20,$AU$25,0)))),"")</f>
        <v/>
      </c>
      <c r="W83" s="63" t="str">
        <f>IFERROR(IF(C83="","",IF($AU$16=$AU$17,0,IF($C83="TOTAL",SUM($W$8:W82),IF($AU$19=$AU$20,$AU$24,0)))),"")</f>
        <v/>
      </c>
      <c r="X83" s="62" t="str">
        <f t="shared" si="90"/>
        <v/>
      </c>
      <c r="Y83" s="62" t="str">
        <f>IFERROR(IF(C83="","",IF($AU$16=$AU$17,0,IF($C83="TOTAL",SUM($Y$8:Y82),BZ83))),"")</f>
        <v/>
      </c>
      <c r="Z83" s="62" t="str">
        <f>IFERROR(IF(C83="","",IF($AU$16=$AU$17,0,IF($C83="TOTAL",SUM($Z$8:Z82),BY83))),"")</f>
        <v/>
      </c>
      <c r="AA83" s="62" t="str">
        <f t="shared" si="52"/>
        <v/>
      </c>
      <c r="AB83" s="62" t="str">
        <f>IFERROR(IF(C83="","",IF(D83="","",IF($C83="TOTAL",SUM($AB$8:AB82),IF(C83=$AU$1,ROUND(D83*5/31,0.01),"")))),"")</f>
        <v/>
      </c>
      <c r="AC83" s="62" t="str">
        <f>IFERROR(IF(C83="","",IF(I83="","",IF($C83="TOTAL",SUM($AC$8:AC82),IF(C83=$AU$1,ROUND(I83*5/31,0.01),"")))),"")</f>
        <v/>
      </c>
      <c r="AD83" s="62" t="str">
        <f t="shared" si="66"/>
        <v/>
      </c>
      <c r="AE83" s="62" t="str">
        <f>IFERROR(IF(C83="","",IF(AND(BP84="",BW84=""),"",IF($C83="TOTAL",SUM($AE$8:AE82),BP84))),"")</f>
        <v/>
      </c>
      <c r="AF83" s="62" t="str">
        <f>IFERROR(IF(C83="","",IF($C83="TOTAL",SUM($AF$8:AF82),ROUND(R83*$AU$7%,0))),"")</f>
        <v/>
      </c>
      <c r="AG83" s="62" t="str">
        <f t="shared" si="61"/>
        <v/>
      </c>
      <c r="AH83" s="64" t="str">
        <f>IFERROR(IF(C83="","",IF($C83="TOTAL",SUM($AH$8:AH82),SUM(R83-AG83))),"")</f>
        <v/>
      </c>
      <c r="AQ83" s="183">
        <f t="shared" si="67"/>
        <v>42</v>
      </c>
      <c r="AR83" s="183">
        <f t="shared" si="68"/>
        <v>42</v>
      </c>
      <c r="AT83" s="185">
        <v>44986</v>
      </c>
      <c r="AU83" s="165">
        <v>44986</v>
      </c>
      <c r="AV83" s="185">
        <f t="shared" si="40"/>
        <v>45809</v>
      </c>
      <c r="AX83" s="185" t="str">
        <f t="shared" si="62"/>
        <v/>
      </c>
      <c r="AY83" s="185" t="str">
        <f t="shared" si="70"/>
        <v/>
      </c>
      <c r="AZ83" s="185" t="str">
        <f t="shared" si="81"/>
        <v/>
      </c>
      <c r="BA83" s="184" t="str">
        <f t="shared" si="83"/>
        <v/>
      </c>
      <c r="BB83" s="184" t="str">
        <f t="shared" si="71"/>
        <v/>
      </c>
      <c r="BC83" s="184" t="str">
        <f t="shared" si="72"/>
        <v/>
      </c>
      <c r="BD83" s="184" t="str">
        <f t="shared" si="84"/>
        <v/>
      </c>
      <c r="BF83" s="184" t="str">
        <f t="shared" si="85"/>
        <v/>
      </c>
      <c r="BG83" s="184" t="str">
        <f t="shared" si="73"/>
        <v/>
      </c>
      <c r="BH83" s="184" t="str">
        <f t="shared" si="74"/>
        <v/>
      </c>
      <c r="BI83" s="184" t="str">
        <f t="shared" si="86"/>
        <v/>
      </c>
      <c r="BJ83" s="184" t="str">
        <f t="shared" si="75"/>
        <v/>
      </c>
      <c r="BM83" s="184" t="str">
        <f t="shared" si="76"/>
        <v/>
      </c>
      <c r="BN83" s="184" t="str">
        <f t="shared" si="77"/>
        <v/>
      </c>
      <c r="BO83" s="184" t="str">
        <f t="shared" si="78"/>
        <v/>
      </c>
      <c r="BP83" s="184" t="str">
        <f t="shared" si="63"/>
        <v/>
      </c>
      <c r="BQ83" s="184">
        <f t="shared" si="64"/>
        <v>0</v>
      </c>
      <c r="BR83" s="184">
        <f t="shared" si="65"/>
        <v>0</v>
      </c>
      <c r="BW83" s="184" t="str">
        <f t="shared" si="79"/>
        <v/>
      </c>
      <c r="BY83" s="179" t="str">
        <f t="shared" si="80"/>
        <v/>
      </c>
      <c r="BZ83" s="179" t="str">
        <f>IF(AZ84="","",IF(AZ84="TOTAL","",IF($AU$16=$AU$17,0,IF(AND(AZ84&gt;$BY$1,$AI$3=$AR$2,'Master Sheet'!$D$27&gt;0),'Master Sheet'!$D$27,IF(AND(AZ84=$BY$1),IF($AU$9&lt;18001,135,IF($AU$9&lt;33501,220,IF($AU$9&lt;54001,330,440))),IF(AND(AZ84&gt;$BY$1),IF($AU$9&lt;18001,265,IF($AU$9&lt;33501,440,IF($AU$9&lt;54001,658,875))),""))))))</f>
        <v/>
      </c>
    </row>
    <row r="84" spans="1:78" ht="21" customHeight="1">
      <c r="A84" s="110" t="str">
        <f t="shared" ref="A84:A95" si="91">IF(C84="TOTAL","",IF(B83="","",IF(LEN(C84)&gt;=2,B83+1,0)))</f>
        <v/>
      </c>
      <c r="B84" s="60" t="str">
        <f t="shared" si="53"/>
        <v/>
      </c>
      <c r="C84" s="61" t="str">
        <f t="shared" si="87"/>
        <v/>
      </c>
      <c r="D84" s="62" t="str">
        <f>IFERROR(IF($C83="TOTAL","अक्षरें राशि :-",IF($C84="TOTAL",SUM($D$8:D83),IF(BA85="","",BA85))),"")</f>
        <v/>
      </c>
      <c r="E84" s="62" t="str">
        <f>IFERROR(IF($C84="TOTAL",SUM($E$8:E83),IF(BC85="","",BC85)),"")</f>
        <v/>
      </c>
      <c r="F84" s="62" t="str">
        <f>IFERROR(IF($C84="TOTAL",SUM($F$8:F83),IF(BD85="","",BD85)),"")</f>
        <v/>
      </c>
      <c r="G84" s="62" t="str">
        <f>IFERROR(IF($C84="TOTAL",SUM($G$8:G83),IF(BB85="","",BB85)),"")</f>
        <v/>
      </c>
      <c r="H84" s="62" t="str">
        <f t="shared" si="55"/>
        <v/>
      </c>
      <c r="I84" s="62" t="str">
        <f>IFERROR(IF($C84="TOTAL",SUM($I$8:I83),IF(BF85="","",BF85)),"")</f>
        <v/>
      </c>
      <c r="J84" s="62" t="str">
        <f>IFERROR(IF($C84="TOTAL",SUM($J$8:J83),IF(BH85="","",BH85)),"")</f>
        <v/>
      </c>
      <c r="K84" s="62" t="str">
        <f>IFERROR(IF($C84="TOTAL",SUM($K$8:K83),IF(BI85="","",BI85)),"")</f>
        <v/>
      </c>
      <c r="L84" s="62" t="str">
        <f>IFERROR(IF($C84="TOTAL",SUM($L$8:L83),IF(BG85="","",BG85)),"")</f>
        <v/>
      </c>
      <c r="M84" s="62" t="str">
        <f t="shared" si="56"/>
        <v/>
      </c>
      <c r="N84" s="62" t="str">
        <f>IFERROR(IF(C84="","",IF(D84="","",IF(I84="","",IF($C84="TOTAL",SUM($N$8:N83),SUM(D84-I84))))),"")</f>
        <v/>
      </c>
      <c r="O84" s="62" t="str">
        <f>IFERROR(IF(C84="","",IF(E84="","",IF(J84="","",IF($C84="TOTAL",SUM($O$8:O83),SUM(E84-J84))))),"")</f>
        <v/>
      </c>
      <c r="P84" s="62" t="str">
        <f>IFERROR(IF(C84="","",IF(F84="","",IF(K84="","",IF($C84="TOTAL",SUM($P$8:P83),SUM(F84-K84))))),"")</f>
        <v/>
      </c>
      <c r="Q84" s="62" t="str">
        <f t="shared" si="57"/>
        <v/>
      </c>
      <c r="R84" s="62" t="str">
        <f t="shared" si="88"/>
        <v/>
      </c>
      <c r="S84" s="62" t="str">
        <f>IFERROR(IF(C84="","",IF($C84="TOTAL",SUM($S$8:S83),IF(AND(C84&gt;$AR$1,$AI$3=$AR$2),BW85,IF($AU$18=$AU$20,SUM(BJ85+BR85),ROUND((D84+E84)*10%,0))))),"")</f>
        <v/>
      </c>
      <c r="T84" s="62" t="str">
        <f>IFERROR(IF(C84="","",IF(I84="","",IF(J84="","",IF($C84="TOTAL",SUM($T$8:T83),IF(AND(C84&gt;$AR$1,$AI$3=$AR$2),BW85,IF($AU$18=$AU$20,$AU$21,ROUND((I84+J84)*10%,0))))))),"")</f>
        <v/>
      </c>
      <c r="U84" s="62" t="str">
        <f t="shared" si="89"/>
        <v/>
      </c>
      <c r="V84" s="63" t="str">
        <f>IFERROR(IF(C84="","",IF($AU$16=$AU$17,0,IF($C84="TOTAL",SUM($V$8:V83),IF($AU$19=$AU$20,$AU$25,0)))),"")</f>
        <v/>
      </c>
      <c r="W84" s="63" t="str">
        <f>IFERROR(IF(C84="","",IF($AU$16=$AU$17,0,IF($C84="TOTAL",SUM($W$8:W83),IF($AU$19=$AU$20,$AU$24,0)))),"")</f>
        <v/>
      </c>
      <c r="X84" s="62" t="str">
        <f t="shared" si="90"/>
        <v/>
      </c>
      <c r="Y84" s="62" t="str">
        <f>IFERROR(IF(C84="","",IF($AU$16=$AU$17,0,IF($C84="TOTAL",SUM($Y$8:Y83),BZ84))),"")</f>
        <v/>
      </c>
      <c r="Z84" s="62" t="str">
        <f>IFERROR(IF(C84="","",IF($AU$16=$AU$17,0,IF($C84="TOTAL",SUM($Z$8:Z83),BY84))),"")</f>
        <v/>
      </c>
      <c r="AA84" s="62" t="str">
        <f t="shared" si="52"/>
        <v/>
      </c>
      <c r="AB84" s="62" t="str">
        <f>IFERROR(IF(C84="","",IF(D84="","",IF($C84="TOTAL",SUM($AB$8:AB83),IF(C84=$AU$1,ROUND(D84*5/31,0.01),"")))),"")</f>
        <v/>
      </c>
      <c r="AC84" s="62" t="str">
        <f>IFERROR(IF(C84="","",IF(I84="","",IF($C84="TOTAL",SUM($AC$8:AC83),IF(C84=$AU$1,ROUND(I84*5/31,0.01),"")))),"")</f>
        <v/>
      </c>
      <c r="AD84" s="62" t="str">
        <f t="shared" si="66"/>
        <v/>
      </c>
      <c r="AE84" s="62" t="str">
        <f>IFERROR(IF(C84="","",IF(AND(BP85="",BW85=""),"",IF($C84="TOTAL",SUM($AE$8:AE83),BP85))),"")</f>
        <v/>
      </c>
      <c r="AF84" s="62" t="str">
        <f>IFERROR(IF(C84="","",IF($C84="TOTAL",SUM($AF$8:AF83),ROUND(R84*$AU$7%,0))),"")</f>
        <v/>
      </c>
      <c r="AG84" s="62" t="str">
        <f t="shared" si="61"/>
        <v/>
      </c>
      <c r="AH84" s="64" t="str">
        <f>IFERROR(IF(C84="","",IF($C84="TOTAL",SUM($AH$8:AH83),SUM(R84-AG84))),"")</f>
        <v/>
      </c>
      <c r="AQ84" s="183">
        <f t="shared" si="67"/>
        <v>42</v>
      </c>
      <c r="AR84" s="183">
        <f t="shared" si="68"/>
        <v>42</v>
      </c>
      <c r="AT84" s="185">
        <v>45017</v>
      </c>
      <c r="AU84" s="165">
        <v>45017</v>
      </c>
      <c r="AV84" s="185">
        <f t="shared" ref="AV84:AV91" si="92">IF(AND($AU$6&gt;$AV$6),"",DATE(YEAR(AV83),MONTH(AV83)+1,DAY(AV83)))</f>
        <v>45839</v>
      </c>
      <c r="AX84" s="185" t="str">
        <f t="shared" si="62"/>
        <v/>
      </c>
      <c r="AY84" s="185" t="str">
        <f t="shared" si="70"/>
        <v/>
      </c>
      <c r="AZ84" s="185" t="str">
        <f>IFERROR(IF(AY84="","",IF(DATE(YEAR(AY84),MONTH(AY84),DAY(AY84))=DATE(YEAR($AV$6),MONTH($AV$6)+1,DAY($AV$6)),"TOTAL",IF(AY84&gt;$AV$6,"",AY84))),"")</f>
        <v/>
      </c>
      <c r="BA84" s="184" t="str">
        <f t="shared" si="83"/>
        <v/>
      </c>
      <c r="BB84" s="184" t="str">
        <f t="shared" si="71"/>
        <v/>
      </c>
      <c r="BC84" s="184" t="str">
        <f t="shared" si="72"/>
        <v/>
      </c>
      <c r="BD84" s="184" t="str">
        <f t="shared" si="84"/>
        <v/>
      </c>
      <c r="BF84" s="184" t="str">
        <f t="shared" si="85"/>
        <v/>
      </c>
      <c r="BG84" s="184" t="str">
        <f t="shared" si="73"/>
        <v/>
      </c>
      <c r="BH84" s="184" t="str">
        <f t="shared" si="74"/>
        <v/>
      </c>
      <c r="BI84" s="184" t="str">
        <f t="shared" si="86"/>
        <v/>
      </c>
      <c r="BJ84" s="184" t="str">
        <f t="shared" si="75"/>
        <v/>
      </c>
      <c r="BM84" s="184" t="str">
        <f t="shared" si="76"/>
        <v/>
      </c>
      <c r="BN84" s="184" t="str">
        <f t="shared" si="77"/>
        <v/>
      </c>
      <c r="BO84" s="184" t="str">
        <f t="shared" si="78"/>
        <v/>
      </c>
      <c r="BP84" s="184" t="str">
        <f t="shared" si="63"/>
        <v/>
      </c>
      <c r="BQ84" s="184">
        <f t="shared" si="64"/>
        <v>0</v>
      </c>
      <c r="BR84" s="184">
        <f t="shared" si="65"/>
        <v>0</v>
      </c>
      <c r="BW84" s="184" t="str">
        <f t="shared" si="79"/>
        <v/>
      </c>
      <c r="BY84" s="179" t="str">
        <f t="shared" si="80"/>
        <v/>
      </c>
      <c r="BZ84" s="179" t="str">
        <f>IF(AZ85="","",IF(AZ85="TOTAL","",IF($AU$16=$AU$17,0,IF(AND(AZ85&gt;$BY$1,$AI$3=$AR$2,'Master Sheet'!$D$27&gt;0),'Master Sheet'!$D$27,IF(AND(AZ85=$BY$1),IF($AU$9&lt;18001,135,IF($AU$9&lt;33501,220,IF($AU$9&lt;54001,330,440))),IF(AND(AZ85&gt;$BY$1),IF($AU$9&lt;18001,265,IF($AU$9&lt;33501,440,IF($AU$9&lt;54001,658,875))),""))))))</f>
        <v/>
      </c>
    </row>
    <row r="85" spans="1:78" ht="21" customHeight="1">
      <c r="A85" s="110" t="str">
        <f t="shared" si="91"/>
        <v/>
      </c>
      <c r="B85" s="60" t="str">
        <f t="shared" si="53"/>
        <v/>
      </c>
      <c r="C85" s="61" t="str">
        <f t="shared" si="87"/>
        <v/>
      </c>
      <c r="D85" s="62" t="str">
        <f>IFERROR(IF($C84="TOTAL","अक्षरें राशि :-",IF($C85="TOTAL",SUM($D$8:D84),IF(BA86="","",BA86))),"")</f>
        <v/>
      </c>
      <c r="E85" s="62" t="str">
        <f>IFERROR(IF($C85="TOTAL",SUM($E$8:E84),IF(BC86="","",BC86)),"")</f>
        <v/>
      </c>
      <c r="F85" s="62" t="str">
        <f>IFERROR(IF($C85="TOTAL",SUM($F$8:F84),IF(BD86="","",BD86)),"")</f>
        <v/>
      </c>
      <c r="G85" s="62" t="str">
        <f>IFERROR(IF($C85="TOTAL",SUM($G$8:G84),IF(BB86="","",BB86)),"")</f>
        <v/>
      </c>
      <c r="H85" s="62" t="str">
        <f t="shared" si="55"/>
        <v/>
      </c>
      <c r="I85" s="62" t="str">
        <f>IFERROR(IF($C85="TOTAL",SUM($I$8:I84),IF(BF86="","",BF86)),"")</f>
        <v/>
      </c>
      <c r="J85" s="62" t="str">
        <f>IFERROR(IF($C85="TOTAL",SUM($J$8:J84),IF(BH86="","",BH86)),"")</f>
        <v/>
      </c>
      <c r="K85" s="62" t="str">
        <f>IFERROR(IF($C85="TOTAL",SUM($K$8:K84),IF(BI86="","",BI86)),"")</f>
        <v/>
      </c>
      <c r="L85" s="62" t="str">
        <f>IFERROR(IF($C85="TOTAL",SUM($L$8:L84),IF(BG86="","",BG86)),"")</f>
        <v/>
      </c>
      <c r="M85" s="62" t="str">
        <f t="shared" si="56"/>
        <v/>
      </c>
      <c r="N85" s="62" t="str">
        <f>IFERROR(IF(C85="","",IF(D85="","",IF(I85="","",IF($C85="TOTAL",SUM($N$8:N84),SUM(D85-I85))))),"")</f>
        <v/>
      </c>
      <c r="O85" s="62" t="str">
        <f>IFERROR(IF(C85="","",IF(E85="","",IF(J85="","",IF($C85="TOTAL",SUM($O$8:O84),SUM(E85-J85))))),"")</f>
        <v/>
      </c>
      <c r="P85" s="62" t="str">
        <f>IFERROR(IF(C85="","",IF(F85="","",IF(K85="","",IF($C85="TOTAL",SUM($P$8:P84),SUM(F85-K85))))),"")</f>
        <v/>
      </c>
      <c r="Q85" s="62" t="str">
        <f t="shared" si="57"/>
        <v/>
      </c>
      <c r="R85" s="62" t="str">
        <f t="shared" si="88"/>
        <v/>
      </c>
      <c r="S85" s="62" t="str">
        <f>IFERROR(IF(C85="","",IF($C85="TOTAL",SUM($S$8:S84),IF(AND(C85&gt;$AR$1,$AI$3=$AR$2),BW86,IF($AU$18=$AU$20,SUM(BJ86+BR86),ROUND((D85+E85)*10%,0))))),"")</f>
        <v/>
      </c>
      <c r="T85" s="62" t="str">
        <f>IFERROR(IF(C85="","",IF(I85="","",IF(J85="","",IF($C85="TOTAL",SUM($T$8:T84),IF(AND(C85&gt;$AR$1,$AI$3=$AR$2),BW86,IF($AU$18=$AU$20,$AU$21,ROUND((I85+J85)*10%,0))))))),"")</f>
        <v/>
      </c>
      <c r="U85" s="62" t="str">
        <f t="shared" si="89"/>
        <v/>
      </c>
      <c r="V85" s="63" t="str">
        <f>IFERROR(IF(C85="","",IF($AU$16=$AU$17,0,IF($C85="TOTAL",SUM($V$8:V84),IF($AU$19=$AU$20,$AU$25,0)))),"")</f>
        <v/>
      </c>
      <c r="W85" s="63" t="str">
        <f>IFERROR(IF(C85="","",IF($AU$16=$AU$17,0,IF($C85="TOTAL",SUM($W$8:W84),IF($AU$19=$AU$20,$AU$24,0)))),"")</f>
        <v/>
      </c>
      <c r="X85" s="62" t="str">
        <f t="shared" si="90"/>
        <v/>
      </c>
      <c r="Y85" s="62" t="str">
        <f>IFERROR(IF(C85="","",IF($AU$16=$AU$17,0,IF($C85="TOTAL",SUM($Y$8:Y84),BZ85))),"")</f>
        <v/>
      </c>
      <c r="Z85" s="62" t="str">
        <f>IFERROR(IF(C85="","",IF($AU$16=$AU$17,0,IF($C85="TOTAL",SUM($Z$8:Z84),BY85))),"")</f>
        <v/>
      </c>
      <c r="AA85" s="62" t="str">
        <f t="shared" si="52"/>
        <v/>
      </c>
      <c r="AB85" s="62" t="str">
        <f>IFERROR(IF(C85="","",IF(D85="","",IF($C85="TOTAL",SUM($AB$8:AB84),IF(C85=$AU$1,ROUND(D85*5/31,0.01),"")))),"")</f>
        <v/>
      </c>
      <c r="AC85" s="62" t="str">
        <f>IFERROR(IF(C85="","",IF(I85="","",IF($C85="TOTAL",SUM($AC$8:AC84),IF(C85=$AU$1,ROUND(I85*5/31,0.01),"")))),"")</f>
        <v/>
      </c>
      <c r="AD85" s="62" t="str">
        <f t="shared" si="66"/>
        <v/>
      </c>
      <c r="AE85" s="62" t="str">
        <f>IFERROR(IF(C85="","",IF(AND(BP86="",BW86=""),"",IF($C85="TOTAL",SUM($AE$8:AE84),BP86))),"")</f>
        <v/>
      </c>
      <c r="AF85" s="62" t="str">
        <f>IFERROR(IF(C85="","",IF($C85="TOTAL",SUM($AF$8:AF84),ROUND(R85*$AU$7%,0))),"")</f>
        <v/>
      </c>
      <c r="AG85" s="62" t="str">
        <f t="shared" si="61"/>
        <v/>
      </c>
      <c r="AH85" s="64" t="str">
        <f>IFERROR(IF(C85="","",IF($C85="TOTAL",SUM($AH$8:AH84),SUM(R85-AG85))),"")</f>
        <v/>
      </c>
      <c r="AQ85" s="183">
        <f t="shared" si="67"/>
        <v>42</v>
      </c>
      <c r="AR85" s="183">
        <f t="shared" si="68"/>
        <v>42</v>
      </c>
      <c r="AT85" s="185">
        <v>45047</v>
      </c>
      <c r="AU85" s="165">
        <v>45047</v>
      </c>
      <c r="AV85" s="185">
        <f t="shared" si="92"/>
        <v>45870</v>
      </c>
      <c r="AX85" s="185" t="str">
        <f t="shared" si="62"/>
        <v/>
      </c>
      <c r="AY85" s="185" t="str">
        <f t="shared" si="70"/>
        <v/>
      </c>
      <c r="AZ85" s="185" t="str">
        <f t="shared" ref="AZ85:AZ91" si="93">IFERROR(IF(AY85="","",IF(DATE(YEAR(AY85),MONTH(AY85),DAY(AY85))=DATE(YEAR($AV$6),MONTH($AV$6)+1,DAY($AV$6)),"TOTAL",IF(AY85&gt;$AV$6,"",AY85))),"")</f>
        <v/>
      </c>
      <c r="BA85" s="184" t="str">
        <f t="shared" si="83"/>
        <v/>
      </c>
      <c r="BB85" s="184" t="str">
        <f t="shared" si="71"/>
        <v/>
      </c>
      <c r="BC85" s="184" t="str">
        <f t="shared" si="72"/>
        <v/>
      </c>
      <c r="BD85" s="184" t="str">
        <f t="shared" si="84"/>
        <v/>
      </c>
      <c r="BF85" s="184" t="str">
        <f t="shared" si="85"/>
        <v/>
      </c>
      <c r="BG85" s="184" t="str">
        <f t="shared" si="73"/>
        <v/>
      </c>
      <c r="BH85" s="184" t="str">
        <f t="shared" si="74"/>
        <v/>
      </c>
      <c r="BI85" s="184" t="str">
        <f t="shared" si="86"/>
        <v/>
      </c>
      <c r="BJ85" s="184" t="str">
        <f t="shared" si="75"/>
        <v/>
      </c>
      <c r="BM85" s="184" t="str">
        <f t="shared" si="76"/>
        <v/>
      </c>
      <c r="BN85" s="184" t="str">
        <f t="shared" si="77"/>
        <v/>
      </c>
      <c r="BO85" s="184" t="str">
        <f t="shared" si="78"/>
        <v/>
      </c>
      <c r="BP85" s="184" t="str">
        <f t="shared" si="63"/>
        <v/>
      </c>
      <c r="BQ85" s="184">
        <f t="shared" si="64"/>
        <v>0</v>
      </c>
      <c r="BR85" s="184">
        <f t="shared" si="65"/>
        <v>0</v>
      </c>
      <c r="BW85" s="184" t="str">
        <f t="shared" si="79"/>
        <v/>
      </c>
      <c r="BY85" s="179" t="str">
        <f t="shared" si="80"/>
        <v/>
      </c>
      <c r="BZ85" s="179" t="str">
        <f>IF(AZ86="","",IF(AZ86="TOTAL","",IF($AU$16=$AU$17,0,IF(AND(AZ86&gt;$BY$1,$AI$3=$AR$2,'Master Sheet'!$D$27&gt;0),'Master Sheet'!$D$27,IF(AND(AZ86=$BY$1),IF($AU$9&lt;18001,135,IF($AU$9&lt;33501,220,IF($AU$9&lt;54001,330,440))),IF(AND(AZ86&gt;$BY$1),IF($AU$9&lt;18001,265,IF($AU$9&lt;33501,440,IF($AU$9&lt;54001,658,875))),""))))))</f>
        <v/>
      </c>
    </row>
    <row r="86" spans="1:78" ht="21" customHeight="1">
      <c r="A86" s="110" t="str">
        <f t="shared" si="91"/>
        <v/>
      </c>
      <c r="B86" s="60" t="str">
        <f t="shared" si="53"/>
        <v/>
      </c>
      <c r="C86" s="61" t="str">
        <f t="shared" si="87"/>
        <v/>
      </c>
      <c r="D86" s="62" t="str">
        <f>IFERROR(IF($C85="TOTAL","अक्षरें राशि :-",IF($C86="TOTAL",SUM($D$8:D85),IF(BA87="","",BA87))),"")</f>
        <v/>
      </c>
      <c r="E86" s="62" t="str">
        <f>IFERROR(IF($C86="TOTAL",SUM($E$8:E85),IF(BC87="","",BC87)),"")</f>
        <v/>
      </c>
      <c r="F86" s="62" t="str">
        <f>IFERROR(IF($C86="TOTAL",SUM($F$8:F85),IF(BD87="","",BD87)),"")</f>
        <v/>
      </c>
      <c r="G86" s="62" t="str">
        <f>IFERROR(IF($C86="TOTAL",SUM($G$8:G85),IF(BB87="","",BB87)),"")</f>
        <v/>
      </c>
      <c r="H86" s="62" t="str">
        <f t="shared" si="55"/>
        <v/>
      </c>
      <c r="I86" s="62" t="str">
        <f>IFERROR(IF($C86="TOTAL",SUM($I$8:I85),IF(BF87="","",BF87)),"")</f>
        <v/>
      </c>
      <c r="J86" s="62" t="str">
        <f>IFERROR(IF($C86="TOTAL",SUM($J$8:J85),IF(BH87="","",BH87)),"")</f>
        <v/>
      </c>
      <c r="K86" s="62" t="str">
        <f>IFERROR(IF($C86="TOTAL",SUM($K$8:K85),IF(BI87="","",BI87)),"")</f>
        <v/>
      </c>
      <c r="L86" s="62" t="str">
        <f>IFERROR(IF($C86="TOTAL",SUM($L$8:L85),IF(BG87="","",BG87)),"")</f>
        <v/>
      </c>
      <c r="M86" s="62" t="str">
        <f t="shared" si="56"/>
        <v/>
      </c>
      <c r="N86" s="62" t="str">
        <f>IFERROR(IF(C86="","",IF(D86="","",IF(I86="","",IF($C86="TOTAL",SUM($N$8:N85),SUM(D86-I86))))),"")</f>
        <v/>
      </c>
      <c r="O86" s="62" t="str">
        <f>IFERROR(IF(C86="","",IF(E86="","",IF(J86="","",IF($C86="TOTAL",SUM($O$8:O85),SUM(E86-J86))))),"")</f>
        <v/>
      </c>
      <c r="P86" s="62" t="str">
        <f>IFERROR(IF(C86="","",IF(F86="","",IF(K86="","",IF($C86="TOTAL",SUM($P$8:P85),SUM(F86-K86))))),"")</f>
        <v/>
      </c>
      <c r="Q86" s="62" t="str">
        <f t="shared" si="57"/>
        <v/>
      </c>
      <c r="R86" s="62" t="str">
        <f t="shared" si="88"/>
        <v/>
      </c>
      <c r="S86" s="62" t="str">
        <f>IFERROR(IF(C86="","",IF($C86="TOTAL",SUM($S$8:S85),IF(AND(C86&gt;$AR$1,$AI$3=$AR$2),BW87,IF($AU$18=$AU$20,SUM(BJ87+BR87),ROUND((D86+E86)*10%,0))))),"")</f>
        <v/>
      </c>
      <c r="T86" s="62" t="str">
        <f>IFERROR(IF(C86="","",IF(I86="","",IF(J86="","",IF($C86="TOTAL",SUM($T$8:T85),IF(AND(C86&gt;$AR$1,$AI$3=$AR$2),BW87,IF($AU$18=$AU$20,$AU$21,ROUND((I86+J86)*10%,0))))))),"")</f>
        <v/>
      </c>
      <c r="U86" s="62" t="str">
        <f t="shared" si="89"/>
        <v/>
      </c>
      <c r="V86" s="63" t="str">
        <f>IFERROR(IF(C86="","",IF($AU$16=$AU$17,0,IF($C86="TOTAL",SUM($V$8:V85),IF($AU$19=$AU$20,$AU$25,0)))),"")</f>
        <v/>
      </c>
      <c r="W86" s="63" t="str">
        <f>IFERROR(IF(C86="","",IF($AU$16=$AU$17,0,IF($C86="TOTAL",SUM($W$8:W85),IF($AU$19=$AU$20,$AU$24,0)))),"")</f>
        <v/>
      </c>
      <c r="X86" s="62" t="str">
        <f t="shared" si="90"/>
        <v/>
      </c>
      <c r="Y86" s="62" t="str">
        <f>IFERROR(IF(C86="","",IF($AU$16=$AU$17,0,IF($C86="TOTAL",SUM($Y$8:Y85),BZ86))),"")</f>
        <v/>
      </c>
      <c r="Z86" s="62" t="str">
        <f>IFERROR(IF(C86="","",IF($AU$16=$AU$17,0,IF($C86="TOTAL",SUM($Z$8:Z85),BY86))),"")</f>
        <v/>
      </c>
      <c r="AA86" s="62" t="str">
        <f t="shared" si="52"/>
        <v/>
      </c>
      <c r="AB86" s="62" t="str">
        <f>IFERROR(IF(C86="","",IF(D86="","",IF($C86="TOTAL",SUM($AB$8:AB85),IF(C86=$AU$1,ROUND(D86*5/31,0.01),"")))),"")</f>
        <v/>
      </c>
      <c r="AC86" s="62" t="str">
        <f>IFERROR(IF(C86="","",IF(I86="","",IF($C86="TOTAL",SUM($AC$8:AC85),IF(C86=$AU$1,ROUND(I86*5/31,0.01),"")))),"")</f>
        <v/>
      </c>
      <c r="AD86" s="62" t="str">
        <f t="shared" si="66"/>
        <v/>
      </c>
      <c r="AE86" s="62" t="str">
        <f>IFERROR(IF(C86="","",IF(AND(BP87="",BW87=""),"",IF($C86="TOTAL",SUM($AE$8:AE85),BP87))),"")</f>
        <v/>
      </c>
      <c r="AF86" s="62" t="str">
        <f>IFERROR(IF(C86="","",IF($C86="TOTAL",SUM($AF$8:AF85),ROUND(R86*$AU$7%,0))),"")</f>
        <v/>
      </c>
      <c r="AG86" s="62" t="str">
        <f t="shared" si="61"/>
        <v/>
      </c>
      <c r="AH86" s="64" t="str">
        <f>IFERROR(IF(C86="","",IF($C86="TOTAL",SUM($AH$8:AH85),SUM(R86-AG86))),"")</f>
        <v/>
      </c>
      <c r="AQ86" s="183">
        <f t="shared" si="67"/>
        <v>42</v>
      </c>
      <c r="AR86" s="183">
        <f t="shared" si="68"/>
        <v>42</v>
      </c>
      <c r="AT86" s="185">
        <v>45078</v>
      </c>
      <c r="AU86" s="165">
        <v>45078</v>
      </c>
      <c r="AV86" s="185">
        <f t="shared" si="92"/>
        <v>45901</v>
      </c>
      <c r="AX86" s="185" t="str">
        <f t="shared" si="62"/>
        <v/>
      </c>
      <c r="AY86" s="185" t="str">
        <f t="shared" si="70"/>
        <v/>
      </c>
      <c r="AZ86" s="185" t="str">
        <f t="shared" si="93"/>
        <v/>
      </c>
      <c r="BA86" s="184" t="str">
        <f t="shared" si="83"/>
        <v/>
      </c>
      <c r="BB86" s="184" t="str">
        <f t="shared" si="71"/>
        <v/>
      </c>
      <c r="BC86" s="184" t="str">
        <f t="shared" si="72"/>
        <v/>
      </c>
      <c r="BD86" s="184" t="str">
        <f t="shared" si="84"/>
        <v/>
      </c>
      <c r="BF86" s="184" t="str">
        <f t="shared" si="85"/>
        <v/>
      </c>
      <c r="BG86" s="184" t="str">
        <f t="shared" si="73"/>
        <v/>
      </c>
      <c r="BH86" s="184" t="str">
        <f t="shared" si="74"/>
        <v/>
      </c>
      <c r="BI86" s="184" t="str">
        <f t="shared" si="86"/>
        <v/>
      </c>
      <c r="BJ86" s="184" t="str">
        <f t="shared" si="75"/>
        <v/>
      </c>
      <c r="BM86" s="184" t="str">
        <f t="shared" si="76"/>
        <v/>
      </c>
      <c r="BN86" s="184" t="str">
        <f t="shared" si="77"/>
        <v/>
      </c>
      <c r="BO86" s="184" t="str">
        <f t="shared" si="78"/>
        <v/>
      </c>
      <c r="BP86" s="184" t="str">
        <f t="shared" si="63"/>
        <v/>
      </c>
      <c r="BQ86" s="184">
        <f t="shared" si="64"/>
        <v>0</v>
      </c>
      <c r="BR86" s="184">
        <f t="shared" si="65"/>
        <v>0</v>
      </c>
      <c r="BW86" s="184" t="str">
        <f t="shared" si="79"/>
        <v/>
      </c>
      <c r="BY86" s="179" t="str">
        <f t="shared" si="80"/>
        <v/>
      </c>
      <c r="BZ86" s="179" t="str">
        <f>IF(AZ87="","",IF(AZ87="TOTAL","",IF($AU$16=$AU$17,0,IF(AND(AZ87&gt;$BY$1,$AI$3=$AR$2,'Master Sheet'!$D$27&gt;0),'Master Sheet'!$D$27,IF(AND(AZ87=$BY$1),IF($AU$9&lt;18001,135,IF($AU$9&lt;33501,220,IF($AU$9&lt;54001,330,440))),IF(AND(AZ87&gt;$BY$1),IF($AU$9&lt;18001,265,IF($AU$9&lt;33501,440,IF($AU$9&lt;54001,658,875))),""))))))</f>
        <v/>
      </c>
    </row>
    <row r="87" spans="1:78" ht="21" customHeight="1">
      <c r="A87" s="110" t="str">
        <f t="shared" si="91"/>
        <v/>
      </c>
      <c r="B87" s="60" t="str">
        <f t="shared" si="53"/>
        <v/>
      </c>
      <c r="C87" s="61" t="str">
        <f t="shared" si="87"/>
        <v/>
      </c>
      <c r="D87" s="62" t="str">
        <f>IFERROR(IF($C86="TOTAL","अक्षरें राशि :-",IF($C87="TOTAL",SUM($D$8:D86),IF(BA88="","",BA88))),"")</f>
        <v/>
      </c>
      <c r="E87" s="62" t="str">
        <f>IFERROR(IF($C87="TOTAL",SUM($E$8:E86),IF(BC88="","",BC88)),"")</f>
        <v/>
      </c>
      <c r="F87" s="62" t="str">
        <f>IFERROR(IF($C87="TOTAL",SUM($F$8:F86),IF(BD88="","",BD88)),"")</f>
        <v/>
      </c>
      <c r="G87" s="62" t="str">
        <f>IFERROR(IF($C87="TOTAL",SUM($G$8:G86),IF(BB88="","",BB88)),"")</f>
        <v/>
      </c>
      <c r="H87" s="62" t="str">
        <f t="shared" si="55"/>
        <v/>
      </c>
      <c r="I87" s="62" t="str">
        <f>IFERROR(IF($C87="TOTAL",SUM($I$8:I86),IF(BF88="","",BF88)),"")</f>
        <v/>
      </c>
      <c r="J87" s="62" t="str">
        <f>IFERROR(IF($C87="TOTAL",SUM($J$8:J86),IF(BH88="","",BH88)),"")</f>
        <v/>
      </c>
      <c r="K87" s="62" t="str">
        <f>IFERROR(IF($C87="TOTAL",SUM($K$8:K86),IF(BI88="","",BI88)),"")</f>
        <v/>
      </c>
      <c r="L87" s="62" t="str">
        <f>IFERROR(IF($C87="TOTAL",SUM($L$8:L86),IF(BG88="","",BG88)),"")</f>
        <v/>
      </c>
      <c r="M87" s="62" t="str">
        <f t="shared" si="56"/>
        <v/>
      </c>
      <c r="N87" s="62" t="str">
        <f>IFERROR(IF(C87="","",IF(D87="","",IF(I87="","",IF($C87="TOTAL",SUM($N$8:N86),SUM(D87-I87))))),"")</f>
        <v/>
      </c>
      <c r="O87" s="62" t="str">
        <f>IFERROR(IF(C87="","",IF(E87="","",IF(J87="","",IF($C87="TOTAL",SUM($O$8:O86),SUM(E87-J87))))),"")</f>
        <v/>
      </c>
      <c r="P87" s="62" t="str">
        <f>IFERROR(IF(C87="","",IF(F87="","",IF(K87="","",IF($C87="TOTAL",SUM($P$8:P86),SUM(F87-K87))))),"")</f>
        <v/>
      </c>
      <c r="Q87" s="62" t="str">
        <f t="shared" si="57"/>
        <v/>
      </c>
      <c r="R87" s="62" t="str">
        <f t="shared" si="88"/>
        <v/>
      </c>
      <c r="S87" s="62" t="str">
        <f>IFERROR(IF(C87="","",IF($C87="TOTAL",SUM($S$8:S86),IF(AND(C87&gt;$AR$1,$AI$3=$AR$2),BW88,IF($AU$18=$AU$20,SUM(BJ88+BR88),ROUND((D87+E87)*10%,0))))),"")</f>
        <v/>
      </c>
      <c r="T87" s="62" t="str">
        <f>IFERROR(IF(C87="","",IF(I87="","",IF(J87="","",IF($C87="TOTAL",SUM($T$8:T86),IF(AND(C87&gt;$AR$1,$AI$3=$AR$2),BW88,IF($AU$18=$AU$20,$AU$21,ROUND((I87+J87)*10%,0))))))),"")</f>
        <v/>
      </c>
      <c r="U87" s="62" t="str">
        <f t="shared" si="89"/>
        <v/>
      </c>
      <c r="V87" s="63" t="str">
        <f>IFERROR(IF(C87="","",IF($AU$16=$AU$17,0,IF($C87="TOTAL",SUM($V$8:V86),IF($AU$19=$AU$20,$AU$25,0)))),"")</f>
        <v/>
      </c>
      <c r="W87" s="63" t="str">
        <f>IFERROR(IF(C87="","",IF($AU$16=$AU$17,0,IF($C87="TOTAL",SUM($W$8:W86),IF($AU$19=$AU$20,$AU$24,0)))),"")</f>
        <v/>
      </c>
      <c r="X87" s="62" t="str">
        <f t="shared" si="90"/>
        <v/>
      </c>
      <c r="Y87" s="62" t="str">
        <f>IFERROR(IF(C87="","",IF($AU$16=$AU$17,0,IF($C87="TOTAL",SUM($Y$8:Y86),BZ87))),"")</f>
        <v/>
      </c>
      <c r="Z87" s="62" t="str">
        <f>IFERROR(IF(C87="","",IF($AU$16=$AU$17,0,IF($C87="TOTAL",SUM($Z$8:Z86),BY87))),"")</f>
        <v/>
      </c>
      <c r="AA87" s="62" t="str">
        <f t="shared" si="52"/>
        <v/>
      </c>
      <c r="AB87" s="62" t="str">
        <f>IFERROR(IF(C87="","",IF(D87="","",IF($C87="TOTAL",SUM($AB$8:AB86),IF(C87=$AU$1,ROUND(D87*5/31,0.01),"")))),"")</f>
        <v/>
      </c>
      <c r="AC87" s="62" t="str">
        <f>IFERROR(IF(C87="","",IF(I87="","",IF($C87="TOTAL",SUM($AC$8:AC86),IF(C87=$AU$1,ROUND(I87*5/31,0.01),"")))),"")</f>
        <v/>
      </c>
      <c r="AD87" s="62" t="str">
        <f t="shared" si="66"/>
        <v/>
      </c>
      <c r="AE87" s="62" t="str">
        <f>IFERROR(IF(C87="","",IF(AND(BP88="",BW88=""),"",IF($C87="TOTAL",SUM($AE$8:AE86),BP88))),"")</f>
        <v/>
      </c>
      <c r="AF87" s="62" t="str">
        <f>IFERROR(IF(C87="","",IF($C87="TOTAL",SUM($AF$8:AF86),ROUND(R87*$AU$7%,0))),"")</f>
        <v/>
      </c>
      <c r="AG87" s="62" t="str">
        <f t="shared" si="61"/>
        <v/>
      </c>
      <c r="AH87" s="64" t="str">
        <f>IFERROR(IF(C87="","",IF($C87="TOTAL",SUM($AH$8:AH86),SUM(R87-AG87))),"")</f>
        <v/>
      </c>
      <c r="AQ87" s="183">
        <f t="shared" si="67"/>
        <v>42</v>
      </c>
      <c r="AR87" s="183">
        <f t="shared" si="68"/>
        <v>42</v>
      </c>
      <c r="AT87" s="185">
        <v>45108</v>
      </c>
      <c r="AU87" s="165">
        <v>45108</v>
      </c>
      <c r="AV87" s="185">
        <f>IF(AND($AU$6&gt;$AV$6),"",DATE(YEAR(AV86),MONTH(AV86)+1,DAY(AV86)))</f>
        <v>45931</v>
      </c>
      <c r="AX87" s="185" t="str">
        <f t="shared" si="62"/>
        <v/>
      </c>
      <c r="AY87" s="185" t="str">
        <f t="shared" si="70"/>
        <v/>
      </c>
      <c r="AZ87" s="185" t="str">
        <f t="shared" si="93"/>
        <v/>
      </c>
      <c r="BA87" s="184" t="str">
        <f t="shared" si="83"/>
        <v/>
      </c>
      <c r="BB87" s="184" t="str">
        <f t="shared" si="71"/>
        <v/>
      </c>
      <c r="BC87" s="184" t="str">
        <f t="shared" si="72"/>
        <v/>
      </c>
      <c r="BD87" s="184" t="str">
        <f t="shared" si="84"/>
        <v/>
      </c>
      <c r="BF87" s="184" t="str">
        <f t="shared" si="85"/>
        <v/>
      </c>
      <c r="BG87" s="184" t="str">
        <f t="shared" si="73"/>
        <v/>
      </c>
      <c r="BH87" s="184" t="str">
        <f t="shared" si="74"/>
        <v/>
      </c>
      <c r="BI87" s="184" t="str">
        <f t="shared" si="86"/>
        <v/>
      </c>
      <c r="BJ87" s="184" t="str">
        <f t="shared" si="75"/>
        <v/>
      </c>
      <c r="BM87" s="184" t="str">
        <f t="shared" si="76"/>
        <v/>
      </c>
      <c r="BN87" s="184" t="str">
        <f t="shared" si="77"/>
        <v/>
      </c>
      <c r="BO87" s="184" t="str">
        <f t="shared" si="78"/>
        <v/>
      </c>
      <c r="BP87" s="184" t="str">
        <f t="shared" si="63"/>
        <v/>
      </c>
      <c r="BQ87" s="184">
        <f t="shared" si="64"/>
        <v>0</v>
      </c>
      <c r="BR87" s="184">
        <f t="shared" si="65"/>
        <v>0</v>
      </c>
      <c r="BW87" s="184" t="str">
        <f t="shared" si="79"/>
        <v/>
      </c>
      <c r="BY87" s="179" t="str">
        <f t="shared" si="80"/>
        <v/>
      </c>
      <c r="BZ87" s="179" t="str">
        <f>IF(AZ88="","",IF(AZ88="TOTAL","",IF($AU$16=$AU$17,0,IF(AND(AZ88&gt;$BY$1,$AI$3=$AR$2,'Master Sheet'!$D$27&gt;0),'Master Sheet'!$D$27,IF(AND(AZ88=$BY$1),IF($AU$9&lt;18001,135,IF($AU$9&lt;33501,220,IF($AU$9&lt;54001,330,440))),IF(AND(AZ88&gt;$BY$1),IF($AU$9&lt;18001,265,IF($AU$9&lt;33501,440,IF($AU$9&lt;54001,658,875))),""))))))</f>
        <v/>
      </c>
    </row>
    <row r="88" spans="1:78" ht="21" customHeight="1">
      <c r="A88" s="110" t="str">
        <f t="shared" si="91"/>
        <v/>
      </c>
      <c r="B88" s="60" t="str">
        <f>IFERROR(IF(A88="","",IF(A88=0,"",A88)),"")</f>
        <v/>
      </c>
      <c r="C88" s="61" t="str">
        <f>IFERROR(IF(AZ89="","",AZ89),"")</f>
        <v/>
      </c>
      <c r="D88" s="62" t="str">
        <f>IFERROR(IF($C87="TOTAL","अक्षरें राशि :-",IF($C88="TOTAL",SUM($D$8:D87),IF(BA89="","",BA89))),"")</f>
        <v/>
      </c>
      <c r="E88" s="62" t="str">
        <f>IFERROR(IF($C88="TOTAL",SUM($E$8:E87),IF(BC89="","",BC89)),"")</f>
        <v/>
      </c>
      <c r="F88" s="62" t="str">
        <f>IFERROR(IF($C88="TOTAL",SUM($F$8:F87),IF(BD89="","",BD89)),"")</f>
        <v/>
      </c>
      <c r="G88" s="62" t="str">
        <f>IFERROR(IF($C88="TOTAL",SUM($G$8:G87),IF(BB89="","",BB89)),"")</f>
        <v/>
      </c>
      <c r="H88" s="62" t="str">
        <f t="shared" si="55"/>
        <v/>
      </c>
      <c r="I88" s="62" t="str">
        <f>IFERROR(IF($C88="TOTAL",SUM($I$8:I87),IF(BF89="","",BF89)),"")</f>
        <v/>
      </c>
      <c r="J88" s="62" t="str">
        <f>IFERROR(IF($C88="TOTAL",SUM($J$8:J87),IF(BH89="","",BH89)),"")</f>
        <v/>
      </c>
      <c r="K88" s="62" t="str">
        <f>IFERROR(IF($C88="TOTAL",SUM($K$8:K87),IF(BI89="","",BI89)),"")</f>
        <v/>
      </c>
      <c r="L88" s="62" t="str">
        <f>IFERROR(IF($C88="TOTAL",SUM($L$8:L87),IF(BG89="","",BG89)),"")</f>
        <v/>
      </c>
      <c r="M88" s="62" t="str">
        <f t="shared" si="56"/>
        <v/>
      </c>
      <c r="N88" s="62" t="str">
        <f>IFERROR(IF(C88="","",IF(D88="","",IF(I88="","",IF($C88="TOTAL",SUM($N$8:N87),SUM(D88-I88))))),"")</f>
        <v/>
      </c>
      <c r="O88" s="62" t="str">
        <f>IFERROR(IF(C88="","",IF(E88="","",IF(J88="","",IF($C88="TOTAL",SUM($O$8:O87),SUM(E88-J88))))),"")</f>
        <v/>
      </c>
      <c r="P88" s="62" t="str">
        <f>IFERROR(IF(C88="","",IF(F88="","",IF(K88="","",IF($C88="TOTAL",SUM($P$8:P87),SUM(F88-K88))))),"")</f>
        <v/>
      </c>
      <c r="Q88" s="62" t="str">
        <f t="shared" si="57"/>
        <v/>
      </c>
      <c r="R88" s="62" t="str">
        <f t="shared" si="88"/>
        <v/>
      </c>
      <c r="S88" s="62" t="str">
        <f>IFERROR(IF(C88="","",IF($C88="TOTAL",SUM($S$8:S87),IF(AND(C88&gt;$AR$1,$AI$3=$AR$2),BW89,IF($AU$18=$AU$20,SUM(BJ89+BR89),ROUND((D88+E88)*10%,0))))),"")</f>
        <v/>
      </c>
      <c r="T88" s="62" t="str">
        <f>IFERROR(IF(C88="","",IF(I88="","",IF(J88="","",IF($C88="TOTAL",SUM($T$8:T87),IF(AND(C88&gt;$AR$1,$AI$3=$AR$2),BW89,IF($AU$18=$AU$20,$AU$21,ROUND((I88+J88)*10%,0))))))),"")</f>
        <v/>
      </c>
      <c r="U88" s="62" t="str">
        <f t="shared" si="89"/>
        <v/>
      </c>
      <c r="V88" s="63" t="str">
        <f>IFERROR(IF(C88="","",IF($AU$16=$AU$17,0,IF($C88="TOTAL",SUM($V$8:V87),IF($AU$19=$AU$20,$AU$25,0)))),"")</f>
        <v/>
      </c>
      <c r="W88" s="63" t="str">
        <f>IFERROR(IF(C88="","",IF($AU$16=$AU$17,0,IF($C88="TOTAL",SUM($W$8:W87),IF($AU$19=$AU$20,$AU$24,0)))),"")</f>
        <v/>
      </c>
      <c r="X88" s="62" t="str">
        <f t="shared" si="90"/>
        <v/>
      </c>
      <c r="Y88" s="62" t="str">
        <f>IFERROR(IF(C88="","",IF($AU$16=$AU$17,0,IF($C88="TOTAL",SUM($Y$8:Y87),BZ88))),"")</f>
        <v/>
      </c>
      <c r="Z88" s="62" t="str">
        <f>IFERROR(IF(C88="","",IF($AU$16=$AU$17,0,IF($C88="TOTAL",SUM($Z$8:Z87),BY88))),"")</f>
        <v/>
      </c>
      <c r="AA88" s="62" t="str">
        <f t="shared" si="52"/>
        <v/>
      </c>
      <c r="AB88" s="62" t="str">
        <f>IFERROR(IF(C88="","",IF(D88="","",IF($C88="TOTAL",SUM($AB$8:AB87),IF(C88=$AU$1,ROUND(D88*5/31,0.01),"")))),"")</f>
        <v/>
      </c>
      <c r="AC88" s="62" t="str">
        <f>IFERROR(IF(C88="","",IF(I88="","",IF($C88="TOTAL",SUM($AC$8:AC87),IF(C88=$AU$1,ROUND(I88*5/31,0.01),"")))),"")</f>
        <v/>
      </c>
      <c r="AD88" s="62" t="str">
        <f t="shared" si="66"/>
        <v/>
      </c>
      <c r="AE88" s="62" t="str">
        <f>IFERROR(IF(C88="","",IF(AND(BP89="",BW89=""),"",IF($C88="TOTAL",SUM($AE$8:AE87),BP89))),"")</f>
        <v/>
      </c>
      <c r="AF88" s="62" t="str">
        <f>IFERROR(IF(C88="","",IF($C88="TOTAL",SUM($AF$8:AF87),ROUND(R88*$AU$7%,0))),"")</f>
        <v/>
      </c>
      <c r="AG88" s="62" t="str">
        <f t="shared" si="61"/>
        <v/>
      </c>
      <c r="AH88" s="64" t="str">
        <f>IFERROR(IF(C88="","",IF($C88="TOTAL",SUM($AH$8:AH87),SUM(R88-AG88))),"")</f>
        <v/>
      </c>
      <c r="AQ88" s="183">
        <f t="shared" si="67"/>
        <v>42</v>
      </c>
      <c r="AR88" s="183">
        <f t="shared" si="68"/>
        <v>42</v>
      </c>
      <c r="AT88" s="185">
        <v>45139</v>
      </c>
      <c r="AU88" s="165">
        <v>45139</v>
      </c>
      <c r="AV88" s="185">
        <f>IF(AND($AU$6&gt;$AV$6),"",DATE(YEAR(AV87),MONTH(AV87)+1,DAY(AV87)))</f>
        <v>45962</v>
      </c>
      <c r="AX88" s="185" t="str">
        <f t="shared" si="62"/>
        <v/>
      </c>
      <c r="AY88" s="185" t="str">
        <f t="shared" si="70"/>
        <v/>
      </c>
      <c r="AZ88" s="185" t="str">
        <f t="shared" si="93"/>
        <v/>
      </c>
      <c r="BA88" s="184" t="str">
        <f t="shared" si="83"/>
        <v/>
      </c>
      <c r="BB88" s="184" t="str">
        <f t="shared" si="71"/>
        <v/>
      </c>
      <c r="BC88" s="184" t="str">
        <f t="shared" si="72"/>
        <v/>
      </c>
      <c r="BD88" s="184" t="str">
        <f t="shared" si="84"/>
        <v/>
      </c>
      <c r="BF88" s="184" t="str">
        <f t="shared" si="85"/>
        <v/>
      </c>
      <c r="BG88" s="184" t="str">
        <f t="shared" si="73"/>
        <v/>
      </c>
      <c r="BH88" s="184" t="str">
        <f t="shared" si="74"/>
        <v/>
      </c>
      <c r="BI88" s="184" t="str">
        <f t="shared" si="86"/>
        <v/>
      </c>
      <c r="BJ88" s="184" t="str">
        <f t="shared" si="75"/>
        <v/>
      </c>
      <c r="BM88" s="184" t="str">
        <f t="shared" si="76"/>
        <v/>
      </c>
      <c r="BN88" s="184" t="str">
        <f t="shared" si="77"/>
        <v/>
      </c>
      <c r="BO88" s="184" t="str">
        <f t="shared" si="78"/>
        <v/>
      </c>
      <c r="BP88" s="184" t="str">
        <f t="shared" si="63"/>
        <v/>
      </c>
      <c r="BQ88" s="184">
        <f t="shared" si="64"/>
        <v>0</v>
      </c>
      <c r="BR88" s="184">
        <f t="shared" si="65"/>
        <v>0</v>
      </c>
      <c r="BW88" s="184" t="str">
        <f t="shared" si="79"/>
        <v/>
      </c>
      <c r="BY88" s="179" t="str">
        <f t="shared" si="80"/>
        <v/>
      </c>
      <c r="BZ88" s="179" t="str">
        <f>IF(AZ89="","",IF(AZ89="TOTAL","",IF($AU$16=$AU$17,0,IF(AND(AZ89&gt;$BY$1,$AI$3=$AR$2,'Master Sheet'!$D$27&gt;0),'Master Sheet'!$D$27,IF(AND(AZ89=$BY$1),IF($AU$9&lt;18001,135,IF($AU$9&lt;33501,220,IF($AU$9&lt;54001,330,440))),IF(AND(AZ89&gt;$BY$1),IF($AU$9&lt;18001,265,IF($AU$9&lt;33501,440,IF($AU$9&lt;54001,658,875))),""))))))</f>
        <v/>
      </c>
    </row>
    <row r="89" spans="1:78" ht="21" customHeight="1">
      <c r="A89" s="110" t="str">
        <f t="shared" si="91"/>
        <v/>
      </c>
      <c r="B89" s="60" t="str">
        <f t="shared" si="53"/>
        <v/>
      </c>
      <c r="C89" s="61" t="str">
        <f t="shared" si="87"/>
        <v/>
      </c>
      <c r="D89" s="62" t="str">
        <f>IFERROR(IF($C88="TOTAL","अक्षरें राशि :-",IF($C89="TOTAL",SUM($D$8:D88),IF(BA90="","",BA90))),"")</f>
        <v/>
      </c>
      <c r="E89" s="62" t="str">
        <f>IFERROR(IF($C89="TOTAL",SUM($E$8:E88),IF(BC90="","",BC90)),"")</f>
        <v/>
      </c>
      <c r="F89" s="62" t="str">
        <f>IFERROR(IF($C89="TOTAL",SUM($F$8:F88),IF(BD90="","",BD90)),"")</f>
        <v/>
      </c>
      <c r="G89" s="62" t="str">
        <f>IFERROR(IF($C89="TOTAL",SUM($G$8:G88),IF(BB90="","",BB90)),"")</f>
        <v/>
      </c>
      <c r="H89" s="62" t="str">
        <f t="shared" si="55"/>
        <v/>
      </c>
      <c r="I89" s="62" t="str">
        <f>IFERROR(IF($C89="TOTAL",SUM($I$8:I88),IF(BF90="","",BF90)),"")</f>
        <v/>
      </c>
      <c r="J89" s="62" t="str">
        <f>IFERROR(IF($C89="TOTAL",SUM($J$8:J88),IF(BH90="","",BH90)),"")</f>
        <v/>
      </c>
      <c r="K89" s="62" t="str">
        <f>IFERROR(IF($C89="TOTAL",SUM($K$8:K88),IF(BI90="","",BI90)),"")</f>
        <v/>
      </c>
      <c r="L89" s="62" t="str">
        <f>IFERROR(IF($C89="TOTAL",SUM($L$8:L88),IF(BG90="","",BG90)),"")</f>
        <v/>
      </c>
      <c r="M89" s="62" t="str">
        <f t="shared" si="56"/>
        <v/>
      </c>
      <c r="N89" s="62" t="str">
        <f>IFERROR(IF(C89="","",IF(D89="","",IF(I89="","",IF($C89="TOTAL",SUM($N$8:N88),SUM(D89-I89))))),"")</f>
        <v/>
      </c>
      <c r="O89" s="62" t="str">
        <f>IFERROR(IF(C89="","",IF(E89="","",IF(J89="","",IF($C89="TOTAL",SUM($O$8:O88),SUM(E89-J89))))),"")</f>
        <v/>
      </c>
      <c r="P89" s="62" t="str">
        <f>IFERROR(IF(C89="","",IF(F89="","",IF(K89="","",IF($C89="TOTAL",SUM($P$8:P88),SUM(F89-K89))))),"")</f>
        <v/>
      </c>
      <c r="Q89" s="62" t="str">
        <f t="shared" si="57"/>
        <v/>
      </c>
      <c r="R89" s="62" t="str">
        <f t="shared" si="88"/>
        <v/>
      </c>
      <c r="S89" s="62" t="str">
        <f>IFERROR(IF(C89="","",IF($C89="TOTAL",SUM($S$8:S88),IF(AND(C89&gt;$AR$1,$AI$3=$AR$2),BW90,IF($AU$18=$AU$20,SUM(BJ90+BR90),ROUND((D89+E89)*10%,0))))),"")</f>
        <v/>
      </c>
      <c r="T89" s="62" t="str">
        <f>IFERROR(IF(C89="","",IF(I89="","",IF(J89="","",IF($C89="TOTAL",SUM($T$8:T88),IF(AND(C89&gt;$AR$1,$AI$3=$AR$2),BW90,IF($AU$18=$AU$20,$AU$21,ROUND((I89+J89)*10%,0))))))),"")</f>
        <v/>
      </c>
      <c r="U89" s="62" t="str">
        <f t="shared" si="89"/>
        <v/>
      </c>
      <c r="V89" s="63" t="str">
        <f>IFERROR(IF(C89="","",IF($AU$16=$AU$17,0,IF($C89="TOTAL",SUM($V$8:V88),IF($AU$19=$AU$20,$AU$25,0)))),"")</f>
        <v/>
      </c>
      <c r="W89" s="63" t="str">
        <f>IFERROR(IF(C89="","",IF($AU$16=$AU$17,0,IF($C89="TOTAL",SUM($W$8:W88),IF($AU$19=$AU$20,$AU$24,0)))),"")</f>
        <v/>
      </c>
      <c r="X89" s="62" t="str">
        <f t="shared" si="90"/>
        <v/>
      </c>
      <c r="Y89" s="62" t="str">
        <f>IFERROR(IF(C89="","",IF($AU$16=$AU$17,0,IF($C89="TOTAL",SUM($Y$8:Y88),BZ89))),"")</f>
        <v/>
      </c>
      <c r="Z89" s="62" t="str">
        <f>IFERROR(IF(C89="","",IF($AU$16=$AU$17,0,IF($C89="TOTAL",SUM($Z$8:Z88),BY89))),"")</f>
        <v/>
      </c>
      <c r="AA89" s="62" t="str">
        <f t="shared" si="52"/>
        <v/>
      </c>
      <c r="AB89" s="62" t="str">
        <f>IFERROR(IF(C89="","",IF(D89="","",IF($C89="TOTAL",SUM($AB$8:AB88),IF(C89=$AU$1,ROUND(D89*5/31,0.01),"")))),"")</f>
        <v/>
      </c>
      <c r="AC89" s="62" t="str">
        <f>IFERROR(IF(C89="","",IF(I89="","",IF($C89="TOTAL",SUM($AC$8:AC88),IF(C89=$AU$1,ROUND(I89*5/31,0.01),"")))),"")</f>
        <v/>
      </c>
      <c r="AD89" s="62" t="str">
        <f t="shared" si="66"/>
        <v/>
      </c>
      <c r="AE89" s="62" t="str">
        <f>IFERROR(IF(C89="","",IF(AND(BP90="",BW90=""),"",IF($C89="TOTAL",SUM($AE$8:AE88),BP90))),"")</f>
        <v/>
      </c>
      <c r="AF89" s="62" t="str">
        <f>IFERROR(IF(C89="","",IF($C89="TOTAL",SUM($AF$8:AF88),ROUND(R89*$AU$7%,0))),"")</f>
        <v/>
      </c>
      <c r="AG89" s="62" t="str">
        <f t="shared" si="61"/>
        <v/>
      </c>
      <c r="AH89" s="64" t="str">
        <f>IFERROR(IF(C89="","",IF($C89="TOTAL",SUM($AH$8:AH88),SUM(R89-AG89))),"")</f>
        <v/>
      </c>
      <c r="AQ89" s="183">
        <f t="shared" si="67"/>
        <v>42</v>
      </c>
      <c r="AR89" s="183">
        <f t="shared" si="68"/>
        <v>42</v>
      </c>
      <c r="AT89" s="185">
        <v>45170</v>
      </c>
      <c r="AU89" s="165">
        <v>45170</v>
      </c>
      <c r="AV89" s="185">
        <f t="shared" si="92"/>
        <v>45992</v>
      </c>
      <c r="AX89" s="185" t="str">
        <f t="shared" si="62"/>
        <v/>
      </c>
      <c r="AY89" s="185" t="str">
        <f t="shared" si="70"/>
        <v/>
      </c>
      <c r="AZ89" s="185" t="str">
        <f t="shared" si="93"/>
        <v/>
      </c>
      <c r="BA89" s="184" t="str">
        <f t="shared" si="83"/>
        <v/>
      </c>
      <c r="BB89" s="184" t="str">
        <f t="shared" si="71"/>
        <v/>
      </c>
      <c r="BC89" s="184" t="str">
        <f t="shared" si="72"/>
        <v/>
      </c>
      <c r="BD89" s="184" t="str">
        <f t="shared" si="84"/>
        <v/>
      </c>
      <c r="BF89" s="184" t="str">
        <f t="shared" si="85"/>
        <v/>
      </c>
      <c r="BG89" s="184" t="str">
        <f t="shared" si="73"/>
        <v/>
      </c>
      <c r="BH89" s="184" t="str">
        <f t="shared" si="74"/>
        <v/>
      </c>
      <c r="BI89" s="184" t="str">
        <f t="shared" si="86"/>
        <v/>
      </c>
      <c r="BJ89" s="184" t="str">
        <f t="shared" si="75"/>
        <v/>
      </c>
      <c r="BM89" s="184" t="str">
        <f t="shared" si="76"/>
        <v/>
      </c>
      <c r="BN89" s="184" t="str">
        <f t="shared" si="77"/>
        <v/>
      </c>
      <c r="BO89" s="184" t="str">
        <f t="shared" si="78"/>
        <v/>
      </c>
      <c r="BP89" s="184" t="str">
        <f t="shared" si="63"/>
        <v/>
      </c>
      <c r="BQ89" s="184">
        <f t="shared" si="64"/>
        <v>0</v>
      </c>
      <c r="BR89" s="184">
        <f t="shared" si="65"/>
        <v>0</v>
      </c>
      <c r="BW89" s="184" t="str">
        <f t="shared" si="79"/>
        <v/>
      </c>
      <c r="BY89" s="179" t="str">
        <f t="shared" si="80"/>
        <v/>
      </c>
      <c r="BZ89" s="179" t="str">
        <f>IF(AZ90="","",IF(AZ90="TOTAL","",IF($AU$16=$AU$17,0,IF(AND(AZ90&gt;$BY$1,$AI$3=$AR$2,'Master Sheet'!$D$27&gt;0),'Master Sheet'!$D$27,IF(AND(AZ90=$BY$1),IF($AU$9&lt;18001,135,IF($AU$9&lt;33501,220,IF($AU$9&lt;54001,330,440))),IF(AND(AZ90&gt;$BY$1),IF($AU$9&lt;18001,265,IF($AU$9&lt;33501,440,IF($AU$9&lt;54001,658,875))),""))))))</f>
        <v/>
      </c>
    </row>
    <row r="90" spans="1:78" ht="21" customHeight="1">
      <c r="A90" s="110" t="str">
        <f t="shared" si="91"/>
        <v/>
      </c>
      <c r="B90" s="60" t="str">
        <f t="shared" ref="B90:B95" si="94">IFERROR(IF(A90="","",IF(A90=0,"",A90)),"")</f>
        <v/>
      </c>
      <c r="C90" s="61" t="str">
        <f t="shared" si="87"/>
        <v/>
      </c>
      <c r="D90" s="62" t="str">
        <f>IFERROR(IF($C89="TOTAL","अक्षरें राशि :-",IF($C90="TOTAL",SUM($D$8:D89),IF(BA91="","",BA91))),"")</f>
        <v/>
      </c>
      <c r="E90" s="62" t="str">
        <f>IFERROR(IF($C90="TOTAL",SUM($E$8:E89),IF(BC91="","",BC91)),"")</f>
        <v/>
      </c>
      <c r="F90" s="62" t="str">
        <f>IFERROR(IF($C90="TOTAL",SUM($F$8:F89),IF(BD91="","",BD91)),"")</f>
        <v/>
      </c>
      <c r="G90" s="62" t="str">
        <f>IFERROR(IF($C90="TOTAL",SUM($G$8:G89),IF(BB91="","",BB91)),"")</f>
        <v/>
      </c>
      <c r="H90" s="62" t="str">
        <f t="shared" si="55"/>
        <v/>
      </c>
      <c r="I90" s="62" t="str">
        <f>IFERROR(IF($C90="TOTAL",SUM($I$8:I89),IF(BF91="","",BF91)),"")</f>
        <v/>
      </c>
      <c r="J90" s="62" t="str">
        <f>IFERROR(IF($C90="TOTAL",SUM($J$8:J89),IF(BH91="","",BH91)),"")</f>
        <v/>
      </c>
      <c r="K90" s="62" t="str">
        <f>IFERROR(IF($C90="TOTAL",SUM($K$8:K89),IF(BI91="","",BI91)),"")</f>
        <v/>
      </c>
      <c r="L90" s="62" t="str">
        <f>IFERROR(IF($C90="TOTAL",SUM($L$8:L89),IF(BG91="","",BG91)),"")</f>
        <v/>
      </c>
      <c r="M90" s="62" t="str">
        <f t="shared" si="56"/>
        <v/>
      </c>
      <c r="N90" s="62" t="str">
        <f>IFERROR(IF(C90="","",IF(D90="","",IF(I90="","",IF($C90="TOTAL",SUM($N$8:N89),SUM(D90-I90))))),"")</f>
        <v/>
      </c>
      <c r="O90" s="62" t="str">
        <f>IFERROR(IF(C90="","",IF(E90="","",IF(J90="","",IF($C90="TOTAL",SUM($O$8:O89),SUM(E90-J90))))),"")</f>
        <v/>
      </c>
      <c r="P90" s="62" t="str">
        <f>IFERROR(IF(C90="","",IF(F90="","",IF(K90="","",IF($C90="TOTAL",SUM($P$8:P89),SUM(F90-K90))))),"")</f>
        <v/>
      </c>
      <c r="Q90" s="62" t="str">
        <f t="shared" si="57"/>
        <v/>
      </c>
      <c r="R90" s="62" t="str">
        <f t="shared" si="88"/>
        <v/>
      </c>
      <c r="S90" s="62" t="str">
        <f>IFERROR(IF(C90="","",IF($C90="TOTAL",SUM($S$8:S89),IF(AND(C90&gt;$AR$1,$AI$3=$AR$2),BW91,IF($AU$18=$AU$20,SUM(BJ91+BR91),ROUND((D90+E90)*10%,0))))),"")</f>
        <v/>
      </c>
      <c r="T90" s="62" t="str">
        <f>IFERROR(IF(C90="","",IF(I90="","",IF(J90="","",IF($C90="TOTAL",SUM($T$8:T89),IF(AND(C90&gt;$AR$1,$AI$3=$AR$2),BW91,IF($AU$18=$AU$20,$AU$21,ROUND((I90+J90)*10%,0))))))),"")</f>
        <v/>
      </c>
      <c r="U90" s="62" t="str">
        <f t="shared" si="89"/>
        <v/>
      </c>
      <c r="V90" s="63" t="str">
        <f>IFERROR(IF(C90="","",IF($AU$16=$AU$17,0,IF($C90="TOTAL",SUM($V$8:V89),IF($AU$19=$AU$20,$AU$25,0)))),"")</f>
        <v/>
      </c>
      <c r="W90" s="63" t="str">
        <f>IFERROR(IF(C90="","",IF($AU$16=$AU$17,0,IF($C90="TOTAL",SUM($W$8:W89),IF($AU$19=$AU$20,$AU$24,0)))),"")</f>
        <v/>
      </c>
      <c r="X90" s="62" t="str">
        <f t="shared" si="90"/>
        <v/>
      </c>
      <c r="Y90" s="62" t="str">
        <f>IFERROR(IF(C90="","",IF($AU$16=$AU$17,0,IF($C90="TOTAL",SUM($Y$8:Y89),BZ90))),"")</f>
        <v/>
      </c>
      <c r="Z90" s="62" t="str">
        <f>IFERROR(IF(C90="","",IF($AU$16=$AU$17,0,IF($C90="TOTAL",SUM($Z$8:Z89),BY90))),"")</f>
        <v/>
      </c>
      <c r="AA90" s="62" t="str">
        <f t="shared" si="52"/>
        <v/>
      </c>
      <c r="AB90" s="62" t="str">
        <f>IFERROR(IF(C90="","",IF(D90="","",IF($C90="TOTAL",SUM($AB$8:AB89),IF(C90=$AU$1,ROUND(D90*5/31,0.01),"")))),"")</f>
        <v/>
      </c>
      <c r="AC90" s="62" t="str">
        <f>IFERROR(IF(C90="","",IF(I90="","",IF($C90="TOTAL",SUM($AC$8:AC89),IF(C90=$AU$1,ROUND(I90*5/31,0.01),"")))),"")</f>
        <v/>
      </c>
      <c r="AD90" s="62" t="str">
        <f t="shared" si="66"/>
        <v/>
      </c>
      <c r="AE90" s="62" t="str">
        <f>IFERROR(IF(C90="","",IF(AND(BP91="",BW91=""),"",IF($C90="TOTAL",SUM($AE$8:AE89),BP91))),"")</f>
        <v/>
      </c>
      <c r="AF90" s="62" t="str">
        <f>IFERROR(IF(C90="","",IF($C90="TOTAL",SUM($AF$8:AF89),ROUND(R90*$AU$7%,0))),"")</f>
        <v/>
      </c>
      <c r="AG90" s="62" t="str">
        <f t="shared" si="61"/>
        <v/>
      </c>
      <c r="AH90" s="64" t="str">
        <f>IFERROR(IF(C90="","",IF($C90="TOTAL",SUM($AH$8:AH89),SUM(R90-AG90))),"")</f>
        <v/>
      </c>
      <c r="AQ90" s="183">
        <f t="shared" si="67"/>
        <v>42</v>
      </c>
      <c r="AR90" s="183">
        <f t="shared" si="68"/>
        <v>42</v>
      </c>
      <c r="AT90" s="185">
        <v>45200</v>
      </c>
      <c r="AU90" s="165">
        <v>45200</v>
      </c>
      <c r="AV90" s="185">
        <f t="shared" si="92"/>
        <v>46023</v>
      </c>
      <c r="AX90" s="185" t="str">
        <f t="shared" si="62"/>
        <v/>
      </c>
      <c r="AY90" s="185" t="str">
        <f t="shared" si="70"/>
        <v/>
      </c>
      <c r="AZ90" s="185" t="str">
        <f t="shared" si="93"/>
        <v/>
      </c>
      <c r="BA90" s="184" t="str">
        <f t="shared" si="83"/>
        <v/>
      </c>
      <c r="BB90" s="184" t="str">
        <f t="shared" si="71"/>
        <v/>
      </c>
      <c r="BC90" s="184" t="str">
        <f t="shared" si="72"/>
        <v/>
      </c>
      <c r="BD90" s="184" t="str">
        <f t="shared" si="84"/>
        <v/>
      </c>
      <c r="BF90" s="184" t="str">
        <f t="shared" si="85"/>
        <v/>
      </c>
      <c r="BG90" s="184" t="str">
        <f t="shared" si="73"/>
        <v/>
      </c>
      <c r="BH90" s="184" t="str">
        <f t="shared" si="74"/>
        <v/>
      </c>
      <c r="BI90" s="184" t="str">
        <f t="shared" si="86"/>
        <v/>
      </c>
      <c r="BJ90" s="184" t="str">
        <f t="shared" si="75"/>
        <v/>
      </c>
      <c r="BM90" s="184" t="str">
        <f t="shared" si="76"/>
        <v/>
      </c>
      <c r="BN90" s="184" t="str">
        <f t="shared" si="77"/>
        <v/>
      </c>
      <c r="BO90" s="184" t="str">
        <f t="shared" si="78"/>
        <v/>
      </c>
      <c r="BP90" s="184" t="str">
        <f t="shared" si="63"/>
        <v/>
      </c>
      <c r="BQ90" s="184">
        <f t="shared" si="64"/>
        <v>0</v>
      </c>
      <c r="BR90" s="184">
        <f t="shared" si="65"/>
        <v>0</v>
      </c>
      <c r="BW90" s="184" t="str">
        <f t="shared" si="79"/>
        <v/>
      </c>
      <c r="BY90" s="179" t="str">
        <f t="shared" si="80"/>
        <v/>
      </c>
      <c r="BZ90" s="179" t="str">
        <f>IF(AZ91="","",IF(AZ91="TOTAL","",IF($AU$16=$AU$17,0,IF(AND(AZ91&gt;$BY$1,$AI$3=$AR$2,'Master Sheet'!$D$27&gt;0),'Master Sheet'!$D$27,IF(AND(AZ91=$BY$1),IF($AU$9&lt;18001,135,IF($AU$9&lt;33501,220,IF($AU$9&lt;54001,330,440))),IF(AND(AZ91&gt;$BY$1),IF($AU$9&lt;18001,265,IF($AU$9&lt;33501,440,IF($AU$9&lt;54001,658,875))),""))))))</f>
        <v/>
      </c>
    </row>
    <row r="91" spans="1:78" ht="21" customHeight="1">
      <c r="A91" s="110" t="str">
        <f>IF(C91="TOTAL","",IF(B90="","",IF(LEN(C91)&gt;=2,B90+1,0)))</f>
        <v/>
      </c>
      <c r="B91" s="60" t="str">
        <f t="shared" si="94"/>
        <v/>
      </c>
      <c r="C91" s="61" t="str">
        <f t="shared" si="87"/>
        <v/>
      </c>
      <c r="D91" s="62" t="str">
        <f>IFERROR(IF($C90="TOTAL","अक्षरें राशि :-",IF($C91="TOTAL",SUM($D$8:D90),IF(BA92="","",BA92))),"")</f>
        <v/>
      </c>
      <c r="E91" s="62" t="str">
        <f>IFERROR(IF($C91="TOTAL",SUM($E$8:E90),IF(BC92="","",BC92)),"")</f>
        <v/>
      </c>
      <c r="F91" s="62" t="str">
        <f>IFERROR(IF($C91="TOTAL",SUM($F$8:F90),IF(BD92="","",BD92)),"")</f>
        <v/>
      </c>
      <c r="G91" s="62" t="str">
        <f>IFERROR(IF($C91="TOTAL",SUM($G$8:G90),IF(BB92="","",BB92)),"")</f>
        <v/>
      </c>
      <c r="H91" s="62" t="str">
        <f t="shared" si="55"/>
        <v/>
      </c>
      <c r="I91" s="62" t="str">
        <f>IFERROR(IF($C91="TOTAL",SUM($I$8:I90),IF(BF92="","",BF92)),"")</f>
        <v/>
      </c>
      <c r="J91" s="62" t="str">
        <f>IFERROR(IF($C91="TOTAL",SUM($J$8:J90),IF(BH92="","",BH92)),"")</f>
        <v/>
      </c>
      <c r="K91" s="62" t="str">
        <f>IFERROR(IF($C91="TOTAL",SUM($K$8:K90),IF(BI92="","",BI92)),"")</f>
        <v/>
      </c>
      <c r="L91" s="62" t="str">
        <f>IFERROR(IF($C91="TOTAL",SUM($L$8:L90),IF(BG92="","",BG92)),"")</f>
        <v/>
      </c>
      <c r="M91" s="62" t="str">
        <f t="shared" si="56"/>
        <v/>
      </c>
      <c r="N91" s="62" t="str">
        <f>IFERROR(IF(C91="","",IF(D91="","",IF(I91="","",IF($C91="TOTAL",SUM($N$8:N90),SUM(D91-I91))))),"")</f>
        <v/>
      </c>
      <c r="O91" s="62" t="str">
        <f>IFERROR(IF(C91="","",IF(E91="","",IF(J91="","",IF($C91="TOTAL",SUM($O$8:O90),SUM(E91-J91))))),"")</f>
        <v/>
      </c>
      <c r="P91" s="62" t="str">
        <f>IFERROR(IF(C91="","",IF(F91="","",IF(K91="","",IF($C91="TOTAL",SUM($P$8:P90),SUM(F91-K91))))),"")</f>
        <v/>
      </c>
      <c r="Q91" s="62" t="str">
        <f t="shared" si="57"/>
        <v/>
      </c>
      <c r="R91" s="62" t="str">
        <f t="shared" si="88"/>
        <v/>
      </c>
      <c r="S91" s="62" t="str">
        <f>IFERROR(IF(C91="","",IF($C91="TOTAL",SUM($S$8:S90),IF(AND(C91&gt;$AR$1,$AI$3=$AR$2),BW92,IF($AU$18=$AU$20,SUM(BJ92+BR92),ROUND((D91+E91)*10%,0))))),"")</f>
        <v/>
      </c>
      <c r="T91" s="62" t="str">
        <f>IFERROR(IF(C91="","",IF(I91="","",IF(J91="","",IF($C91="TOTAL",SUM($T$8:T90),IF(AND(C91&gt;$AR$1,$AI$3=$AR$2),BW92,IF($AU$18=$AU$20,$AU$21,ROUND((I91+J91)*10%,0))))))),"")</f>
        <v/>
      </c>
      <c r="U91" s="62" t="str">
        <f t="shared" si="89"/>
        <v/>
      </c>
      <c r="V91" s="63" t="str">
        <f>IFERROR(IF(C91="","",IF($AU$16=$AU$17,0,IF($C91="TOTAL",SUM($V$8:V90),IF($AU$19=$AU$20,$AU$25,0)))),"")</f>
        <v/>
      </c>
      <c r="W91" s="63" t="str">
        <f>IFERROR(IF(C91="","",IF($AU$16=$AU$17,0,IF($C91="TOTAL",SUM($W$8:W90),IF($AU$19=$AU$20,$AU$24,0)))),"")</f>
        <v/>
      </c>
      <c r="X91" s="62" t="str">
        <f t="shared" si="90"/>
        <v/>
      </c>
      <c r="Y91" s="62" t="str">
        <f>IFERROR(IF(C91="","",IF($AU$16=$AU$17,0,IF($C91="TOTAL",SUM($Y$8:Y90),BZ91))),"")</f>
        <v/>
      </c>
      <c r="Z91" s="62" t="str">
        <f>IFERROR(IF(C91="","",IF($AU$16=$AU$17,0,IF($C91="TOTAL",SUM($Z$8:Z90),BY91))),"")</f>
        <v/>
      </c>
      <c r="AA91" s="62" t="str">
        <f t="shared" si="52"/>
        <v/>
      </c>
      <c r="AB91" s="62" t="str">
        <f>IFERROR(IF(C91="","",IF(D91="","",IF($C91="TOTAL",SUM($AB$8:AB90),IF(C91=$AU$1,ROUND(D91*5/31,0.01),"")))),"")</f>
        <v/>
      </c>
      <c r="AC91" s="62" t="str">
        <f>IFERROR(IF(C91="","",IF(I91="","",IF($C91="TOTAL",SUM($AC$8:AC90),IF(C91=$AU$1,ROUND(I91*5/31,0.01),"")))),"")</f>
        <v/>
      </c>
      <c r="AD91" s="62" t="str">
        <f t="shared" si="66"/>
        <v/>
      </c>
      <c r="AE91" s="62" t="str">
        <f>IFERROR(IF(C91="","",IF(AND(BP92="",BW92=""),"",IF($C91="TOTAL",SUM($AE$8:AE90),BP92))),"")</f>
        <v/>
      </c>
      <c r="AF91" s="62" t="str">
        <f>IFERROR(IF(C91="","",IF($C91="TOTAL",SUM($AF$8:AF90),ROUND(R91*$AU$7%,0))),"")</f>
        <v/>
      </c>
      <c r="AG91" s="62" t="str">
        <f t="shared" si="61"/>
        <v/>
      </c>
      <c r="AH91" s="64" t="str">
        <f>IFERROR(IF(C91="","",IF($C91="TOTAL",SUM($AH$8:AH90),SUM(R91-AG91))),"")</f>
        <v/>
      </c>
      <c r="AQ91" s="183">
        <f t="shared" si="67"/>
        <v>42</v>
      </c>
      <c r="AR91" s="183">
        <f t="shared" si="68"/>
        <v>42</v>
      </c>
      <c r="AT91" s="185">
        <v>45231</v>
      </c>
      <c r="AU91" s="165">
        <v>45231</v>
      </c>
      <c r="AV91" s="185">
        <f t="shared" si="92"/>
        <v>46054</v>
      </c>
      <c r="AX91" s="185" t="str">
        <f t="shared" si="62"/>
        <v/>
      </c>
      <c r="AY91" s="185" t="str">
        <f t="shared" si="70"/>
        <v/>
      </c>
      <c r="AZ91" s="185" t="str">
        <f t="shared" si="93"/>
        <v/>
      </c>
      <c r="BA91" s="184" t="str">
        <f t="shared" ref="BA91:BA96" si="95">IFERROR(IF(AZ91="","",IF(AND($AU$20=$AU$28,$AU$30=AZ91),$AU$29,IF(OR(AZ91=$BD$2,AZ91=$BD$3,AZ91=$BD$4,AZ91=$BD$5,AZ91=$BD$6,AZ91=$BD$7,AZ91=$BE$2),MROUND(BA90*1.03,100),BA90))),"")</f>
        <v/>
      </c>
      <c r="BB91" s="184" t="str">
        <f t="shared" si="71"/>
        <v/>
      </c>
      <c r="BC91" s="184" t="str">
        <f t="shared" si="72"/>
        <v/>
      </c>
      <c r="BD91" s="184" t="str">
        <f t="shared" ref="BD91:BD96" si="96">IF(AZ91="","",IF(AZ91="TOTAL","",IF(AZ91&gt;=$BC$7,ROUND(BA91*$BA$7%,0),ROUND(BA91*$AW$7%,0))))</f>
        <v/>
      </c>
      <c r="BF91" s="184" t="str">
        <f t="shared" ref="BF91:BF96" si="97">IFERROR(IF(AZ91="","",IF(AZ91="TOTAL","",IF($AU$16=$AU$17,$AU$10,IF(OR(AZ91=$BD$2,AZ91=$BD$3,AZ91=$BD$4,AZ91=$BD$5,AZ91=$BD$6,AZ91=$BD$7,AZ91=$BE$2),MROUND(BF90*1.03,100),BF90)))),"")</f>
        <v/>
      </c>
      <c r="BG91" s="184" t="str">
        <f t="shared" si="73"/>
        <v/>
      </c>
      <c r="BH91" s="184" t="str">
        <f t="shared" si="74"/>
        <v/>
      </c>
      <c r="BI91" s="184" t="str">
        <f t="shared" ref="BI91:BI96" si="98">IF(AZ91="","",IF(AZ91="TOTAL","",IF(BF91="","",IF($AU$16=$AU$17,0,IF(AZ91&gt;=$BC$7,ROUND(BF91*$BA$7%,0),ROUND(BF91*$AW$7%,0))))))</f>
        <v/>
      </c>
      <c r="BJ91" s="184" t="str">
        <f t="shared" si="75"/>
        <v/>
      </c>
      <c r="BM91" s="184" t="str">
        <f t="shared" si="76"/>
        <v/>
      </c>
      <c r="BN91" s="184" t="str">
        <f t="shared" si="77"/>
        <v/>
      </c>
      <c r="BO91" s="184" t="str">
        <f t="shared" ref="BO91:BO96" si="99">IF(OR(AZ91=$AT$63,AZ91=$AT$64,AZ91=$AT$65),"YES","")</f>
        <v/>
      </c>
      <c r="BP91" s="184" t="str">
        <f t="shared" si="63"/>
        <v/>
      </c>
      <c r="BQ91" s="184">
        <f t="shared" si="64"/>
        <v>0</v>
      </c>
      <c r="BR91" s="184">
        <f t="shared" si="65"/>
        <v>0</v>
      </c>
      <c r="BW91" s="184" t="str">
        <f t="shared" ref="BW91:BW96" si="100">IF(AZ91="","",IF(AZ91="TOTAL","",IF(AND(AZ91&gt;$AR$1,$AI$3=$AR$2),$AY$1,"")))</f>
        <v/>
      </c>
      <c r="BY91" s="179" t="str">
        <f t="shared" si="80"/>
        <v/>
      </c>
      <c r="BZ91" s="179" t="str">
        <f>IF(AZ92="","",IF(AZ92="TOTAL","",IF($AU$16=$AU$17,0,IF(AND(AZ92&gt;$BY$1,$AI$3=$AR$2,'Master Sheet'!$D$27&gt;0),'Master Sheet'!$D$27,IF(AND(AZ92=$BY$1),IF($AU$9&lt;18001,135,IF($AU$9&lt;33501,220,IF($AU$9&lt;54001,330,440))),IF(AND(AZ92&gt;$BY$1),IF($AU$9&lt;18001,265,IF($AU$9&lt;33501,440,IF($AU$9&lt;54001,658,875))),""))))))</f>
        <v/>
      </c>
    </row>
    <row r="92" spans="1:78" ht="21" customHeight="1">
      <c r="A92" s="110" t="str">
        <f t="shared" si="91"/>
        <v/>
      </c>
      <c r="B92" s="60" t="str">
        <f t="shared" si="94"/>
        <v/>
      </c>
      <c r="C92" s="61" t="str">
        <f t="shared" si="87"/>
        <v/>
      </c>
      <c r="D92" s="62" t="str">
        <f>IFERROR(IF($C91="TOTAL","अक्षरें राशि :-",IF($C92="TOTAL",SUM($D$8:D91),IF(BA93="","",BA93))),"")</f>
        <v/>
      </c>
      <c r="E92" s="62" t="str">
        <f>IFERROR(IF($C92="TOTAL",SUM($E$8:E91),IF(BC93="","",BC93)),"")</f>
        <v/>
      </c>
      <c r="F92" s="62" t="str">
        <f>IFERROR(IF($C92="TOTAL",SUM($F$8:F91),IF(BD93="","",BD93)),"")</f>
        <v/>
      </c>
      <c r="G92" s="62" t="str">
        <f>IFERROR(IF($C92="TOTAL",SUM($G$8:G91),IF(BB93="","",BB93)),"")</f>
        <v/>
      </c>
      <c r="H92" s="62" t="str">
        <f t="shared" si="55"/>
        <v/>
      </c>
      <c r="I92" s="62" t="str">
        <f>IFERROR(IF($C92="TOTAL",SUM($I$8:I91),IF(BF93="","",BF93)),"")</f>
        <v/>
      </c>
      <c r="J92" s="62" t="str">
        <f>IFERROR(IF($C92="TOTAL",SUM($J$8:J91),IF(BH93="","",BH93)),"")</f>
        <v/>
      </c>
      <c r="K92" s="62" t="str">
        <f>IFERROR(IF($C92="TOTAL",SUM($K$8:K91),IF(BI93="","",BI93)),"")</f>
        <v/>
      </c>
      <c r="L92" s="62" t="str">
        <f>IFERROR(IF($C92="TOTAL",SUM($L$8:L91),IF(BG93="","",BG93)),"")</f>
        <v/>
      </c>
      <c r="M92" s="62" t="str">
        <f t="shared" si="56"/>
        <v/>
      </c>
      <c r="N92" s="62" t="str">
        <f>IFERROR(IF(C92="","",IF(D92="","",IF(I92="","",IF($C92="TOTAL",SUM($N$8:N91),SUM(D92-I92))))),"")</f>
        <v/>
      </c>
      <c r="O92" s="62" t="str">
        <f>IFERROR(IF(C92="","",IF(E92="","",IF(J92="","",IF($C92="TOTAL",SUM($O$8:O91),SUM(E92-J92))))),"")</f>
        <v/>
      </c>
      <c r="P92" s="62" t="str">
        <f>IFERROR(IF(C92="","",IF(F92="","",IF(K92="","",IF($C92="TOTAL",SUM($P$8:P91),SUM(F92-K92))))),"")</f>
        <v/>
      </c>
      <c r="Q92" s="62" t="str">
        <f t="shared" si="57"/>
        <v/>
      </c>
      <c r="R92" s="62" t="str">
        <f t="shared" si="88"/>
        <v/>
      </c>
      <c r="S92" s="62" t="str">
        <f>IFERROR(IF(C92="","",IF($C92="TOTAL",SUM($S$8:S91),IF(AND(C92&gt;$AR$1,$AI$3=$AR$2),BW93,IF($AU$18=$AU$20,SUM(BJ93+BR93),ROUND((D92+E92)*10%,0))))),"")</f>
        <v/>
      </c>
      <c r="T92" s="62" t="str">
        <f>IFERROR(IF(C92="","",IF(I92="","",IF(J92="","",IF($C92="TOTAL",SUM($T$8:T91),IF(AND(C92&gt;$AR$1,$AI$3=$AR$2),BW93,IF($AU$18=$AU$20,$AU$21,ROUND((I92+J92)*10%,0))))))),"")</f>
        <v/>
      </c>
      <c r="U92" s="62" t="str">
        <f t="shared" si="89"/>
        <v/>
      </c>
      <c r="V92" s="63" t="str">
        <f>IFERROR(IF(C92="","",IF($AU$16=$AU$17,0,IF($C92="TOTAL",SUM($V$8:V91),IF($AU$19=$AU$20,$AU$25,0)))),"")</f>
        <v/>
      </c>
      <c r="W92" s="63" t="str">
        <f>IFERROR(IF(C92="","",IF($AU$16=$AU$17,0,IF($C92="TOTAL",SUM($W$8:W91),IF($AU$19=$AU$20,$AU$24,0)))),"")</f>
        <v/>
      </c>
      <c r="X92" s="62" t="str">
        <f t="shared" si="90"/>
        <v/>
      </c>
      <c r="Y92" s="62" t="str">
        <f>IFERROR(IF(C92="","",IF($AU$16=$AU$17,0,IF($C92="TOTAL",SUM($Y$8:Y91),BZ92))),"")</f>
        <v/>
      </c>
      <c r="Z92" s="62" t="str">
        <f>IFERROR(IF(C92="","",IF($AU$16=$AU$17,0,IF($C92="TOTAL",SUM($Z$8:Z91),BY92))),"")</f>
        <v/>
      </c>
      <c r="AA92" s="62" t="str">
        <f t="shared" si="52"/>
        <v/>
      </c>
      <c r="AB92" s="62" t="str">
        <f>IFERROR(IF(C92="","",IF(D92="","",IF($C92="TOTAL",SUM($AB$8:AB91),IF(C92=$AU$1,ROUND(D92*5/31,0.01),"")))),"")</f>
        <v/>
      </c>
      <c r="AC92" s="62" t="str">
        <f>IFERROR(IF(C92="","",IF(I92="","",IF($C92="TOTAL",SUM($AC$8:AC91),IF(C92=$AU$1,ROUND(I92*5/31,0.01),"")))),"")</f>
        <v/>
      </c>
      <c r="AD92" s="62" t="str">
        <f t="shared" si="66"/>
        <v/>
      </c>
      <c r="AE92" s="62" t="str">
        <f>IFERROR(IF(C92="","",IF(AND(BP93="",BW93=""),"",IF($C92="TOTAL",SUM($AE$8:AE91),BP93))),"")</f>
        <v/>
      </c>
      <c r="AF92" s="62" t="str">
        <f>IFERROR(IF(C92="","",IF($C92="TOTAL",SUM($AF$8:AF91),ROUND(R92*$AU$7%,0))),"")</f>
        <v/>
      </c>
      <c r="AG92" s="62" t="str">
        <f t="shared" si="61"/>
        <v/>
      </c>
      <c r="AH92" s="64" t="str">
        <f>IFERROR(IF(C92="","",IF($C92="TOTAL",SUM($AH$8:AH91),SUM(R92-AG92))),"")</f>
        <v/>
      </c>
      <c r="AQ92" s="183">
        <f t="shared" si="67"/>
        <v>42</v>
      </c>
      <c r="AR92" s="183">
        <f t="shared" si="68"/>
        <v>42</v>
      </c>
      <c r="AT92" s="165">
        <v>45261</v>
      </c>
      <c r="AU92" s="165">
        <v>45261</v>
      </c>
      <c r="AV92" s="165">
        <f>IF(AND($AU$6&gt;$AV$6),"",DATE(YEAR(AV91),MONTH(AV91)+1,DAY(AV91)))</f>
        <v>46082</v>
      </c>
      <c r="AX92" s="185" t="str">
        <f t="shared" si="62"/>
        <v/>
      </c>
      <c r="AY92" s="185" t="str">
        <f t="shared" ref="AY92:AY93" si="101">IFERROR(IF(AND(AW92="",AX92=""),"",IF(AW92="",AX92,AW92)),"")</f>
        <v/>
      </c>
      <c r="AZ92" s="185" t="str">
        <f t="shared" ref="AZ92:AZ93" si="102">IFERROR(IF(AY92="","",IF(DATE(YEAR(AY92),MONTH(AY92),DAY(AY92))=DATE(YEAR($AV$6),MONTH($AV$6)+1,DAY($AV$6)),"TOTAL",IF(AY92&gt;$AV$6,"",AY92))),"")</f>
        <v/>
      </c>
      <c r="BA92" s="184" t="str">
        <f t="shared" si="95"/>
        <v/>
      </c>
      <c r="BB92" s="184" t="str">
        <f t="shared" si="71"/>
        <v/>
      </c>
      <c r="BC92" s="184" t="str">
        <f t="shared" si="72"/>
        <v/>
      </c>
      <c r="BD92" s="184" t="str">
        <f t="shared" si="96"/>
        <v/>
      </c>
      <c r="BF92" s="184" t="str">
        <f t="shared" si="97"/>
        <v/>
      </c>
      <c r="BG92" s="184" t="str">
        <f t="shared" si="73"/>
        <v/>
      </c>
      <c r="BH92" s="184" t="str">
        <f t="shared" si="74"/>
        <v/>
      </c>
      <c r="BI92" s="184" t="str">
        <f t="shared" si="98"/>
        <v/>
      </c>
      <c r="BJ92" s="184" t="str">
        <f t="shared" si="75"/>
        <v/>
      </c>
      <c r="BM92" s="184" t="str">
        <f t="shared" si="76"/>
        <v/>
      </c>
      <c r="BN92" s="184" t="str">
        <f t="shared" si="77"/>
        <v/>
      </c>
      <c r="BO92" s="184" t="str">
        <f t="shared" si="99"/>
        <v/>
      </c>
      <c r="BP92" s="184" t="str">
        <f t="shared" si="63"/>
        <v/>
      </c>
      <c r="BQ92" s="184">
        <f t="shared" si="64"/>
        <v>0</v>
      </c>
      <c r="BR92" s="184">
        <f t="shared" si="65"/>
        <v>0</v>
      </c>
      <c r="BW92" s="184" t="str">
        <f t="shared" si="100"/>
        <v/>
      </c>
      <c r="BY92" s="179" t="str">
        <f t="shared" si="80"/>
        <v/>
      </c>
      <c r="BZ92" s="179" t="str">
        <f>IF(AZ93="","",IF(AZ93="TOTAL","",IF($AU$16=$AU$17,0,IF(AND(AZ93&gt;$BY$1,$AI$3=$AR$2,'Master Sheet'!$D$27&gt;0),'Master Sheet'!$D$27,IF(AND(AZ93=$BY$1),IF($AU$9&lt;18001,135,IF($AU$9&lt;33501,220,IF($AU$9&lt;54001,330,440))),IF(AND(AZ93&gt;$BY$1),IF($AU$9&lt;18001,265,IF($AU$9&lt;33501,440,IF($AU$9&lt;54001,658,875))),""))))))</f>
        <v/>
      </c>
    </row>
    <row r="93" spans="1:78" ht="21" customHeight="1">
      <c r="A93" s="110" t="str">
        <f t="shared" si="91"/>
        <v/>
      </c>
      <c r="B93" s="60" t="str">
        <f t="shared" si="94"/>
        <v/>
      </c>
      <c r="C93" s="61" t="str">
        <f t="shared" si="87"/>
        <v/>
      </c>
      <c r="D93" s="62" t="str">
        <f>IFERROR(IF($C92="TOTAL","अक्षरें राशि :-",IF($C93="TOTAL",SUM($D$8:D92),IF(BA94="","",BA94))),"")</f>
        <v/>
      </c>
      <c r="E93" s="62" t="str">
        <f>IFERROR(IF($C93="TOTAL",SUM($E$8:E92),IF(BC94="","",BC94)),"")</f>
        <v/>
      </c>
      <c r="F93" s="62" t="str">
        <f>IFERROR(IF($C93="TOTAL",SUM($F$8:F92),IF(BD94="","",BD94)),"")</f>
        <v/>
      </c>
      <c r="G93" s="62" t="str">
        <f>IFERROR(IF($C93="TOTAL",SUM($G$8:G92),IF(BB94="","",BB94)),"")</f>
        <v/>
      </c>
      <c r="H93" s="62" t="str">
        <f t="shared" si="55"/>
        <v/>
      </c>
      <c r="I93" s="62" t="str">
        <f>IFERROR(IF($C93="TOTAL",SUM($I$8:I92),IF(BF94="","",BF94)),"")</f>
        <v/>
      </c>
      <c r="J93" s="62" t="str">
        <f>IFERROR(IF($C93="TOTAL",SUM($J$8:J92),IF(BH94="","",BH94)),"")</f>
        <v/>
      </c>
      <c r="K93" s="62" t="str">
        <f>IFERROR(IF($C93="TOTAL",SUM($K$8:K92),IF(BI94="","",BI94)),"")</f>
        <v/>
      </c>
      <c r="L93" s="62" t="str">
        <f>IFERROR(IF($C93="TOTAL",SUM($L$8:L92),IF(BG94="","",BG94)),"")</f>
        <v/>
      </c>
      <c r="M93" s="62" t="str">
        <f t="shared" si="56"/>
        <v/>
      </c>
      <c r="N93" s="62" t="str">
        <f>IFERROR(IF(C93="","",IF(D93="","",IF(I93="","",IF($C93="TOTAL",SUM($N$8:N92),SUM(D93-I93))))),"")</f>
        <v/>
      </c>
      <c r="O93" s="62" t="str">
        <f>IFERROR(IF(C93="","",IF(E93="","",IF(J93="","",IF($C93="TOTAL",SUM($O$8:O92),SUM(E93-J93))))),"")</f>
        <v/>
      </c>
      <c r="P93" s="62" t="str">
        <f>IFERROR(IF(C93="","",IF(F93="","",IF(K93="","",IF($C93="TOTAL",SUM($P$8:P92),SUM(F93-K93))))),"")</f>
        <v/>
      </c>
      <c r="Q93" s="62" t="str">
        <f t="shared" si="57"/>
        <v/>
      </c>
      <c r="R93" s="62" t="str">
        <f t="shared" si="88"/>
        <v/>
      </c>
      <c r="S93" s="62" t="str">
        <f>IFERROR(IF(C93="","",IF($C93="TOTAL",SUM($S$8:S92),IF(AND(C93&gt;$AR$1,$AI$3=$AR$2),BW94,IF($AU$18=$AU$20,SUM(BJ94+BR94),ROUND((D93+E93)*10%,0))))),"")</f>
        <v/>
      </c>
      <c r="T93" s="62" t="str">
        <f>IFERROR(IF(C93="","",IF(I93="","",IF(J93="","",IF($C93="TOTAL",SUM($T$8:T92),IF(AND(C93&gt;$AR$1,$AI$3=$AR$2),BW94,IF($AU$18=$AU$20,$AU$21,ROUND((I93+J93)*10%,0))))))),"")</f>
        <v/>
      </c>
      <c r="U93" s="62" t="str">
        <f t="shared" si="89"/>
        <v/>
      </c>
      <c r="V93" s="63" t="str">
        <f>IFERROR(IF(C93="","",IF($AU$16=$AU$17,0,IF($C93="TOTAL",SUM($V$8:V92),IF($AU$19=$AU$20,$AU$25,0)))),"")</f>
        <v/>
      </c>
      <c r="W93" s="63" t="str">
        <f>IFERROR(IF(C93="","",IF($AU$16=$AU$17,0,IF($C93="TOTAL",SUM($W$8:W92),IF($AU$19=$AU$20,$AU$24,0)))),"")</f>
        <v/>
      </c>
      <c r="X93" s="62" t="str">
        <f t="shared" si="90"/>
        <v/>
      </c>
      <c r="Y93" s="62" t="str">
        <f>IFERROR(IF(C93="","",IF($AU$16=$AU$17,0,IF($C93="TOTAL",SUM($Y$8:Y92),BZ93))),"")</f>
        <v/>
      </c>
      <c r="Z93" s="62" t="str">
        <f>IFERROR(IF(C93="","",IF($AU$16=$AU$17,0,IF($C93="TOTAL",SUM($Z$8:Z92),BY93))),"")</f>
        <v/>
      </c>
      <c r="AA93" s="62" t="str">
        <f t="shared" si="52"/>
        <v/>
      </c>
      <c r="AB93" s="62" t="str">
        <f>IFERROR(IF(C93="","",IF(D93="","",IF($C93="TOTAL",SUM($AB$8:AB92),IF(C93=$AU$1,ROUND(D93*5/31,0.01),"")))),"")</f>
        <v/>
      </c>
      <c r="AC93" s="62" t="str">
        <f>IFERROR(IF(C93="","",IF(I93="","",IF($C93="TOTAL",SUM($AC$8:AC92),IF(C93=$AU$1,ROUND(I93*5/31,0.01),"")))),"")</f>
        <v/>
      </c>
      <c r="AD93" s="62" t="str">
        <f t="shared" si="66"/>
        <v/>
      </c>
      <c r="AE93" s="62" t="str">
        <f>IFERROR(IF(C93="","",IF(AND(BP94="",BW94=""),"",IF($C93="TOTAL",SUM($AE$8:AE92),BP94))),"")</f>
        <v/>
      </c>
      <c r="AF93" s="62" t="str">
        <f>IFERROR(IF(C93="","",IF($C93="TOTAL",SUM($AF$8:AF92),ROUND(R93*$AU$7%,0))),"")</f>
        <v/>
      </c>
      <c r="AG93" s="62" t="str">
        <f t="shared" si="61"/>
        <v/>
      </c>
      <c r="AH93" s="64" t="str">
        <f>IFERROR(IF(C93="","",IF($C93="TOTAL",SUM($AH$8:AH92),SUM(R93-AG93))),"")</f>
        <v/>
      </c>
      <c r="AQ93" s="183">
        <f t="shared" si="67"/>
        <v>42</v>
      </c>
      <c r="AR93" s="183">
        <f t="shared" si="68"/>
        <v>42</v>
      </c>
      <c r="AT93" s="185">
        <v>45292</v>
      </c>
      <c r="AU93" s="165">
        <v>45292</v>
      </c>
      <c r="AV93" s="165">
        <f>IF(AND($AU$6&gt;$AV$6),"",DATE(YEAR(AV92),MONTH(AV92)+1,DAY(AV92)))</f>
        <v>46113</v>
      </c>
      <c r="AX93" s="185" t="str">
        <f t="shared" si="62"/>
        <v/>
      </c>
      <c r="AY93" s="185" t="str">
        <f t="shared" si="101"/>
        <v/>
      </c>
      <c r="AZ93" s="185" t="str">
        <f t="shared" si="102"/>
        <v/>
      </c>
      <c r="BA93" s="184" t="str">
        <f t="shared" si="95"/>
        <v/>
      </c>
      <c r="BB93" s="184" t="str">
        <f t="shared" si="71"/>
        <v/>
      </c>
      <c r="BC93" s="184" t="str">
        <f t="shared" si="72"/>
        <v/>
      </c>
      <c r="BD93" s="184" t="str">
        <f t="shared" si="96"/>
        <v/>
      </c>
      <c r="BF93" s="184" t="str">
        <f t="shared" si="97"/>
        <v/>
      </c>
      <c r="BG93" s="184" t="str">
        <f t="shared" si="73"/>
        <v/>
      </c>
      <c r="BH93" s="184" t="str">
        <f t="shared" si="74"/>
        <v/>
      </c>
      <c r="BI93" s="184" t="str">
        <f t="shared" si="98"/>
        <v/>
      </c>
      <c r="BJ93" s="184" t="str">
        <f t="shared" si="75"/>
        <v/>
      </c>
      <c r="BM93" s="184" t="str">
        <f t="shared" si="76"/>
        <v/>
      </c>
      <c r="BN93" s="184" t="str">
        <f t="shared" si="77"/>
        <v/>
      </c>
      <c r="BO93" s="184" t="str">
        <f t="shared" si="99"/>
        <v/>
      </c>
      <c r="BP93" s="184" t="str">
        <f t="shared" si="63"/>
        <v/>
      </c>
      <c r="BQ93" s="184">
        <f t="shared" si="64"/>
        <v>0</v>
      </c>
      <c r="BR93" s="184">
        <f t="shared" si="65"/>
        <v>0</v>
      </c>
      <c r="BW93" s="184" t="str">
        <f t="shared" si="100"/>
        <v/>
      </c>
      <c r="BY93" s="179" t="str">
        <f t="shared" si="80"/>
        <v/>
      </c>
      <c r="BZ93" s="179" t="str">
        <f>IF(AZ94="","",IF(AZ94="TOTAL","",IF($AU$16=$AU$17,0,IF(AND(AZ94&gt;$BY$1,$AI$3=$AR$2,'Master Sheet'!$D$27&gt;0),'Master Sheet'!$D$27,IF(AND(AZ94=$BY$1),IF($AU$9&lt;18001,135,IF($AU$9&lt;33501,220,IF($AU$9&lt;54001,330,440))),IF(AND(AZ94&gt;$BY$1),IF($AU$9&lt;18001,265,IF($AU$9&lt;33501,440,IF($AU$9&lt;54001,658,875))),""))))))</f>
        <v/>
      </c>
    </row>
    <row r="94" spans="1:78" ht="21" customHeight="1">
      <c r="A94" s="110" t="str">
        <f t="shared" si="91"/>
        <v/>
      </c>
      <c r="B94" s="60" t="str">
        <f t="shared" si="94"/>
        <v/>
      </c>
      <c r="C94" s="61" t="str">
        <f t="shared" si="87"/>
        <v/>
      </c>
      <c r="D94" s="62" t="str">
        <f>IFERROR(IF($C93="TOTAL","अक्षरें राशि :-",IF($C94="TOTAL",SUM($D$8:D93),IF(BA95="","",BA95))),"")</f>
        <v/>
      </c>
      <c r="E94" s="62" t="str">
        <f>IFERROR(IF($C94="TOTAL",SUM($E$8:E93),IF(BC95="","",BC95)),"")</f>
        <v/>
      </c>
      <c r="F94" s="62" t="str">
        <f>IFERROR(IF($C94="TOTAL",SUM($F$8:F93),IF(BD95="","",BD95)),"")</f>
        <v/>
      </c>
      <c r="G94" s="62" t="str">
        <f>IFERROR(IF($C94="TOTAL",SUM($G$8:G93),IF(BB95="","",BB95)),"")</f>
        <v/>
      </c>
      <c r="H94" s="62" t="str">
        <f t="shared" si="55"/>
        <v/>
      </c>
      <c r="I94" s="62" t="str">
        <f>IFERROR(IF($C94="TOTAL",SUM($I$8:I93),IF(BF95="","",BF95)),"")</f>
        <v/>
      </c>
      <c r="J94" s="62" t="str">
        <f>IFERROR(IF($C94="TOTAL",SUM($J$8:J93),IF(BH95="","",BH95)),"")</f>
        <v/>
      </c>
      <c r="K94" s="62" t="str">
        <f>IFERROR(IF($C94="TOTAL",SUM($K$8:K93),IF(BI95="","",BI95)),"")</f>
        <v/>
      </c>
      <c r="L94" s="62" t="str">
        <f>IFERROR(IF($C94="TOTAL",SUM($L$8:L93),IF(BG95="","",BG95)),"")</f>
        <v/>
      </c>
      <c r="M94" s="62" t="str">
        <f t="shared" si="56"/>
        <v/>
      </c>
      <c r="N94" s="62" t="str">
        <f>IFERROR(IF(C94="","",IF(D94="","",IF(I94="","",IF($C94="TOTAL",SUM($N$8:N93),SUM(D94-I94))))),"")</f>
        <v/>
      </c>
      <c r="O94" s="62" t="str">
        <f>IFERROR(IF(C94="","",IF(E94="","",IF(J94="","",IF($C94="TOTAL",SUM($O$8:O93),SUM(E94-J94))))),"")</f>
        <v/>
      </c>
      <c r="P94" s="62" t="str">
        <f>IFERROR(IF(C94="","",IF(F94="","",IF(K94="","",IF($C94="TOTAL",SUM($P$8:P93),SUM(F94-K94))))),"")</f>
        <v/>
      </c>
      <c r="Q94" s="62" t="str">
        <f t="shared" si="57"/>
        <v/>
      </c>
      <c r="R94" s="62" t="str">
        <f t="shared" si="88"/>
        <v/>
      </c>
      <c r="S94" s="62" t="str">
        <f>IFERROR(IF(C94="","",IF(AND(C94&gt;$AR$1,$AI$3=$AR$2),"",IF($AU$18=$AU$20,SUM(BJ95,BR95),ROUND((D94+E94)*10%,0)))),"")</f>
        <v/>
      </c>
      <c r="T94" s="62" t="str">
        <f>IFERROR(IF(C94="","",IF(I94="","",IF(J94="","",IF(AND(C94&gt;$AR$1,$AI$3=$AR$2),"",IF($C94="TOTAL",SUM($T$8:T93),IF($AU$18=$AU$20,$AU$21,ROUND((I94+J94)*10%,0))))))),"")</f>
        <v/>
      </c>
      <c r="U94" s="62" t="str">
        <f t="shared" si="89"/>
        <v/>
      </c>
      <c r="V94" s="63" t="str">
        <f>IFERROR(IF(C94="","",IF($AU$16=$AU$17,0,IF($C94="TOTAL",SUM($V$8:V93),IF($AU$19=$AU$20,$AU$25,0)))),"")</f>
        <v/>
      </c>
      <c r="W94" s="63" t="str">
        <f>IFERROR(IF(C94="","",IF($AU$16=$AU$17,0,IF($C94="TOTAL",SUM($W$8:W93),IF($AU$19=$AU$20,$AU$24,0)))),"")</f>
        <v/>
      </c>
      <c r="X94" s="62" t="str">
        <f t="shared" si="90"/>
        <v/>
      </c>
      <c r="Y94" s="62" t="str">
        <f>IFERROR(IF(C94="","",IF($AU$16=$AU$17,0,IF($C94="TOTAL",SUM($Y$8:Y93),BZ94))),"")</f>
        <v/>
      </c>
      <c r="Z94" s="62" t="str">
        <f>IFERROR(IF(C94="","",IF($AU$16=$AU$17,0,IF($C94="TOTAL",SUM($Z$8:Z93),BY94))),"")</f>
        <v/>
      </c>
      <c r="AA94" s="62" t="str">
        <f t="shared" si="52"/>
        <v/>
      </c>
      <c r="AB94" s="62" t="str">
        <f>IFERROR(IF(C94="","",IF(D94="","",IF($C94="TOTAL",SUM($AB$8:AB93),IF(C94=$AU$1,ROUND(D94*5/31,0.01),"")))),"")</f>
        <v/>
      </c>
      <c r="AC94" s="62" t="str">
        <f>IFERROR(IF(C94="","",IF(I94="","",IF($C94="TOTAL",SUM($AC$8:AC93),IF(C94=$AU$1,ROUND(I94*5/31,0.01),"")))),"")</f>
        <v/>
      </c>
      <c r="AD94" s="62" t="str">
        <f t="shared" si="66"/>
        <v/>
      </c>
      <c r="AE94" s="62" t="str">
        <f>IFERROR(IF(C94="","",IF(AND(BP95="",BW95=""),"",IF($C94="TOTAL",SUM($AE$8:AE93),BP95))),"")</f>
        <v/>
      </c>
      <c r="AF94" s="62" t="str">
        <f>IFERROR(IF(C94="","",IF($C94="TOTAL",SUM($AF$8:AF93),ROUND(R94*$AU$7%,0))),"")</f>
        <v/>
      </c>
      <c r="AG94" s="62" t="str">
        <f t="shared" si="61"/>
        <v/>
      </c>
      <c r="AH94" s="64" t="str">
        <f>IFERROR(IF(C94="","",IF($C94="TOTAL",SUM($AH$8:AH93),SUM(R94-AG94))),"")</f>
        <v/>
      </c>
      <c r="AQ94" s="183">
        <f t="shared" si="67"/>
        <v>42</v>
      </c>
      <c r="AR94" s="183">
        <f t="shared" si="68"/>
        <v>42</v>
      </c>
      <c r="BA94" s="184" t="str">
        <f t="shared" si="95"/>
        <v/>
      </c>
      <c r="BB94" s="184" t="str">
        <f t="shared" si="71"/>
        <v/>
      </c>
      <c r="BC94" s="184" t="str">
        <f t="shared" si="72"/>
        <v/>
      </c>
      <c r="BD94" s="184" t="str">
        <f t="shared" si="96"/>
        <v/>
      </c>
      <c r="BF94" s="184" t="str">
        <f t="shared" si="97"/>
        <v/>
      </c>
      <c r="BG94" s="184" t="str">
        <f t="shared" si="73"/>
        <v/>
      </c>
      <c r="BH94" s="184" t="str">
        <f t="shared" si="74"/>
        <v/>
      </c>
      <c r="BI94" s="184" t="str">
        <f t="shared" si="98"/>
        <v/>
      </c>
      <c r="BJ94" s="184" t="str">
        <f t="shared" si="75"/>
        <v/>
      </c>
      <c r="BM94" s="184" t="str">
        <f t="shared" si="76"/>
        <v/>
      </c>
      <c r="BN94" s="184" t="str">
        <f t="shared" si="77"/>
        <v/>
      </c>
      <c r="BO94" s="184" t="str">
        <f t="shared" si="99"/>
        <v/>
      </c>
      <c r="BP94" s="184" t="str">
        <f t="shared" si="63"/>
        <v/>
      </c>
      <c r="BQ94" s="184">
        <f t="shared" si="64"/>
        <v>0</v>
      </c>
      <c r="BR94" s="184">
        <f t="shared" si="65"/>
        <v>0</v>
      </c>
      <c r="BW94" s="184" t="str">
        <f t="shared" si="100"/>
        <v/>
      </c>
      <c r="BY94" s="179" t="str">
        <f t="shared" si="80"/>
        <v/>
      </c>
      <c r="BZ94" s="179" t="str">
        <f>IF(AZ95="","",IF(AZ95="TOTAL","",IF($AU$16=$AU$17,0,IF(AND(AZ95&gt;$BY$1,$AI$3=$AR$2,'Master Sheet'!$D$27&gt;0),'Master Sheet'!$D$27,IF(AND(AZ95=$BY$1),IF($AU$9&lt;18001,135,IF($AU$9&lt;33501,220,IF($AU$9&lt;54001,330,440))),IF(AND(AZ95&gt;$BY$1),IF($AU$9&lt;18001,265,IF($AU$9&lt;33501,440,IF($AU$9&lt;54001,658,875))),""))))))</f>
        <v/>
      </c>
    </row>
    <row r="95" spans="1:78" ht="21" customHeight="1">
      <c r="A95" s="110" t="str">
        <f t="shared" si="91"/>
        <v/>
      </c>
      <c r="B95" s="60" t="str">
        <f t="shared" si="94"/>
        <v/>
      </c>
      <c r="C95" s="61" t="str">
        <f t="shared" si="87"/>
        <v/>
      </c>
      <c r="D95" s="62" t="str">
        <f>IFERROR(IF($C94="TOTAL","अक्षरें राशि :-",IF($C95="TOTAL",SUM($D$8:D94),IF(BA96="","",BA96))),"")</f>
        <v/>
      </c>
      <c r="E95" s="62" t="str">
        <f>IFERROR(IF($C95="TOTAL",SUM($E$8:E94),IF(BC96="","",BC96)),"")</f>
        <v/>
      </c>
      <c r="F95" s="62" t="str">
        <f>IFERROR(IF($C95="TOTAL",SUM($F$8:F94),IF(BD96="","",BD96)),"")</f>
        <v/>
      </c>
      <c r="G95" s="62" t="str">
        <f>IFERROR(IF($C95="TOTAL",SUM($G$8:G94),IF(BB96="","",BB96)),"")</f>
        <v/>
      </c>
      <c r="H95" s="62" t="str">
        <f t="shared" si="55"/>
        <v/>
      </c>
      <c r="I95" s="62" t="str">
        <f>IFERROR(IF($C95="TOTAL",SUM($I$8:I94),IF(BF96="","",BF96)),"")</f>
        <v/>
      </c>
      <c r="J95" s="62" t="str">
        <f>IFERROR(IF($C95="TOTAL",SUM($J$8:J94),IF(BH96="","",BH96)),"")</f>
        <v/>
      </c>
      <c r="K95" s="62" t="str">
        <f>IFERROR(IF($C95="TOTAL",SUM($K$8:K94),IF(BI96="","",BI96)),"")</f>
        <v/>
      </c>
      <c r="L95" s="62" t="str">
        <f>IFERROR(IF($C95="TOTAL",SUM($L$8:L94),IF(BG96="","",BG96)),"")</f>
        <v/>
      </c>
      <c r="M95" s="62" t="str">
        <f t="shared" si="56"/>
        <v/>
      </c>
      <c r="N95" s="62" t="str">
        <f>IFERROR(IF(C95="","",IF(D95="","",IF(I95="","",IF($C95="TOTAL",SUM($N$8:N94),SUM(D95-I95))))),"")</f>
        <v/>
      </c>
      <c r="O95" s="62" t="str">
        <f>IFERROR(IF(C95="","",IF(E95="","",IF(J95="","",IF($C95="TOTAL",SUM($O$8:O94),SUM(E95-J95))))),"")</f>
        <v/>
      </c>
      <c r="P95" s="62" t="str">
        <f>IFERROR(IF(C95="","",IF(F95="","",IF(K95="","",IF($C95="TOTAL",SUM($P$8:P94),SUM(F95-K95))))),"")</f>
        <v/>
      </c>
      <c r="Q95" s="62" t="str">
        <f t="shared" si="57"/>
        <v/>
      </c>
      <c r="R95" s="62" t="str">
        <f t="shared" si="88"/>
        <v/>
      </c>
      <c r="S95" s="62" t="str">
        <f>IFERROR(IF(C95="","",IF(AND(C95&gt;$AR$1,$AI$3=$AR$2),"",IF($AU$18=$AU$20,SUM(BJ96,BR96),ROUND((D95+E95)*10%,0)))),"")</f>
        <v/>
      </c>
      <c r="T95" s="62" t="str">
        <f>IFERROR(IF(C95="","",IF(I95="","",IF(J95="","",IF(AND(C95&gt;$AR$1,$AI$3=$AR$2),"",IF($C95="TOTAL",SUM($T$8:T94),IF($AU$18=$AU$20,$AU$21,ROUND((I95+J95)*10%,0))))))),"")</f>
        <v/>
      </c>
      <c r="U95" s="62" t="str">
        <f t="shared" si="89"/>
        <v/>
      </c>
      <c r="V95" s="63" t="str">
        <f>IFERROR(IF(C95="","",IF($AU$16=$AU$17,0,IF($C95="TOTAL",SUM($V$8:V94),IF($AU$19=$AU$20,$AU$25,0)))),"")</f>
        <v/>
      </c>
      <c r="W95" s="63" t="str">
        <f>IFERROR(IF(C95="","",IF($AU$16=$AU$17,0,IF($C95="TOTAL",SUM($W$8:W94),IF($AU$19=$AU$20,$AU$24,0)))),"")</f>
        <v/>
      </c>
      <c r="X95" s="62" t="str">
        <f t="shared" si="90"/>
        <v/>
      </c>
      <c r="Y95" s="62" t="str">
        <f>IFERROR(IF(C95="","",IF($AU$16=$AU$17,0,IF($C95="TOTAL",SUM($Y$8:Y94),BZ95))),"")</f>
        <v/>
      </c>
      <c r="Z95" s="62" t="str">
        <f>IFERROR(IF(C95="","",IF($AU$16=$AU$17,0,IF($C95="TOTAL",SUM($Z$8:Z94),BY95))),"")</f>
        <v/>
      </c>
      <c r="AA95" s="62" t="str">
        <f t="shared" si="52"/>
        <v/>
      </c>
      <c r="AB95" s="62" t="str">
        <f>IFERROR(IF(C95="","",IF(D95="","",IF($C95="TOTAL",SUM($AB$8:AB94),IF(C95=$AU$1,ROUND(D95*5/31,0.01),"")))),"")</f>
        <v/>
      </c>
      <c r="AC95" s="62" t="str">
        <f>IFERROR(IF(C95="","",IF(I95="","",IF($C95="TOTAL",SUM($AC$8:AC94),IF(C95=$AU$1,ROUND(I95*5/31,0.01),"")))),"")</f>
        <v/>
      </c>
      <c r="AD95" s="62" t="str">
        <f t="shared" si="66"/>
        <v/>
      </c>
      <c r="AE95" s="62" t="str">
        <f>IFERROR(IF(C95="","",IF(AND(BP96="",BW96=""),"",IF($C95="TOTAL",SUM($AE$8:AE94),BP96))),"")</f>
        <v/>
      </c>
      <c r="AF95" s="62" t="str">
        <f>IFERROR(IF(C95="","",IF($C95="TOTAL",SUM($AF$8:AF94),ROUND(R95*$AU$7%,0))),"")</f>
        <v/>
      </c>
      <c r="AG95" s="62" t="str">
        <f t="shared" si="61"/>
        <v/>
      </c>
      <c r="AH95" s="64" t="str">
        <f>IFERROR(IF(C95="","",IF($C95="TOTAL",SUM($AH$8:AH94),SUM(R95-AG95))),"")</f>
        <v/>
      </c>
      <c r="BA95" s="184" t="str">
        <f t="shared" si="95"/>
        <v/>
      </c>
      <c r="BB95" s="184"/>
      <c r="BC95" s="184" t="str">
        <f t="shared" ref="BC95:BC96" si="103">IF(AZ95="","",IF(AZ95="TOTAL","",ROUND(BA95*AQ95%,0)))</f>
        <v/>
      </c>
      <c r="BD95" s="184" t="str">
        <f t="shared" si="96"/>
        <v/>
      </c>
      <c r="BF95" s="184" t="str">
        <f t="shared" si="97"/>
        <v/>
      </c>
      <c r="BG95" s="184"/>
      <c r="BH95" s="184" t="str">
        <f>IF(AZ95="","",IF(AZ95="TOTAL","",IF(BF95="","",IF($AU$16=$AU$17,0,ROUND(BF95*AR95%,0)))))</f>
        <v/>
      </c>
      <c r="BI95" s="184" t="str">
        <f t="shared" si="98"/>
        <v/>
      </c>
      <c r="BJ95" s="184" t="str">
        <f t="shared" si="75"/>
        <v/>
      </c>
      <c r="BM95" s="184" t="str">
        <f t="shared" si="76"/>
        <v/>
      </c>
      <c r="BN95" s="184" t="str">
        <f t="shared" si="77"/>
        <v/>
      </c>
      <c r="BO95" s="184" t="str">
        <f t="shared" si="99"/>
        <v/>
      </c>
      <c r="BP95" s="184" t="str">
        <f t="shared" si="63"/>
        <v/>
      </c>
      <c r="BQ95" s="184">
        <f t="shared" si="64"/>
        <v>0</v>
      </c>
      <c r="BR95" s="184">
        <f t="shared" si="65"/>
        <v>0</v>
      </c>
      <c r="BW95" s="184" t="str">
        <f t="shared" si="100"/>
        <v/>
      </c>
      <c r="BY95" s="179" t="str">
        <f t="shared" si="80"/>
        <v/>
      </c>
      <c r="BZ95" s="179" t="str">
        <f>IF(AZ96="","",IF(AZ96="TOTAL","",IF($AU$16=$AU$17,0,IF(AND(AZ96&gt;$BY$1,$AI$3=$AR$2,'Master Sheet'!$D$27&gt;0),'Master Sheet'!$D$27,IF(AND(AZ96=$BY$1),IF($AU$9&lt;18001,135,IF($AU$9&lt;33501,220,IF($AU$9&lt;54001,330,440))),IF(AND(AZ96&gt;$BY$1),IF($AU$9&lt;18001,265,IF($AU$9&lt;33501,440,IF($AU$9&lt;54001,658,875))),""))))))</f>
        <v/>
      </c>
    </row>
    <row r="96" spans="1:78">
      <c r="B96" s="60"/>
      <c r="C96" s="61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3"/>
      <c r="W96" s="63"/>
      <c r="X96" s="62"/>
      <c r="Y96" s="62"/>
      <c r="Z96" s="62"/>
      <c r="AA96" s="62" t="str">
        <f t="shared" si="52"/>
        <v/>
      </c>
      <c r="AB96" s="62"/>
      <c r="AC96" s="62"/>
      <c r="AD96" s="62"/>
      <c r="AE96" s="62"/>
      <c r="AF96" s="62"/>
      <c r="AG96" s="62"/>
      <c r="AH96" s="64"/>
      <c r="BA96" s="184" t="str">
        <f t="shared" si="95"/>
        <v/>
      </c>
      <c r="BB96" s="184"/>
      <c r="BC96" s="184" t="str">
        <f t="shared" si="103"/>
        <v/>
      </c>
      <c r="BD96" s="184" t="str">
        <f t="shared" si="96"/>
        <v/>
      </c>
      <c r="BF96" s="184" t="str">
        <f t="shared" si="97"/>
        <v/>
      </c>
      <c r="BG96" s="184"/>
      <c r="BH96" s="184" t="str">
        <f>IF(AZ96="","",IF(AZ96="TOTAL","",IF(BF96="","",IF($AU$16=$AU$17,0,ROUND(BF96*AR96%,0)))))</f>
        <v/>
      </c>
      <c r="BI96" s="184" t="str">
        <f t="shared" si="98"/>
        <v/>
      </c>
      <c r="BJ96" s="184" t="str">
        <f t="shared" si="75"/>
        <v/>
      </c>
      <c r="BM96" s="184" t="str">
        <f t="shared" si="76"/>
        <v/>
      </c>
      <c r="BN96" s="184" t="str">
        <f t="shared" si="77"/>
        <v/>
      </c>
      <c r="BO96" s="184" t="str">
        <f t="shared" si="99"/>
        <v/>
      </c>
      <c r="BP96" s="184" t="str">
        <f t="shared" si="63"/>
        <v/>
      </c>
      <c r="BQ96" s="184">
        <f t="shared" si="64"/>
        <v>0</v>
      </c>
      <c r="BR96" s="184">
        <f t="shared" si="65"/>
        <v>0</v>
      </c>
      <c r="BW96" s="184" t="str">
        <f t="shared" si="100"/>
        <v/>
      </c>
      <c r="BY96" s="179" t="str">
        <f t="shared" si="80"/>
        <v/>
      </c>
      <c r="BZ96" s="179" t="str">
        <f>IF(AZ97="","",IF(AZ97="TOTAL","",IF($AU$16=$AU$17,0,IF(AND(AZ97&gt;$BY$1,$AI$3=$AR$2,'Master Sheet'!$D$27&gt;0),'Master Sheet'!$D$27,IF(AND(AZ97=$BY$1),IF($AU$9&lt;18001,135,IF($AU$9&lt;33501,220,IF($AU$9&lt;54001,330,440))),IF(AND(AZ97&gt;$BY$1),IF($AU$9&lt;18001,265,IF($AU$9&lt;33501,440,IF($AU$9&lt;54001,658,875))),""))))))</f>
        <v/>
      </c>
    </row>
    <row r="97" spans="2:78">
      <c r="B97" s="60"/>
      <c r="C97" s="61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3"/>
      <c r="W97" s="63"/>
      <c r="X97" s="62"/>
      <c r="Y97" s="62"/>
      <c r="Z97" s="62"/>
      <c r="AA97" s="62" t="str">
        <f t="shared" si="52"/>
        <v/>
      </c>
      <c r="AB97" s="62"/>
      <c r="AC97" s="62"/>
      <c r="AD97" s="62"/>
      <c r="AE97" s="62"/>
      <c r="AF97" s="62"/>
      <c r="AG97" s="62"/>
      <c r="AH97" s="64"/>
      <c r="BW97" s="184" t="str">
        <f t="shared" si="79"/>
        <v/>
      </c>
      <c r="BY97" s="179" t="str">
        <f t="shared" si="80"/>
        <v/>
      </c>
      <c r="BZ97" s="179" t="str">
        <f>IF(AZ98="","",IF(AZ98="TOTAL","",IF($AU$16=$AU$17,0,IF(AND(AZ98&gt;$BY$1,$AI$3=$AR$2,'Master Sheet'!$D$27&gt;0),'Master Sheet'!$D$27,IF(AND(AZ98=$BY$1),IF($AU$9&lt;18001,135,IF($AU$9&lt;33501,220,IF($AU$9&lt;54001,330,440))),IF(AND(AZ98&gt;$BY$1),IF($AU$9&lt;18001,265,IF($AU$9&lt;33501,440,IF($AU$9&lt;54001,658,875))),""))))))</f>
        <v/>
      </c>
    </row>
    <row r="98" spans="2:78">
      <c r="B98" s="60"/>
      <c r="C98" s="61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3"/>
      <c r="W98" s="63"/>
      <c r="X98" s="62"/>
      <c r="Y98" s="62"/>
      <c r="Z98" s="62"/>
      <c r="AA98" s="62" t="str">
        <f t="shared" si="52"/>
        <v/>
      </c>
      <c r="AB98" s="62"/>
      <c r="AC98" s="62"/>
      <c r="AD98" s="62"/>
      <c r="AE98" s="62"/>
      <c r="AF98" s="62"/>
      <c r="AG98" s="62"/>
      <c r="AH98" s="64"/>
      <c r="BY98" s="179" t="str">
        <f t="shared" si="80"/>
        <v/>
      </c>
      <c r="BZ98" s="179" t="str">
        <f>IF(AZ99="","",IF(AZ99="TOTAL","",IF($AU$16=$AU$17,0,IF(AND(AZ99&gt;$BY$1,$AI$3=$AR$2,'Master Sheet'!$D$27&gt;0),'Master Sheet'!$D$27,IF(AND(AZ99=$BY$1),IF($AU$9&lt;18001,135,IF($AU$9&lt;33501,220,IF($AU$9&lt;54001,330,440))),IF(AND(AZ99&gt;$BY$1),IF($AU$9&lt;18001,265,IF($AU$9&lt;33501,440,IF($AU$9&lt;54001,658,875))),""))))))</f>
        <v/>
      </c>
    </row>
    <row r="99" spans="2:78">
      <c r="B99" s="60"/>
      <c r="C99" s="61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3"/>
      <c r="W99" s="63"/>
      <c r="X99" s="62"/>
      <c r="Y99" s="62"/>
      <c r="Z99" s="62"/>
      <c r="AA99" s="62" t="str">
        <f t="shared" si="52"/>
        <v/>
      </c>
      <c r="AB99" s="62"/>
      <c r="AC99" s="62"/>
      <c r="AD99" s="62"/>
      <c r="AE99" s="62"/>
      <c r="AF99" s="62"/>
      <c r="AG99" s="62"/>
      <c r="AH99" s="64"/>
      <c r="BY99" s="179" t="str">
        <f t="shared" si="80"/>
        <v/>
      </c>
      <c r="BZ99" s="179" t="str">
        <f>IF(AZ100="","",IF(AZ100="TOTAL","",IF($AU$16=$AU$17,0,IF(AND(AZ100&gt;$BY$1,$AI$3=$AR$2,'Master Sheet'!$D$27&gt;0),'Master Sheet'!$D$27,IF(AND(AZ100=$BY$1),IF($AU$9&lt;18001,135,IF($AU$9&lt;33501,220,IF($AU$9&lt;54001,330,440))),IF(AND(AZ100&gt;$BY$1),IF($AU$9&lt;18001,265,IF($AU$9&lt;33501,440,IF($AU$9&lt;54001,658,875))),""))))))</f>
        <v/>
      </c>
    </row>
    <row r="100" spans="2:78">
      <c r="B100" s="60"/>
      <c r="C100" s="61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3"/>
      <c r="W100" s="63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4"/>
      <c r="BY100" s="179" t="str">
        <f t="shared" si="80"/>
        <v/>
      </c>
      <c r="BZ100" s="179" t="str">
        <f>IF(AZ101="","",IF(AZ101="TOTAL","",IF($AU$16=$AU$17,0,IF(AND(AZ101&gt;$BY$1,$AI$3=$AR$2,'Master Sheet'!$D$27&gt;0),'Master Sheet'!$D$27,IF(AND(AZ101=$BY$1),IF($AU$9&lt;18001,135,IF($AU$9&lt;33501,220,IF($AU$9&lt;54001,330,440))),IF(AND(AZ101&gt;$BY$1),IF($AU$9&lt;18001,265,IF($AU$9&lt;33501,440,IF($AU$9&lt;54001,658,875))),""))))))</f>
        <v/>
      </c>
    </row>
    <row r="101" spans="2:78">
      <c r="BY101" s="179" t="str">
        <f t="shared" si="80"/>
        <v/>
      </c>
      <c r="BZ101" s="179" t="str">
        <f>IF(AZ102="","",IF(AZ102="TOTAL","",IF($AU$16=$AU$17,0,IF(AND(AZ102&gt;$BY$1,$AI$3=$AR$2,'Master Sheet'!$D$27&gt;0),'Master Sheet'!$D$27,IF(AND(AZ102=$BY$1),IF($AU$9&lt;18001,135,IF($AU$9&lt;33501,220,IF($AU$9&lt;54001,330,440))),IF(AND(AZ102&gt;$BY$1),IF($AU$9&lt;18001,265,IF($AU$9&lt;33501,440,IF($AU$9&lt;54001,658,875))),""))))))</f>
        <v/>
      </c>
    </row>
    <row r="102" spans="2:78">
      <c r="BY102" s="179" t="str">
        <f t="shared" si="80"/>
        <v/>
      </c>
      <c r="BZ102" s="179" t="str">
        <f>IF(AZ103="","",IF(AZ103="TOTAL","",IF($AU$16=$AU$17,0,IF(AND(AZ103&gt;$BY$1,$AI$3=$AR$2,'Master Sheet'!$D$27&gt;0),'Master Sheet'!$D$27,IF(AND(AZ103=$BY$1),IF($AU$9&lt;18001,135,IF($AU$9&lt;33501,220,IF($AU$9&lt;54001,330,440))),IF(AND(AZ103&gt;$BY$1),IF($AU$9&lt;18001,265,IF($AU$9&lt;33501,440,IF($AU$9&lt;54001,658,875))),""))))))</f>
        <v/>
      </c>
    </row>
    <row r="103" spans="2:78">
      <c r="BY103" s="179" t="str">
        <f t="shared" si="80"/>
        <v/>
      </c>
      <c r="BZ103" s="179" t="str">
        <f>IF(AZ104="","",IF(AZ104="TOTAL","",IF($AU$16=$AU$17,0,IF(AND(AZ104&gt;$BY$1,$AI$3=$AR$2,'Master Sheet'!$D$27&gt;0),'Master Sheet'!$D$27,IF(AND(AZ104=$BY$1),IF($AU$9&lt;18001,135,IF($AU$9&lt;33501,220,IF($AU$9&lt;54001,330,440))),IF(AND(AZ104&gt;$BY$1),IF($AU$9&lt;18001,265,IF($AU$9&lt;33501,440,IF($AU$9&lt;54001,658,875))),""))))))</f>
        <v/>
      </c>
    </row>
    <row r="104" spans="2:78">
      <c r="BY104" s="179" t="str">
        <f t="shared" si="80"/>
        <v/>
      </c>
      <c r="BZ104" s="179" t="str">
        <f>IF(AZ105="","",IF(AZ105="TOTAL","",IF($AU$16=$AU$17,0,IF(AND(AZ105&gt;$BY$1,$AI$3=$AR$2,'Master Sheet'!$D$27&gt;0),'Master Sheet'!$D$27,IF(AND(AZ105=$BY$1),IF($AU$9&lt;18001,135,IF($AU$9&lt;33501,220,IF($AU$9&lt;54001,330,440))),IF(AND(AZ105&gt;$BY$1),IF($AU$9&lt;18001,265,IF($AU$9&lt;33501,440,IF($AU$9&lt;54001,658,875))),""))))))</f>
        <v/>
      </c>
    </row>
    <row r="105" spans="2:78">
      <c r="BY105" s="179" t="str">
        <f t="shared" si="80"/>
        <v/>
      </c>
      <c r="BZ105" s="179" t="str">
        <f>IF(AZ106="","",IF(AZ106="TOTAL","",IF($AU$16=$AU$17,0,IF(AND(AZ106&gt;$BY$1,$AI$3=$AR$2,'Master Sheet'!$D$27&gt;0),'Master Sheet'!$D$27,IF(AND(AZ106=$BY$1),IF($AU$9&lt;18001,135,IF($AU$9&lt;33501,220,IF($AU$9&lt;54001,330,440))),IF(AND(AZ106&gt;$BY$1),IF($AU$9&lt;18001,265,IF($AU$9&lt;33501,440,IF($AU$9&lt;54001,658,875))),""))))))</f>
        <v/>
      </c>
    </row>
    <row r="106" spans="2:78">
      <c r="BY106" s="179" t="str">
        <f t="shared" si="80"/>
        <v/>
      </c>
      <c r="BZ106" s="179" t="str">
        <f>IF(AZ107="","",IF(AZ107="TOTAL","",IF($AU$16=$AU$17,0,IF(AND(AZ107&gt;$BY$1,$AI$3=$AR$2,'Master Sheet'!$D$27&gt;0),'Master Sheet'!$D$27,IF(AND(AZ107=$BY$1),IF($AU$9&lt;18001,135,IF($AU$9&lt;33501,220,IF($AU$9&lt;54001,330,440))),IF(AND(AZ107&gt;$BY$1),IF($AU$9&lt;18001,265,IF($AU$9&lt;33501,440,IF($AU$9&lt;54001,658,875))),""))))))</f>
        <v/>
      </c>
    </row>
    <row r="107" spans="2:78">
      <c r="BY107" s="179" t="str">
        <f t="shared" si="80"/>
        <v/>
      </c>
      <c r="BZ107" s="179" t="str">
        <f>IF(AZ108="","",IF(AZ108="TOTAL","",IF($AU$16=$AU$17,0,IF(AND(AZ108&gt;$BY$1,$AI$3=$AR$2,'Master Sheet'!$D$27&gt;0),'Master Sheet'!$D$27,IF(AND(AZ108=$BY$1),IF($AU$9&lt;18001,135,IF($AU$9&lt;33501,220,IF($AU$9&lt;54001,330,440))),IF(AND(AZ108&gt;$BY$1),IF($AU$9&lt;18001,265,IF($AU$9&lt;33501,440,IF($AU$9&lt;54001,658,875))),""))))))</f>
        <v/>
      </c>
    </row>
    <row r="108" spans="2:78">
      <c r="BY108" s="179" t="str">
        <f t="shared" si="80"/>
        <v/>
      </c>
      <c r="BZ108" s="179" t="str">
        <f>IF(AZ109="","",IF(AZ109="TOTAL","",IF($AU$16=$AU$17,0,IF(AND(AZ109&gt;$BY$1,$AI$3=$AR$2,'Master Sheet'!$D$27&gt;0),'Master Sheet'!$D$27,IF(AND(AZ109=$BY$1),IF($AU$9&lt;18001,135,IF($AU$9&lt;33501,220,IF($AU$9&lt;54001,330,440))),IF(AND(AZ109&gt;$BY$1),IF($AU$9&lt;18001,265,IF($AU$9&lt;33501,440,IF($AU$9&lt;54001,658,875))),""))))))</f>
        <v/>
      </c>
    </row>
    <row r="109" spans="2:78">
      <c r="BY109" s="179" t="str">
        <f t="shared" si="80"/>
        <v/>
      </c>
      <c r="BZ109" s="179" t="str">
        <f>IF(AZ110="","",IF(AZ110="TOTAL","",IF($AU$16=$AU$17,0,IF(AND(AZ110&gt;$BY$1,$AI$3=$AR$2,'Master Sheet'!$D$27&gt;0),'Master Sheet'!$D$27,IF(AND(AZ110=$BY$1),IF($AU$9&lt;18001,135,IF($AU$9&lt;33501,220,IF($AU$9&lt;54001,330,440))),IF(AND(AZ110&gt;$BY$1),IF($AU$9&lt;18001,265,IF($AU$9&lt;33501,440,IF($AU$9&lt;54001,658,875))),""))))))</f>
        <v/>
      </c>
    </row>
    <row r="110" spans="2:78">
      <c r="BY110" s="179" t="str">
        <f t="shared" si="80"/>
        <v/>
      </c>
      <c r="BZ110" s="179" t="str">
        <f>IF(AZ111="","",IF(AZ111="TOTAL","",IF($AU$16=$AU$17,0,IF(AND(AZ111&gt;$BY$1,$AI$3=$AR$2,'Master Sheet'!$D$27&gt;0),'Master Sheet'!$D$27,IF(AND(AZ111=$BY$1),IF($AU$9&lt;18001,135,IF($AU$9&lt;33501,220,IF($AU$9&lt;54001,330,440))),IF(AND(AZ111&gt;$BY$1),IF($AU$9&lt;18001,265,IF($AU$9&lt;33501,440,IF($AU$9&lt;54001,658,875))),""))))))</f>
        <v/>
      </c>
    </row>
    <row r="111" spans="2:78">
      <c r="BY111" s="179" t="str">
        <f t="shared" si="80"/>
        <v/>
      </c>
      <c r="BZ111" s="179" t="str">
        <f>IF(AZ112="","",IF(AZ112="TOTAL","",IF($AU$16=$AU$17,0,IF(AND(AZ112&gt;$BY$1,$AI$3=$AR$2,'Master Sheet'!$D$27&gt;0),'Master Sheet'!$D$27,IF(AND(AZ112=$BY$1),IF($AU$9&lt;18001,135,IF($AU$9&lt;33501,220,IF($AU$9&lt;54001,330,440))),IF(AND(AZ112&gt;$BY$1),IF($AU$9&lt;18001,265,IF($AU$9&lt;33501,440,IF($AU$9&lt;54001,658,875))),""))))))</f>
        <v/>
      </c>
    </row>
    <row r="112" spans="2:78">
      <c r="BY112" s="179" t="str">
        <f t="shared" si="80"/>
        <v/>
      </c>
      <c r="BZ112" s="179" t="str">
        <f>IF(AZ113="","",IF(AZ113="TOTAL","",IF($AU$16=$AU$17,0,IF(AND(AZ113&gt;$BY$1,$AI$3=$AR$2,'Master Sheet'!$D$27&gt;0),'Master Sheet'!$D$27,IF(AND(AZ113=$BY$1),IF($AU$9&lt;18001,135,IF($AU$9&lt;33501,220,IF($AU$9&lt;54001,330,440))),IF(AND(AZ113&gt;$BY$1),IF($AU$9&lt;18001,265,IF($AU$9&lt;33501,440,IF($AU$9&lt;54001,658,875))),""))))))</f>
        <v/>
      </c>
    </row>
    <row r="113" spans="77:78">
      <c r="BY113" s="179" t="str">
        <f t="shared" si="80"/>
        <v/>
      </c>
      <c r="BZ113" s="179" t="str">
        <f>IF(AZ114="","",IF(AZ114="TOTAL","",IF($AU$16=$AU$17,0,IF(AND(AZ114&gt;$BY$1,$AI$3=$AR$2,'Master Sheet'!$D$27&gt;0),'Master Sheet'!$D$27,IF(AND(AZ114=$BY$1),IF($AU$9&lt;18001,135,IF($AU$9&lt;33501,220,IF($AU$9&lt;54001,330,440))),IF(AND(AZ114&gt;$BY$1),IF($AU$9&lt;18001,265,IF($AU$9&lt;33501,440,IF($AU$9&lt;54001,658,875))),""))))))</f>
        <v/>
      </c>
    </row>
    <row r="114" spans="77:78">
      <c r="BY114" s="179" t="str">
        <f t="shared" si="80"/>
        <v/>
      </c>
      <c r="BZ114" s="179" t="str">
        <f>IF(AZ115="","",IF(AZ115="TOTAL","",IF($AU$16=$AU$17,0,IF(AND(AZ115&gt;$BY$1,$AI$3=$AR$2,'Master Sheet'!$D$27&gt;0),'Master Sheet'!$D$27,IF(AND(AZ115=$BY$1),IF($AU$9&lt;18001,135,IF($AU$9&lt;33501,220,IF($AU$9&lt;54001,330,440))),IF(AND(AZ115&gt;$BY$1),IF($AU$9&lt;18001,265,IF($AU$9&lt;33501,440,IF($AU$9&lt;54001,658,875))),""))))))</f>
        <v/>
      </c>
    </row>
    <row r="115" spans="77:78">
      <c r="BY115" s="179" t="str">
        <f t="shared" si="80"/>
        <v/>
      </c>
      <c r="BZ115" s="179" t="str">
        <f>IF(AZ116="","",IF(AZ116="TOTAL","",IF($AU$16=$AU$17,0,IF(AND(AZ116&gt;$BY$1,$AI$3=$AR$2,'Master Sheet'!$D$27&gt;0),'Master Sheet'!$D$27,IF(AND(AZ116=$BY$1),IF($AU$9&lt;18001,135,IF($AU$9&lt;33501,220,IF($AU$9&lt;54001,330,440))),IF(AND(AZ116&gt;$BY$1),IF($AU$9&lt;18001,265,IF($AU$9&lt;33501,440,IF($AU$9&lt;54001,658,875))),""))))))</f>
        <v/>
      </c>
    </row>
    <row r="116" spans="77:78">
      <c r="BY116" s="179" t="str">
        <f t="shared" si="80"/>
        <v/>
      </c>
      <c r="BZ116" s="179" t="str">
        <f>IF(AZ117="","",IF(AZ117="TOTAL","",IF($AU$16=$AU$17,0,IF(AND(AZ117&gt;$BY$1,$AI$3=$AR$2,'Master Sheet'!$D$27&gt;0),'Master Sheet'!$D$27,IF(AND(AZ117=$BY$1),IF($AU$9&lt;18001,135,IF($AU$9&lt;33501,220,IF($AU$9&lt;54001,330,440))),IF(AND(AZ117&gt;$BY$1),IF($AU$9&lt;18001,265,IF($AU$9&lt;33501,440,IF($AU$9&lt;54001,658,875))),""))))))</f>
        <v/>
      </c>
    </row>
    <row r="117" spans="77:78">
      <c r="BY117" s="179" t="str">
        <f t="shared" si="80"/>
        <v/>
      </c>
      <c r="BZ117" s="179" t="str">
        <f>IF(AZ118="","",IF(AZ118="TOTAL","",IF($AU$16=$AU$17,0,IF(AND(AZ118&gt;$BY$1,$AI$3=$AR$2,'Master Sheet'!$D$27&gt;0),'Master Sheet'!$D$27,IF(AND(AZ118=$BY$1),IF($AU$9&lt;18001,135,IF($AU$9&lt;33501,220,IF($AU$9&lt;54001,330,440))),IF(AND(AZ118&gt;$BY$1),IF($AU$9&lt;18001,265,IF($AU$9&lt;33501,440,IF($AU$9&lt;54001,658,875))),""))))))</f>
        <v/>
      </c>
    </row>
    <row r="118" spans="77:78">
      <c r="BY118" s="179" t="str">
        <f t="shared" si="80"/>
        <v/>
      </c>
      <c r="BZ118" s="179" t="str">
        <f>IF(AZ119="","",IF(AZ119="TOTAL","",IF($AU$16=$AU$17,0,IF(AND(AZ119&gt;$BY$1,$AI$3=$AR$2,'Master Sheet'!$D$27&gt;0),'Master Sheet'!$D$27,IF(AND(AZ119=$BY$1),IF($AU$9&lt;18001,135,IF($AU$9&lt;33501,220,IF($AU$9&lt;54001,330,440))),IF(AND(AZ119&gt;$BY$1),IF($AU$9&lt;18001,265,IF($AU$9&lt;33501,440,IF($AU$9&lt;54001,658,875))),""))))))</f>
        <v/>
      </c>
    </row>
    <row r="119" spans="77:78">
      <c r="BY119" s="179" t="str">
        <f t="shared" si="80"/>
        <v/>
      </c>
      <c r="BZ119" s="179" t="str">
        <f>IF(AZ120="","",IF(AZ120="TOTAL","",IF($AU$16=$AU$17,0,IF(AND(AZ120&gt;$BY$1,$AI$3=$AR$2,'Master Sheet'!$D$27&gt;0),'Master Sheet'!$D$27,IF(AND(AZ120=$BY$1),IF($AU$9&lt;18001,135,IF($AU$9&lt;33501,220,IF($AU$9&lt;54001,330,440))),IF(AND(AZ120&gt;$BY$1),IF($AU$9&lt;18001,265,IF($AU$9&lt;33501,440,IF($AU$9&lt;54001,658,875))),""))))))</f>
        <v/>
      </c>
    </row>
    <row r="120" spans="77:78">
      <c r="BY120" s="179" t="str">
        <f t="shared" si="80"/>
        <v/>
      </c>
      <c r="BZ120" s="179" t="str">
        <f>IF(AZ121="","",IF(AZ121="TOTAL","",IF($AU$16=$AU$17,0,IF(AND(AZ121&gt;$BY$1,$AI$3=$AR$2,'Master Sheet'!$D$27&gt;0),'Master Sheet'!$D$27,IF(AND(AZ121=$BY$1),IF($AU$9&lt;18001,135,IF($AU$9&lt;33501,220,IF($AU$9&lt;54001,330,440))),IF(AND(AZ121&gt;$BY$1),IF($AU$9&lt;18001,265,IF($AU$9&lt;33501,440,IF($AU$9&lt;54001,658,875))),""))))))</f>
        <v/>
      </c>
    </row>
    <row r="121" spans="77:78">
      <c r="BY121" s="179" t="str">
        <f t="shared" si="80"/>
        <v/>
      </c>
      <c r="BZ121" s="179" t="str">
        <f>IF(AZ122="","",IF(AZ122="TOTAL","",IF($AU$16=$AU$17,0,IF(AND(AZ122&gt;$BY$1,$AI$3=$AR$2,'Master Sheet'!$D$27&gt;0),'Master Sheet'!$D$27,IF(AND(AZ122=$BY$1),IF($AU$9&lt;18001,135,IF($AU$9&lt;33501,220,IF($AU$9&lt;54001,330,440))),IF(AND(AZ122&gt;$BY$1),IF($AU$9&lt;18001,265,IF($AU$9&lt;33501,440,IF($AU$9&lt;54001,658,875))),""))))))</f>
        <v/>
      </c>
    </row>
    <row r="122" spans="77:78">
      <c r="BY122" s="179" t="str">
        <f t="shared" si="80"/>
        <v/>
      </c>
      <c r="BZ122" s="179" t="str">
        <f>IF(AZ123="","",IF(AZ123="TOTAL","",IF($AU$16=$AU$17,0,IF(AND(AZ123&gt;$BY$1,$AI$3=$AR$2,'Master Sheet'!$D$27&gt;0),'Master Sheet'!$D$27,IF(AND(AZ123=$BY$1),IF($AU$9&lt;18001,135,IF($AU$9&lt;33501,220,IF($AU$9&lt;54001,330,440))),IF(AND(AZ123&gt;$BY$1),IF($AU$9&lt;18001,265,IF($AU$9&lt;33501,440,IF($AU$9&lt;54001,658,875))),""))))))</f>
        <v/>
      </c>
    </row>
    <row r="123" spans="77:78">
      <c r="BY123" s="179" t="str">
        <f t="shared" si="80"/>
        <v/>
      </c>
      <c r="BZ123" s="179" t="str">
        <f>IF(AZ124="","",IF(AZ124="TOTAL","",IF($AU$16=$AU$17,0,IF(AND(AZ124&gt;$BY$1,$AI$3=$AR$2,'Master Sheet'!$D$27&gt;0),'Master Sheet'!$D$27,IF(AND(AZ124=$BY$1),IF($AU$9&lt;18001,135,IF($AU$9&lt;33501,220,IF($AU$9&lt;54001,330,440))),IF(AND(AZ124&gt;$BY$1),IF($AU$9&lt;18001,265,IF($AU$9&lt;33501,440,IF($AU$9&lt;54001,658,875))),""))))))</f>
        <v/>
      </c>
    </row>
    <row r="124" spans="77:78">
      <c r="BY124" s="179" t="str">
        <f t="shared" si="80"/>
        <v/>
      </c>
      <c r="BZ124" s="179" t="str">
        <f>IF(AZ125="","",IF(AZ125="TOTAL","",IF($AU$16=$AU$17,0,IF(AND(AZ125&gt;$BY$1,$AI$3=$AR$2,'Master Sheet'!$D$27&gt;0),'Master Sheet'!$D$27,IF(AND(AZ125=$BY$1),IF($AU$9&lt;18001,135,IF($AU$9&lt;33501,220,IF($AU$9&lt;54001,330,440))),IF(AND(AZ125&gt;$BY$1),IF($AU$9&lt;18001,265,IF($AU$9&lt;33501,440,IF($AU$9&lt;54001,658,875))),""))))))</f>
        <v/>
      </c>
    </row>
    <row r="125" spans="77:78">
      <c r="BY125" s="179" t="str">
        <f t="shared" si="80"/>
        <v/>
      </c>
      <c r="BZ125" s="179" t="str">
        <f>IF(AZ126="","",IF(AZ126="TOTAL","",IF($AU$16=$AU$17,0,IF(AND(AZ126&gt;$BY$1,$AI$3=$AR$2,'Master Sheet'!$D$27&gt;0),'Master Sheet'!$D$27,IF(AND(AZ126=$BY$1),IF($AU$9&lt;18001,135,IF($AU$9&lt;33501,220,IF($AU$9&lt;54001,330,440))),IF(AND(AZ126&gt;$BY$1),IF($AU$9&lt;18001,265,IF($AU$9&lt;33501,440,IF($AU$9&lt;54001,658,875))),""))))))</f>
        <v/>
      </c>
    </row>
  </sheetData>
  <sheetProtection password="C1FB" sheet="1" objects="1" scenarios="1" formatColumns="0" formatRows="0"/>
  <mergeCells count="32">
    <mergeCell ref="Y3:Z3"/>
    <mergeCell ref="C4:E4"/>
    <mergeCell ref="I4:O4"/>
    <mergeCell ref="P4:S4"/>
    <mergeCell ref="U4:W4"/>
    <mergeCell ref="X4:Z4"/>
    <mergeCell ref="Q3:T3"/>
    <mergeCell ref="U3:X3"/>
    <mergeCell ref="B6:B7"/>
    <mergeCell ref="AG6:AG7"/>
    <mergeCell ref="AH6:AH7"/>
    <mergeCell ref="AI6:AI7"/>
    <mergeCell ref="AJ6:AJ7"/>
    <mergeCell ref="AE6:AE7"/>
    <mergeCell ref="Y6:AA6"/>
    <mergeCell ref="AB6:AD6"/>
    <mergeCell ref="C1:AJ1"/>
    <mergeCell ref="C2:AJ2"/>
    <mergeCell ref="C6:C7"/>
    <mergeCell ref="D6:H6"/>
    <mergeCell ref="I6:M6"/>
    <mergeCell ref="N6:R6"/>
    <mergeCell ref="S6:U6"/>
    <mergeCell ref="V6:X6"/>
    <mergeCell ref="AF6:AF7"/>
    <mergeCell ref="C3:E3"/>
    <mergeCell ref="O3:P3"/>
    <mergeCell ref="AF3:AH3"/>
    <mergeCell ref="AI3:AJ3"/>
    <mergeCell ref="AA4:AJ4"/>
    <mergeCell ref="I3:N3"/>
    <mergeCell ref="F3:H3"/>
  </mergeCells>
  <conditionalFormatting sqref="C18:C19 B8:B100">
    <cfRule type="expression" dxfId="5" priority="3" stopIfTrue="1">
      <formula>$C8=""</formula>
    </cfRule>
    <cfRule type="cellIs" dxfId="4" priority="5" operator="equal">
      <formula>0</formula>
    </cfRule>
  </conditionalFormatting>
  <conditionalFormatting sqref="B8:AJ100">
    <cfRule type="expression" dxfId="3" priority="4" stopIfTrue="1">
      <formula>$B8&lt;&gt;""</formula>
    </cfRule>
  </conditionalFormatting>
  <conditionalFormatting sqref="U8 C9:AJ100">
    <cfRule type="expression" dxfId="2" priority="2" stopIfTrue="1">
      <formula>$C8="TOTAL"</formula>
    </cfRule>
  </conditionalFormatting>
  <conditionalFormatting sqref="D9:D100">
    <cfRule type="expression" dxfId="1" priority="1" stopIfTrue="1">
      <formula>$D9="अक्षरें राशि :-"</formula>
    </cfRule>
  </conditionalFormatting>
  <pageMargins left="0.5" right="0.3" top="0.25" bottom="0.25" header="0.3" footer="0.3"/>
  <pageSetup paperSize="9" scale="57" fitToHeight="3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99"/>
    <pageSetUpPr fitToPage="1"/>
  </sheetPr>
  <dimension ref="A1:AP124"/>
  <sheetViews>
    <sheetView showGridLines="0" view="pageBreakPreview" zoomScaleSheetLayoutView="100" workbookViewId="0">
      <selection activeCell="S98" sqref="S98"/>
    </sheetView>
  </sheetViews>
  <sheetFormatPr defaultColWidth="9.125" defaultRowHeight="12.75"/>
  <cols>
    <col min="1" max="1" width="4.75" style="15" customWidth="1"/>
    <col min="2" max="2" width="8.625" style="37" customWidth="1"/>
    <col min="3" max="3" width="8.125" style="38" customWidth="1"/>
    <col min="4" max="17" width="6.625" style="38" customWidth="1"/>
    <col min="18" max="31" width="5.625" style="38" customWidth="1"/>
    <col min="32" max="32" width="7.625" style="15" customWidth="1"/>
    <col min="33" max="33" width="7.375" style="15" customWidth="1"/>
    <col min="34" max="34" width="8.75" style="15" customWidth="1"/>
    <col min="35" max="35" width="9.125" style="15" customWidth="1"/>
    <col min="36" max="41" width="9.125" style="15"/>
    <col min="42" max="42" width="9.125" style="15" customWidth="1"/>
    <col min="43" max="16384" width="9.125" style="15"/>
  </cols>
  <sheetData>
    <row r="1" spans="1:42" ht="22.5">
      <c r="B1" s="252" t="str">
        <f>IF('Master Sheet'!D3="","",CONCATENATE("Office ",'Master Sheet'!D3))</f>
        <v>Office Senior Medical officer, Community Health Center, Chandawal Nagar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</row>
    <row r="2" spans="1:42" ht="20.25">
      <c r="B2" s="253" t="s">
        <v>22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</row>
    <row r="3" spans="1:42" s="16" customFormat="1" ht="19.5" customHeight="1">
      <c r="B3" s="199"/>
      <c r="C3" s="199"/>
      <c r="D3" s="258" t="s">
        <v>25</v>
      </c>
      <c r="E3" s="258"/>
      <c r="F3" s="258"/>
      <c r="G3" s="258"/>
      <c r="H3" s="282" t="str">
        <f>IFERROR(UPPER('Master Sheet'!D7),"")</f>
        <v>HEERALAL JAT</v>
      </c>
      <c r="I3" s="282"/>
      <c r="J3" s="282"/>
      <c r="K3" s="282"/>
      <c r="L3" s="282"/>
      <c r="M3" s="282"/>
      <c r="N3" s="258" t="s">
        <v>0</v>
      </c>
      <c r="O3" s="258"/>
      <c r="P3" s="266" t="str">
        <f>IFERROR(UPPER('Master Sheet'!I7),"")</f>
        <v>MO</v>
      </c>
      <c r="Q3" s="266"/>
      <c r="R3" s="266"/>
      <c r="S3" s="266"/>
      <c r="T3" s="266"/>
      <c r="U3" s="266"/>
      <c r="V3" s="259" t="s">
        <v>26</v>
      </c>
      <c r="W3" s="259"/>
      <c r="X3" s="259"/>
      <c r="Y3" s="267" t="str">
        <f>IFERROR(CONCATENATE("L - ",'Master Sheet'!M7),"")</f>
        <v>L - 16</v>
      </c>
      <c r="Z3" s="267"/>
      <c r="AA3" s="149"/>
      <c r="AB3" s="149"/>
      <c r="AC3" s="149"/>
      <c r="AD3" s="102"/>
      <c r="AE3" s="259" t="s">
        <v>55</v>
      </c>
      <c r="AF3" s="259"/>
      <c r="AG3" s="259"/>
      <c r="AH3" s="260" t="str">
        <f>IF('Arrear Sheet'!AU18='Arrear Sheet'!AU20,"GPF","NPS")</f>
        <v>NPS</v>
      </c>
      <c r="AI3" s="260"/>
    </row>
    <row r="4" spans="1:42" s="16" customFormat="1" ht="20.25" customHeight="1">
      <c r="B4" s="257"/>
      <c r="C4" s="257"/>
      <c r="D4" s="257"/>
      <c r="E4" s="71"/>
      <c r="F4" s="71"/>
      <c r="G4" s="17"/>
      <c r="H4" s="257" t="s">
        <v>27</v>
      </c>
      <c r="I4" s="257"/>
      <c r="J4" s="257"/>
      <c r="K4" s="257"/>
      <c r="L4" s="257"/>
      <c r="M4" s="257"/>
      <c r="N4" s="257"/>
      <c r="O4" s="265">
        <f>IFERROR('Master Sheet'!D9,"")</f>
        <v>43556</v>
      </c>
      <c r="P4" s="265"/>
      <c r="Q4" s="265"/>
      <c r="R4" s="265"/>
      <c r="S4" s="18" t="s">
        <v>28</v>
      </c>
      <c r="T4" s="265">
        <f>IFERROR('Master Sheet'!I9,"")</f>
        <v>45231</v>
      </c>
      <c r="U4" s="265"/>
      <c r="V4" s="265"/>
      <c r="W4" s="258" t="s">
        <v>29</v>
      </c>
      <c r="X4" s="258"/>
      <c r="Y4" s="258"/>
      <c r="Z4" s="284" t="str">
        <f>IFERROR(IF('Arrear Sheet'!#REF!="","",'Arrear Sheet'!#REF!),"")</f>
        <v/>
      </c>
      <c r="AA4" s="284"/>
      <c r="AB4" s="284"/>
      <c r="AC4" s="284"/>
      <c r="AD4" s="284"/>
      <c r="AE4" s="284"/>
      <c r="AF4" s="284"/>
      <c r="AG4" s="284"/>
      <c r="AH4" s="284"/>
      <c r="AI4" s="284"/>
    </row>
    <row r="5" spans="1:42" ht="9.75" customHeight="1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0"/>
      <c r="P5" s="20"/>
      <c r="Q5" s="20"/>
      <c r="R5" s="21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</row>
    <row r="6" spans="1:42" ht="33" customHeight="1">
      <c r="A6" s="256" t="s">
        <v>21</v>
      </c>
      <c r="B6" s="255" t="s">
        <v>1</v>
      </c>
      <c r="C6" s="255" t="s">
        <v>2</v>
      </c>
      <c r="D6" s="255"/>
      <c r="E6" s="255"/>
      <c r="F6" s="255"/>
      <c r="G6" s="255"/>
      <c r="H6" s="255" t="s">
        <v>3</v>
      </c>
      <c r="I6" s="255"/>
      <c r="J6" s="255"/>
      <c r="K6" s="255"/>
      <c r="L6" s="255"/>
      <c r="M6" s="255" t="s">
        <v>4</v>
      </c>
      <c r="N6" s="255"/>
      <c r="O6" s="255"/>
      <c r="P6" s="255"/>
      <c r="Q6" s="255"/>
      <c r="R6" s="255" t="str">
        <f>'Arrear Sheet'!S6</f>
        <v>NPS/GPF-2004</v>
      </c>
      <c r="S6" s="255"/>
      <c r="T6" s="255"/>
      <c r="U6" s="255" t="s">
        <v>5</v>
      </c>
      <c r="V6" s="255"/>
      <c r="W6" s="255"/>
      <c r="X6" s="255" t="s">
        <v>20</v>
      </c>
      <c r="Y6" s="255"/>
      <c r="Z6" s="255"/>
      <c r="AA6" s="254" t="s">
        <v>110</v>
      </c>
      <c r="AB6" s="254"/>
      <c r="AC6" s="254"/>
      <c r="AD6" s="263" t="s">
        <v>89</v>
      </c>
      <c r="AE6" s="256" t="s">
        <v>6</v>
      </c>
      <c r="AF6" s="256" t="s">
        <v>7</v>
      </c>
      <c r="AG6" s="256" t="s">
        <v>8</v>
      </c>
      <c r="AH6" s="256" t="s">
        <v>9</v>
      </c>
      <c r="AI6" s="256" t="s">
        <v>10</v>
      </c>
    </row>
    <row r="7" spans="1:42" ht="27" customHeight="1">
      <c r="A7" s="256"/>
      <c r="B7" s="255"/>
      <c r="C7" s="103" t="s">
        <v>11</v>
      </c>
      <c r="D7" s="103" t="s">
        <v>12</v>
      </c>
      <c r="E7" s="103" t="s">
        <v>13</v>
      </c>
      <c r="F7" s="191" t="s">
        <v>123</v>
      </c>
      <c r="G7" s="103" t="s">
        <v>14</v>
      </c>
      <c r="H7" s="103" t="s">
        <v>11</v>
      </c>
      <c r="I7" s="103" t="s">
        <v>12</v>
      </c>
      <c r="J7" s="103" t="s">
        <v>13</v>
      </c>
      <c r="K7" s="191" t="s">
        <v>123</v>
      </c>
      <c r="L7" s="103" t="s">
        <v>14</v>
      </c>
      <c r="M7" s="103" t="s">
        <v>11</v>
      </c>
      <c r="N7" s="103" t="s">
        <v>12</v>
      </c>
      <c r="O7" s="103" t="s">
        <v>13</v>
      </c>
      <c r="P7" s="191" t="s">
        <v>123</v>
      </c>
      <c r="Q7" s="103" t="s">
        <v>14</v>
      </c>
      <c r="R7" s="103" t="s">
        <v>15</v>
      </c>
      <c r="S7" s="103" t="s">
        <v>16</v>
      </c>
      <c r="T7" s="103" t="s">
        <v>17</v>
      </c>
      <c r="U7" s="103" t="s">
        <v>15</v>
      </c>
      <c r="V7" s="103" t="s">
        <v>16</v>
      </c>
      <c r="W7" s="103" t="s">
        <v>17</v>
      </c>
      <c r="X7" s="103" t="s">
        <v>15</v>
      </c>
      <c r="Y7" s="103" t="s">
        <v>16</v>
      </c>
      <c r="Z7" s="103" t="s">
        <v>17</v>
      </c>
      <c r="AA7" s="150" t="s">
        <v>15</v>
      </c>
      <c r="AB7" s="150" t="s">
        <v>16</v>
      </c>
      <c r="AC7" s="150" t="s">
        <v>17</v>
      </c>
      <c r="AD7" s="263"/>
      <c r="AE7" s="256"/>
      <c r="AF7" s="256"/>
      <c r="AG7" s="256"/>
      <c r="AH7" s="256"/>
      <c r="AI7" s="256"/>
    </row>
    <row r="8" spans="1:42" s="25" customFormat="1" ht="21" customHeight="1">
      <c r="A8" s="22">
        <f>IF('Arrear Sheet'!B8="","",'Arrear Sheet'!B8)</f>
        <v>1</v>
      </c>
      <c r="B8" s="23">
        <f>IF('Arrear Sheet'!C8="","",IF('Arrear Sheet'!C8="TOTAL","",'Arrear Sheet'!C8))</f>
        <v>43556</v>
      </c>
      <c r="C8" s="106">
        <f>IF('Arrear Sheet'!D8="","",IF('Arrear Sheet'!C8="TOTAL","",IF('Arrear Sheet'!D8="अक्षरें राशि :-","",'Arrear Sheet'!D8)))</f>
        <v>67467</v>
      </c>
      <c r="D8" s="106">
        <f>IF('Arrear Sheet'!E8="","",IF('Arrear Sheet'!C8="TOTAL","",'Arrear Sheet'!E8))</f>
        <v>9715</v>
      </c>
      <c r="E8" s="106">
        <f>IF(B8="","",IF('Arrear Sheet'!D8="TOTAL","",'Arrear Sheet'!F8))</f>
        <v>5397</v>
      </c>
      <c r="F8" s="106">
        <f>IF(B8="","",IF('Arrear Sheet'!E8="TOTAL","",'Arrear Sheet'!G8))</f>
        <v>13493</v>
      </c>
      <c r="G8" s="106">
        <f>IF(B8="","",IF('Arrear Sheet'!C8="TOTAL","",SUM(C8:F8)))</f>
        <v>96072</v>
      </c>
      <c r="H8" s="106">
        <f>IF(B8="","",IF('Arrear Sheet'!C8="TOTAL","",'Arrear Sheet'!I8))</f>
        <v>63933</v>
      </c>
      <c r="I8" s="106">
        <f>IF(B8="","",IF('Arrear Sheet'!C8="TOTAL","",'Arrear Sheet'!J8))</f>
        <v>9206</v>
      </c>
      <c r="J8" s="106">
        <f>IF(B8="","",IF('Arrear Sheet'!C8="TOTAL","",'Arrear Sheet'!K8))</f>
        <v>5115</v>
      </c>
      <c r="K8" s="106">
        <f>IF(B8="","",IF('Arrear Sheet'!D8="TOTAL","",'Arrear Sheet'!L8))</f>
        <v>12787</v>
      </c>
      <c r="L8" s="106">
        <f>IF(B8="","",IF('Arrear Sheet'!C8="TOTAL","",SUM(H8:K8)))</f>
        <v>91041</v>
      </c>
      <c r="M8" s="106">
        <f>IF(B8="","",IF('Arrear Sheet'!C8="TOTAL","",'Arrear Sheet'!N8))</f>
        <v>3534</v>
      </c>
      <c r="N8" s="106">
        <f>IF(B8="","",IF('Arrear Sheet'!C8="TOTAL","",'Arrear Sheet'!O8))</f>
        <v>509</v>
      </c>
      <c r="O8" s="106">
        <f>IF(B8="","",IF('Arrear Sheet'!C8="TOTAL","",'Arrear Sheet'!P8))</f>
        <v>282</v>
      </c>
      <c r="P8" s="106">
        <f>IF(B8="","",IF('Arrear Sheet'!D8="TOTAL","",'Arrear Sheet'!Q8))</f>
        <v>706</v>
      </c>
      <c r="Q8" s="106">
        <f>IF(B8="","",IF('Arrear Sheet'!C8="TOTAL","",SUM(M8:P8)))</f>
        <v>5031</v>
      </c>
      <c r="R8" s="106">
        <f>IF(B8="","",IF('Arrear Sheet'!C8="TOTAL","",'Arrear Sheet'!S8))</f>
        <v>7718</v>
      </c>
      <c r="S8" s="106">
        <f>IF(B8="","",IF('Arrear Sheet'!C8="TOTAL","",'Arrear Sheet'!T8))</f>
        <v>7314</v>
      </c>
      <c r="T8" s="106">
        <f>IF(B8="","",IF('Arrear Sheet'!C8="TOTAL","",'Arrear Sheet'!U8))</f>
        <v>404</v>
      </c>
      <c r="U8" s="106">
        <f>IF(B8="","",IF('Arrear Sheet'!C8="TOTAL","",'Arrear Sheet'!V8))</f>
        <v>2100</v>
      </c>
      <c r="V8" s="106">
        <f>IF(B8="","",IF('Arrear Sheet'!C8="TOTAL","",'Arrear Sheet'!W8))</f>
        <v>2100</v>
      </c>
      <c r="W8" s="106">
        <f>IF(B8="","",IF('Arrear Sheet'!C8="TOTAL","",'Arrear Sheet'!X8))</f>
        <v>0</v>
      </c>
      <c r="X8" s="106" t="str">
        <f>IF(B8="","",IF('Arrear Sheet'!C8="TOTAL","",'Arrear Sheet'!AB8))</f>
        <v/>
      </c>
      <c r="Y8" s="106" t="str">
        <f>IF(B8="","",IF('Arrear Sheet'!D8="TOTAL","",'Arrear Sheet'!AC8))</f>
        <v/>
      </c>
      <c r="Z8" s="106" t="str">
        <f>IF(B8="","",IF('Arrear Sheet'!E8="TOTAL","",'Arrear Sheet'!AD8))</f>
        <v/>
      </c>
      <c r="AA8" s="106" t="str">
        <f>IF(B8="","",IF('Arrear Sheet'!C8="TOTAL","",'Arrear Sheet'!Y8))</f>
        <v/>
      </c>
      <c r="AB8" s="106" t="str">
        <f>IF(B8="","",IF('Arrear Sheet'!C8="TOTAL","",'Arrear Sheet'!Z8))</f>
        <v/>
      </c>
      <c r="AC8" s="106" t="str">
        <f>IF(B8="","",IF('Arrear Sheet'!C8="TOTAL","",'Arrear Sheet'!AA8))</f>
        <v/>
      </c>
      <c r="AD8" s="106" t="str">
        <f>IF(B8="","",IF('Arrear Sheet'!C8="TOTAL","",'Arrear Sheet'!AE8))</f>
        <v/>
      </c>
      <c r="AE8" s="106">
        <f>IF(B8="","",IF('Arrear Sheet'!C8="TOTAL","",'Arrear Sheet'!AF8))</f>
        <v>0</v>
      </c>
      <c r="AF8" s="106">
        <f>IF(B8="","",'Arrear Sheet'!AG8)</f>
        <v>404</v>
      </c>
      <c r="AG8" s="24">
        <f>IFERROR(IF(B8="","",IF('Arrear Sheet'!C8="TOTAL","",SUM(Q8-AF8))),"")</f>
        <v>4627</v>
      </c>
      <c r="AH8" s="39"/>
      <c r="AI8" s="40"/>
      <c r="AK8" s="26"/>
      <c r="AL8" s="27"/>
      <c r="AM8" s="27"/>
      <c r="AN8" s="27"/>
      <c r="AO8" s="27"/>
      <c r="AP8" s="26"/>
    </row>
    <row r="9" spans="1:42" s="28" customFormat="1" ht="21" customHeight="1">
      <c r="A9" s="22">
        <f>IF('Arrear Sheet'!B9="","",'Arrear Sheet'!B9)</f>
        <v>2</v>
      </c>
      <c r="B9" s="23">
        <f>IF('Arrear Sheet'!C9="","",IF('Arrear Sheet'!C9="TOTAL","",'Arrear Sheet'!C9))</f>
        <v>43586</v>
      </c>
      <c r="C9" s="106">
        <f>IF('Arrear Sheet'!D9="","",IF('Arrear Sheet'!C9="TOTAL","",IF('Arrear Sheet'!D9="अक्षरें राशि :-","",'Arrear Sheet'!D9)))</f>
        <v>101200</v>
      </c>
      <c r="D9" s="106">
        <f>IF('Arrear Sheet'!E9="","",IF('Arrear Sheet'!C9="TOTAL","",'Arrear Sheet'!E9))</f>
        <v>14573</v>
      </c>
      <c r="E9" s="106">
        <f>IF(B9="","",IF('Arrear Sheet'!D9="TOTAL","",'Arrear Sheet'!F9))</f>
        <v>8096</v>
      </c>
      <c r="F9" s="106">
        <f>IF(B9="","",IF('Arrear Sheet'!E9="TOTAL","",'Arrear Sheet'!G9))</f>
        <v>20240</v>
      </c>
      <c r="G9" s="106">
        <f>IF(B9="","",IF('Arrear Sheet'!C9="TOTAL","",SUM(C9:F9)))</f>
        <v>144109</v>
      </c>
      <c r="H9" s="106">
        <f>IF(B9="","",IF('Arrear Sheet'!C9="TOTAL","",'Arrear Sheet'!I9))</f>
        <v>95900</v>
      </c>
      <c r="I9" s="106">
        <f>IF(B9="","",IF('Arrear Sheet'!C9="TOTAL","",'Arrear Sheet'!J9))</f>
        <v>13810</v>
      </c>
      <c r="J9" s="106">
        <f>IF(B9="","",IF('Arrear Sheet'!C9="TOTAL","",'Arrear Sheet'!K9))</f>
        <v>7672</v>
      </c>
      <c r="K9" s="106">
        <f>IF(B9="","",IF('Arrear Sheet'!D9="TOTAL","",'Arrear Sheet'!L9))</f>
        <v>19180</v>
      </c>
      <c r="L9" s="106">
        <f>IF(B9="","",IF('Arrear Sheet'!C9="TOTAL","",SUM(H9:K9)))</f>
        <v>136562</v>
      </c>
      <c r="M9" s="106">
        <f>IF(B9="","",IF('Arrear Sheet'!C9="TOTAL","",'Arrear Sheet'!N9))</f>
        <v>5300</v>
      </c>
      <c r="N9" s="106">
        <f>IF(B9="","",IF('Arrear Sheet'!C9="TOTAL","",'Arrear Sheet'!O9))</f>
        <v>763</v>
      </c>
      <c r="O9" s="106">
        <f>IF(B9="","",IF('Arrear Sheet'!C9="TOTAL","",'Arrear Sheet'!P9))</f>
        <v>424</v>
      </c>
      <c r="P9" s="106">
        <f>IF(B9="","",IF('Arrear Sheet'!D9="TOTAL","",'Arrear Sheet'!Q9))</f>
        <v>1060</v>
      </c>
      <c r="Q9" s="106">
        <f>IF(B9="","",IF('Arrear Sheet'!C9="TOTAL","",SUM(M9:P9)))</f>
        <v>7547</v>
      </c>
      <c r="R9" s="106">
        <f>IF(B9="","",IF('Arrear Sheet'!C9="TOTAL","",'Arrear Sheet'!S9))</f>
        <v>11577</v>
      </c>
      <c r="S9" s="106">
        <f>IF(B9="","",IF('Arrear Sheet'!C9="TOTAL","",'Arrear Sheet'!T9))</f>
        <v>10971</v>
      </c>
      <c r="T9" s="106">
        <f>IF(B9="","",IF('Arrear Sheet'!C9="TOTAL","",'Arrear Sheet'!U9))</f>
        <v>606</v>
      </c>
      <c r="U9" s="106">
        <f>IF(B9="","",IF('Arrear Sheet'!C9="TOTAL","",'Arrear Sheet'!V9))</f>
        <v>2100</v>
      </c>
      <c r="V9" s="106">
        <f>IF(B9="","",IF('Arrear Sheet'!C9="TOTAL","",'Arrear Sheet'!W9))</f>
        <v>2100</v>
      </c>
      <c r="W9" s="106">
        <f>IF(B9="","",IF('Arrear Sheet'!C9="TOTAL","",'Arrear Sheet'!X9))</f>
        <v>0</v>
      </c>
      <c r="X9" s="106" t="str">
        <f>IF(B9="","",IF('Arrear Sheet'!C9="TOTAL","",'Arrear Sheet'!AB9))</f>
        <v/>
      </c>
      <c r="Y9" s="106" t="str">
        <f>IF(B9="","",IF('Arrear Sheet'!D9="TOTAL","",'Arrear Sheet'!AC9))</f>
        <v/>
      </c>
      <c r="Z9" s="106" t="str">
        <f>IF(B9="","",IF('Arrear Sheet'!E9="TOTAL","",'Arrear Sheet'!AD9))</f>
        <v/>
      </c>
      <c r="AA9" s="106" t="str">
        <f>IF(B9="","",IF('Arrear Sheet'!C9="TOTAL","",'Arrear Sheet'!Y9))</f>
        <v/>
      </c>
      <c r="AB9" s="106" t="str">
        <f>IF(B9="","",IF('Arrear Sheet'!C9="TOTAL","",'Arrear Sheet'!Z9))</f>
        <v/>
      </c>
      <c r="AC9" s="106" t="str">
        <f>IF(B9="","",IF('Arrear Sheet'!C9="TOTAL","",'Arrear Sheet'!AA9))</f>
        <v/>
      </c>
      <c r="AD9" s="106" t="str">
        <f>IF(B9="","",IF('Arrear Sheet'!C9="TOTAL","",'Arrear Sheet'!AE9))</f>
        <v/>
      </c>
      <c r="AE9" s="106">
        <f>IF(B9="","",IF('Arrear Sheet'!C9="TOTAL","",'Arrear Sheet'!AF9))</f>
        <v>0</v>
      </c>
      <c r="AF9" s="106">
        <f>IF(B9="","",'Arrear Sheet'!AG9)</f>
        <v>606</v>
      </c>
      <c r="AG9" s="24">
        <f>IFERROR(IF(B9="","",IF('Arrear Sheet'!C9="TOTAL","",SUM(Q9-AF9))),"")</f>
        <v>6941</v>
      </c>
      <c r="AH9" s="39"/>
      <c r="AI9" s="40"/>
      <c r="AK9" s="55"/>
      <c r="AL9" s="55"/>
      <c r="AM9" s="55"/>
      <c r="AN9" s="55"/>
      <c r="AO9" s="55"/>
      <c r="AP9" s="55"/>
    </row>
    <row r="10" spans="1:42" s="28" customFormat="1" ht="21" customHeight="1">
      <c r="A10" s="22">
        <f>IF('Arrear Sheet'!B10="","",'Arrear Sheet'!B10)</f>
        <v>3</v>
      </c>
      <c r="B10" s="23">
        <f>IF('Arrear Sheet'!C10="","",IF('Arrear Sheet'!C10="TOTAL","",'Arrear Sheet'!C10))</f>
        <v>43617</v>
      </c>
      <c r="C10" s="106">
        <f>IF('Arrear Sheet'!D10="","",IF('Arrear Sheet'!C10="TOTAL","",IF('Arrear Sheet'!D10="अक्षरें राशि :-","",'Arrear Sheet'!D10)))</f>
        <v>101200</v>
      </c>
      <c r="D10" s="106">
        <f>IF('Arrear Sheet'!E10="","",IF('Arrear Sheet'!C10="TOTAL","",'Arrear Sheet'!E10))</f>
        <v>14573</v>
      </c>
      <c r="E10" s="106">
        <f>IF(B10="","",IF('Arrear Sheet'!D10="TOTAL","",'Arrear Sheet'!F10))</f>
        <v>8096</v>
      </c>
      <c r="F10" s="106">
        <f>IF(B10="","",IF('Arrear Sheet'!E10="TOTAL","",'Arrear Sheet'!G10))</f>
        <v>20240</v>
      </c>
      <c r="G10" s="106">
        <f>IF(B10="","",IF('Arrear Sheet'!C10="TOTAL","",SUM(C10:F10)))</f>
        <v>144109</v>
      </c>
      <c r="H10" s="106">
        <f>IF(B10="","",IF('Arrear Sheet'!C10="TOTAL","",'Arrear Sheet'!I10))</f>
        <v>95900</v>
      </c>
      <c r="I10" s="106">
        <f>IF(B10="","",IF('Arrear Sheet'!C10="TOTAL","",'Arrear Sheet'!J10))</f>
        <v>13810</v>
      </c>
      <c r="J10" s="106">
        <f>IF(B10="","",IF('Arrear Sheet'!C10="TOTAL","",'Arrear Sheet'!K10))</f>
        <v>7672</v>
      </c>
      <c r="K10" s="106">
        <f>IF(B10="","",IF('Arrear Sheet'!D10="TOTAL","",'Arrear Sheet'!L10))</f>
        <v>19180</v>
      </c>
      <c r="L10" s="106">
        <f>IF(B10="","",IF('Arrear Sheet'!C10="TOTAL","",SUM(H10:K10)))</f>
        <v>136562</v>
      </c>
      <c r="M10" s="106">
        <f>IF(B10="","",IF('Arrear Sheet'!C10="TOTAL","",'Arrear Sheet'!N10))</f>
        <v>5300</v>
      </c>
      <c r="N10" s="106">
        <f>IF(B10="","",IF('Arrear Sheet'!C10="TOTAL","",'Arrear Sheet'!O10))</f>
        <v>763</v>
      </c>
      <c r="O10" s="106">
        <f>IF(B10="","",IF('Arrear Sheet'!C10="TOTAL","",'Arrear Sheet'!P10))</f>
        <v>424</v>
      </c>
      <c r="P10" s="106">
        <f>IF(B10="","",IF('Arrear Sheet'!D10="TOTAL","",'Arrear Sheet'!Q10))</f>
        <v>1060</v>
      </c>
      <c r="Q10" s="106">
        <f>IF(B10="","",IF('Arrear Sheet'!C10="TOTAL","",SUM(M10:P10)))</f>
        <v>7547</v>
      </c>
      <c r="R10" s="106">
        <f>IF(B10="","",IF('Arrear Sheet'!C10="TOTAL","",'Arrear Sheet'!S10))</f>
        <v>11577</v>
      </c>
      <c r="S10" s="106">
        <f>IF(B10="","",IF('Arrear Sheet'!C10="TOTAL","",'Arrear Sheet'!T10))</f>
        <v>10971</v>
      </c>
      <c r="T10" s="106">
        <f>IF(B10="","",IF('Arrear Sheet'!C10="TOTAL","",'Arrear Sheet'!U10))</f>
        <v>606</v>
      </c>
      <c r="U10" s="106">
        <f>IF(B10="","",IF('Arrear Sheet'!C10="TOTAL","",'Arrear Sheet'!V10))</f>
        <v>2100</v>
      </c>
      <c r="V10" s="106">
        <f>IF(B10="","",IF('Arrear Sheet'!C10="TOTAL","",'Arrear Sheet'!W10))</f>
        <v>2100</v>
      </c>
      <c r="W10" s="106">
        <f>IF(B10="","",IF('Arrear Sheet'!C10="TOTAL","",'Arrear Sheet'!X10))</f>
        <v>0</v>
      </c>
      <c r="X10" s="106" t="str">
        <f>IF(B10="","",IF('Arrear Sheet'!C10="TOTAL","",'Arrear Sheet'!AB10))</f>
        <v/>
      </c>
      <c r="Y10" s="106" t="str">
        <f>IF(B10="","",IF('Arrear Sheet'!D10="TOTAL","",'Arrear Sheet'!AC10))</f>
        <v/>
      </c>
      <c r="Z10" s="106" t="str">
        <f>IF(B10="","",IF('Arrear Sheet'!E10="TOTAL","",'Arrear Sheet'!AD10))</f>
        <v/>
      </c>
      <c r="AA10" s="106" t="str">
        <f>IF(B10="","",IF('Arrear Sheet'!C10="TOTAL","",'Arrear Sheet'!Y10))</f>
        <v/>
      </c>
      <c r="AB10" s="106" t="str">
        <f>IF(B10="","",IF('Arrear Sheet'!C10="TOTAL","",'Arrear Sheet'!Z10))</f>
        <v/>
      </c>
      <c r="AC10" s="106" t="str">
        <f>IF(B10="","",IF('Arrear Sheet'!C10="TOTAL","",'Arrear Sheet'!AA10))</f>
        <v/>
      </c>
      <c r="AD10" s="106" t="str">
        <f>IF(B10="","",IF('Arrear Sheet'!C10="TOTAL","",'Arrear Sheet'!AE10))</f>
        <v/>
      </c>
      <c r="AE10" s="106">
        <f>IF(B10="","",IF('Arrear Sheet'!C10="TOTAL","",'Arrear Sheet'!AF10))</f>
        <v>0</v>
      </c>
      <c r="AF10" s="106">
        <f>IF(B10="","",'Arrear Sheet'!AG10)</f>
        <v>606</v>
      </c>
      <c r="AG10" s="24">
        <f>IFERROR(IF(B10="","",IF('Arrear Sheet'!C10="TOTAL","",SUM(Q10-AF10))),"")</f>
        <v>6941</v>
      </c>
      <c r="AH10" s="39"/>
      <c r="AI10" s="40"/>
      <c r="AK10" s="55"/>
      <c r="AL10" s="55"/>
      <c r="AM10" s="55"/>
      <c r="AN10" s="55"/>
      <c r="AO10" s="55"/>
      <c r="AP10" s="55"/>
    </row>
    <row r="11" spans="1:42" s="28" customFormat="1" ht="21" customHeight="1">
      <c r="A11" s="22">
        <f>IF('Arrear Sheet'!B11="","",'Arrear Sheet'!B11)</f>
        <v>4</v>
      </c>
      <c r="B11" s="23">
        <f>IF('Arrear Sheet'!C11="","",IF('Arrear Sheet'!C11="TOTAL","",'Arrear Sheet'!C11))</f>
        <v>43647</v>
      </c>
      <c r="C11" s="106">
        <f>IF('Arrear Sheet'!D11="","",IF('Arrear Sheet'!C11="TOTAL","",IF('Arrear Sheet'!D11="अक्षरें राशि :-","",'Arrear Sheet'!D11)))</f>
        <v>104200</v>
      </c>
      <c r="D11" s="106">
        <f>IF('Arrear Sheet'!E11="","",IF('Arrear Sheet'!C11="TOTAL","",'Arrear Sheet'!E11))</f>
        <v>21257</v>
      </c>
      <c r="E11" s="106">
        <f>IF(B11="","",IF('Arrear Sheet'!D11="TOTAL","",'Arrear Sheet'!F11))</f>
        <v>8336</v>
      </c>
      <c r="F11" s="106">
        <f>IF(B11="","",IF('Arrear Sheet'!E11="TOTAL","",'Arrear Sheet'!G11))</f>
        <v>20840</v>
      </c>
      <c r="G11" s="106">
        <f>IF(B11="","",IF('Arrear Sheet'!C11="TOTAL","",SUM(C11:F11)))</f>
        <v>154633</v>
      </c>
      <c r="H11" s="106">
        <f>IF(B11="","",IF('Arrear Sheet'!C11="TOTAL","",'Arrear Sheet'!I11))</f>
        <v>98800</v>
      </c>
      <c r="I11" s="106">
        <f>IF(B11="","",IF('Arrear Sheet'!C11="TOTAL","",'Arrear Sheet'!J11))</f>
        <v>20155</v>
      </c>
      <c r="J11" s="106">
        <f>IF(B11="","",IF('Arrear Sheet'!C11="TOTAL","",'Arrear Sheet'!K11))</f>
        <v>7904</v>
      </c>
      <c r="K11" s="106">
        <f>IF(B11="","",IF('Arrear Sheet'!D11="TOTAL","",'Arrear Sheet'!L11))</f>
        <v>19760</v>
      </c>
      <c r="L11" s="106">
        <f>IF(B11="","",IF('Arrear Sheet'!C11="TOTAL","",SUM(H11:K11)))</f>
        <v>146619</v>
      </c>
      <c r="M11" s="106">
        <f>IF(B11="","",IF('Arrear Sheet'!C11="TOTAL","",'Arrear Sheet'!N11))</f>
        <v>5400</v>
      </c>
      <c r="N11" s="106">
        <f>IF(B11="","",IF('Arrear Sheet'!C11="TOTAL","",'Arrear Sheet'!O11))</f>
        <v>1102</v>
      </c>
      <c r="O11" s="106">
        <f>IF(B11="","",IF('Arrear Sheet'!C11="TOTAL","",'Arrear Sheet'!P11))</f>
        <v>432</v>
      </c>
      <c r="P11" s="106">
        <f>IF(B11="","",IF('Arrear Sheet'!D11="TOTAL","",'Arrear Sheet'!Q11))</f>
        <v>1080</v>
      </c>
      <c r="Q11" s="106">
        <f>IF(B11="","",IF('Arrear Sheet'!C11="TOTAL","",SUM(M11:P11)))</f>
        <v>8014</v>
      </c>
      <c r="R11" s="106">
        <f>IF(B11="","",IF('Arrear Sheet'!C11="TOTAL","",'Arrear Sheet'!S11))</f>
        <v>12546</v>
      </c>
      <c r="S11" s="106">
        <f>IF(B11="","",IF('Arrear Sheet'!C11="TOTAL","",'Arrear Sheet'!T11))</f>
        <v>11896</v>
      </c>
      <c r="T11" s="106">
        <f>IF(B11="","",IF('Arrear Sheet'!C11="TOTAL","",'Arrear Sheet'!U11))</f>
        <v>650</v>
      </c>
      <c r="U11" s="106">
        <f>IF(B11="","",IF('Arrear Sheet'!C11="TOTAL","",'Arrear Sheet'!V11))</f>
        <v>2100</v>
      </c>
      <c r="V11" s="106">
        <f>IF(B11="","",IF('Arrear Sheet'!C11="TOTAL","",'Arrear Sheet'!W11))</f>
        <v>2100</v>
      </c>
      <c r="W11" s="106">
        <f>IF(B11="","",IF('Arrear Sheet'!C11="TOTAL","",'Arrear Sheet'!X11))</f>
        <v>0</v>
      </c>
      <c r="X11" s="106" t="str">
        <f>IF(B11="","",IF('Arrear Sheet'!C11="TOTAL","",'Arrear Sheet'!AB11))</f>
        <v/>
      </c>
      <c r="Y11" s="106" t="str">
        <f>IF(B11="","",IF('Arrear Sheet'!D11="TOTAL","",'Arrear Sheet'!AC11))</f>
        <v/>
      </c>
      <c r="Z11" s="106" t="str">
        <f>IF(B11="","",IF('Arrear Sheet'!E11="TOTAL","",'Arrear Sheet'!AD11))</f>
        <v/>
      </c>
      <c r="AA11" s="106" t="str">
        <f>IF(B11="","",IF('Arrear Sheet'!C11="TOTAL","",'Arrear Sheet'!Y11))</f>
        <v/>
      </c>
      <c r="AB11" s="106" t="str">
        <f>IF(B11="","",IF('Arrear Sheet'!C11="TOTAL","",'Arrear Sheet'!Z11))</f>
        <v/>
      </c>
      <c r="AC11" s="106" t="str">
        <f>IF(B11="","",IF('Arrear Sheet'!C11="TOTAL","",'Arrear Sheet'!AA11))</f>
        <v/>
      </c>
      <c r="AD11" s="106" t="str">
        <f>IF(B11="","",IF('Arrear Sheet'!C11="TOTAL","",'Arrear Sheet'!AE11))</f>
        <v/>
      </c>
      <c r="AE11" s="106">
        <f>IF(B11="","",IF('Arrear Sheet'!C11="TOTAL","",'Arrear Sheet'!AF11))</f>
        <v>0</v>
      </c>
      <c r="AF11" s="106">
        <f>IF(B11="","",'Arrear Sheet'!AG11)</f>
        <v>650</v>
      </c>
      <c r="AG11" s="24">
        <f>IFERROR(IF(B11="","",IF('Arrear Sheet'!C11="TOTAL","",SUM(Q11-AF11))),"")</f>
        <v>7364</v>
      </c>
      <c r="AH11" s="39"/>
      <c r="AI11" s="40"/>
      <c r="AK11" s="55"/>
      <c r="AL11" s="55"/>
      <c r="AM11" s="55"/>
      <c r="AN11" s="55"/>
      <c r="AO11" s="55"/>
      <c r="AP11" s="55"/>
    </row>
    <row r="12" spans="1:42" s="28" customFormat="1" ht="21" customHeight="1">
      <c r="A12" s="22">
        <f>IF('Arrear Sheet'!B12="","",'Arrear Sheet'!B12)</f>
        <v>5</v>
      </c>
      <c r="B12" s="23">
        <f>IF('Arrear Sheet'!C12="","",IF('Arrear Sheet'!C12="TOTAL","",'Arrear Sheet'!C12))</f>
        <v>43678</v>
      </c>
      <c r="C12" s="106">
        <f>IF('Arrear Sheet'!D12="","",IF('Arrear Sheet'!C12="TOTAL","",IF('Arrear Sheet'!D12="अक्षरें राशि :-","",'Arrear Sheet'!D12)))</f>
        <v>104200</v>
      </c>
      <c r="D12" s="106">
        <f>IF('Arrear Sheet'!E12="","",IF('Arrear Sheet'!C12="TOTAL","",'Arrear Sheet'!E12))</f>
        <v>21257</v>
      </c>
      <c r="E12" s="106">
        <f>IF(B12="","",IF('Arrear Sheet'!D12="TOTAL","",'Arrear Sheet'!F12))</f>
        <v>8336</v>
      </c>
      <c r="F12" s="106">
        <f>IF(B12="","",IF('Arrear Sheet'!E12="TOTAL","",'Arrear Sheet'!G12))</f>
        <v>20840</v>
      </c>
      <c r="G12" s="106">
        <f>IF(B12="","",IF('Arrear Sheet'!C12="TOTAL","",SUM(C12:F12)))</f>
        <v>154633</v>
      </c>
      <c r="H12" s="106">
        <f>IF(B12="","",IF('Arrear Sheet'!C12="TOTAL","",'Arrear Sheet'!I12))</f>
        <v>98800</v>
      </c>
      <c r="I12" s="106">
        <f>IF(B12="","",IF('Arrear Sheet'!C12="TOTAL","",'Arrear Sheet'!J12))</f>
        <v>20155</v>
      </c>
      <c r="J12" s="106">
        <f>IF(B12="","",IF('Arrear Sheet'!C12="TOTAL","",'Arrear Sheet'!K12))</f>
        <v>7904</v>
      </c>
      <c r="K12" s="106">
        <f>IF(B12="","",IF('Arrear Sheet'!D12="TOTAL","",'Arrear Sheet'!L12))</f>
        <v>19760</v>
      </c>
      <c r="L12" s="106">
        <f>IF(B12="","",IF('Arrear Sheet'!C12="TOTAL","",SUM(H12:K12)))</f>
        <v>146619</v>
      </c>
      <c r="M12" s="106">
        <f>IF(B12="","",IF('Arrear Sheet'!C12="TOTAL","",'Arrear Sheet'!N12))</f>
        <v>5400</v>
      </c>
      <c r="N12" s="106">
        <f>IF(B12="","",IF('Arrear Sheet'!C12="TOTAL","",'Arrear Sheet'!O12))</f>
        <v>1102</v>
      </c>
      <c r="O12" s="106">
        <f>IF(B12="","",IF('Arrear Sheet'!C12="TOTAL","",'Arrear Sheet'!P12))</f>
        <v>432</v>
      </c>
      <c r="P12" s="106">
        <f>IF(B12="","",IF('Arrear Sheet'!D12="TOTAL","",'Arrear Sheet'!Q12))</f>
        <v>1080</v>
      </c>
      <c r="Q12" s="106">
        <f>IF(B12="","",IF('Arrear Sheet'!C12="TOTAL","",SUM(M12:P12)))</f>
        <v>8014</v>
      </c>
      <c r="R12" s="106">
        <f>IF(B12="","",IF('Arrear Sheet'!C12="TOTAL","",'Arrear Sheet'!S12))</f>
        <v>12546</v>
      </c>
      <c r="S12" s="106">
        <f>IF(B12="","",IF('Arrear Sheet'!C12="TOTAL","",'Arrear Sheet'!T12))</f>
        <v>11896</v>
      </c>
      <c r="T12" s="106">
        <f>IF(B12="","",IF('Arrear Sheet'!C12="TOTAL","",'Arrear Sheet'!U12))</f>
        <v>650</v>
      </c>
      <c r="U12" s="106">
        <f>IF(B12="","",IF('Arrear Sheet'!C12="TOTAL","",'Arrear Sheet'!V12))</f>
        <v>2100</v>
      </c>
      <c r="V12" s="106">
        <f>IF(B12="","",IF('Arrear Sheet'!C12="TOTAL","",'Arrear Sheet'!W12))</f>
        <v>2100</v>
      </c>
      <c r="W12" s="106">
        <f>IF(B12="","",IF('Arrear Sheet'!C12="TOTAL","",'Arrear Sheet'!X12))</f>
        <v>0</v>
      </c>
      <c r="X12" s="106" t="str">
        <f>IF(B12="","",IF('Arrear Sheet'!C12="TOTAL","",'Arrear Sheet'!AB12))</f>
        <v/>
      </c>
      <c r="Y12" s="106" t="str">
        <f>IF(B12="","",IF('Arrear Sheet'!D12="TOTAL","",'Arrear Sheet'!AC12))</f>
        <v/>
      </c>
      <c r="Z12" s="106" t="str">
        <f>IF(B12="","",IF('Arrear Sheet'!E12="TOTAL","",'Arrear Sheet'!AD12))</f>
        <v/>
      </c>
      <c r="AA12" s="106" t="str">
        <f>IF(B12="","",IF('Arrear Sheet'!C12="TOTAL","",'Arrear Sheet'!Y12))</f>
        <v/>
      </c>
      <c r="AB12" s="106" t="str">
        <f>IF(B12="","",IF('Arrear Sheet'!C12="TOTAL","",'Arrear Sheet'!Z12))</f>
        <v/>
      </c>
      <c r="AC12" s="106" t="str">
        <f>IF(B12="","",IF('Arrear Sheet'!C12="TOTAL","",'Arrear Sheet'!AA12))</f>
        <v/>
      </c>
      <c r="AD12" s="106" t="str">
        <f>IF(B12="","",IF('Arrear Sheet'!C12="TOTAL","",'Arrear Sheet'!AE12))</f>
        <v/>
      </c>
      <c r="AE12" s="106">
        <f>IF(B12="","",IF('Arrear Sheet'!C12="TOTAL","",'Arrear Sheet'!AF12))</f>
        <v>0</v>
      </c>
      <c r="AF12" s="106">
        <f>IF(B12="","",'Arrear Sheet'!AG12)</f>
        <v>650</v>
      </c>
      <c r="AG12" s="24">
        <f>IFERROR(IF(B12="","",IF('Arrear Sheet'!C12="TOTAL","",SUM(Q12-AF12))),"")</f>
        <v>7364</v>
      </c>
      <c r="AH12" s="39"/>
      <c r="AI12" s="40"/>
      <c r="AK12" s="55"/>
      <c r="AL12" s="55"/>
      <c r="AM12" s="55"/>
      <c r="AN12" s="55"/>
      <c r="AO12" s="55"/>
      <c r="AP12" s="55"/>
    </row>
    <row r="13" spans="1:42" s="28" customFormat="1" ht="21" customHeight="1">
      <c r="A13" s="22">
        <f>IF('Arrear Sheet'!B13="","",'Arrear Sheet'!B13)</f>
        <v>6</v>
      </c>
      <c r="B13" s="23">
        <f>IF('Arrear Sheet'!C13="","",IF('Arrear Sheet'!C13="TOTAL","",'Arrear Sheet'!C13))</f>
        <v>43709</v>
      </c>
      <c r="C13" s="106">
        <f>IF('Arrear Sheet'!D13="","",IF('Arrear Sheet'!C13="TOTAL","",IF('Arrear Sheet'!D13="अक्षरें राशि :-","",'Arrear Sheet'!D13)))</f>
        <v>104200</v>
      </c>
      <c r="D13" s="106">
        <f>IF('Arrear Sheet'!E13="","",IF('Arrear Sheet'!C13="TOTAL","",'Arrear Sheet'!E13))</f>
        <v>21257</v>
      </c>
      <c r="E13" s="106">
        <f>IF(B13="","",IF('Arrear Sheet'!D13="TOTAL","",'Arrear Sheet'!F13))</f>
        <v>8336</v>
      </c>
      <c r="F13" s="106">
        <f>IF(B13="","",IF('Arrear Sheet'!E13="TOTAL","",'Arrear Sheet'!G13))</f>
        <v>20840</v>
      </c>
      <c r="G13" s="106">
        <f>IF(B13="","",IF('Arrear Sheet'!C13="TOTAL","",SUM(C13:F13)))</f>
        <v>154633</v>
      </c>
      <c r="H13" s="106">
        <f>IF(B13="","",IF('Arrear Sheet'!C13="TOTAL","",'Arrear Sheet'!I13))</f>
        <v>98800</v>
      </c>
      <c r="I13" s="106">
        <f>IF(B13="","",IF('Arrear Sheet'!C13="TOTAL","",'Arrear Sheet'!J13))</f>
        <v>20155</v>
      </c>
      <c r="J13" s="106">
        <f>IF(B13="","",IF('Arrear Sheet'!C13="TOTAL","",'Arrear Sheet'!K13))</f>
        <v>7904</v>
      </c>
      <c r="K13" s="106">
        <f>IF(B13="","",IF('Arrear Sheet'!D13="TOTAL","",'Arrear Sheet'!L13))</f>
        <v>19760</v>
      </c>
      <c r="L13" s="106">
        <f>IF(B13="","",IF('Arrear Sheet'!C13="TOTAL","",SUM(H13:K13)))</f>
        <v>146619</v>
      </c>
      <c r="M13" s="106">
        <f>IF(B13="","",IF('Arrear Sheet'!C13="TOTAL","",'Arrear Sheet'!N13))</f>
        <v>5400</v>
      </c>
      <c r="N13" s="106">
        <f>IF(B13="","",IF('Arrear Sheet'!C13="TOTAL","",'Arrear Sheet'!O13))</f>
        <v>1102</v>
      </c>
      <c r="O13" s="106">
        <f>IF(B13="","",IF('Arrear Sheet'!C13="TOTAL","",'Arrear Sheet'!P13))</f>
        <v>432</v>
      </c>
      <c r="P13" s="106">
        <f>IF(B13="","",IF('Arrear Sheet'!D13="TOTAL","",'Arrear Sheet'!Q13))</f>
        <v>1080</v>
      </c>
      <c r="Q13" s="106">
        <f>IF(B13="","",IF('Arrear Sheet'!C13="TOTAL","",SUM(M13:P13)))</f>
        <v>8014</v>
      </c>
      <c r="R13" s="106">
        <f>IF(B13="","",IF('Arrear Sheet'!C13="TOTAL","",'Arrear Sheet'!S13))</f>
        <v>12546</v>
      </c>
      <c r="S13" s="106">
        <f>IF(B13="","",IF('Arrear Sheet'!C13="TOTAL","",'Arrear Sheet'!T13))</f>
        <v>11896</v>
      </c>
      <c r="T13" s="106">
        <f>IF(B13="","",IF('Arrear Sheet'!C13="TOTAL","",'Arrear Sheet'!U13))</f>
        <v>650</v>
      </c>
      <c r="U13" s="106">
        <f>IF(B13="","",IF('Arrear Sheet'!C13="TOTAL","",'Arrear Sheet'!V13))</f>
        <v>2100</v>
      </c>
      <c r="V13" s="106">
        <f>IF(B13="","",IF('Arrear Sheet'!C13="TOTAL","",'Arrear Sheet'!W13))</f>
        <v>2100</v>
      </c>
      <c r="W13" s="106">
        <f>IF(B13="","",IF('Arrear Sheet'!C13="TOTAL","",'Arrear Sheet'!X13))</f>
        <v>0</v>
      </c>
      <c r="X13" s="106" t="str">
        <f>IF(B13="","",IF('Arrear Sheet'!C13="TOTAL","",'Arrear Sheet'!AB13))</f>
        <v/>
      </c>
      <c r="Y13" s="106" t="str">
        <f>IF(B13="","",IF('Arrear Sheet'!D13="TOTAL","",'Arrear Sheet'!AC13))</f>
        <v/>
      </c>
      <c r="Z13" s="106" t="str">
        <f>IF(B13="","",IF('Arrear Sheet'!E13="TOTAL","",'Arrear Sheet'!AD13))</f>
        <v/>
      </c>
      <c r="AA13" s="106" t="str">
        <f>IF(B13="","",IF('Arrear Sheet'!C13="TOTAL","",'Arrear Sheet'!Y13))</f>
        <v/>
      </c>
      <c r="AB13" s="106" t="str">
        <f>IF(B13="","",IF('Arrear Sheet'!C13="TOTAL","",'Arrear Sheet'!Z13))</f>
        <v/>
      </c>
      <c r="AC13" s="106" t="str">
        <f>IF(B13="","",IF('Arrear Sheet'!C13="TOTAL","",'Arrear Sheet'!AA13))</f>
        <v/>
      </c>
      <c r="AD13" s="106" t="str">
        <f>IF(B13="","",IF('Arrear Sheet'!C13="TOTAL","",'Arrear Sheet'!AE13))</f>
        <v/>
      </c>
      <c r="AE13" s="106">
        <f>IF(B13="","",IF('Arrear Sheet'!C13="TOTAL","",'Arrear Sheet'!AF13))</f>
        <v>0</v>
      </c>
      <c r="AF13" s="106">
        <f>IF(B13="","",'Arrear Sheet'!AG13)</f>
        <v>650</v>
      </c>
      <c r="AG13" s="24">
        <f>IFERROR(IF(B13="","",IF('Arrear Sheet'!C13="TOTAL","",SUM(Q13-AF13))),"")</f>
        <v>7364</v>
      </c>
      <c r="AH13" s="39"/>
      <c r="AI13" s="40"/>
      <c r="AK13" s="55"/>
      <c r="AL13" s="55"/>
      <c r="AM13" s="55"/>
      <c r="AN13" s="55"/>
      <c r="AO13" s="55"/>
      <c r="AP13" s="55"/>
    </row>
    <row r="14" spans="1:42" s="28" customFormat="1" ht="21" customHeight="1">
      <c r="A14" s="22">
        <f>IF('Arrear Sheet'!B14="","",'Arrear Sheet'!B14)</f>
        <v>7</v>
      </c>
      <c r="B14" s="23">
        <f>IF('Arrear Sheet'!C14="","",IF('Arrear Sheet'!C14="TOTAL","",'Arrear Sheet'!C14))</f>
        <v>43739</v>
      </c>
      <c r="C14" s="106">
        <f>IF('Arrear Sheet'!D14="","",IF('Arrear Sheet'!C14="TOTAL","",IF('Arrear Sheet'!D14="अक्षरें राशि :-","",'Arrear Sheet'!D14)))</f>
        <v>104200</v>
      </c>
      <c r="D14" s="106">
        <f>IF('Arrear Sheet'!E14="","",IF('Arrear Sheet'!C14="TOTAL","",'Arrear Sheet'!E14))</f>
        <v>21257</v>
      </c>
      <c r="E14" s="106">
        <f>IF(B14="","",IF('Arrear Sheet'!D14="TOTAL","",'Arrear Sheet'!F14))</f>
        <v>8336</v>
      </c>
      <c r="F14" s="106">
        <f>IF(B14="","",IF('Arrear Sheet'!E14="TOTAL","",'Arrear Sheet'!G14))</f>
        <v>20840</v>
      </c>
      <c r="G14" s="106">
        <f>IF(B14="","",IF('Arrear Sheet'!C14="TOTAL","",SUM(C14:F14)))</f>
        <v>154633</v>
      </c>
      <c r="H14" s="106">
        <f>IF(B14="","",IF('Arrear Sheet'!C14="TOTAL","",'Arrear Sheet'!I14))</f>
        <v>98800</v>
      </c>
      <c r="I14" s="106">
        <f>IF(B14="","",IF('Arrear Sheet'!C14="TOTAL","",'Arrear Sheet'!J14))</f>
        <v>20155</v>
      </c>
      <c r="J14" s="106">
        <f>IF(B14="","",IF('Arrear Sheet'!C14="TOTAL","",'Arrear Sheet'!K14))</f>
        <v>7904</v>
      </c>
      <c r="K14" s="106">
        <f>IF(B14="","",IF('Arrear Sheet'!D14="TOTAL","",'Arrear Sheet'!L14))</f>
        <v>19760</v>
      </c>
      <c r="L14" s="106">
        <f>IF(B14="","",IF('Arrear Sheet'!C14="TOTAL","",SUM(H14:K14)))</f>
        <v>146619</v>
      </c>
      <c r="M14" s="106">
        <f>IF(B14="","",IF('Arrear Sheet'!C14="TOTAL","",'Arrear Sheet'!N14))</f>
        <v>5400</v>
      </c>
      <c r="N14" s="106">
        <f>IF(B14="","",IF('Arrear Sheet'!C14="TOTAL","",'Arrear Sheet'!O14))</f>
        <v>1102</v>
      </c>
      <c r="O14" s="106">
        <f>IF(B14="","",IF('Arrear Sheet'!C14="TOTAL","",'Arrear Sheet'!P14))</f>
        <v>432</v>
      </c>
      <c r="P14" s="106">
        <f>IF(B14="","",IF('Arrear Sheet'!D14="TOTAL","",'Arrear Sheet'!Q14))</f>
        <v>1080</v>
      </c>
      <c r="Q14" s="106">
        <f>IF(B14="","",IF('Arrear Sheet'!C14="TOTAL","",SUM(M14:P14)))</f>
        <v>8014</v>
      </c>
      <c r="R14" s="106">
        <f>IF(B14="","",IF('Arrear Sheet'!C14="TOTAL","",'Arrear Sheet'!S14))</f>
        <v>12546</v>
      </c>
      <c r="S14" s="106">
        <f>IF(B14="","",IF('Arrear Sheet'!C14="TOTAL","",'Arrear Sheet'!T14))</f>
        <v>11896</v>
      </c>
      <c r="T14" s="106">
        <f>IF(B14="","",IF('Arrear Sheet'!C14="TOTAL","",'Arrear Sheet'!U14))</f>
        <v>650</v>
      </c>
      <c r="U14" s="106">
        <f>IF(B14="","",IF('Arrear Sheet'!C14="TOTAL","",'Arrear Sheet'!V14))</f>
        <v>2100</v>
      </c>
      <c r="V14" s="106">
        <f>IF(B14="","",IF('Arrear Sheet'!C14="TOTAL","",'Arrear Sheet'!W14))</f>
        <v>2100</v>
      </c>
      <c r="W14" s="106">
        <f>IF(B14="","",IF('Arrear Sheet'!C14="TOTAL","",'Arrear Sheet'!X14))</f>
        <v>0</v>
      </c>
      <c r="X14" s="106" t="str">
        <f>IF(B14="","",IF('Arrear Sheet'!C14="TOTAL","",'Arrear Sheet'!AB14))</f>
        <v/>
      </c>
      <c r="Y14" s="106" t="str">
        <f>IF(B14="","",IF('Arrear Sheet'!D14="TOTAL","",'Arrear Sheet'!AC14))</f>
        <v/>
      </c>
      <c r="Z14" s="106" t="str">
        <f>IF(B14="","",IF('Arrear Sheet'!E14="TOTAL","",'Arrear Sheet'!AD14))</f>
        <v/>
      </c>
      <c r="AA14" s="106" t="str">
        <f>IF(B14="","",IF('Arrear Sheet'!C14="TOTAL","",'Arrear Sheet'!Y14))</f>
        <v/>
      </c>
      <c r="AB14" s="106" t="str">
        <f>IF(B14="","",IF('Arrear Sheet'!C14="TOTAL","",'Arrear Sheet'!Z14))</f>
        <v/>
      </c>
      <c r="AC14" s="106" t="str">
        <f>IF(B14="","",IF('Arrear Sheet'!C14="TOTAL","",'Arrear Sheet'!AA14))</f>
        <v/>
      </c>
      <c r="AD14" s="106" t="str">
        <f>IF(B14="","",IF('Arrear Sheet'!C14="TOTAL","",'Arrear Sheet'!AE14))</f>
        <v/>
      </c>
      <c r="AE14" s="106">
        <f>IF(B14="","",IF('Arrear Sheet'!C14="TOTAL","",'Arrear Sheet'!AF14))</f>
        <v>0</v>
      </c>
      <c r="AF14" s="106">
        <f>IF(B14="","",'Arrear Sheet'!AG14)</f>
        <v>650</v>
      </c>
      <c r="AG14" s="24">
        <f>IFERROR(IF(B14="","",IF('Arrear Sheet'!C14="TOTAL","",SUM(Q14-AF14))),"")</f>
        <v>7364</v>
      </c>
      <c r="AH14" s="39"/>
      <c r="AI14" s="40"/>
      <c r="AK14" s="55"/>
      <c r="AL14" s="55"/>
      <c r="AM14" s="55"/>
      <c r="AN14" s="55"/>
      <c r="AO14" s="55"/>
      <c r="AP14" s="55"/>
    </row>
    <row r="15" spans="1:42" s="28" customFormat="1" ht="21" customHeight="1">
      <c r="A15" s="22">
        <f>IF('Arrear Sheet'!B15="","",'Arrear Sheet'!B15)</f>
        <v>8</v>
      </c>
      <c r="B15" s="23">
        <f>IF('Arrear Sheet'!C15="","",IF('Arrear Sheet'!C15="TOTAL","",'Arrear Sheet'!C15))</f>
        <v>43770</v>
      </c>
      <c r="C15" s="106">
        <f>IF('Arrear Sheet'!D15="","",IF('Arrear Sheet'!C15="TOTAL","",IF('Arrear Sheet'!D15="अक्षरें राशि :-","",'Arrear Sheet'!D15)))</f>
        <v>104200</v>
      </c>
      <c r="D15" s="106">
        <f>IF('Arrear Sheet'!E15="","",IF('Arrear Sheet'!C15="TOTAL","",'Arrear Sheet'!E15))</f>
        <v>21257</v>
      </c>
      <c r="E15" s="106">
        <f>IF(B15="","",IF('Arrear Sheet'!D15="TOTAL","",'Arrear Sheet'!F15))</f>
        <v>8336</v>
      </c>
      <c r="F15" s="106">
        <f>IF(B15="","",IF('Arrear Sheet'!E15="TOTAL","",'Arrear Sheet'!G15))</f>
        <v>20840</v>
      </c>
      <c r="G15" s="106">
        <f>IF(B15="","",IF('Arrear Sheet'!C15="TOTAL","",SUM(C15:F15)))</f>
        <v>154633</v>
      </c>
      <c r="H15" s="106">
        <f>IF(B15="","",IF('Arrear Sheet'!C15="TOTAL","",'Arrear Sheet'!I15))</f>
        <v>98800</v>
      </c>
      <c r="I15" s="106">
        <f>IF(B15="","",IF('Arrear Sheet'!C15="TOTAL","",'Arrear Sheet'!J15))</f>
        <v>20155</v>
      </c>
      <c r="J15" s="106">
        <f>IF(B15="","",IF('Arrear Sheet'!C15="TOTAL","",'Arrear Sheet'!K15))</f>
        <v>7904</v>
      </c>
      <c r="K15" s="106">
        <f>IF(B15="","",IF('Arrear Sheet'!D15="TOTAL","",'Arrear Sheet'!L15))</f>
        <v>19760</v>
      </c>
      <c r="L15" s="106">
        <f>IF(B15="","",IF('Arrear Sheet'!C15="TOTAL","",SUM(H15:K15)))</f>
        <v>146619</v>
      </c>
      <c r="M15" s="106">
        <f>IF(B15="","",IF('Arrear Sheet'!C15="TOTAL","",'Arrear Sheet'!N15))</f>
        <v>5400</v>
      </c>
      <c r="N15" s="106">
        <f>IF(B15="","",IF('Arrear Sheet'!C15="TOTAL","",'Arrear Sheet'!O15))</f>
        <v>1102</v>
      </c>
      <c r="O15" s="106">
        <f>IF(B15="","",IF('Arrear Sheet'!C15="TOTAL","",'Arrear Sheet'!P15))</f>
        <v>432</v>
      </c>
      <c r="P15" s="106">
        <f>IF(B15="","",IF('Arrear Sheet'!D15="TOTAL","",'Arrear Sheet'!Q15))</f>
        <v>1080</v>
      </c>
      <c r="Q15" s="106">
        <f>IF(B15="","",IF('Arrear Sheet'!C15="TOTAL","",SUM(M15:P15)))</f>
        <v>8014</v>
      </c>
      <c r="R15" s="106">
        <f>IF(B15="","",IF('Arrear Sheet'!C15="TOTAL","",'Arrear Sheet'!S15))</f>
        <v>12546</v>
      </c>
      <c r="S15" s="106">
        <f>IF(B15="","",IF('Arrear Sheet'!C15="TOTAL","",'Arrear Sheet'!T15))</f>
        <v>11896</v>
      </c>
      <c r="T15" s="106">
        <f>IF(B15="","",IF('Arrear Sheet'!C15="TOTAL","",'Arrear Sheet'!U15))</f>
        <v>650</v>
      </c>
      <c r="U15" s="106">
        <f>IF(B15="","",IF('Arrear Sheet'!C15="TOTAL","",'Arrear Sheet'!V15))</f>
        <v>2100</v>
      </c>
      <c r="V15" s="106">
        <f>IF(B15="","",IF('Arrear Sheet'!C15="TOTAL","",'Arrear Sheet'!W15))</f>
        <v>2100</v>
      </c>
      <c r="W15" s="106">
        <f>IF(B15="","",IF('Arrear Sheet'!C15="TOTAL","",'Arrear Sheet'!X15))</f>
        <v>0</v>
      </c>
      <c r="X15" s="106" t="str">
        <f>IF(B15="","",IF('Arrear Sheet'!C15="TOTAL","",'Arrear Sheet'!AB15))</f>
        <v/>
      </c>
      <c r="Y15" s="106" t="str">
        <f>IF(B15="","",IF('Arrear Sheet'!D15="TOTAL","",'Arrear Sheet'!AC15))</f>
        <v/>
      </c>
      <c r="Z15" s="106" t="str">
        <f>IF(B15="","",IF('Arrear Sheet'!E15="TOTAL","",'Arrear Sheet'!AD15))</f>
        <v/>
      </c>
      <c r="AA15" s="106" t="str">
        <f>IF(B15="","",IF('Arrear Sheet'!C15="TOTAL","",'Arrear Sheet'!Y15))</f>
        <v/>
      </c>
      <c r="AB15" s="106" t="str">
        <f>IF(B15="","",IF('Arrear Sheet'!C15="TOTAL","",'Arrear Sheet'!Z15))</f>
        <v/>
      </c>
      <c r="AC15" s="106" t="str">
        <f>IF(B15="","",IF('Arrear Sheet'!C15="TOTAL","",'Arrear Sheet'!AA15))</f>
        <v/>
      </c>
      <c r="AD15" s="106" t="str">
        <f>IF(B15="","",IF('Arrear Sheet'!C15="TOTAL","",'Arrear Sheet'!AE15))</f>
        <v/>
      </c>
      <c r="AE15" s="106">
        <f>IF(B15="","",IF('Arrear Sheet'!C15="TOTAL","",'Arrear Sheet'!AF15))</f>
        <v>0</v>
      </c>
      <c r="AF15" s="106">
        <f>IF(B15="","",'Arrear Sheet'!AG15)</f>
        <v>650</v>
      </c>
      <c r="AG15" s="24">
        <f>IFERROR(IF(B15="","",IF('Arrear Sheet'!C15="TOTAL","",SUM(Q15-AF15))),"")</f>
        <v>7364</v>
      </c>
      <c r="AH15" s="39"/>
      <c r="AI15" s="40"/>
      <c r="AK15" s="55"/>
      <c r="AL15" s="55"/>
      <c r="AM15" s="55"/>
      <c r="AN15" s="55"/>
      <c r="AO15" s="55"/>
      <c r="AP15" s="55"/>
    </row>
    <row r="16" spans="1:42" s="28" customFormat="1" ht="21" customHeight="1">
      <c r="A16" s="22">
        <f>IF('Arrear Sheet'!B16="","",'Arrear Sheet'!B16)</f>
        <v>9</v>
      </c>
      <c r="B16" s="23">
        <f>IF('Arrear Sheet'!C16="","",IF('Arrear Sheet'!C16="TOTAL","",'Arrear Sheet'!C16))</f>
        <v>43800</v>
      </c>
      <c r="C16" s="106">
        <f>IF('Arrear Sheet'!D16="","",IF('Arrear Sheet'!C16="TOTAL","",IF('Arrear Sheet'!D16="अक्षरें राशि :-","",'Arrear Sheet'!D16)))</f>
        <v>104200</v>
      </c>
      <c r="D16" s="106">
        <f>IF('Arrear Sheet'!E16="","",IF('Arrear Sheet'!C16="TOTAL","",'Arrear Sheet'!E16))</f>
        <v>21257</v>
      </c>
      <c r="E16" s="106">
        <f>IF(B16="","",IF('Arrear Sheet'!D16="TOTAL","",'Arrear Sheet'!F16))</f>
        <v>8336</v>
      </c>
      <c r="F16" s="106">
        <f>IF(B16="","",IF('Arrear Sheet'!E16="TOTAL","",'Arrear Sheet'!G16))</f>
        <v>20840</v>
      </c>
      <c r="G16" s="106">
        <f>IF(B16="","",IF('Arrear Sheet'!C16="TOTAL","",SUM(C16:F16)))</f>
        <v>154633</v>
      </c>
      <c r="H16" s="106">
        <f>IF(B16="","",IF('Arrear Sheet'!C16="TOTAL","",'Arrear Sheet'!I16))</f>
        <v>98800</v>
      </c>
      <c r="I16" s="106">
        <f>IF(B16="","",IF('Arrear Sheet'!C16="TOTAL","",'Arrear Sheet'!J16))</f>
        <v>20155</v>
      </c>
      <c r="J16" s="106">
        <f>IF(B16="","",IF('Arrear Sheet'!C16="TOTAL","",'Arrear Sheet'!K16))</f>
        <v>7904</v>
      </c>
      <c r="K16" s="106">
        <f>IF(B16="","",IF('Arrear Sheet'!D16="TOTAL","",'Arrear Sheet'!L16))</f>
        <v>19760</v>
      </c>
      <c r="L16" s="106">
        <f>IF(B16="","",IF('Arrear Sheet'!C16="TOTAL","",SUM(H16:K16)))</f>
        <v>146619</v>
      </c>
      <c r="M16" s="106">
        <f>IF(B16="","",IF('Arrear Sheet'!C16="TOTAL","",'Arrear Sheet'!N16))</f>
        <v>5400</v>
      </c>
      <c r="N16" s="106">
        <f>IF(B16="","",IF('Arrear Sheet'!C16="TOTAL","",'Arrear Sheet'!O16))</f>
        <v>1102</v>
      </c>
      <c r="O16" s="106">
        <f>IF(B16="","",IF('Arrear Sheet'!C16="TOTAL","",'Arrear Sheet'!P16))</f>
        <v>432</v>
      </c>
      <c r="P16" s="106">
        <f>IF(B16="","",IF('Arrear Sheet'!D16="TOTAL","",'Arrear Sheet'!Q16))</f>
        <v>1080</v>
      </c>
      <c r="Q16" s="106">
        <f>IF(B16="","",IF('Arrear Sheet'!C16="TOTAL","",SUM(M16:P16)))</f>
        <v>8014</v>
      </c>
      <c r="R16" s="106">
        <f>IF(B16="","",IF('Arrear Sheet'!C16="TOTAL","",'Arrear Sheet'!S16))</f>
        <v>12546</v>
      </c>
      <c r="S16" s="106">
        <f>IF(B16="","",IF('Arrear Sheet'!C16="TOTAL","",'Arrear Sheet'!T16))</f>
        <v>11896</v>
      </c>
      <c r="T16" s="106">
        <f>IF(B16="","",IF('Arrear Sheet'!C16="TOTAL","",'Arrear Sheet'!U16))</f>
        <v>650</v>
      </c>
      <c r="U16" s="106">
        <f>IF(B16="","",IF('Arrear Sheet'!C16="TOTAL","",'Arrear Sheet'!V16))</f>
        <v>2100</v>
      </c>
      <c r="V16" s="106">
        <f>IF(B16="","",IF('Arrear Sheet'!C16="TOTAL","",'Arrear Sheet'!W16))</f>
        <v>2100</v>
      </c>
      <c r="W16" s="106">
        <f>IF(B16="","",IF('Arrear Sheet'!C16="TOTAL","",'Arrear Sheet'!X16))</f>
        <v>0</v>
      </c>
      <c r="X16" s="106" t="str">
        <f>IF(B16="","",IF('Arrear Sheet'!C16="TOTAL","",'Arrear Sheet'!AB16))</f>
        <v/>
      </c>
      <c r="Y16" s="106" t="str">
        <f>IF(B16="","",IF('Arrear Sheet'!D16="TOTAL","",'Arrear Sheet'!AC16))</f>
        <v/>
      </c>
      <c r="Z16" s="106" t="str">
        <f>IF(B16="","",IF('Arrear Sheet'!E16="TOTAL","",'Arrear Sheet'!AD16))</f>
        <v/>
      </c>
      <c r="AA16" s="106" t="str">
        <f>IF(B16="","",IF('Arrear Sheet'!C16="TOTAL","",'Arrear Sheet'!Y16))</f>
        <v/>
      </c>
      <c r="AB16" s="106" t="str">
        <f>IF(B16="","",IF('Arrear Sheet'!C16="TOTAL","",'Arrear Sheet'!Z16))</f>
        <v/>
      </c>
      <c r="AC16" s="106" t="str">
        <f>IF(B16="","",IF('Arrear Sheet'!C16="TOTAL","",'Arrear Sheet'!AA16))</f>
        <v/>
      </c>
      <c r="AD16" s="106" t="str">
        <f>IF(B16="","",IF('Arrear Sheet'!C16="TOTAL","",'Arrear Sheet'!AE16))</f>
        <v/>
      </c>
      <c r="AE16" s="106">
        <f>IF(B16="","",IF('Arrear Sheet'!C16="TOTAL","",'Arrear Sheet'!AF16))</f>
        <v>0</v>
      </c>
      <c r="AF16" s="106">
        <f>IF(B16="","",'Arrear Sheet'!AG16)</f>
        <v>650</v>
      </c>
      <c r="AG16" s="24">
        <f>IFERROR(IF(B16="","",IF('Arrear Sheet'!C16="TOTAL","",SUM(Q16-AF16))),"")</f>
        <v>7364</v>
      </c>
      <c r="AH16" s="39"/>
      <c r="AI16" s="40"/>
      <c r="AK16" s="55"/>
      <c r="AL16" s="55"/>
      <c r="AM16" s="55"/>
      <c r="AN16" s="55"/>
      <c r="AO16" s="55"/>
      <c r="AP16" s="55"/>
    </row>
    <row r="17" spans="1:42" s="28" customFormat="1" ht="21" customHeight="1">
      <c r="A17" s="22">
        <f>IF('Arrear Sheet'!B17="","",'Arrear Sheet'!B17)</f>
        <v>10</v>
      </c>
      <c r="B17" s="23">
        <f>IF('Arrear Sheet'!C17="","",IF('Arrear Sheet'!C17="TOTAL","",'Arrear Sheet'!C17))</f>
        <v>43831</v>
      </c>
      <c r="C17" s="106">
        <f>IF('Arrear Sheet'!D17="","",IF('Arrear Sheet'!C17="TOTAL","",IF('Arrear Sheet'!D17="अक्षरें राशि :-","",'Arrear Sheet'!D17)))</f>
        <v>104200</v>
      </c>
      <c r="D17" s="106">
        <f>IF('Arrear Sheet'!E17="","",IF('Arrear Sheet'!C17="TOTAL","",'Arrear Sheet'!E17))</f>
        <v>21257</v>
      </c>
      <c r="E17" s="106">
        <f>IF(B17="","",IF('Arrear Sheet'!D17="TOTAL","",'Arrear Sheet'!F17))</f>
        <v>8336</v>
      </c>
      <c r="F17" s="106">
        <f>IF(B17="","",IF('Arrear Sheet'!E17="TOTAL","",'Arrear Sheet'!G17))</f>
        <v>20840</v>
      </c>
      <c r="G17" s="106">
        <f>IF(B17="","",IF('Arrear Sheet'!C17="TOTAL","",SUM(C17:F17)))</f>
        <v>154633</v>
      </c>
      <c r="H17" s="106">
        <f>IF(B17="","",IF('Arrear Sheet'!C17="TOTAL","",'Arrear Sheet'!I17))</f>
        <v>98800</v>
      </c>
      <c r="I17" s="106">
        <f>IF(B17="","",IF('Arrear Sheet'!C17="TOTAL","",'Arrear Sheet'!J17))</f>
        <v>20155</v>
      </c>
      <c r="J17" s="106">
        <f>IF(B17="","",IF('Arrear Sheet'!C17="TOTAL","",'Arrear Sheet'!K17))</f>
        <v>7904</v>
      </c>
      <c r="K17" s="106">
        <f>IF(B17="","",IF('Arrear Sheet'!D17="TOTAL","",'Arrear Sheet'!L17))</f>
        <v>19760</v>
      </c>
      <c r="L17" s="106">
        <f>IF(B17="","",IF('Arrear Sheet'!C17="TOTAL","",SUM(H17:K17)))</f>
        <v>146619</v>
      </c>
      <c r="M17" s="106">
        <f>IF(B17="","",IF('Arrear Sheet'!C17="TOTAL","",'Arrear Sheet'!N17))</f>
        <v>5400</v>
      </c>
      <c r="N17" s="106">
        <f>IF(B17="","",IF('Arrear Sheet'!C17="TOTAL","",'Arrear Sheet'!O17))</f>
        <v>1102</v>
      </c>
      <c r="O17" s="106">
        <f>IF(B17="","",IF('Arrear Sheet'!C17="TOTAL","",'Arrear Sheet'!P17))</f>
        <v>432</v>
      </c>
      <c r="P17" s="106">
        <f>IF(B17="","",IF('Arrear Sheet'!D17="TOTAL","",'Arrear Sheet'!Q17))</f>
        <v>1080</v>
      </c>
      <c r="Q17" s="106">
        <f>IF(B17="","",IF('Arrear Sheet'!C17="TOTAL","",SUM(M17:P17)))</f>
        <v>8014</v>
      </c>
      <c r="R17" s="106">
        <f>IF(B17="","",IF('Arrear Sheet'!C17="TOTAL","",'Arrear Sheet'!S17))</f>
        <v>12546</v>
      </c>
      <c r="S17" s="106">
        <f>IF(B17="","",IF('Arrear Sheet'!C17="TOTAL","",'Arrear Sheet'!T17))</f>
        <v>11896</v>
      </c>
      <c r="T17" s="106">
        <f>IF(B17="","",IF('Arrear Sheet'!C17="TOTAL","",'Arrear Sheet'!U17))</f>
        <v>650</v>
      </c>
      <c r="U17" s="106">
        <f>IF(B17="","",IF('Arrear Sheet'!C17="TOTAL","",'Arrear Sheet'!V17))</f>
        <v>2100</v>
      </c>
      <c r="V17" s="106">
        <f>IF(B17="","",IF('Arrear Sheet'!C17="TOTAL","",'Arrear Sheet'!W17))</f>
        <v>2100</v>
      </c>
      <c r="W17" s="106">
        <f>IF(B17="","",IF('Arrear Sheet'!C17="TOTAL","",'Arrear Sheet'!X17))</f>
        <v>0</v>
      </c>
      <c r="X17" s="106" t="str">
        <f>IF(B17="","",IF('Arrear Sheet'!C17="TOTAL","",'Arrear Sheet'!AB17))</f>
        <v/>
      </c>
      <c r="Y17" s="106" t="str">
        <f>IF(B17="","",IF('Arrear Sheet'!D17="TOTAL","",'Arrear Sheet'!AC17))</f>
        <v/>
      </c>
      <c r="Z17" s="106" t="str">
        <f>IF(B17="","",IF('Arrear Sheet'!E17="TOTAL","",'Arrear Sheet'!AD17))</f>
        <v/>
      </c>
      <c r="AA17" s="106" t="str">
        <f>IF(B17="","",IF('Arrear Sheet'!C17="TOTAL","",'Arrear Sheet'!Y17))</f>
        <v/>
      </c>
      <c r="AB17" s="106" t="str">
        <f>IF(B17="","",IF('Arrear Sheet'!C17="TOTAL","",'Arrear Sheet'!Z17))</f>
        <v/>
      </c>
      <c r="AC17" s="106" t="str">
        <f>IF(B17="","",IF('Arrear Sheet'!C17="TOTAL","",'Arrear Sheet'!AA17))</f>
        <v/>
      </c>
      <c r="AD17" s="106" t="str">
        <f>IF(B17="","",IF('Arrear Sheet'!C17="TOTAL","",'Arrear Sheet'!AE17))</f>
        <v/>
      </c>
      <c r="AE17" s="106">
        <f>IF(B17="","",IF('Arrear Sheet'!C17="TOTAL","",'Arrear Sheet'!AF17))</f>
        <v>0</v>
      </c>
      <c r="AF17" s="106">
        <f>IF(B17="","",'Arrear Sheet'!AG17)</f>
        <v>650</v>
      </c>
      <c r="AG17" s="24">
        <f>IFERROR(IF(B17="","",IF('Arrear Sheet'!C17="TOTAL","",SUM(Q17-AF17))),"")</f>
        <v>7364</v>
      </c>
      <c r="AH17" s="39"/>
      <c r="AI17" s="40"/>
      <c r="AK17" s="55"/>
      <c r="AL17" s="55"/>
      <c r="AM17" s="55"/>
      <c r="AN17" s="55"/>
      <c r="AO17" s="55"/>
      <c r="AP17" s="55"/>
    </row>
    <row r="18" spans="1:42" s="28" customFormat="1" ht="21" customHeight="1">
      <c r="A18" s="22">
        <f>IF('Arrear Sheet'!B18="","",'Arrear Sheet'!B18)</f>
        <v>11</v>
      </c>
      <c r="B18" s="23">
        <f>IF('Arrear Sheet'!C18="","",IF('Arrear Sheet'!C18="TOTAL","",'Arrear Sheet'!C18))</f>
        <v>43862</v>
      </c>
      <c r="C18" s="106">
        <f>IF('Arrear Sheet'!D18="","",IF('Arrear Sheet'!C18="TOTAL","",IF('Arrear Sheet'!D18="अक्षरें राशि :-","",'Arrear Sheet'!D18)))</f>
        <v>104200</v>
      </c>
      <c r="D18" s="106">
        <f>IF('Arrear Sheet'!E18="","",IF('Arrear Sheet'!C18="TOTAL","",'Arrear Sheet'!E18))</f>
        <v>21257</v>
      </c>
      <c r="E18" s="106">
        <f>IF(B18="","",IF('Arrear Sheet'!D18="TOTAL","",'Arrear Sheet'!F18))</f>
        <v>8336</v>
      </c>
      <c r="F18" s="106">
        <f>IF(B18="","",IF('Arrear Sheet'!E18="TOTAL","",'Arrear Sheet'!G18))</f>
        <v>20840</v>
      </c>
      <c r="G18" s="106">
        <f>IF(B18="","",IF('Arrear Sheet'!C18="TOTAL","",SUM(C18:F18)))</f>
        <v>154633</v>
      </c>
      <c r="H18" s="106">
        <f>IF(B18="","",IF('Arrear Sheet'!C18="TOTAL","",'Arrear Sheet'!I18))</f>
        <v>98800</v>
      </c>
      <c r="I18" s="106">
        <f>IF(B18="","",IF('Arrear Sheet'!C18="TOTAL","",'Arrear Sheet'!J18))</f>
        <v>20155</v>
      </c>
      <c r="J18" s="106">
        <f>IF(B18="","",IF('Arrear Sheet'!C18="TOTAL","",'Arrear Sheet'!K18))</f>
        <v>7904</v>
      </c>
      <c r="K18" s="106">
        <f>IF(B18="","",IF('Arrear Sheet'!D18="TOTAL","",'Arrear Sheet'!L18))</f>
        <v>19760</v>
      </c>
      <c r="L18" s="106">
        <f>IF(B18="","",IF('Arrear Sheet'!C18="TOTAL","",SUM(H18:K18)))</f>
        <v>146619</v>
      </c>
      <c r="M18" s="106">
        <f>IF(B18="","",IF('Arrear Sheet'!C18="TOTAL","",'Arrear Sheet'!N18))</f>
        <v>5400</v>
      </c>
      <c r="N18" s="106">
        <f>IF(B18="","",IF('Arrear Sheet'!C18="TOTAL","",'Arrear Sheet'!O18))</f>
        <v>1102</v>
      </c>
      <c r="O18" s="106">
        <f>IF(B18="","",IF('Arrear Sheet'!C18="TOTAL","",'Arrear Sheet'!P18))</f>
        <v>432</v>
      </c>
      <c r="P18" s="106">
        <f>IF(B18="","",IF('Arrear Sheet'!D18="TOTAL","",'Arrear Sheet'!Q18))</f>
        <v>1080</v>
      </c>
      <c r="Q18" s="106">
        <f>IF(B18="","",IF('Arrear Sheet'!C18="TOTAL","",SUM(M18:P18)))</f>
        <v>8014</v>
      </c>
      <c r="R18" s="106">
        <f>IF(B18="","",IF('Arrear Sheet'!C18="TOTAL","",'Arrear Sheet'!S18))</f>
        <v>12546</v>
      </c>
      <c r="S18" s="106">
        <f>IF(B18="","",IF('Arrear Sheet'!C18="TOTAL","",'Arrear Sheet'!T18))</f>
        <v>11896</v>
      </c>
      <c r="T18" s="106">
        <f>IF(B18="","",IF('Arrear Sheet'!C18="TOTAL","",'Arrear Sheet'!U18))</f>
        <v>650</v>
      </c>
      <c r="U18" s="106">
        <f>IF(B18="","",IF('Arrear Sheet'!C18="TOTAL","",'Arrear Sheet'!V18))</f>
        <v>2100</v>
      </c>
      <c r="V18" s="106">
        <f>IF(B18="","",IF('Arrear Sheet'!C18="TOTAL","",'Arrear Sheet'!W18))</f>
        <v>2100</v>
      </c>
      <c r="W18" s="106">
        <f>IF(B18="","",IF('Arrear Sheet'!C18="TOTAL","",'Arrear Sheet'!X18))</f>
        <v>0</v>
      </c>
      <c r="X18" s="106" t="str">
        <f>IF(B18="","",IF('Arrear Sheet'!C18="TOTAL","",'Arrear Sheet'!AB18))</f>
        <v/>
      </c>
      <c r="Y18" s="106" t="str">
        <f>IF(B18="","",IF('Arrear Sheet'!D18="TOTAL","",'Arrear Sheet'!AC18))</f>
        <v/>
      </c>
      <c r="Z18" s="106" t="str">
        <f>IF(B18="","",IF('Arrear Sheet'!E18="TOTAL","",'Arrear Sheet'!AD18))</f>
        <v/>
      </c>
      <c r="AA18" s="106" t="str">
        <f>IF(B18="","",IF('Arrear Sheet'!C18="TOTAL","",'Arrear Sheet'!Y18))</f>
        <v/>
      </c>
      <c r="AB18" s="106" t="str">
        <f>IF(B18="","",IF('Arrear Sheet'!C18="TOTAL","",'Arrear Sheet'!Z18))</f>
        <v/>
      </c>
      <c r="AC18" s="106" t="str">
        <f>IF(B18="","",IF('Arrear Sheet'!C18="TOTAL","",'Arrear Sheet'!AA18))</f>
        <v/>
      </c>
      <c r="AD18" s="106" t="str">
        <f>IF(B18="","",IF('Arrear Sheet'!C18="TOTAL","",'Arrear Sheet'!AE18))</f>
        <v/>
      </c>
      <c r="AE18" s="106">
        <f>IF(B18="","",IF('Arrear Sheet'!C18="TOTAL","",'Arrear Sheet'!AF18))</f>
        <v>0</v>
      </c>
      <c r="AF18" s="106">
        <f>IF(B18="","",'Arrear Sheet'!AG18)</f>
        <v>650</v>
      </c>
      <c r="AG18" s="24">
        <f>IFERROR(IF(B18="","",IF('Arrear Sheet'!C18="TOTAL","",SUM(Q18-AF18))),"")</f>
        <v>7364</v>
      </c>
      <c r="AH18" s="39"/>
      <c r="AI18" s="40"/>
      <c r="AK18" s="69"/>
      <c r="AL18" s="69"/>
      <c r="AM18" s="69"/>
      <c r="AN18" s="69"/>
      <c r="AO18" s="69"/>
      <c r="AP18" s="69"/>
    </row>
    <row r="19" spans="1:42" s="28" customFormat="1" ht="21" customHeight="1">
      <c r="A19" s="22">
        <f>IF('Arrear Sheet'!B19="","",'Arrear Sheet'!B19)</f>
        <v>12</v>
      </c>
      <c r="B19" s="23">
        <f>IF('Arrear Sheet'!C19="","",IF('Arrear Sheet'!C19="TOTAL","",'Arrear Sheet'!C19))</f>
        <v>43891</v>
      </c>
      <c r="C19" s="106">
        <f>IF('Arrear Sheet'!D19="","",IF('Arrear Sheet'!C19="TOTAL","",IF('Arrear Sheet'!D19="अक्षरें राशि :-","",'Arrear Sheet'!D19)))</f>
        <v>104200</v>
      </c>
      <c r="D19" s="106">
        <f>IF('Arrear Sheet'!E19="","",IF('Arrear Sheet'!C19="TOTAL","",'Arrear Sheet'!E19))</f>
        <v>21257</v>
      </c>
      <c r="E19" s="106">
        <f>IF(B19="","",IF('Arrear Sheet'!D19="TOTAL","",'Arrear Sheet'!F19))</f>
        <v>8336</v>
      </c>
      <c r="F19" s="106">
        <f>IF(B19="","",IF('Arrear Sheet'!E19="TOTAL","",'Arrear Sheet'!G19))</f>
        <v>20840</v>
      </c>
      <c r="G19" s="106">
        <f>IF(B19="","",IF('Arrear Sheet'!C19="TOTAL","",SUM(C19:F19)))</f>
        <v>154633</v>
      </c>
      <c r="H19" s="106">
        <f>IF(B19="","",IF('Arrear Sheet'!C19="TOTAL","",'Arrear Sheet'!I19))</f>
        <v>98800</v>
      </c>
      <c r="I19" s="106">
        <f>IF(B19="","",IF('Arrear Sheet'!C19="TOTAL","",'Arrear Sheet'!J19))</f>
        <v>20155</v>
      </c>
      <c r="J19" s="106">
        <f>IF(B19="","",IF('Arrear Sheet'!C19="TOTAL","",'Arrear Sheet'!K19))</f>
        <v>7904</v>
      </c>
      <c r="K19" s="106">
        <f>IF(B19="","",IF('Arrear Sheet'!D19="TOTAL","",'Arrear Sheet'!L19))</f>
        <v>19760</v>
      </c>
      <c r="L19" s="106">
        <f>IF(B19="","",IF('Arrear Sheet'!C19="TOTAL","",SUM(H19:K19)))</f>
        <v>146619</v>
      </c>
      <c r="M19" s="106">
        <f>IF(B19="","",IF('Arrear Sheet'!C19="TOTAL","",'Arrear Sheet'!N19))</f>
        <v>5400</v>
      </c>
      <c r="N19" s="106">
        <f>IF(B19="","",IF('Arrear Sheet'!C19="TOTAL","",'Arrear Sheet'!O19))</f>
        <v>1102</v>
      </c>
      <c r="O19" s="106">
        <f>IF(B19="","",IF('Arrear Sheet'!C19="TOTAL","",'Arrear Sheet'!P19))</f>
        <v>432</v>
      </c>
      <c r="P19" s="106">
        <f>IF(B19="","",IF('Arrear Sheet'!D19="TOTAL","",'Arrear Sheet'!Q19))</f>
        <v>1080</v>
      </c>
      <c r="Q19" s="106">
        <f>IF(B19="","",IF('Arrear Sheet'!C19="TOTAL","",SUM(M19:P19)))</f>
        <v>8014</v>
      </c>
      <c r="R19" s="106">
        <f>IF(B19="","",IF('Arrear Sheet'!C19="TOTAL","",'Arrear Sheet'!S19))</f>
        <v>12546</v>
      </c>
      <c r="S19" s="106">
        <f>IF(B19="","",IF('Arrear Sheet'!C19="TOTAL","",'Arrear Sheet'!T19))</f>
        <v>11896</v>
      </c>
      <c r="T19" s="106">
        <f>IF(B19="","",IF('Arrear Sheet'!C19="TOTAL","",'Arrear Sheet'!U19))</f>
        <v>650</v>
      </c>
      <c r="U19" s="106">
        <f>IF(B19="","",IF('Arrear Sheet'!C19="TOTAL","",'Arrear Sheet'!V19))</f>
        <v>2100</v>
      </c>
      <c r="V19" s="106">
        <f>IF(B19="","",IF('Arrear Sheet'!C19="TOTAL","",'Arrear Sheet'!W19))</f>
        <v>2100</v>
      </c>
      <c r="W19" s="106">
        <f>IF(B19="","",IF('Arrear Sheet'!C19="TOTAL","",'Arrear Sheet'!X19))</f>
        <v>0</v>
      </c>
      <c r="X19" s="106">
        <f>IF(B19="","",IF('Arrear Sheet'!C19="TOTAL","",'Arrear Sheet'!AB19))</f>
        <v>16806</v>
      </c>
      <c r="Y19" s="106">
        <f>IF(B19="","",IF('Arrear Sheet'!D19="TOTAL","",'Arrear Sheet'!AC19))</f>
        <v>15935</v>
      </c>
      <c r="Z19" s="106">
        <f>IF(B19="","",IF('Arrear Sheet'!E19="TOTAL","",'Arrear Sheet'!AD19))</f>
        <v>871</v>
      </c>
      <c r="AA19" s="106" t="str">
        <f>IF(B19="","",IF('Arrear Sheet'!C19="TOTAL","",'Arrear Sheet'!Y19))</f>
        <v/>
      </c>
      <c r="AB19" s="106" t="str">
        <f>IF(B19="","",IF('Arrear Sheet'!C19="TOTAL","",'Arrear Sheet'!Z19))</f>
        <v/>
      </c>
      <c r="AC19" s="106" t="str">
        <f>IF(B19="","",IF('Arrear Sheet'!C19="TOTAL","",'Arrear Sheet'!AA19))</f>
        <v/>
      </c>
      <c r="AD19" s="106" t="str">
        <f>IF(B19="","",IF('Arrear Sheet'!C19="TOTAL","",'Arrear Sheet'!AE19))</f>
        <v/>
      </c>
      <c r="AE19" s="106">
        <f>IF(B19="","",IF('Arrear Sheet'!C19="TOTAL","",'Arrear Sheet'!AF19))</f>
        <v>0</v>
      </c>
      <c r="AF19" s="106">
        <f>IF(B19="","",'Arrear Sheet'!AG19)</f>
        <v>1521</v>
      </c>
      <c r="AG19" s="24">
        <f>IFERROR(IF(B19="","",IF('Arrear Sheet'!C19="TOTAL","",SUM(Q19-AF19))),"")</f>
        <v>6493</v>
      </c>
      <c r="AH19" s="39"/>
      <c r="AI19" s="40"/>
      <c r="AK19" s="69"/>
      <c r="AL19" s="69"/>
      <c r="AM19" s="69"/>
      <c r="AN19" s="69"/>
      <c r="AO19" s="69"/>
      <c r="AP19" s="69"/>
    </row>
    <row r="20" spans="1:42" s="28" customFormat="1" ht="21" customHeight="1">
      <c r="A20" s="22">
        <f>IF('Arrear Sheet'!B20="","",'Arrear Sheet'!B20)</f>
        <v>13</v>
      </c>
      <c r="B20" s="23">
        <f>IF('Arrear Sheet'!C20="","",IF('Arrear Sheet'!C20="TOTAL","",'Arrear Sheet'!C20))</f>
        <v>43922</v>
      </c>
      <c r="C20" s="106">
        <f>IF('Arrear Sheet'!D20="","",IF('Arrear Sheet'!C20="TOTAL","",IF('Arrear Sheet'!D20="अक्षरें राशि :-","",'Arrear Sheet'!D20)))</f>
        <v>104200</v>
      </c>
      <c r="D20" s="106">
        <f>IF('Arrear Sheet'!E20="","",IF('Arrear Sheet'!C20="TOTAL","",'Arrear Sheet'!E20))</f>
        <v>21257</v>
      </c>
      <c r="E20" s="106">
        <f>IF(B20="","",IF('Arrear Sheet'!D20="TOTAL","",'Arrear Sheet'!F20))</f>
        <v>8336</v>
      </c>
      <c r="F20" s="106">
        <f>IF(B20="","",IF('Arrear Sheet'!E20="TOTAL","",'Arrear Sheet'!G20))</f>
        <v>20840</v>
      </c>
      <c r="G20" s="106">
        <f>IF(B20="","",IF('Arrear Sheet'!C20="TOTAL","",SUM(C20:F20)))</f>
        <v>154633</v>
      </c>
      <c r="H20" s="106">
        <f>IF(B20="","",IF('Arrear Sheet'!C20="TOTAL","",'Arrear Sheet'!I20))</f>
        <v>98800</v>
      </c>
      <c r="I20" s="106">
        <f>IF(B20="","",IF('Arrear Sheet'!C20="TOTAL","",'Arrear Sheet'!J20))</f>
        <v>20155</v>
      </c>
      <c r="J20" s="106">
        <f>IF(B20="","",IF('Arrear Sheet'!C20="TOTAL","",'Arrear Sheet'!K20))</f>
        <v>7904</v>
      </c>
      <c r="K20" s="106">
        <f>IF(B20="","",IF('Arrear Sheet'!D20="TOTAL","",'Arrear Sheet'!L20))</f>
        <v>19760</v>
      </c>
      <c r="L20" s="106">
        <f>IF(B20="","",IF('Arrear Sheet'!C20="TOTAL","",SUM(H20:K20)))</f>
        <v>146619</v>
      </c>
      <c r="M20" s="106">
        <f>IF(B20="","",IF('Arrear Sheet'!C20="TOTAL","",'Arrear Sheet'!N20))</f>
        <v>5400</v>
      </c>
      <c r="N20" s="106">
        <f>IF(B20="","",IF('Arrear Sheet'!C20="TOTAL","",'Arrear Sheet'!O20))</f>
        <v>1102</v>
      </c>
      <c r="O20" s="106">
        <f>IF(B20="","",IF('Arrear Sheet'!C20="TOTAL","",'Arrear Sheet'!P20))</f>
        <v>432</v>
      </c>
      <c r="P20" s="106">
        <f>IF(B20="","",IF('Arrear Sheet'!D20="TOTAL","",'Arrear Sheet'!Q20))</f>
        <v>1080</v>
      </c>
      <c r="Q20" s="106">
        <f>IF(B20="","",IF('Arrear Sheet'!C20="TOTAL","",SUM(M20:P20)))</f>
        <v>8014</v>
      </c>
      <c r="R20" s="106">
        <f>IF(B20="","",IF('Arrear Sheet'!C20="TOTAL","",'Arrear Sheet'!S20))</f>
        <v>12546</v>
      </c>
      <c r="S20" s="106">
        <f>IF(B20="","",IF('Arrear Sheet'!C20="TOTAL","",'Arrear Sheet'!T20))</f>
        <v>11896</v>
      </c>
      <c r="T20" s="106">
        <f>IF(B20="","",IF('Arrear Sheet'!C20="TOTAL","",'Arrear Sheet'!U20))</f>
        <v>650</v>
      </c>
      <c r="U20" s="106">
        <f>IF(B20="","",IF('Arrear Sheet'!C20="TOTAL","",'Arrear Sheet'!V20))</f>
        <v>2100</v>
      </c>
      <c r="V20" s="106">
        <f>IF(B20="","",IF('Arrear Sheet'!C20="TOTAL","",'Arrear Sheet'!W20))</f>
        <v>2100</v>
      </c>
      <c r="W20" s="106">
        <f>IF(B20="","",IF('Arrear Sheet'!C20="TOTAL","",'Arrear Sheet'!X20))</f>
        <v>0</v>
      </c>
      <c r="X20" s="106" t="str">
        <f>IF(B20="","",IF('Arrear Sheet'!C20="TOTAL","",'Arrear Sheet'!AB20))</f>
        <v/>
      </c>
      <c r="Y20" s="106" t="str">
        <f>IF(B20="","",IF('Arrear Sheet'!D20="TOTAL","",'Arrear Sheet'!AC20))</f>
        <v/>
      </c>
      <c r="Z20" s="106" t="str">
        <f>IF(B20="","",IF('Arrear Sheet'!E20="TOTAL","",'Arrear Sheet'!AD20))</f>
        <v/>
      </c>
      <c r="AA20" s="106" t="str">
        <f>IF(B20="","",IF('Arrear Sheet'!C20="TOTAL","",'Arrear Sheet'!Y20))</f>
        <v/>
      </c>
      <c r="AB20" s="106" t="str">
        <f>IF(B20="","",IF('Arrear Sheet'!C20="TOTAL","",'Arrear Sheet'!Z20))</f>
        <v/>
      </c>
      <c r="AC20" s="106" t="str">
        <f>IF(B20="","",IF('Arrear Sheet'!C20="TOTAL","",'Arrear Sheet'!AA20))</f>
        <v/>
      </c>
      <c r="AD20" s="106" t="str">
        <f>IF(B20="","",IF('Arrear Sheet'!C20="TOTAL","",'Arrear Sheet'!AE20))</f>
        <v/>
      </c>
      <c r="AE20" s="106">
        <f>IF(B20="","",IF('Arrear Sheet'!C20="TOTAL","",'Arrear Sheet'!AF20))</f>
        <v>0</v>
      </c>
      <c r="AF20" s="106">
        <f>IF(B20="","",'Arrear Sheet'!AG20)</f>
        <v>650</v>
      </c>
      <c r="AG20" s="24">
        <f>IFERROR(IF(B20="","",IF('Arrear Sheet'!C20="TOTAL","",SUM(Q20-AF20))),"")</f>
        <v>7364</v>
      </c>
      <c r="AH20" s="39"/>
      <c r="AI20" s="40"/>
      <c r="AK20" s="69"/>
      <c r="AL20" s="69"/>
      <c r="AM20" s="69"/>
      <c r="AN20" s="69"/>
      <c r="AO20" s="69"/>
      <c r="AP20" s="69"/>
    </row>
    <row r="21" spans="1:42" s="28" customFormat="1" ht="21" customHeight="1">
      <c r="A21" s="22">
        <f>IF('Arrear Sheet'!B21="","",'Arrear Sheet'!B21)</f>
        <v>14</v>
      </c>
      <c r="B21" s="23">
        <f>IF('Arrear Sheet'!C21="","",IF('Arrear Sheet'!C21="TOTAL","",'Arrear Sheet'!C21))</f>
        <v>43952</v>
      </c>
      <c r="C21" s="106">
        <f>IF('Arrear Sheet'!D21="","",IF('Arrear Sheet'!C21="TOTAL","",IF('Arrear Sheet'!D21="अक्षरें राशि :-","",'Arrear Sheet'!D21)))</f>
        <v>104200</v>
      </c>
      <c r="D21" s="106">
        <f>IF('Arrear Sheet'!E21="","",IF('Arrear Sheet'!C21="TOTAL","",'Arrear Sheet'!E21))</f>
        <v>21257</v>
      </c>
      <c r="E21" s="106">
        <f>IF(B21="","",IF('Arrear Sheet'!D21="TOTAL","",'Arrear Sheet'!F21))</f>
        <v>8336</v>
      </c>
      <c r="F21" s="106">
        <f>IF(B21="","",IF('Arrear Sheet'!E21="TOTAL","",'Arrear Sheet'!G21))</f>
        <v>20840</v>
      </c>
      <c r="G21" s="106">
        <f>IF(B21="","",IF('Arrear Sheet'!C21="TOTAL","",SUM(C21:F21)))</f>
        <v>154633</v>
      </c>
      <c r="H21" s="106">
        <f>IF(B21="","",IF('Arrear Sheet'!C21="TOTAL","",'Arrear Sheet'!I21))</f>
        <v>98800</v>
      </c>
      <c r="I21" s="106">
        <f>IF(B21="","",IF('Arrear Sheet'!C21="TOTAL","",'Arrear Sheet'!J21))</f>
        <v>20155</v>
      </c>
      <c r="J21" s="106">
        <f>IF(B21="","",IF('Arrear Sheet'!C21="TOTAL","",'Arrear Sheet'!K21))</f>
        <v>7904</v>
      </c>
      <c r="K21" s="106">
        <f>IF(B21="","",IF('Arrear Sheet'!D21="TOTAL","",'Arrear Sheet'!L21))</f>
        <v>19760</v>
      </c>
      <c r="L21" s="106">
        <f>IF(B21="","",IF('Arrear Sheet'!C21="TOTAL","",SUM(H21:K21)))</f>
        <v>146619</v>
      </c>
      <c r="M21" s="106">
        <f>IF(B21="","",IF('Arrear Sheet'!C21="TOTAL","",'Arrear Sheet'!N21))</f>
        <v>5400</v>
      </c>
      <c r="N21" s="106">
        <f>IF(B21="","",IF('Arrear Sheet'!C21="TOTAL","",'Arrear Sheet'!O21))</f>
        <v>1102</v>
      </c>
      <c r="O21" s="106">
        <f>IF(B21="","",IF('Arrear Sheet'!C21="TOTAL","",'Arrear Sheet'!P21))</f>
        <v>432</v>
      </c>
      <c r="P21" s="106">
        <f>IF(B21="","",IF('Arrear Sheet'!D21="TOTAL","",'Arrear Sheet'!Q21))</f>
        <v>1080</v>
      </c>
      <c r="Q21" s="106">
        <f>IF(B21="","",IF('Arrear Sheet'!C21="TOTAL","",SUM(M21:P21)))</f>
        <v>8014</v>
      </c>
      <c r="R21" s="106">
        <f>IF(B21="","",IF('Arrear Sheet'!C21="TOTAL","",'Arrear Sheet'!S21))</f>
        <v>12546</v>
      </c>
      <c r="S21" s="106">
        <f>IF(B21="","",IF('Arrear Sheet'!C21="TOTAL","",'Arrear Sheet'!T21))</f>
        <v>11896</v>
      </c>
      <c r="T21" s="106">
        <f>IF(B21="","",IF('Arrear Sheet'!C21="TOTAL","",'Arrear Sheet'!U21))</f>
        <v>650</v>
      </c>
      <c r="U21" s="106">
        <f>IF(B21="","",IF('Arrear Sheet'!C21="TOTAL","",'Arrear Sheet'!V21))</f>
        <v>2100</v>
      </c>
      <c r="V21" s="106">
        <f>IF(B21="","",IF('Arrear Sheet'!C21="TOTAL","",'Arrear Sheet'!W21))</f>
        <v>2100</v>
      </c>
      <c r="W21" s="106">
        <f>IF(B21="","",IF('Arrear Sheet'!C21="TOTAL","",'Arrear Sheet'!X21))</f>
        <v>0</v>
      </c>
      <c r="X21" s="106" t="str">
        <f>IF(B21="","",IF('Arrear Sheet'!C21="TOTAL","",'Arrear Sheet'!AB21))</f>
        <v/>
      </c>
      <c r="Y21" s="106" t="str">
        <f>IF(B21="","",IF('Arrear Sheet'!D21="TOTAL","",'Arrear Sheet'!AC21))</f>
        <v/>
      </c>
      <c r="Z21" s="106" t="str">
        <f>IF(B21="","",IF('Arrear Sheet'!E21="TOTAL","",'Arrear Sheet'!AD21))</f>
        <v/>
      </c>
      <c r="AA21" s="106" t="str">
        <f>IF(B21="","",IF('Arrear Sheet'!C21="TOTAL","",'Arrear Sheet'!Y21))</f>
        <v/>
      </c>
      <c r="AB21" s="106" t="str">
        <f>IF(B21="","",IF('Arrear Sheet'!C21="TOTAL","",'Arrear Sheet'!Z21))</f>
        <v/>
      </c>
      <c r="AC21" s="106" t="str">
        <f>IF(B21="","",IF('Arrear Sheet'!C21="TOTAL","",'Arrear Sheet'!AA21))</f>
        <v/>
      </c>
      <c r="AD21" s="106" t="str">
        <f>IF(B21="","",IF('Arrear Sheet'!C21="TOTAL","",'Arrear Sheet'!AE21))</f>
        <v/>
      </c>
      <c r="AE21" s="106">
        <f>IF(B21="","",IF('Arrear Sheet'!C21="TOTAL","",'Arrear Sheet'!AF21))</f>
        <v>0</v>
      </c>
      <c r="AF21" s="106">
        <f>IF(B21="","",'Arrear Sheet'!AG21)</f>
        <v>650</v>
      </c>
      <c r="AG21" s="24">
        <f>IFERROR(IF(B21="","",IF('Arrear Sheet'!C21="TOTAL","",SUM(Q21-AF21))),"")</f>
        <v>7364</v>
      </c>
      <c r="AH21" s="39"/>
      <c r="AI21" s="40"/>
      <c r="AK21" s="69"/>
      <c r="AL21" s="69"/>
      <c r="AM21" s="69"/>
      <c r="AN21" s="69"/>
      <c r="AO21" s="69"/>
      <c r="AP21" s="69"/>
    </row>
    <row r="22" spans="1:42" s="28" customFormat="1" ht="21" customHeight="1">
      <c r="A22" s="22">
        <f>IF('Arrear Sheet'!B22="","",'Arrear Sheet'!B22)</f>
        <v>15</v>
      </c>
      <c r="B22" s="23">
        <f>IF('Arrear Sheet'!C22="","",IF('Arrear Sheet'!C22="TOTAL","",'Arrear Sheet'!C22))</f>
        <v>43983</v>
      </c>
      <c r="C22" s="106">
        <f>IF('Arrear Sheet'!D22="","",IF('Arrear Sheet'!C22="TOTAL","",IF('Arrear Sheet'!D22="अक्षरें राशि :-","",'Arrear Sheet'!D22)))</f>
        <v>104200</v>
      </c>
      <c r="D22" s="106">
        <f>IF('Arrear Sheet'!E22="","",IF('Arrear Sheet'!C22="TOTAL","",'Arrear Sheet'!E22))</f>
        <v>21257</v>
      </c>
      <c r="E22" s="106">
        <f>IF(B22="","",IF('Arrear Sheet'!D22="TOTAL","",'Arrear Sheet'!F22))</f>
        <v>8336</v>
      </c>
      <c r="F22" s="106">
        <f>IF(B22="","",IF('Arrear Sheet'!E22="TOTAL","",'Arrear Sheet'!G22))</f>
        <v>20840</v>
      </c>
      <c r="G22" s="106">
        <f>IF(B22="","",IF('Arrear Sheet'!C22="TOTAL","",SUM(C22:F22)))</f>
        <v>154633</v>
      </c>
      <c r="H22" s="106">
        <f>IF(B22="","",IF('Arrear Sheet'!C22="TOTAL","",'Arrear Sheet'!I22))</f>
        <v>98800</v>
      </c>
      <c r="I22" s="106">
        <f>IF(B22="","",IF('Arrear Sheet'!C22="TOTAL","",'Arrear Sheet'!J22))</f>
        <v>20155</v>
      </c>
      <c r="J22" s="106">
        <f>IF(B22="","",IF('Arrear Sheet'!C22="TOTAL","",'Arrear Sheet'!K22))</f>
        <v>7904</v>
      </c>
      <c r="K22" s="106">
        <f>IF(B22="","",IF('Arrear Sheet'!D22="TOTAL","",'Arrear Sheet'!L22))</f>
        <v>19760</v>
      </c>
      <c r="L22" s="106">
        <f>IF(B22="","",IF('Arrear Sheet'!C22="TOTAL","",SUM(H22:K22)))</f>
        <v>146619</v>
      </c>
      <c r="M22" s="106">
        <f>IF(B22="","",IF('Arrear Sheet'!C22="TOTAL","",'Arrear Sheet'!N22))</f>
        <v>5400</v>
      </c>
      <c r="N22" s="106">
        <f>IF(B22="","",IF('Arrear Sheet'!C22="TOTAL","",'Arrear Sheet'!O22))</f>
        <v>1102</v>
      </c>
      <c r="O22" s="106">
        <f>IF(B22="","",IF('Arrear Sheet'!C22="TOTAL","",'Arrear Sheet'!P22))</f>
        <v>432</v>
      </c>
      <c r="P22" s="106">
        <f>IF(B22="","",IF('Arrear Sheet'!D22="TOTAL","",'Arrear Sheet'!Q22))</f>
        <v>1080</v>
      </c>
      <c r="Q22" s="106">
        <f>IF(B22="","",IF('Arrear Sheet'!C22="TOTAL","",SUM(M22:P22)))</f>
        <v>8014</v>
      </c>
      <c r="R22" s="106">
        <f>IF(B22="","",IF('Arrear Sheet'!C22="TOTAL","",'Arrear Sheet'!S22))</f>
        <v>12546</v>
      </c>
      <c r="S22" s="106">
        <f>IF(B22="","",IF('Arrear Sheet'!C22="TOTAL","",'Arrear Sheet'!T22))</f>
        <v>11896</v>
      </c>
      <c r="T22" s="106">
        <f>IF(B22="","",IF('Arrear Sheet'!C22="TOTAL","",'Arrear Sheet'!U22))</f>
        <v>650</v>
      </c>
      <c r="U22" s="106">
        <f>IF(B22="","",IF('Arrear Sheet'!C22="TOTAL","",'Arrear Sheet'!V22))</f>
        <v>2100</v>
      </c>
      <c r="V22" s="106">
        <f>IF(B22="","",IF('Arrear Sheet'!C22="TOTAL","",'Arrear Sheet'!W22))</f>
        <v>2100</v>
      </c>
      <c r="W22" s="106">
        <f>IF(B22="","",IF('Arrear Sheet'!C22="TOTAL","",'Arrear Sheet'!X22))</f>
        <v>0</v>
      </c>
      <c r="X22" s="106" t="str">
        <f>IF(B22="","",IF('Arrear Sheet'!C22="TOTAL","",'Arrear Sheet'!AB22))</f>
        <v/>
      </c>
      <c r="Y22" s="106" t="str">
        <f>IF(B22="","",IF('Arrear Sheet'!D22="TOTAL","",'Arrear Sheet'!AC22))</f>
        <v/>
      </c>
      <c r="Z22" s="106" t="str">
        <f>IF(B22="","",IF('Arrear Sheet'!E22="TOTAL","",'Arrear Sheet'!AD22))</f>
        <v/>
      </c>
      <c r="AA22" s="106" t="str">
        <f>IF(B22="","",IF('Arrear Sheet'!C22="TOTAL","",'Arrear Sheet'!Y22))</f>
        <v/>
      </c>
      <c r="AB22" s="106" t="str">
        <f>IF(B22="","",IF('Arrear Sheet'!C22="TOTAL","",'Arrear Sheet'!Z22))</f>
        <v/>
      </c>
      <c r="AC22" s="106" t="str">
        <f>IF(B22="","",IF('Arrear Sheet'!C22="TOTAL","",'Arrear Sheet'!AA22))</f>
        <v/>
      </c>
      <c r="AD22" s="106" t="str">
        <f>IF(B22="","",IF('Arrear Sheet'!C22="TOTAL","",'Arrear Sheet'!AE22))</f>
        <v/>
      </c>
      <c r="AE22" s="106">
        <f>IF(B22="","",IF('Arrear Sheet'!C22="TOTAL","",'Arrear Sheet'!AF22))</f>
        <v>0</v>
      </c>
      <c r="AF22" s="106">
        <f>IF(B22="","",'Arrear Sheet'!AG22)</f>
        <v>650</v>
      </c>
      <c r="AG22" s="24">
        <f>IFERROR(IF(B22="","",IF('Arrear Sheet'!C22="TOTAL","",SUM(Q22-AF22))),"")</f>
        <v>7364</v>
      </c>
      <c r="AH22" s="39"/>
      <c r="AI22" s="40"/>
      <c r="AK22" s="69"/>
      <c r="AL22" s="69"/>
      <c r="AM22" s="69"/>
      <c r="AN22" s="69"/>
      <c r="AO22" s="69"/>
      <c r="AP22" s="69"/>
    </row>
    <row r="23" spans="1:42" s="28" customFormat="1" ht="21" customHeight="1">
      <c r="A23" s="22">
        <f>IF('Arrear Sheet'!B23="","",'Arrear Sheet'!B23)</f>
        <v>16</v>
      </c>
      <c r="B23" s="23">
        <f>IF('Arrear Sheet'!C23="","",IF('Arrear Sheet'!C23="TOTAL","",'Arrear Sheet'!C23))</f>
        <v>44013</v>
      </c>
      <c r="C23" s="106">
        <f>IF('Arrear Sheet'!D23="","",IF('Arrear Sheet'!C23="TOTAL","",IF('Arrear Sheet'!D23="अक्षरें राशि :-","",'Arrear Sheet'!D23)))</f>
        <v>107300</v>
      </c>
      <c r="D23" s="106">
        <f>IF('Arrear Sheet'!E23="","",IF('Arrear Sheet'!C23="TOTAL","",'Arrear Sheet'!E23))</f>
        <v>21889</v>
      </c>
      <c r="E23" s="106">
        <f>IF(B23="","",IF('Arrear Sheet'!D23="TOTAL","",'Arrear Sheet'!F23))</f>
        <v>8584</v>
      </c>
      <c r="F23" s="106">
        <f>IF(B23="","",IF('Arrear Sheet'!E23="TOTAL","",'Arrear Sheet'!G23))</f>
        <v>21460</v>
      </c>
      <c r="G23" s="106">
        <f>IF(B23="","",IF('Arrear Sheet'!C23="TOTAL","",SUM(C23:F23)))</f>
        <v>159233</v>
      </c>
      <c r="H23" s="106">
        <f>IF(B23="","",IF('Arrear Sheet'!C23="TOTAL","",'Arrear Sheet'!I23))</f>
        <v>101800</v>
      </c>
      <c r="I23" s="106">
        <f>IF(B23="","",IF('Arrear Sheet'!C23="TOTAL","",'Arrear Sheet'!J23))</f>
        <v>20767</v>
      </c>
      <c r="J23" s="106">
        <f>IF(B23="","",IF('Arrear Sheet'!C23="TOTAL","",'Arrear Sheet'!K23))</f>
        <v>8144</v>
      </c>
      <c r="K23" s="106">
        <f>IF(B23="","",IF('Arrear Sheet'!D23="TOTAL","",'Arrear Sheet'!L23))</f>
        <v>20360</v>
      </c>
      <c r="L23" s="106">
        <f>IF(B23="","",IF('Arrear Sheet'!C23="TOTAL","",SUM(H23:K23)))</f>
        <v>151071</v>
      </c>
      <c r="M23" s="106">
        <f>IF(B23="","",IF('Arrear Sheet'!C23="TOTAL","",'Arrear Sheet'!N23))</f>
        <v>5500</v>
      </c>
      <c r="N23" s="106">
        <f>IF(B23="","",IF('Arrear Sheet'!C23="TOTAL","",'Arrear Sheet'!O23))</f>
        <v>1122</v>
      </c>
      <c r="O23" s="106">
        <f>IF(B23="","",IF('Arrear Sheet'!C23="TOTAL","",'Arrear Sheet'!P23))</f>
        <v>440</v>
      </c>
      <c r="P23" s="106">
        <f>IF(B23="","",IF('Arrear Sheet'!D23="TOTAL","",'Arrear Sheet'!Q23))</f>
        <v>1100</v>
      </c>
      <c r="Q23" s="106">
        <f>IF(B23="","",IF('Arrear Sheet'!C23="TOTAL","",SUM(M23:P23)))</f>
        <v>8162</v>
      </c>
      <c r="R23" s="106">
        <f>IF(B23="","",IF('Arrear Sheet'!C23="TOTAL","",'Arrear Sheet'!S23))</f>
        <v>12919</v>
      </c>
      <c r="S23" s="106">
        <f>IF(B23="","",IF('Arrear Sheet'!C23="TOTAL","",'Arrear Sheet'!T23))</f>
        <v>12257</v>
      </c>
      <c r="T23" s="106">
        <f>IF(B23="","",IF('Arrear Sheet'!C23="TOTAL","",'Arrear Sheet'!U23))</f>
        <v>662</v>
      </c>
      <c r="U23" s="106">
        <f>IF(B23="","",IF('Arrear Sheet'!C23="TOTAL","",'Arrear Sheet'!V23))</f>
        <v>2100</v>
      </c>
      <c r="V23" s="106">
        <f>IF(B23="","",IF('Arrear Sheet'!C23="TOTAL","",'Arrear Sheet'!W23))</f>
        <v>2100</v>
      </c>
      <c r="W23" s="106">
        <f>IF(B23="","",IF('Arrear Sheet'!C23="TOTAL","",'Arrear Sheet'!X23))</f>
        <v>0</v>
      </c>
      <c r="X23" s="106" t="str">
        <f>IF(B23="","",IF('Arrear Sheet'!C23="TOTAL","",'Arrear Sheet'!AB23))</f>
        <v/>
      </c>
      <c r="Y23" s="106" t="str">
        <f>IF(B23="","",IF('Arrear Sheet'!D23="TOTAL","",'Arrear Sheet'!AC23))</f>
        <v/>
      </c>
      <c r="Z23" s="106" t="str">
        <f>IF(B23="","",IF('Arrear Sheet'!E23="TOTAL","",'Arrear Sheet'!AD23))</f>
        <v/>
      </c>
      <c r="AA23" s="106" t="str">
        <f>IF(B23="","",IF('Arrear Sheet'!C23="TOTAL","",'Arrear Sheet'!Y23))</f>
        <v/>
      </c>
      <c r="AB23" s="106" t="str">
        <f>IF(B23="","",IF('Arrear Sheet'!C23="TOTAL","",'Arrear Sheet'!Z23))</f>
        <v/>
      </c>
      <c r="AC23" s="106" t="str">
        <f>IF(B23="","",IF('Arrear Sheet'!C23="TOTAL","",'Arrear Sheet'!AA23))</f>
        <v/>
      </c>
      <c r="AD23" s="106" t="str">
        <f>IF(B23="","",IF('Arrear Sheet'!C23="TOTAL","",'Arrear Sheet'!AE23))</f>
        <v/>
      </c>
      <c r="AE23" s="106">
        <f>IF(B23="","",IF('Arrear Sheet'!C23="TOTAL","",'Arrear Sheet'!AF23))</f>
        <v>0</v>
      </c>
      <c r="AF23" s="106">
        <f>IF(B23="","",'Arrear Sheet'!AG23)</f>
        <v>662</v>
      </c>
      <c r="AG23" s="24">
        <f>IFERROR(IF(B23="","",IF('Arrear Sheet'!C23="TOTAL","",SUM(Q23-AF23))),"")</f>
        <v>7500</v>
      </c>
      <c r="AH23" s="39"/>
      <c r="AI23" s="40"/>
      <c r="AK23" s="69"/>
      <c r="AL23" s="69"/>
      <c r="AM23" s="69"/>
      <c r="AN23" s="69"/>
      <c r="AO23" s="69"/>
      <c r="AP23" s="69"/>
    </row>
    <row r="24" spans="1:42" s="28" customFormat="1" ht="21" customHeight="1">
      <c r="A24" s="22">
        <f>IF('Arrear Sheet'!B24="","",'Arrear Sheet'!B24)</f>
        <v>17</v>
      </c>
      <c r="B24" s="23">
        <f>IF('Arrear Sheet'!C24="","",IF('Arrear Sheet'!C24="TOTAL","",'Arrear Sheet'!C24))</f>
        <v>44044</v>
      </c>
      <c r="C24" s="106">
        <f>IF('Arrear Sheet'!D24="","",IF('Arrear Sheet'!C24="TOTAL","",IF('Arrear Sheet'!D24="अक्षरें राशि :-","",'Arrear Sheet'!D24)))</f>
        <v>107300</v>
      </c>
      <c r="D24" s="106">
        <f>IF('Arrear Sheet'!E24="","",IF('Arrear Sheet'!C24="TOTAL","",'Arrear Sheet'!E24))</f>
        <v>21889</v>
      </c>
      <c r="E24" s="106">
        <f>IF(B24="","",IF('Arrear Sheet'!D24="TOTAL","",'Arrear Sheet'!F24))</f>
        <v>8584</v>
      </c>
      <c r="F24" s="106">
        <f>IF(B24="","",IF('Arrear Sheet'!E24="TOTAL","",'Arrear Sheet'!G24))</f>
        <v>21460</v>
      </c>
      <c r="G24" s="106">
        <f>IF(B24="","",IF('Arrear Sheet'!C24="TOTAL","",SUM(C24:F24)))</f>
        <v>159233</v>
      </c>
      <c r="H24" s="106">
        <f>IF(B24="","",IF('Arrear Sheet'!C24="TOTAL","",'Arrear Sheet'!I24))</f>
        <v>101800</v>
      </c>
      <c r="I24" s="106">
        <f>IF(B24="","",IF('Arrear Sheet'!C24="TOTAL","",'Arrear Sheet'!J24))</f>
        <v>20767</v>
      </c>
      <c r="J24" s="106">
        <f>IF(B24="","",IF('Arrear Sheet'!C24="TOTAL","",'Arrear Sheet'!K24))</f>
        <v>8144</v>
      </c>
      <c r="K24" s="106">
        <f>IF(B24="","",IF('Arrear Sheet'!D24="TOTAL","",'Arrear Sheet'!L24))</f>
        <v>20360</v>
      </c>
      <c r="L24" s="106">
        <f>IF(B24="","",IF('Arrear Sheet'!C24="TOTAL","",SUM(H24:K24)))</f>
        <v>151071</v>
      </c>
      <c r="M24" s="106">
        <f>IF(B24="","",IF('Arrear Sheet'!C24="TOTAL","",'Arrear Sheet'!N24))</f>
        <v>5500</v>
      </c>
      <c r="N24" s="106">
        <f>IF(B24="","",IF('Arrear Sheet'!C24="TOTAL","",'Arrear Sheet'!O24))</f>
        <v>1122</v>
      </c>
      <c r="O24" s="106">
        <f>IF(B24="","",IF('Arrear Sheet'!C24="TOTAL","",'Arrear Sheet'!P24))</f>
        <v>440</v>
      </c>
      <c r="P24" s="106">
        <f>IF(B24="","",IF('Arrear Sheet'!D24="TOTAL","",'Arrear Sheet'!Q24))</f>
        <v>1100</v>
      </c>
      <c r="Q24" s="106">
        <f>IF(B24="","",IF('Arrear Sheet'!C24="TOTAL","",SUM(M24:P24)))</f>
        <v>8162</v>
      </c>
      <c r="R24" s="106">
        <f>IF(B24="","",IF('Arrear Sheet'!C24="TOTAL","",'Arrear Sheet'!S24))</f>
        <v>12919</v>
      </c>
      <c r="S24" s="106">
        <f>IF(B24="","",IF('Arrear Sheet'!C24="TOTAL","",'Arrear Sheet'!T24))</f>
        <v>12257</v>
      </c>
      <c r="T24" s="106">
        <f>IF(B24="","",IF('Arrear Sheet'!C24="TOTAL","",'Arrear Sheet'!U24))</f>
        <v>662</v>
      </c>
      <c r="U24" s="106">
        <f>IF(B24="","",IF('Arrear Sheet'!C24="TOTAL","",'Arrear Sheet'!V24))</f>
        <v>2100</v>
      </c>
      <c r="V24" s="106">
        <f>IF(B24="","",IF('Arrear Sheet'!C24="TOTAL","",'Arrear Sheet'!W24))</f>
        <v>2100</v>
      </c>
      <c r="W24" s="106">
        <f>IF(B24="","",IF('Arrear Sheet'!C24="TOTAL","",'Arrear Sheet'!X24))</f>
        <v>0</v>
      </c>
      <c r="X24" s="106" t="str">
        <f>IF(B24="","",IF('Arrear Sheet'!C24="TOTAL","",'Arrear Sheet'!AB24))</f>
        <v/>
      </c>
      <c r="Y24" s="106" t="str">
        <f>IF(B24="","",IF('Arrear Sheet'!D24="TOTAL","",'Arrear Sheet'!AC24))</f>
        <v/>
      </c>
      <c r="Z24" s="106" t="str">
        <f>IF(B24="","",IF('Arrear Sheet'!E24="TOTAL","",'Arrear Sheet'!AD24))</f>
        <v/>
      </c>
      <c r="AA24" s="106" t="str">
        <f>IF(B24="","",IF('Arrear Sheet'!C24="TOTAL","",'Arrear Sheet'!Y24))</f>
        <v/>
      </c>
      <c r="AB24" s="106" t="str">
        <f>IF(B24="","",IF('Arrear Sheet'!C24="TOTAL","",'Arrear Sheet'!Z24))</f>
        <v/>
      </c>
      <c r="AC24" s="106" t="str">
        <f>IF(B24="","",IF('Arrear Sheet'!C24="TOTAL","",'Arrear Sheet'!AA24))</f>
        <v/>
      </c>
      <c r="AD24" s="106" t="str">
        <f>IF(B24="","",IF('Arrear Sheet'!C24="TOTAL","",'Arrear Sheet'!AE24))</f>
        <v/>
      </c>
      <c r="AE24" s="106">
        <f>IF(B24="","",IF('Arrear Sheet'!C24="TOTAL","",'Arrear Sheet'!AF24))</f>
        <v>0</v>
      </c>
      <c r="AF24" s="106">
        <f>IF(B24="","",'Arrear Sheet'!AG24)</f>
        <v>662</v>
      </c>
      <c r="AG24" s="24">
        <f>IFERROR(IF(B24="","",IF('Arrear Sheet'!C24="TOTAL","",SUM(Q24-AF24))),"")</f>
        <v>7500</v>
      </c>
      <c r="AH24" s="39"/>
      <c r="AI24" s="40"/>
      <c r="AK24" s="69"/>
      <c r="AL24" s="69"/>
      <c r="AM24" s="69"/>
      <c r="AN24" s="69"/>
      <c r="AO24" s="69"/>
      <c r="AP24" s="69"/>
    </row>
    <row r="25" spans="1:42" s="28" customFormat="1" ht="21" customHeight="1">
      <c r="A25" s="22">
        <f>IF('Arrear Sheet'!B25="","",'Arrear Sheet'!B25)</f>
        <v>18</v>
      </c>
      <c r="B25" s="23">
        <f>IF('Arrear Sheet'!C25="","",IF('Arrear Sheet'!C25="TOTAL","",'Arrear Sheet'!C25))</f>
        <v>44075</v>
      </c>
      <c r="C25" s="106">
        <f>IF('Arrear Sheet'!D25="","",IF('Arrear Sheet'!C25="TOTAL","",IF('Arrear Sheet'!D25="अक्षरें राशि :-","",'Arrear Sheet'!D25)))</f>
        <v>107300</v>
      </c>
      <c r="D25" s="106">
        <f>IF('Arrear Sheet'!E25="","",IF('Arrear Sheet'!C25="TOTAL","",'Arrear Sheet'!E25))</f>
        <v>21889</v>
      </c>
      <c r="E25" s="106">
        <f>IF(B25="","",IF('Arrear Sheet'!D25="TOTAL","",'Arrear Sheet'!F25))</f>
        <v>8584</v>
      </c>
      <c r="F25" s="106">
        <f>IF(B25="","",IF('Arrear Sheet'!E25="TOTAL","",'Arrear Sheet'!G25))</f>
        <v>21460</v>
      </c>
      <c r="G25" s="106">
        <f>IF(B25="","",IF('Arrear Sheet'!C25="TOTAL","",SUM(C25:F25)))</f>
        <v>159233</v>
      </c>
      <c r="H25" s="106">
        <f>IF(B25="","",IF('Arrear Sheet'!C25="TOTAL","",'Arrear Sheet'!I25))</f>
        <v>101800</v>
      </c>
      <c r="I25" s="106">
        <f>IF(B25="","",IF('Arrear Sheet'!C25="TOTAL","",'Arrear Sheet'!J25))</f>
        <v>20767</v>
      </c>
      <c r="J25" s="106">
        <f>IF(B25="","",IF('Arrear Sheet'!C25="TOTAL","",'Arrear Sheet'!K25))</f>
        <v>8144</v>
      </c>
      <c r="K25" s="106">
        <f>IF(B25="","",IF('Arrear Sheet'!D25="TOTAL","",'Arrear Sheet'!L25))</f>
        <v>20360</v>
      </c>
      <c r="L25" s="106">
        <f>IF(B25="","",IF('Arrear Sheet'!C25="TOTAL","",SUM(H25:K25)))</f>
        <v>151071</v>
      </c>
      <c r="M25" s="106">
        <f>IF(B25="","",IF('Arrear Sheet'!C25="TOTAL","",'Arrear Sheet'!N25))</f>
        <v>5500</v>
      </c>
      <c r="N25" s="106">
        <f>IF(B25="","",IF('Arrear Sheet'!C25="TOTAL","",'Arrear Sheet'!O25))</f>
        <v>1122</v>
      </c>
      <c r="O25" s="106">
        <f>IF(B25="","",IF('Arrear Sheet'!C25="TOTAL","",'Arrear Sheet'!P25))</f>
        <v>440</v>
      </c>
      <c r="P25" s="106">
        <f>IF(B25="","",IF('Arrear Sheet'!D25="TOTAL","",'Arrear Sheet'!Q25))</f>
        <v>1100</v>
      </c>
      <c r="Q25" s="106">
        <f>IF(B25="","",IF('Arrear Sheet'!C25="TOTAL","",SUM(M25:P25)))</f>
        <v>8162</v>
      </c>
      <c r="R25" s="106">
        <f>IF(B25="","",IF('Arrear Sheet'!C25="TOTAL","",'Arrear Sheet'!S25))</f>
        <v>12919</v>
      </c>
      <c r="S25" s="106">
        <f>IF(B25="","",IF('Arrear Sheet'!C25="TOTAL","",'Arrear Sheet'!T25))</f>
        <v>12257</v>
      </c>
      <c r="T25" s="106">
        <f>IF(B25="","",IF('Arrear Sheet'!C25="TOTAL","",'Arrear Sheet'!U25))</f>
        <v>662</v>
      </c>
      <c r="U25" s="106">
        <f>IF(B25="","",IF('Arrear Sheet'!C25="TOTAL","",'Arrear Sheet'!V25))</f>
        <v>2100</v>
      </c>
      <c r="V25" s="106">
        <f>IF(B25="","",IF('Arrear Sheet'!C25="TOTAL","",'Arrear Sheet'!W25))</f>
        <v>2100</v>
      </c>
      <c r="W25" s="106">
        <f>IF(B25="","",IF('Arrear Sheet'!C25="TOTAL","",'Arrear Sheet'!X25))</f>
        <v>0</v>
      </c>
      <c r="X25" s="106" t="str">
        <f>IF(B25="","",IF('Arrear Sheet'!C25="TOTAL","",'Arrear Sheet'!AB25))</f>
        <v/>
      </c>
      <c r="Y25" s="106" t="str">
        <f>IF(B25="","",IF('Arrear Sheet'!D25="TOTAL","",'Arrear Sheet'!AC25))</f>
        <v/>
      </c>
      <c r="Z25" s="106" t="str">
        <f>IF(B25="","",IF('Arrear Sheet'!E25="TOTAL","",'Arrear Sheet'!AD25))</f>
        <v/>
      </c>
      <c r="AA25" s="106" t="str">
        <f>IF(B25="","",IF('Arrear Sheet'!C25="TOTAL","",'Arrear Sheet'!Y25))</f>
        <v/>
      </c>
      <c r="AB25" s="106" t="str">
        <f>IF(B25="","",IF('Arrear Sheet'!C25="TOTAL","",'Arrear Sheet'!Z25))</f>
        <v/>
      </c>
      <c r="AC25" s="106" t="str">
        <f>IF(B25="","",IF('Arrear Sheet'!C25="TOTAL","",'Arrear Sheet'!AA25))</f>
        <v/>
      </c>
      <c r="AD25" s="106" t="str">
        <f>IF(B25="","",IF('Arrear Sheet'!C25="TOTAL","",'Arrear Sheet'!AE25))</f>
        <v/>
      </c>
      <c r="AE25" s="106">
        <f>IF(B25="","",IF('Arrear Sheet'!C25="TOTAL","",'Arrear Sheet'!AF25))</f>
        <v>0</v>
      </c>
      <c r="AF25" s="106">
        <f>IF(B25="","",'Arrear Sheet'!AG25)</f>
        <v>662</v>
      </c>
      <c r="AG25" s="24">
        <f>IFERROR(IF(B25="","",IF('Arrear Sheet'!C25="TOTAL","",SUM(Q25-AF25))),"")</f>
        <v>7500</v>
      </c>
      <c r="AH25" s="39"/>
      <c r="AI25" s="40"/>
      <c r="AK25" s="69"/>
      <c r="AL25" s="69"/>
      <c r="AM25" s="69"/>
      <c r="AN25" s="69"/>
      <c r="AO25" s="69"/>
      <c r="AP25" s="69"/>
    </row>
    <row r="26" spans="1:42" s="28" customFormat="1" ht="21" customHeight="1">
      <c r="A26" s="22">
        <f>IF('Arrear Sheet'!B26="","",'Arrear Sheet'!B26)</f>
        <v>19</v>
      </c>
      <c r="B26" s="23">
        <f>IF('Arrear Sheet'!C26="","",IF('Arrear Sheet'!C26="TOTAL","",'Arrear Sheet'!C26))</f>
        <v>44105</v>
      </c>
      <c r="C26" s="106">
        <f>IF('Arrear Sheet'!D26="","",IF('Arrear Sheet'!C26="TOTAL","",IF('Arrear Sheet'!D26="अक्षरें राशि :-","",'Arrear Sheet'!D26)))</f>
        <v>107300</v>
      </c>
      <c r="D26" s="106">
        <f>IF('Arrear Sheet'!E26="","",IF('Arrear Sheet'!C26="TOTAL","",'Arrear Sheet'!E26))</f>
        <v>21889</v>
      </c>
      <c r="E26" s="106">
        <f>IF(B26="","",IF('Arrear Sheet'!D26="TOTAL","",'Arrear Sheet'!F26))</f>
        <v>8584</v>
      </c>
      <c r="F26" s="106">
        <f>IF(B26="","",IF('Arrear Sheet'!E26="TOTAL","",'Arrear Sheet'!G26))</f>
        <v>21460</v>
      </c>
      <c r="G26" s="106">
        <f>IF(B26="","",IF('Arrear Sheet'!C26="TOTAL","",SUM(C26:F26)))</f>
        <v>159233</v>
      </c>
      <c r="H26" s="106">
        <f>IF(B26="","",IF('Arrear Sheet'!C26="TOTAL","",'Arrear Sheet'!I26))</f>
        <v>101800</v>
      </c>
      <c r="I26" s="106">
        <f>IF(B26="","",IF('Arrear Sheet'!C26="TOTAL","",'Arrear Sheet'!J26))</f>
        <v>20767</v>
      </c>
      <c r="J26" s="106">
        <f>IF(B26="","",IF('Arrear Sheet'!C26="TOTAL","",'Arrear Sheet'!K26))</f>
        <v>8144</v>
      </c>
      <c r="K26" s="106">
        <f>IF(B26="","",IF('Arrear Sheet'!D26="TOTAL","",'Arrear Sheet'!L26))</f>
        <v>20360</v>
      </c>
      <c r="L26" s="106">
        <f>IF(B26="","",IF('Arrear Sheet'!C26="TOTAL","",SUM(H26:K26)))</f>
        <v>151071</v>
      </c>
      <c r="M26" s="106">
        <f>IF(B26="","",IF('Arrear Sheet'!C26="TOTAL","",'Arrear Sheet'!N26))</f>
        <v>5500</v>
      </c>
      <c r="N26" s="106">
        <f>IF(B26="","",IF('Arrear Sheet'!C26="TOTAL","",'Arrear Sheet'!O26))</f>
        <v>1122</v>
      </c>
      <c r="O26" s="106">
        <f>IF(B26="","",IF('Arrear Sheet'!C26="TOTAL","",'Arrear Sheet'!P26))</f>
        <v>440</v>
      </c>
      <c r="P26" s="106">
        <f>IF(B26="","",IF('Arrear Sheet'!D26="TOTAL","",'Arrear Sheet'!Q26))</f>
        <v>1100</v>
      </c>
      <c r="Q26" s="106">
        <f>IF(B26="","",IF('Arrear Sheet'!C26="TOTAL","",SUM(M26:P26)))</f>
        <v>8162</v>
      </c>
      <c r="R26" s="106">
        <f>IF(B26="","",IF('Arrear Sheet'!C26="TOTAL","",'Arrear Sheet'!S26))</f>
        <v>12919</v>
      </c>
      <c r="S26" s="106">
        <f>IF(B26="","",IF('Arrear Sheet'!C26="TOTAL","",'Arrear Sheet'!T26))</f>
        <v>12257</v>
      </c>
      <c r="T26" s="106">
        <f>IF(B26="","",IF('Arrear Sheet'!C26="TOTAL","",'Arrear Sheet'!U26))</f>
        <v>662</v>
      </c>
      <c r="U26" s="106">
        <f>IF(B26="","",IF('Arrear Sheet'!C26="TOTAL","",'Arrear Sheet'!V26))</f>
        <v>2100</v>
      </c>
      <c r="V26" s="106">
        <f>IF(B26="","",IF('Arrear Sheet'!C26="TOTAL","",'Arrear Sheet'!W26))</f>
        <v>2100</v>
      </c>
      <c r="W26" s="106">
        <f>IF(B26="","",IF('Arrear Sheet'!C26="TOTAL","",'Arrear Sheet'!X26))</f>
        <v>0</v>
      </c>
      <c r="X26" s="106" t="str">
        <f>IF(B26="","",IF('Arrear Sheet'!C26="TOTAL","",'Arrear Sheet'!AB26))</f>
        <v/>
      </c>
      <c r="Y26" s="106" t="str">
        <f>IF(B26="","",IF('Arrear Sheet'!D26="TOTAL","",'Arrear Sheet'!AC26))</f>
        <v/>
      </c>
      <c r="Z26" s="106" t="str">
        <f>IF(B26="","",IF('Arrear Sheet'!E26="TOTAL","",'Arrear Sheet'!AD26))</f>
        <v/>
      </c>
      <c r="AA26" s="106" t="str">
        <f>IF(B26="","",IF('Arrear Sheet'!C26="TOTAL","",'Arrear Sheet'!Y26))</f>
        <v/>
      </c>
      <c r="AB26" s="106" t="str">
        <f>IF(B26="","",IF('Arrear Sheet'!C26="TOTAL","",'Arrear Sheet'!Z26))</f>
        <v/>
      </c>
      <c r="AC26" s="106" t="str">
        <f>IF(B26="","",IF('Arrear Sheet'!C26="TOTAL","",'Arrear Sheet'!AA26))</f>
        <v/>
      </c>
      <c r="AD26" s="106" t="str">
        <f>IF(B26="","",IF('Arrear Sheet'!C26="TOTAL","",'Arrear Sheet'!AE26))</f>
        <v/>
      </c>
      <c r="AE26" s="106">
        <f>IF(B26="","",IF('Arrear Sheet'!C26="TOTAL","",'Arrear Sheet'!AF26))</f>
        <v>0</v>
      </c>
      <c r="AF26" s="106">
        <f>IF(B26="","",'Arrear Sheet'!AG26)</f>
        <v>662</v>
      </c>
      <c r="AG26" s="24">
        <f>IFERROR(IF(B26="","",IF('Arrear Sheet'!C26="TOTAL","",SUM(Q26-AF26))),"")</f>
        <v>7500</v>
      </c>
      <c r="AH26" s="39"/>
      <c r="AI26" s="40"/>
      <c r="AK26" s="69"/>
      <c r="AL26" s="69"/>
      <c r="AM26" s="69"/>
      <c r="AN26" s="69"/>
      <c r="AO26" s="69"/>
      <c r="AP26" s="69"/>
    </row>
    <row r="27" spans="1:42" s="28" customFormat="1" ht="21" customHeight="1">
      <c r="A27" s="22">
        <f>IF('Arrear Sheet'!B27="","",'Arrear Sheet'!B27)</f>
        <v>20</v>
      </c>
      <c r="B27" s="23">
        <f>IF('Arrear Sheet'!C27="","",IF('Arrear Sheet'!C27="TOTAL","",'Arrear Sheet'!C27))</f>
        <v>44136</v>
      </c>
      <c r="C27" s="106">
        <f>IF('Arrear Sheet'!D27="","",IF('Arrear Sheet'!C27="TOTAL","",IF('Arrear Sheet'!D27="अक्षरें राशि :-","",'Arrear Sheet'!D27)))</f>
        <v>107300</v>
      </c>
      <c r="D27" s="106">
        <f>IF('Arrear Sheet'!E27="","",IF('Arrear Sheet'!C27="TOTAL","",'Arrear Sheet'!E27))</f>
        <v>21889</v>
      </c>
      <c r="E27" s="106">
        <f>IF(B27="","",IF('Arrear Sheet'!D27="TOTAL","",'Arrear Sheet'!F27))</f>
        <v>8584</v>
      </c>
      <c r="F27" s="106">
        <f>IF(B27="","",IF('Arrear Sheet'!E27="TOTAL","",'Arrear Sheet'!G27))</f>
        <v>21460</v>
      </c>
      <c r="G27" s="106">
        <f>IF(B27="","",IF('Arrear Sheet'!C27="TOTAL","",SUM(C27:F27)))</f>
        <v>159233</v>
      </c>
      <c r="H27" s="106">
        <f>IF(B27="","",IF('Arrear Sheet'!C27="TOTAL","",'Arrear Sheet'!I27))</f>
        <v>101800</v>
      </c>
      <c r="I27" s="106">
        <f>IF(B27="","",IF('Arrear Sheet'!C27="TOTAL","",'Arrear Sheet'!J27))</f>
        <v>20767</v>
      </c>
      <c r="J27" s="106">
        <f>IF(B27="","",IF('Arrear Sheet'!C27="TOTAL","",'Arrear Sheet'!K27))</f>
        <v>8144</v>
      </c>
      <c r="K27" s="106">
        <f>IF(B27="","",IF('Arrear Sheet'!D27="TOTAL","",'Arrear Sheet'!L27))</f>
        <v>20360</v>
      </c>
      <c r="L27" s="106">
        <f>IF(B27="","",IF('Arrear Sheet'!C27="TOTAL","",SUM(H27:K27)))</f>
        <v>151071</v>
      </c>
      <c r="M27" s="106">
        <f>IF(B27="","",IF('Arrear Sheet'!C27="TOTAL","",'Arrear Sheet'!N27))</f>
        <v>5500</v>
      </c>
      <c r="N27" s="106">
        <f>IF(B27="","",IF('Arrear Sheet'!C27="TOTAL","",'Arrear Sheet'!O27))</f>
        <v>1122</v>
      </c>
      <c r="O27" s="106">
        <f>IF(B27="","",IF('Arrear Sheet'!C27="TOTAL","",'Arrear Sheet'!P27))</f>
        <v>440</v>
      </c>
      <c r="P27" s="106">
        <f>IF(B27="","",IF('Arrear Sheet'!D27="TOTAL","",'Arrear Sheet'!Q27))</f>
        <v>1100</v>
      </c>
      <c r="Q27" s="106">
        <f>IF(B27="","",IF('Arrear Sheet'!C27="TOTAL","",SUM(M27:P27)))</f>
        <v>8162</v>
      </c>
      <c r="R27" s="106">
        <f>IF(B27="","",IF('Arrear Sheet'!C27="TOTAL","",'Arrear Sheet'!S27))</f>
        <v>12919</v>
      </c>
      <c r="S27" s="106">
        <f>IF(B27="","",IF('Arrear Sheet'!C27="TOTAL","",'Arrear Sheet'!T27))</f>
        <v>12257</v>
      </c>
      <c r="T27" s="106">
        <f>IF(B27="","",IF('Arrear Sheet'!C27="TOTAL","",'Arrear Sheet'!U27))</f>
        <v>662</v>
      </c>
      <c r="U27" s="106">
        <f>IF(B27="","",IF('Arrear Sheet'!C27="TOTAL","",'Arrear Sheet'!V27))</f>
        <v>2100</v>
      </c>
      <c r="V27" s="106">
        <f>IF(B27="","",IF('Arrear Sheet'!C27="TOTAL","",'Arrear Sheet'!W27))</f>
        <v>2100</v>
      </c>
      <c r="W27" s="106">
        <f>IF(B27="","",IF('Arrear Sheet'!C27="TOTAL","",'Arrear Sheet'!X27))</f>
        <v>0</v>
      </c>
      <c r="X27" s="106" t="str">
        <f>IF(B27="","",IF('Arrear Sheet'!C27="TOTAL","",'Arrear Sheet'!AB27))</f>
        <v/>
      </c>
      <c r="Y27" s="106" t="str">
        <f>IF(B27="","",IF('Arrear Sheet'!D27="TOTAL","",'Arrear Sheet'!AC27))</f>
        <v/>
      </c>
      <c r="Z27" s="106" t="str">
        <f>IF(B27="","",IF('Arrear Sheet'!E27="TOTAL","",'Arrear Sheet'!AD27))</f>
        <v/>
      </c>
      <c r="AA27" s="106" t="str">
        <f>IF(B27="","",IF('Arrear Sheet'!C27="TOTAL","",'Arrear Sheet'!Y27))</f>
        <v/>
      </c>
      <c r="AB27" s="106" t="str">
        <f>IF(B27="","",IF('Arrear Sheet'!C27="TOTAL","",'Arrear Sheet'!Z27))</f>
        <v/>
      </c>
      <c r="AC27" s="106" t="str">
        <f>IF(B27="","",IF('Arrear Sheet'!C27="TOTAL","",'Arrear Sheet'!AA27))</f>
        <v/>
      </c>
      <c r="AD27" s="106" t="str">
        <f>IF(B27="","",IF('Arrear Sheet'!C27="TOTAL","",'Arrear Sheet'!AE27))</f>
        <v/>
      </c>
      <c r="AE27" s="106">
        <f>IF(B27="","",IF('Arrear Sheet'!C27="TOTAL","",'Arrear Sheet'!AF27))</f>
        <v>0</v>
      </c>
      <c r="AF27" s="106">
        <f>IF(B27="","",'Arrear Sheet'!AG27)</f>
        <v>662</v>
      </c>
      <c r="AG27" s="24">
        <f>IFERROR(IF(B27="","",IF('Arrear Sheet'!C27="TOTAL","",SUM(Q27-AF27))),"")</f>
        <v>7500</v>
      </c>
      <c r="AH27" s="39"/>
      <c r="AI27" s="40"/>
      <c r="AK27" s="69"/>
      <c r="AL27" s="69"/>
      <c r="AM27" s="69"/>
      <c r="AN27" s="69"/>
      <c r="AO27" s="69"/>
      <c r="AP27" s="69"/>
    </row>
    <row r="28" spans="1:42" s="28" customFormat="1" ht="21" customHeight="1">
      <c r="A28" s="22">
        <f>IF('Arrear Sheet'!B28="","",'Arrear Sheet'!B28)</f>
        <v>21</v>
      </c>
      <c r="B28" s="23">
        <f>IF('Arrear Sheet'!C28="","",IF('Arrear Sheet'!C28="TOTAL","",'Arrear Sheet'!C28))</f>
        <v>44166</v>
      </c>
      <c r="C28" s="106">
        <f>IF('Arrear Sheet'!D28="","",IF('Arrear Sheet'!C28="TOTAL","",IF('Arrear Sheet'!D28="अक्षरें राशि :-","",'Arrear Sheet'!D28)))</f>
        <v>107300</v>
      </c>
      <c r="D28" s="106">
        <f>IF('Arrear Sheet'!E28="","",IF('Arrear Sheet'!C28="TOTAL","",'Arrear Sheet'!E28))</f>
        <v>21889</v>
      </c>
      <c r="E28" s="106">
        <f>IF(B28="","",IF('Arrear Sheet'!D28="TOTAL","",'Arrear Sheet'!F28))</f>
        <v>8584</v>
      </c>
      <c r="F28" s="106">
        <f>IF(B28="","",IF('Arrear Sheet'!E28="TOTAL","",'Arrear Sheet'!G28))</f>
        <v>21460</v>
      </c>
      <c r="G28" s="106">
        <f>IF(B28="","",IF('Arrear Sheet'!C28="TOTAL","",SUM(C28:F28)))</f>
        <v>159233</v>
      </c>
      <c r="H28" s="106">
        <f>IF(B28="","",IF('Arrear Sheet'!C28="TOTAL","",'Arrear Sheet'!I28))</f>
        <v>101800</v>
      </c>
      <c r="I28" s="106">
        <f>IF(B28="","",IF('Arrear Sheet'!C28="TOTAL","",'Arrear Sheet'!J28))</f>
        <v>20767</v>
      </c>
      <c r="J28" s="106">
        <f>IF(B28="","",IF('Arrear Sheet'!C28="TOTAL","",'Arrear Sheet'!K28))</f>
        <v>8144</v>
      </c>
      <c r="K28" s="106">
        <f>IF(B28="","",IF('Arrear Sheet'!D28="TOTAL","",'Arrear Sheet'!L28))</f>
        <v>20360</v>
      </c>
      <c r="L28" s="106">
        <f>IF(B28="","",IF('Arrear Sheet'!C28="TOTAL","",SUM(H28:K28)))</f>
        <v>151071</v>
      </c>
      <c r="M28" s="106">
        <f>IF(B28="","",IF('Arrear Sheet'!C28="TOTAL","",'Arrear Sheet'!N28))</f>
        <v>5500</v>
      </c>
      <c r="N28" s="106">
        <f>IF(B28="","",IF('Arrear Sheet'!C28="TOTAL","",'Arrear Sheet'!O28))</f>
        <v>1122</v>
      </c>
      <c r="O28" s="106">
        <f>IF(B28="","",IF('Arrear Sheet'!C28="TOTAL","",'Arrear Sheet'!P28))</f>
        <v>440</v>
      </c>
      <c r="P28" s="106">
        <f>IF(B28="","",IF('Arrear Sheet'!D28="TOTAL","",'Arrear Sheet'!Q28))</f>
        <v>1100</v>
      </c>
      <c r="Q28" s="106">
        <f>IF(B28="","",IF('Arrear Sheet'!C28="TOTAL","",SUM(M28:P28)))</f>
        <v>8162</v>
      </c>
      <c r="R28" s="106">
        <f>IF(B28="","",IF('Arrear Sheet'!C28="TOTAL","",'Arrear Sheet'!S28))</f>
        <v>12919</v>
      </c>
      <c r="S28" s="106">
        <f>IF(B28="","",IF('Arrear Sheet'!C28="TOTAL","",'Arrear Sheet'!T28))</f>
        <v>12257</v>
      </c>
      <c r="T28" s="106">
        <f>IF(B28="","",IF('Arrear Sheet'!C28="TOTAL","",'Arrear Sheet'!U28))</f>
        <v>662</v>
      </c>
      <c r="U28" s="106">
        <f>IF(B28="","",IF('Arrear Sheet'!C28="TOTAL","",'Arrear Sheet'!V28))</f>
        <v>2100</v>
      </c>
      <c r="V28" s="106">
        <f>IF(B28="","",IF('Arrear Sheet'!C28="TOTAL","",'Arrear Sheet'!W28))</f>
        <v>2100</v>
      </c>
      <c r="W28" s="106">
        <f>IF(B28="","",IF('Arrear Sheet'!C28="TOTAL","",'Arrear Sheet'!X28))</f>
        <v>0</v>
      </c>
      <c r="X28" s="106" t="str">
        <f>IF(B28="","",IF('Arrear Sheet'!C28="TOTAL","",'Arrear Sheet'!AB28))</f>
        <v/>
      </c>
      <c r="Y28" s="106" t="str">
        <f>IF(B28="","",IF('Arrear Sheet'!D28="TOTAL","",'Arrear Sheet'!AC28))</f>
        <v/>
      </c>
      <c r="Z28" s="106" t="str">
        <f>IF(B28="","",IF('Arrear Sheet'!E28="TOTAL","",'Arrear Sheet'!AD28))</f>
        <v/>
      </c>
      <c r="AA28" s="106" t="str">
        <f>IF(B28="","",IF('Arrear Sheet'!C28="TOTAL","",'Arrear Sheet'!Y28))</f>
        <v/>
      </c>
      <c r="AB28" s="106" t="str">
        <f>IF(B28="","",IF('Arrear Sheet'!C28="TOTAL","",'Arrear Sheet'!Z28))</f>
        <v/>
      </c>
      <c r="AC28" s="106" t="str">
        <f>IF(B28="","",IF('Arrear Sheet'!C28="TOTAL","",'Arrear Sheet'!AA28))</f>
        <v/>
      </c>
      <c r="AD28" s="106" t="str">
        <f>IF(B28="","",IF('Arrear Sheet'!C28="TOTAL","",'Arrear Sheet'!AE28))</f>
        <v/>
      </c>
      <c r="AE28" s="106">
        <f>IF(B28="","",IF('Arrear Sheet'!C28="TOTAL","",'Arrear Sheet'!AF28))</f>
        <v>0</v>
      </c>
      <c r="AF28" s="106">
        <f>IF(B28="","",'Arrear Sheet'!AG28)</f>
        <v>662</v>
      </c>
      <c r="AG28" s="24">
        <f>IFERROR(IF(B28="","",IF('Arrear Sheet'!C28="TOTAL","",SUM(Q28-AF28))),"")</f>
        <v>7500</v>
      </c>
      <c r="AH28" s="39"/>
      <c r="AI28" s="40"/>
      <c r="AK28" s="69"/>
      <c r="AL28" s="69"/>
      <c r="AM28" s="69"/>
      <c r="AN28" s="69"/>
      <c r="AO28" s="69"/>
      <c r="AP28" s="69"/>
    </row>
    <row r="29" spans="1:42" s="28" customFormat="1" ht="21" customHeight="1">
      <c r="A29" s="22">
        <f>IF('Arrear Sheet'!B29="","",'Arrear Sheet'!B29)</f>
        <v>22</v>
      </c>
      <c r="B29" s="23">
        <f>IF('Arrear Sheet'!C29="","",IF('Arrear Sheet'!C29="TOTAL","",'Arrear Sheet'!C29))</f>
        <v>44197</v>
      </c>
      <c r="C29" s="106">
        <f>IF('Arrear Sheet'!D29="","",IF('Arrear Sheet'!C29="TOTAL","",IF('Arrear Sheet'!D29="अक्षरें राशि :-","",'Arrear Sheet'!D29)))</f>
        <v>107300</v>
      </c>
      <c r="D29" s="106">
        <f>IF('Arrear Sheet'!E29="","",IF('Arrear Sheet'!C29="TOTAL","",'Arrear Sheet'!E29))</f>
        <v>21889</v>
      </c>
      <c r="E29" s="106">
        <f>IF(B29="","",IF('Arrear Sheet'!D29="TOTAL","",'Arrear Sheet'!F29))</f>
        <v>8584</v>
      </c>
      <c r="F29" s="106">
        <f>IF(B29="","",IF('Arrear Sheet'!E29="TOTAL","",'Arrear Sheet'!G29))</f>
        <v>21460</v>
      </c>
      <c r="G29" s="106">
        <f>IF(B29="","",IF('Arrear Sheet'!C29="TOTAL","",SUM(C29:F29)))</f>
        <v>159233</v>
      </c>
      <c r="H29" s="106">
        <f>IF(B29="","",IF('Arrear Sheet'!C29="TOTAL","",'Arrear Sheet'!I29))</f>
        <v>101800</v>
      </c>
      <c r="I29" s="106">
        <f>IF(B29="","",IF('Arrear Sheet'!C29="TOTAL","",'Arrear Sheet'!J29))</f>
        <v>20767</v>
      </c>
      <c r="J29" s="106">
        <f>IF(B29="","",IF('Arrear Sheet'!C29="TOTAL","",'Arrear Sheet'!K29))</f>
        <v>8144</v>
      </c>
      <c r="K29" s="106">
        <f>IF(B29="","",IF('Arrear Sheet'!D29="TOTAL","",'Arrear Sheet'!L29))</f>
        <v>20360</v>
      </c>
      <c r="L29" s="106">
        <f>IF(B29="","",IF('Arrear Sheet'!C29="TOTAL","",SUM(H29:K29)))</f>
        <v>151071</v>
      </c>
      <c r="M29" s="106">
        <f>IF(B29="","",IF('Arrear Sheet'!C29="TOTAL","",'Arrear Sheet'!N29))</f>
        <v>5500</v>
      </c>
      <c r="N29" s="106">
        <f>IF(B29="","",IF('Arrear Sheet'!C29="TOTAL","",'Arrear Sheet'!O29))</f>
        <v>1122</v>
      </c>
      <c r="O29" s="106">
        <f>IF(B29="","",IF('Arrear Sheet'!C29="TOTAL","",'Arrear Sheet'!P29))</f>
        <v>440</v>
      </c>
      <c r="P29" s="106">
        <f>IF(B29="","",IF('Arrear Sheet'!D29="TOTAL","",'Arrear Sheet'!Q29))</f>
        <v>1100</v>
      </c>
      <c r="Q29" s="106">
        <f>IF(B29="","",IF('Arrear Sheet'!C29="TOTAL","",SUM(M29:P29)))</f>
        <v>8162</v>
      </c>
      <c r="R29" s="106">
        <f>IF(B29="","",IF('Arrear Sheet'!C29="TOTAL","",'Arrear Sheet'!S29))</f>
        <v>12919</v>
      </c>
      <c r="S29" s="106">
        <f>IF(B29="","",IF('Arrear Sheet'!C29="TOTAL","",'Arrear Sheet'!T29))</f>
        <v>12257</v>
      </c>
      <c r="T29" s="106">
        <f>IF(B29="","",IF('Arrear Sheet'!C29="TOTAL","",'Arrear Sheet'!U29))</f>
        <v>662</v>
      </c>
      <c r="U29" s="106">
        <f>IF(B29="","",IF('Arrear Sheet'!C29="TOTAL","",'Arrear Sheet'!V29))</f>
        <v>2100</v>
      </c>
      <c r="V29" s="106">
        <f>IF(B29="","",IF('Arrear Sheet'!C29="TOTAL","",'Arrear Sheet'!W29))</f>
        <v>2100</v>
      </c>
      <c r="W29" s="106">
        <f>IF(B29="","",IF('Arrear Sheet'!C29="TOTAL","",'Arrear Sheet'!X29))</f>
        <v>0</v>
      </c>
      <c r="X29" s="106" t="str">
        <f>IF(B29="","",IF('Arrear Sheet'!C29="TOTAL","",'Arrear Sheet'!AB29))</f>
        <v/>
      </c>
      <c r="Y29" s="106" t="str">
        <f>IF(B29="","",IF('Arrear Sheet'!D29="TOTAL","",'Arrear Sheet'!AC29))</f>
        <v/>
      </c>
      <c r="Z29" s="106" t="str">
        <f>IF(B29="","",IF('Arrear Sheet'!E29="TOTAL","",'Arrear Sheet'!AD29))</f>
        <v/>
      </c>
      <c r="AA29" s="106" t="str">
        <f>IF(B29="","",IF('Arrear Sheet'!C29="TOTAL","",'Arrear Sheet'!Y29))</f>
        <v/>
      </c>
      <c r="AB29" s="106" t="str">
        <f>IF(B29="","",IF('Arrear Sheet'!C29="TOTAL","",'Arrear Sheet'!Z29))</f>
        <v/>
      </c>
      <c r="AC29" s="106" t="str">
        <f>IF(B29="","",IF('Arrear Sheet'!C29="TOTAL","",'Arrear Sheet'!AA29))</f>
        <v/>
      </c>
      <c r="AD29" s="106" t="str">
        <f>IF(B29="","",IF('Arrear Sheet'!C29="TOTAL","",'Arrear Sheet'!AE29))</f>
        <v/>
      </c>
      <c r="AE29" s="106">
        <f>IF(B29="","",IF('Arrear Sheet'!C29="TOTAL","",'Arrear Sheet'!AF29))</f>
        <v>0</v>
      </c>
      <c r="AF29" s="106">
        <f>IF(B29="","",'Arrear Sheet'!AG29)</f>
        <v>662</v>
      </c>
      <c r="AG29" s="24">
        <f>IFERROR(IF(B29="","",IF('Arrear Sheet'!C29="TOTAL","",SUM(Q29-AF29))),"")</f>
        <v>7500</v>
      </c>
      <c r="AH29" s="39"/>
      <c r="AI29" s="40"/>
      <c r="AK29" s="69"/>
      <c r="AL29" s="69"/>
      <c r="AM29" s="69"/>
      <c r="AN29" s="69"/>
      <c r="AO29" s="69"/>
      <c r="AP29" s="69"/>
    </row>
    <row r="30" spans="1:42" s="28" customFormat="1" ht="21" customHeight="1">
      <c r="A30" s="22">
        <f>IF('Arrear Sheet'!B30="","",'Arrear Sheet'!B30)</f>
        <v>23</v>
      </c>
      <c r="B30" s="23">
        <f>IF('Arrear Sheet'!C30="","",IF('Arrear Sheet'!C30="TOTAL","",'Arrear Sheet'!C30))</f>
        <v>44228</v>
      </c>
      <c r="C30" s="106">
        <f>IF('Arrear Sheet'!D30="","",IF('Arrear Sheet'!C30="TOTAL","",IF('Arrear Sheet'!D30="अक्षरें राशि :-","",'Arrear Sheet'!D30)))</f>
        <v>107300</v>
      </c>
      <c r="D30" s="106">
        <f>IF('Arrear Sheet'!E30="","",IF('Arrear Sheet'!C30="TOTAL","",'Arrear Sheet'!E30))</f>
        <v>21889</v>
      </c>
      <c r="E30" s="106">
        <f>IF(B30="","",IF('Arrear Sheet'!D30="TOTAL","",'Arrear Sheet'!F30))</f>
        <v>8584</v>
      </c>
      <c r="F30" s="106">
        <f>IF(B30="","",IF('Arrear Sheet'!E30="TOTAL","",'Arrear Sheet'!G30))</f>
        <v>21460</v>
      </c>
      <c r="G30" s="106">
        <f>IF(B30="","",IF('Arrear Sheet'!C30="TOTAL","",SUM(C30:F30)))</f>
        <v>159233</v>
      </c>
      <c r="H30" s="106">
        <f>IF(B30="","",IF('Arrear Sheet'!C30="TOTAL","",'Arrear Sheet'!I30))</f>
        <v>101800</v>
      </c>
      <c r="I30" s="106">
        <f>IF(B30="","",IF('Arrear Sheet'!C30="TOTAL","",'Arrear Sheet'!J30))</f>
        <v>20767</v>
      </c>
      <c r="J30" s="106">
        <f>IF(B30="","",IF('Arrear Sheet'!C30="TOTAL","",'Arrear Sheet'!K30))</f>
        <v>8144</v>
      </c>
      <c r="K30" s="106">
        <f>IF(B30="","",IF('Arrear Sheet'!D30="TOTAL","",'Arrear Sheet'!L30))</f>
        <v>20360</v>
      </c>
      <c r="L30" s="106">
        <f>IF(B30="","",IF('Arrear Sheet'!C30="TOTAL","",SUM(H30:K30)))</f>
        <v>151071</v>
      </c>
      <c r="M30" s="106">
        <f>IF(B30="","",IF('Arrear Sheet'!C30="TOTAL","",'Arrear Sheet'!N30))</f>
        <v>5500</v>
      </c>
      <c r="N30" s="106">
        <f>IF(B30="","",IF('Arrear Sheet'!C30="TOTAL","",'Arrear Sheet'!O30))</f>
        <v>1122</v>
      </c>
      <c r="O30" s="106">
        <f>IF(B30="","",IF('Arrear Sheet'!C30="TOTAL","",'Arrear Sheet'!P30))</f>
        <v>440</v>
      </c>
      <c r="P30" s="106">
        <f>IF(B30="","",IF('Arrear Sheet'!D30="TOTAL","",'Arrear Sheet'!Q30))</f>
        <v>1100</v>
      </c>
      <c r="Q30" s="106">
        <f>IF(B30="","",IF('Arrear Sheet'!C30="TOTAL","",SUM(M30:P30)))</f>
        <v>8162</v>
      </c>
      <c r="R30" s="106">
        <f>IF(B30="","",IF('Arrear Sheet'!C30="TOTAL","",'Arrear Sheet'!S30))</f>
        <v>12919</v>
      </c>
      <c r="S30" s="106">
        <f>IF(B30="","",IF('Arrear Sheet'!C30="TOTAL","",'Arrear Sheet'!T30))</f>
        <v>12257</v>
      </c>
      <c r="T30" s="106">
        <f>IF(B30="","",IF('Arrear Sheet'!C30="TOTAL","",'Arrear Sheet'!U30))</f>
        <v>662</v>
      </c>
      <c r="U30" s="106">
        <f>IF(B30="","",IF('Arrear Sheet'!C30="TOTAL","",'Arrear Sheet'!V30))</f>
        <v>2100</v>
      </c>
      <c r="V30" s="106">
        <f>IF(B30="","",IF('Arrear Sheet'!C30="TOTAL","",'Arrear Sheet'!W30))</f>
        <v>2100</v>
      </c>
      <c r="W30" s="106">
        <f>IF(B30="","",IF('Arrear Sheet'!C30="TOTAL","",'Arrear Sheet'!X30))</f>
        <v>0</v>
      </c>
      <c r="X30" s="106" t="str">
        <f>IF(B30="","",IF('Arrear Sheet'!C30="TOTAL","",'Arrear Sheet'!AB30))</f>
        <v/>
      </c>
      <c r="Y30" s="106" t="str">
        <f>IF(B30="","",IF('Arrear Sheet'!D30="TOTAL","",'Arrear Sheet'!AC30))</f>
        <v/>
      </c>
      <c r="Z30" s="106" t="str">
        <f>IF(B30="","",IF('Arrear Sheet'!E30="TOTAL","",'Arrear Sheet'!AD30))</f>
        <v/>
      </c>
      <c r="AA30" s="106" t="str">
        <f>IF(B30="","",IF('Arrear Sheet'!C30="TOTAL","",'Arrear Sheet'!Y30))</f>
        <v/>
      </c>
      <c r="AB30" s="106" t="str">
        <f>IF(B30="","",IF('Arrear Sheet'!C30="TOTAL","",'Arrear Sheet'!Z30))</f>
        <v/>
      </c>
      <c r="AC30" s="106" t="str">
        <f>IF(B30="","",IF('Arrear Sheet'!C30="TOTAL","",'Arrear Sheet'!AA30))</f>
        <v/>
      </c>
      <c r="AD30" s="106" t="str">
        <f>IF(B30="","",IF('Arrear Sheet'!C30="TOTAL","",'Arrear Sheet'!AE30))</f>
        <v/>
      </c>
      <c r="AE30" s="106">
        <f>IF(B30="","",IF('Arrear Sheet'!C30="TOTAL","",'Arrear Sheet'!AF30))</f>
        <v>0</v>
      </c>
      <c r="AF30" s="106">
        <f>IF(B30="","",'Arrear Sheet'!AG30)</f>
        <v>662</v>
      </c>
      <c r="AG30" s="24">
        <f>IFERROR(IF(B30="","",IF('Arrear Sheet'!C30="TOTAL","",SUM(Q30-AF30))),"")</f>
        <v>7500</v>
      </c>
      <c r="AH30" s="39"/>
      <c r="AI30" s="40"/>
      <c r="AK30" s="69"/>
      <c r="AL30" s="69"/>
      <c r="AM30" s="69"/>
      <c r="AN30" s="69"/>
      <c r="AO30" s="69"/>
      <c r="AP30" s="69"/>
    </row>
    <row r="31" spans="1:42" s="28" customFormat="1" ht="21" customHeight="1">
      <c r="A31" s="22">
        <f>IF('Arrear Sheet'!B31="","",'Arrear Sheet'!B31)</f>
        <v>24</v>
      </c>
      <c r="B31" s="23">
        <f>IF('Arrear Sheet'!C31="","",IF('Arrear Sheet'!C31="TOTAL","",'Arrear Sheet'!C31))</f>
        <v>44256</v>
      </c>
      <c r="C31" s="106">
        <f>IF('Arrear Sheet'!D31="","",IF('Arrear Sheet'!C31="TOTAL","",IF('Arrear Sheet'!D31="अक्षरें राशि :-","",'Arrear Sheet'!D31)))</f>
        <v>107300</v>
      </c>
      <c r="D31" s="106">
        <f>IF('Arrear Sheet'!E31="","",IF('Arrear Sheet'!C31="TOTAL","",'Arrear Sheet'!E31))</f>
        <v>21889</v>
      </c>
      <c r="E31" s="106">
        <f>IF(B31="","",IF('Arrear Sheet'!D31="TOTAL","",'Arrear Sheet'!F31))</f>
        <v>8584</v>
      </c>
      <c r="F31" s="106">
        <f>IF(B31="","",IF('Arrear Sheet'!E31="TOTAL","",'Arrear Sheet'!G31))</f>
        <v>21460</v>
      </c>
      <c r="G31" s="106">
        <f>IF(B31="","",IF('Arrear Sheet'!C31="TOTAL","",SUM(C31:F31)))</f>
        <v>159233</v>
      </c>
      <c r="H31" s="106">
        <f>IF(B31="","",IF('Arrear Sheet'!C31="TOTAL","",'Arrear Sheet'!I31))</f>
        <v>101800</v>
      </c>
      <c r="I31" s="106">
        <f>IF(B31="","",IF('Arrear Sheet'!C31="TOTAL","",'Arrear Sheet'!J31))</f>
        <v>20767</v>
      </c>
      <c r="J31" s="106">
        <f>IF(B31="","",IF('Arrear Sheet'!C31="TOTAL","",'Arrear Sheet'!K31))</f>
        <v>8144</v>
      </c>
      <c r="K31" s="106">
        <f>IF(B31="","",IF('Arrear Sheet'!D31="TOTAL","",'Arrear Sheet'!L31))</f>
        <v>20360</v>
      </c>
      <c r="L31" s="106">
        <f>IF(B31="","",IF('Arrear Sheet'!C31="TOTAL","",SUM(H31:K31)))</f>
        <v>151071</v>
      </c>
      <c r="M31" s="106">
        <f>IF(B31="","",IF('Arrear Sheet'!C31="TOTAL","",'Arrear Sheet'!N31))</f>
        <v>5500</v>
      </c>
      <c r="N31" s="106">
        <f>IF(B31="","",IF('Arrear Sheet'!C31="TOTAL","",'Arrear Sheet'!O31))</f>
        <v>1122</v>
      </c>
      <c r="O31" s="106">
        <f>IF(B31="","",IF('Arrear Sheet'!C31="TOTAL","",'Arrear Sheet'!P31))</f>
        <v>440</v>
      </c>
      <c r="P31" s="106">
        <f>IF(B31="","",IF('Arrear Sheet'!D31="TOTAL","",'Arrear Sheet'!Q31))</f>
        <v>1100</v>
      </c>
      <c r="Q31" s="106">
        <f>IF(B31="","",IF('Arrear Sheet'!C31="TOTAL","",SUM(M31:P31)))</f>
        <v>8162</v>
      </c>
      <c r="R31" s="106">
        <f>IF(B31="","",IF('Arrear Sheet'!C31="TOTAL","",'Arrear Sheet'!S31))</f>
        <v>12919</v>
      </c>
      <c r="S31" s="106">
        <f>IF(B31="","",IF('Arrear Sheet'!C31="TOTAL","",'Arrear Sheet'!T31))</f>
        <v>12257</v>
      </c>
      <c r="T31" s="106">
        <f>IF(B31="","",IF('Arrear Sheet'!C31="TOTAL","",'Arrear Sheet'!U31))</f>
        <v>662</v>
      </c>
      <c r="U31" s="106">
        <f>IF(B31="","",IF('Arrear Sheet'!C31="TOTAL","",'Arrear Sheet'!V31))</f>
        <v>2100</v>
      </c>
      <c r="V31" s="106">
        <f>IF(B31="","",IF('Arrear Sheet'!C31="TOTAL","",'Arrear Sheet'!W31))</f>
        <v>2100</v>
      </c>
      <c r="W31" s="106">
        <f>IF(B31="","",IF('Arrear Sheet'!C31="TOTAL","",'Arrear Sheet'!X31))</f>
        <v>0</v>
      </c>
      <c r="X31" s="106" t="str">
        <f>IF(B31="","",IF('Arrear Sheet'!C31="TOTAL","",'Arrear Sheet'!AB31))</f>
        <v/>
      </c>
      <c r="Y31" s="106" t="str">
        <f>IF(B31="","",IF('Arrear Sheet'!D31="TOTAL","",'Arrear Sheet'!AC31))</f>
        <v/>
      </c>
      <c r="Z31" s="106" t="str">
        <f>IF(B31="","",IF('Arrear Sheet'!E31="TOTAL","",'Arrear Sheet'!AD31))</f>
        <v/>
      </c>
      <c r="AA31" s="106" t="str">
        <f>IF(B31="","",IF('Arrear Sheet'!C31="TOTAL","",'Arrear Sheet'!Y31))</f>
        <v/>
      </c>
      <c r="AB31" s="106" t="str">
        <f>IF(B31="","",IF('Arrear Sheet'!C31="TOTAL","",'Arrear Sheet'!Z31))</f>
        <v/>
      </c>
      <c r="AC31" s="106" t="str">
        <f>IF(B31="","",IF('Arrear Sheet'!C31="TOTAL","",'Arrear Sheet'!AA31))</f>
        <v/>
      </c>
      <c r="AD31" s="106" t="str">
        <f>IF(B31="","",IF('Arrear Sheet'!C31="TOTAL","",'Arrear Sheet'!AE31))</f>
        <v/>
      </c>
      <c r="AE31" s="106">
        <f>IF(B31="","",IF('Arrear Sheet'!C31="TOTAL","",'Arrear Sheet'!AF31))</f>
        <v>0</v>
      </c>
      <c r="AF31" s="106">
        <f>IF(B31="","",'Arrear Sheet'!AG31)</f>
        <v>662</v>
      </c>
      <c r="AG31" s="24">
        <f>IFERROR(IF(B31="","",IF('Arrear Sheet'!C31="TOTAL","",SUM(Q31-AF31))),"")</f>
        <v>7500</v>
      </c>
      <c r="AH31" s="39"/>
      <c r="AI31" s="40"/>
      <c r="AK31" s="69"/>
      <c r="AL31" s="69"/>
      <c r="AM31" s="69"/>
      <c r="AN31" s="69"/>
      <c r="AO31" s="69"/>
      <c r="AP31" s="69"/>
    </row>
    <row r="32" spans="1:42" s="28" customFormat="1" ht="21" customHeight="1">
      <c r="A32" s="22">
        <f>IF('Arrear Sheet'!B32="","",'Arrear Sheet'!B32)</f>
        <v>25</v>
      </c>
      <c r="B32" s="23">
        <f>IF('Arrear Sheet'!C32="","",IF('Arrear Sheet'!C32="TOTAL","",'Arrear Sheet'!C32))</f>
        <v>44287</v>
      </c>
      <c r="C32" s="106">
        <f>IF('Arrear Sheet'!D32="","",IF('Arrear Sheet'!C32="TOTAL","",IF('Arrear Sheet'!D32="अक्षरें राशि :-","",'Arrear Sheet'!D32)))</f>
        <v>107300</v>
      </c>
      <c r="D32" s="106">
        <f>IF('Arrear Sheet'!E32="","",IF('Arrear Sheet'!C32="TOTAL","",'Arrear Sheet'!E32))</f>
        <v>21889</v>
      </c>
      <c r="E32" s="106">
        <f>IF(B32="","",IF('Arrear Sheet'!D32="TOTAL","",'Arrear Sheet'!F32))</f>
        <v>8584</v>
      </c>
      <c r="F32" s="106">
        <f>IF(B32="","",IF('Arrear Sheet'!E32="TOTAL","",'Arrear Sheet'!G32))</f>
        <v>21460</v>
      </c>
      <c r="G32" s="106">
        <f>IF(B32="","",IF('Arrear Sheet'!C32="TOTAL","",SUM(C32:F32)))</f>
        <v>159233</v>
      </c>
      <c r="H32" s="106">
        <f>IF(B32="","",IF('Arrear Sheet'!C32="TOTAL","",'Arrear Sheet'!I32))</f>
        <v>101800</v>
      </c>
      <c r="I32" s="106">
        <f>IF(B32="","",IF('Arrear Sheet'!C32="TOTAL","",'Arrear Sheet'!J32))</f>
        <v>20767</v>
      </c>
      <c r="J32" s="106">
        <f>IF(B32="","",IF('Arrear Sheet'!C32="TOTAL","",'Arrear Sheet'!K32))</f>
        <v>8144</v>
      </c>
      <c r="K32" s="106">
        <f>IF(B32="","",IF('Arrear Sheet'!D32="TOTAL","",'Arrear Sheet'!L32))</f>
        <v>20360</v>
      </c>
      <c r="L32" s="106">
        <f>IF(B32="","",IF('Arrear Sheet'!C32="TOTAL","",SUM(H32:K32)))</f>
        <v>151071</v>
      </c>
      <c r="M32" s="106">
        <f>IF(B32="","",IF('Arrear Sheet'!C32="TOTAL","",'Arrear Sheet'!N32))</f>
        <v>5500</v>
      </c>
      <c r="N32" s="106">
        <f>IF(B32="","",IF('Arrear Sheet'!C32="TOTAL","",'Arrear Sheet'!O32))</f>
        <v>1122</v>
      </c>
      <c r="O32" s="106">
        <f>IF(B32="","",IF('Arrear Sheet'!C32="TOTAL","",'Arrear Sheet'!P32))</f>
        <v>440</v>
      </c>
      <c r="P32" s="106">
        <f>IF(B32="","",IF('Arrear Sheet'!D32="TOTAL","",'Arrear Sheet'!Q32))</f>
        <v>1100</v>
      </c>
      <c r="Q32" s="106">
        <f>IF(B32="","",IF('Arrear Sheet'!C32="TOTAL","",SUM(M32:P32)))</f>
        <v>8162</v>
      </c>
      <c r="R32" s="106">
        <f>IF(B32="","",IF('Arrear Sheet'!C32="TOTAL","",'Arrear Sheet'!S32))</f>
        <v>12919</v>
      </c>
      <c r="S32" s="106">
        <f>IF(B32="","",IF('Arrear Sheet'!C32="TOTAL","",'Arrear Sheet'!T32))</f>
        <v>12257</v>
      </c>
      <c r="T32" s="106">
        <f>IF(B32="","",IF('Arrear Sheet'!C32="TOTAL","",'Arrear Sheet'!U32))</f>
        <v>662</v>
      </c>
      <c r="U32" s="106">
        <f>IF(B32="","",IF('Arrear Sheet'!C32="TOTAL","",'Arrear Sheet'!V32))</f>
        <v>2100</v>
      </c>
      <c r="V32" s="106">
        <f>IF(B32="","",IF('Arrear Sheet'!C32="TOTAL","",'Arrear Sheet'!W32))</f>
        <v>2100</v>
      </c>
      <c r="W32" s="106">
        <f>IF(B32="","",IF('Arrear Sheet'!C32="TOTAL","",'Arrear Sheet'!X32))</f>
        <v>0</v>
      </c>
      <c r="X32" s="106" t="str">
        <f>IF(B32="","",IF('Arrear Sheet'!C32="TOTAL","",'Arrear Sheet'!AB32))</f>
        <v/>
      </c>
      <c r="Y32" s="106" t="str">
        <f>IF(B32="","",IF('Arrear Sheet'!D32="TOTAL","",'Arrear Sheet'!AC32))</f>
        <v/>
      </c>
      <c r="Z32" s="106" t="str">
        <f>IF(B32="","",IF('Arrear Sheet'!E32="TOTAL","",'Arrear Sheet'!AD32))</f>
        <v/>
      </c>
      <c r="AA32" s="106" t="str">
        <f>IF(B32="","",IF('Arrear Sheet'!C32="TOTAL","",'Arrear Sheet'!Y32))</f>
        <v/>
      </c>
      <c r="AB32" s="106" t="str">
        <f>IF(B32="","",IF('Arrear Sheet'!C32="TOTAL","",'Arrear Sheet'!Z32))</f>
        <v/>
      </c>
      <c r="AC32" s="106" t="str">
        <f>IF(B32="","",IF('Arrear Sheet'!C32="TOTAL","",'Arrear Sheet'!AA32))</f>
        <v/>
      </c>
      <c r="AD32" s="106" t="str">
        <f>IF(B32="","",IF('Arrear Sheet'!C32="TOTAL","",'Arrear Sheet'!AE32))</f>
        <v/>
      </c>
      <c r="AE32" s="106">
        <f>IF(B32="","",IF('Arrear Sheet'!C32="TOTAL","",'Arrear Sheet'!AF32))</f>
        <v>0</v>
      </c>
      <c r="AF32" s="106">
        <f>IF(B32="","",'Arrear Sheet'!AG32)</f>
        <v>662</v>
      </c>
      <c r="AG32" s="24">
        <f>IFERROR(IF(B32="","",IF('Arrear Sheet'!C32="TOTAL","",SUM(Q32-AF32))),"")</f>
        <v>7500</v>
      </c>
      <c r="AH32" s="39"/>
      <c r="AI32" s="40"/>
      <c r="AK32" s="69"/>
      <c r="AL32" s="69"/>
      <c r="AM32" s="69"/>
      <c r="AN32" s="69"/>
      <c r="AO32" s="69"/>
      <c r="AP32" s="69"/>
    </row>
    <row r="33" spans="1:42" s="28" customFormat="1" ht="21" customHeight="1">
      <c r="A33" s="22">
        <f>IF('Arrear Sheet'!B33="","",'Arrear Sheet'!B33)</f>
        <v>26</v>
      </c>
      <c r="B33" s="23">
        <f>IF('Arrear Sheet'!C33="","",IF('Arrear Sheet'!C33="TOTAL","",'Arrear Sheet'!C33))</f>
        <v>44317</v>
      </c>
      <c r="C33" s="106">
        <f>IF('Arrear Sheet'!D33="","",IF('Arrear Sheet'!C33="TOTAL","",IF('Arrear Sheet'!D33="अक्षरें राशि :-","",'Arrear Sheet'!D33)))</f>
        <v>107300</v>
      </c>
      <c r="D33" s="106">
        <f>IF('Arrear Sheet'!E33="","",IF('Arrear Sheet'!C33="TOTAL","",'Arrear Sheet'!E33))</f>
        <v>21889</v>
      </c>
      <c r="E33" s="106">
        <f>IF(B33="","",IF('Arrear Sheet'!D33="TOTAL","",'Arrear Sheet'!F33))</f>
        <v>8584</v>
      </c>
      <c r="F33" s="106">
        <f>IF(B33="","",IF('Arrear Sheet'!E33="TOTAL","",'Arrear Sheet'!G33))</f>
        <v>21460</v>
      </c>
      <c r="G33" s="106">
        <f>IF(B33="","",IF('Arrear Sheet'!C33="TOTAL","",SUM(C33:F33)))</f>
        <v>159233</v>
      </c>
      <c r="H33" s="106">
        <f>IF(B33="","",IF('Arrear Sheet'!C33="TOTAL","",'Arrear Sheet'!I33))</f>
        <v>101800</v>
      </c>
      <c r="I33" s="106">
        <f>IF(B33="","",IF('Arrear Sheet'!C33="TOTAL","",'Arrear Sheet'!J33))</f>
        <v>20767</v>
      </c>
      <c r="J33" s="106">
        <f>IF(B33="","",IF('Arrear Sheet'!C33="TOTAL","",'Arrear Sheet'!K33))</f>
        <v>8144</v>
      </c>
      <c r="K33" s="106">
        <f>IF(B33="","",IF('Arrear Sheet'!D33="TOTAL","",'Arrear Sheet'!L33))</f>
        <v>20360</v>
      </c>
      <c r="L33" s="106">
        <f>IF(B33="","",IF('Arrear Sheet'!C33="TOTAL","",SUM(H33:K33)))</f>
        <v>151071</v>
      </c>
      <c r="M33" s="106">
        <f>IF(B33="","",IF('Arrear Sheet'!C33="TOTAL","",'Arrear Sheet'!N33))</f>
        <v>5500</v>
      </c>
      <c r="N33" s="106">
        <f>IF(B33="","",IF('Arrear Sheet'!C33="TOTAL","",'Arrear Sheet'!O33))</f>
        <v>1122</v>
      </c>
      <c r="O33" s="106">
        <f>IF(B33="","",IF('Arrear Sheet'!C33="TOTAL","",'Arrear Sheet'!P33))</f>
        <v>440</v>
      </c>
      <c r="P33" s="106">
        <f>IF(B33="","",IF('Arrear Sheet'!D33="TOTAL","",'Arrear Sheet'!Q33))</f>
        <v>1100</v>
      </c>
      <c r="Q33" s="106">
        <f>IF(B33="","",IF('Arrear Sheet'!C33="TOTAL","",SUM(M33:P33)))</f>
        <v>8162</v>
      </c>
      <c r="R33" s="106">
        <f>IF(B33="","",IF('Arrear Sheet'!C33="TOTAL","",'Arrear Sheet'!S33))</f>
        <v>12919</v>
      </c>
      <c r="S33" s="106">
        <f>IF(B33="","",IF('Arrear Sheet'!C33="TOTAL","",'Arrear Sheet'!T33))</f>
        <v>12257</v>
      </c>
      <c r="T33" s="106">
        <f>IF(B33="","",IF('Arrear Sheet'!C33="TOTAL","",'Arrear Sheet'!U33))</f>
        <v>662</v>
      </c>
      <c r="U33" s="106">
        <f>IF(B33="","",IF('Arrear Sheet'!C33="TOTAL","",'Arrear Sheet'!V33))</f>
        <v>2100</v>
      </c>
      <c r="V33" s="106">
        <f>IF(B33="","",IF('Arrear Sheet'!C33="TOTAL","",'Arrear Sheet'!W33))</f>
        <v>2100</v>
      </c>
      <c r="W33" s="106">
        <f>IF(B33="","",IF('Arrear Sheet'!C33="TOTAL","",'Arrear Sheet'!X33))</f>
        <v>0</v>
      </c>
      <c r="X33" s="106" t="str">
        <f>IF(B33="","",IF('Arrear Sheet'!C33="TOTAL","",'Arrear Sheet'!AB33))</f>
        <v/>
      </c>
      <c r="Y33" s="106" t="str">
        <f>IF(B33="","",IF('Arrear Sheet'!D33="TOTAL","",'Arrear Sheet'!AC33))</f>
        <v/>
      </c>
      <c r="Z33" s="106" t="str">
        <f>IF(B33="","",IF('Arrear Sheet'!E33="TOTAL","",'Arrear Sheet'!AD33))</f>
        <v/>
      </c>
      <c r="AA33" s="106" t="str">
        <f>IF(B33="","",IF('Arrear Sheet'!C33="TOTAL","",'Arrear Sheet'!Y33))</f>
        <v/>
      </c>
      <c r="AB33" s="106" t="str">
        <f>IF(B33="","",IF('Arrear Sheet'!C33="TOTAL","",'Arrear Sheet'!Z33))</f>
        <v/>
      </c>
      <c r="AC33" s="106" t="str">
        <f>IF(B33="","",IF('Arrear Sheet'!C33="TOTAL","",'Arrear Sheet'!AA33))</f>
        <v/>
      </c>
      <c r="AD33" s="106" t="str">
        <f>IF(B33="","",IF('Arrear Sheet'!C33="TOTAL","",'Arrear Sheet'!AE33))</f>
        <v/>
      </c>
      <c r="AE33" s="106">
        <f>IF(B33="","",IF('Arrear Sheet'!C33="TOTAL","",'Arrear Sheet'!AF33))</f>
        <v>0</v>
      </c>
      <c r="AF33" s="106">
        <f>IF(B33="","",'Arrear Sheet'!AG33)</f>
        <v>662</v>
      </c>
      <c r="AG33" s="24">
        <f>IFERROR(IF(B33="","",IF('Arrear Sheet'!C33="TOTAL","",SUM(Q33-AF33))),"")</f>
        <v>7500</v>
      </c>
      <c r="AH33" s="39"/>
      <c r="AI33" s="40"/>
      <c r="AK33" s="69"/>
      <c r="AL33" s="69"/>
      <c r="AM33" s="69"/>
      <c r="AN33" s="69"/>
      <c r="AO33" s="69"/>
      <c r="AP33" s="69"/>
    </row>
    <row r="34" spans="1:42" s="28" customFormat="1" ht="21" customHeight="1">
      <c r="A34" s="22">
        <f>IF('Arrear Sheet'!B34="","",'Arrear Sheet'!B34)</f>
        <v>27</v>
      </c>
      <c r="B34" s="23">
        <f>IF('Arrear Sheet'!C34="","",IF('Arrear Sheet'!C34="TOTAL","",'Arrear Sheet'!C34))</f>
        <v>44348</v>
      </c>
      <c r="C34" s="106">
        <f>IF('Arrear Sheet'!D34="","",IF('Arrear Sheet'!C34="TOTAL","",IF('Arrear Sheet'!D34="अक्षरें राशि :-","",'Arrear Sheet'!D34)))</f>
        <v>107300</v>
      </c>
      <c r="D34" s="106">
        <f>IF('Arrear Sheet'!E34="","",IF('Arrear Sheet'!C34="TOTAL","",'Arrear Sheet'!E34))</f>
        <v>21889</v>
      </c>
      <c r="E34" s="106">
        <f>IF(B34="","",IF('Arrear Sheet'!D34="TOTAL","",'Arrear Sheet'!F34))</f>
        <v>8584</v>
      </c>
      <c r="F34" s="106">
        <f>IF(B34="","",IF('Arrear Sheet'!E34="TOTAL","",'Arrear Sheet'!G34))</f>
        <v>21460</v>
      </c>
      <c r="G34" s="106">
        <f>IF(B34="","",IF('Arrear Sheet'!C34="TOTAL","",SUM(C34:F34)))</f>
        <v>159233</v>
      </c>
      <c r="H34" s="106">
        <f>IF(B34="","",IF('Arrear Sheet'!C34="TOTAL","",'Arrear Sheet'!I34))</f>
        <v>101800</v>
      </c>
      <c r="I34" s="106">
        <f>IF(B34="","",IF('Arrear Sheet'!C34="TOTAL","",'Arrear Sheet'!J34))</f>
        <v>20767</v>
      </c>
      <c r="J34" s="106">
        <f>IF(B34="","",IF('Arrear Sheet'!C34="TOTAL","",'Arrear Sheet'!K34))</f>
        <v>8144</v>
      </c>
      <c r="K34" s="106">
        <f>IF(B34="","",IF('Arrear Sheet'!D34="TOTAL","",'Arrear Sheet'!L34))</f>
        <v>20360</v>
      </c>
      <c r="L34" s="106">
        <f>IF(B34="","",IF('Arrear Sheet'!C34="TOTAL","",SUM(H34:K34)))</f>
        <v>151071</v>
      </c>
      <c r="M34" s="106">
        <f>IF(B34="","",IF('Arrear Sheet'!C34="TOTAL","",'Arrear Sheet'!N34))</f>
        <v>5500</v>
      </c>
      <c r="N34" s="106">
        <f>IF(B34="","",IF('Arrear Sheet'!C34="TOTAL","",'Arrear Sheet'!O34))</f>
        <v>1122</v>
      </c>
      <c r="O34" s="106">
        <f>IF(B34="","",IF('Arrear Sheet'!C34="TOTAL","",'Arrear Sheet'!P34))</f>
        <v>440</v>
      </c>
      <c r="P34" s="106">
        <f>IF(B34="","",IF('Arrear Sheet'!D34="TOTAL","",'Arrear Sheet'!Q34))</f>
        <v>1100</v>
      </c>
      <c r="Q34" s="106">
        <f>IF(B34="","",IF('Arrear Sheet'!C34="TOTAL","",SUM(M34:P34)))</f>
        <v>8162</v>
      </c>
      <c r="R34" s="106">
        <f>IF(B34="","",IF('Arrear Sheet'!C34="TOTAL","",'Arrear Sheet'!S34))</f>
        <v>12919</v>
      </c>
      <c r="S34" s="106">
        <f>IF(B34="","",IF('Arrear Sheet'!C34="TOTAL","",'Arrear Sheet'!T34))</f>
        <v>12257</v>
      </c>
      <c r="T34" s="106">
        <f>IF(B34="","",IF('Arrear Sheet'!C34="TOTAL","",'Arrear Sheet'!U34))</f>
        <v>662</v>
      </c>
      <c r="U34" s="106">
        <f>IF(B34="","",IF('Arrear Sheet'!C34="TOTAL","",'Arrear Sheet'!V34))</f>
        <v>2100</v>
      </c>
      <c r="V34" s="106">
        <f>IF(B34="","",IF('Arrear Sheet'!C34="TOTAL","",'Arrear Sheet'!W34))</f>
        <v>2100</v>
      </c>
      <c r="W34" s="106">
        <f>IF(B34="","",IF('Arrear Sheet'!C34="TOTAL","",'Arrear Sheet'!X34))</f>
        <v>0</v>
      </c>
      <c r="X34" s="106" t="str">
        <f>IF(B34="","",IF('Arrear Sheet'!C34="TOTAL","",'Arrear Sheet'!AB34))</f>
        <v/>
      </c>
      <c r="Y34" s="106" t="str">
        <f>IF(B34="","",IF('Arrear Sheet'!D34="TOTAL","",'Arrear Sheet'!AC34))</f>
        <v/>
      </c>
      <c r="Z34" s="106" t="str">
        <f>IF(B34="","",IF('Arrear Sheet'!E34="TOTAL","",'Arrear Sheet'!AD34))</f>
        <v/>
      </c>
      <c r="AA34" s="106" t="str">
        <f>IF(B34="","",IF('Arrear Sheet'!C34="TOTAL","",'Arrear Sheet'!Y34))</f>
        <v/>
      </c>
      <c r="AB34" s="106" t="str">
        <f>IF(B34="","",IF('Arrear Sheet'!C34="TOTAL","",'Arrear Sheet'!Z34))</f>
        <v/>
      </c>
      <c r="AC34" s="106" t="str">
        <f>IF(B34="","",IF('Arrear Sheet'!C34="TOTAL","",'Arrear Sheet'!AA34))</f>
        <v/>
      </c>
      <c r="AD34" s="106" t="str">
        <f>IF(B34="","",IF('Arrear Sheet'!C34="TOTAL","",'Arrear Sheet'!AE34))</f>
        <v/>
      </c>
      <c r="AE34" s="106">
        <f>IF(B34="","",IF('Arrear Sheet'!C34="TOTAL","",'Arrear Sheet'!AF34))</f>
        <v>0</v>
      </c>
      <c r="AF34" s="106">
        <f>IF(B34="","",'Arrear Sheet'!AG34)</f>
        <v>662</v>
      </c>
      <c r="AG34" s="24">
        <f>IFERROR(IF(B34="","",IF('Arrear Sheet'!C34="TOTAL","",SUM(Q34-AF34))),"")</f>
        <v>7500</v>
      </c>
      <c r="AH34" s="39"/>
      <c r="AI34" s="40"/>
      <c r="AK34" s="69"/>
      <c r="AL34" s="69"/>
      <c r="AM34" s="69"/>
      <c r="AN34" s="69"/>
      <c r="AO34" s="69"/>
      <c r="AP34" s="69"/>
    </row>
    <row r="35" spans="1:42" s="28" customFormat="1" ht="21" customHeight="1">
      <c r="A35" s="22">
        <f>IF('Arrear Sheet'!B35="","",'Arrear Sheet'!B35)</f>
        <v>28</v>
      </c>
      <c r="B35" s="23">
        <f>IF('Arrear Sheet'!C35="","",IF('Arrear Sheet'!C35="TOTAL","",'Arrear Sheet'!C35))</f>
        <v>44378</v>
      </c>
      <c r="C35" s="106">
        <f>IF('Arrear Sheet'!D35="","",IF('Arrear Sheet'!C35="TOTAL","",IF('Arrear Sheet'!D35="अक्षरें राशि :-","",'Arrear Sheet'!D35)))</f>
        <v>110500</v>
      </c>
      <c r="D35" s="106">
        <f>IF('Arrear Sheet'!E35="","",IF('Arrear Sheet'!C35="TOTAL","",'Arrear Sheet'!E35))</f>
        <v>41106</v>
      </c>
      <c r="E35" s="106">
        <f>IF(B35="","",IF('Arrear Sheet'!D35="TOTAL","",'Arrear Sheet'!F35))</f>
        <v>9945</v>
      </c>
      <c r="F35" s="106">
        <f>IF(B35="","",IF('Arrear Sheet'!E35="TOTAL","",'Arrear Sheet'!G35))</f>
        <v>22100</v>
      </c>
      <c r="G35" s="106">
        <f>IF(B35="","",IF('Arrear Sheet'!C35="TOTAL","",SUM(C35:F35)))</f>
        <v>183651</v>
      </c>
      <c r="H35" s="106">
        <f>IF(B35="","",IF('Arrear Sheet'!C35="TOTAL","",'Arrear Sheet'!I35))</f>
        <v>104900</v>
      </c>
      <c r="I35" s="106">
        <f>IF(B35="","",IF('Arrear Sheet'!C35="TOTAL","",'Arrear Sheet'!J35))</f>
        <v>39023</v>
      </c>
      <c r="J35" s="106">
        <f>IF(B35="","",IF('Arrear Sheet'!C35="TOTAL","",'Arrear Sheet'!K35))</f>
        <v>9441</v>
      </c>
      <c r="K35" s="106">
        <f>IF(B35="","",IF('Arrear Sheet'!D35="TOTAL","",'Arrear Sheet'!L35))</f>
        <v>20980</v>
      </c>
      <c r="L35" s="106">
        <f>IF(B35="","",IF('Arrear Sheet'!C35="TOTAL","",SUM(H35:K35)))</f>
        <v>174344</v>
      </c>
      <c r="M35" s="106">
        <f>IF(B35="","",IF('Arrear Sheet'!C35="TOTAL","",'Arrear Sheet'!N35))</f>
        <v>5600</v>
      </c>
      <c r="N35" s="106">
        <f>IF(B35="","",IF('Arrear Sheet'!C35="TOTAL","",'Arrear Sheet'!O35))</f>
        <v>2083</v>
      </c>
      <c r="O35" s="106">
        <f>IF(B35="","",IF('Arrear Sheet'!C35="TOTAL","",'Arrear Sheet'!P35))</f>
        <v>504</v>
      </c>
      <c r="P35" s="106">
        <f>IF(B35="","",IF('Arrear Sheet'!D35="TOTAL","",'Arrear Sheet'!Q35))</f>
        <v>1120</v>
      </c>
      <c r="Q35" s="106">
        <f>IF(B35="","",IF('Arrear Sheet'!C35="TOTAL","",SUM(M35:P35)))</f>
        <v>9307</v>
      </c>
      <c r="R35" s="106">
        <f>IF(B35="","",IF('Arrear Sheet'!C35="TOTAL","",'Arrear Sheet'!S35))</f>
        <v>15161</v>
      </c>
      <c r="S35" s="106">
        <f>IF(B35="","",IF('Arrear Sheet'!C35="TOTAL","",'Arrear Sheet'!T35))</f>
        <v>14392</v>
      </c>
      <c r="T35" s="106">
        <f>IF(B35="","",IF('Arrear Sheet'!C35="TOTAL","",'Arrear Sheet'!U35))</f>
        <v>769</v>
      </c>
      <c r="U35" s="106">
        <f>IF(B35="","",IF('Arrear Sheet'!C35="TOTAL","",'Arrear Sheet'!V35))</f>
        <v>2100</v>
      </c>
      <c r="V35" s="106">
        <f>IF(B35="","",IF('Arrear Sheet'!C35="TOTAL","",'Arrear Sheet'!W35))</f>
        <v>2100</v>
      </c>
      <c r="W35" s="106">
        <f>IF(B35="","",IF('Arrear Sheet'!C35="TOTAL","",'Arrear Sheet'!X35))</f>
        <v>0</v>
      </c>
      <c r="X35" s="106" t="str">
        <f>IF(B35="","",IF('Arrear Sheet'!C35="TOTAL","",'Arrear Sheet'!AB35))</f>
        <v/>
      </c>
      <c r="Y35" s="106" t="str">
        <f>IF(B35="","",IF('Arrear Sheet'!D35="TOTAL","",'Arrear Sheet'!AC35))</f>
        <v/>
      </c>
      <c r="Z35" s="106" t="str">
        <f>IF(B35="","",IF('Arrear Sheet'!E35="TOTAL","",'Arrear Sheet'!AD35))</f>
        <v/>
      </c>
      <c r="AA35" s="106" t="str">
        <f>IF(B35="","",IF('Arrear Sheet'!C35="TOTAL","",'Arrear Sheet'!Y35))</f>
        <v/>
      </c>
      <c r="AB35" s="106" t="str">
        <f>IF(B35="","",IF('Arrear Sheet'!C35="TOTAL","",'Arrear Sheet'!Z35))</f>
        <v/>
      </c>
      <c r="AC35" s="106" t="str">
        <f>IF(B35="","",IF('Arrear Sheet'!C35="TOTAL","",'Arrear Sheet'!AA35))</f>
        <v/>
      </c>
      <c r="AD35" s="106">
        <f>IF(B35="","",IF('Arrear Sheet'!C35="TOTAL","",'Arrear Sheet'!AE35))</f>
        <v>168</v>
      </c>
      <c r="AE35" s="106">
        <f>IF(B35="","",IF('Arrear Sheet'!C35="TOTAL","",'Arrear Sheet'!AF35))</f>
        <v>0</v>
      </c>
      <c r="AF35" s="106">
        <f>IF(B35="","",'Arrear Sheet'!AG35)</f>
        <v>937</v>
      </c>
      <c r="AG35" s="24">
        <f>IFERROR(IF(B35="","",IF('Arrear Sheet'!C35="TOTAL","",SUM(Q35-AF35))),"")</f>
        <v>8370</v>
      </c>
      <c r="AH35" s="39"/>
      <c r="AI35" s="40"/>
      <c r="AK35" s="69"/>
      <c r="AL35" s="69"/>
      <c r="AM35" s="69"/>
      <c r="AN35" s="69"/>
      <c r="AO35" s="69"/>
      <c r="AP35" s="69"/>
    </row>
    <row r="36" spans="1:42" s="28" customFormat="1" ht="21" customHeight="1">
      <c r="A36" s="22">
        <f>IF('Arrear Sheet'!B36="","",'Arrear Sheet'!B36)</f>
        <v>29</v>
      </c>
      <c r="B36" s="23">
        <f>IF('Arrear Sheet'!C36="","",IF('Arrear Sheet'!C36="TOTAL","",'Arrear Sheet'!C36))</f>
        <v>44409</v>
      </c>
      <c r="C36" s="106">
        <f>IF('Arrear Sheet'!D36="","",IF('Arrear Sheet'!C36="TOTAL","",IF('Arrear Sheet'!D36="अक्षरें राशि :-","",'Arrear Sheet'!D36)))</f>
        <v>110500</v>
      </c>
      <c r="D36" s="106">
        <f>IF('Arrear Sheet'!E36="","",IF('Arrear Sheet'!C36="TOTAL","",'Arrear Sheet'!E36))</f>
        <v>41106</v>
      </c>
      <c r="E36" s="106">
        <f>IF(B36="","",IF('Arrear Sheet'!D36="TOTAL","",'Arrear Sheet'!F36))</f>
        <v>9945</v>
      </c>
      <c r="F36" s="106">
        <f>IF(B36="","",IF('Arrear Sheet'!E36="TOTAL","",'Arrear Sheet'!G36))</f>
        <v>22100</v>
      </c>
      <c r="G36" s="106">
        <f>IF(B36="","",IF('Arrear Sheet'!C36="TOTAL","",SUM(C36:F36)))</f>
        <v>183651</v>
      </c>
      <c r="H36" s="106">
        <f>IF(B36="","",IF('Arrear Sheet'!C36="TOTAL","",'Arrear Sheet'!I36))</f>
        <v>104900</v>
      </c>
      <c r="I36" s="106">
        <f>IF(B36="","",IF('Arrear Sheet'!C36="TOTAL","",'Arrear Sheet'!J36))</f>
        <v>39023</v>
      </c>
      <c r="J36" s="106">
        <f>IF(B36="","",IF('Arrear Sheet'!C36="TOTAL","",'Arrear Sheet'!K36))</f>
        <v>9441</v>
      </c>
      <c r="K36" s="106">
        <f>IF(B36="","",IF('Arrear Sheet'!D36="TOTAL","",'Arrear Sheet'!L36))</f>
        <v>20980</v>
      </c>
      <c r="L36" s="106">
        <f>IF(B36="","",IF('Arrear Sheet'!C36="TOTAL","",SUM(H36:K36)))</f>
        <v>174344</v>
      </c>
      <c r="M36" s="106">
        <f>IF(B36="","",IF('Arrear Sheet'!C36="TOTAL","",'Arrear Sheet'!N36))</f>
        <v>5600</v>
      </c>
      <c r="N36" s="106">
        <f>IF(B36="","",IF('Arrear Sheet'!C36="TOTAL","",'Arrear Sheet'!O36))</f>
        <v>2083</v>
      </c>
      <c r="O36" s="106">
        <f>IF(B36="","",IF('Arrear Sheet'!C36="TOTAL","",'Arrear Sheet'!P36))</f>
        <v>504</v>
      </c>
      <c r="P36" s="106">
        <f>IF(B36="","",IF('Arrear Sheet'!D36="TOTAL","",'Arrear Sheet'!Q36))</f>
        <v>1120</v>
      </c>
      <c r="Q36" s="106">
        <f>IF(B36="","",IF('Arrear Sheet'!C36="TOTAL","",SUM(M36:P36)))</f>
        <v>9307</v>
      </c>
      <c r="R36" s="106">
        <f>IF(B36="","",IF('Arrear Sheet'!C36="TOTAL","",'Arrear Sheet'!S36))</f>
        <v>15161</v>
      </c>
      <c r="S36" s="106">
        <f>IF(B36="","",IF('Arrear Sheet'!C36="TOTAL","",'Arrear Sheet'!T36))</f>
        <v>14392</v>
      </c>
      <c r="T36" s="106">
        <f>IF(B36="","",IF('Arrear Sheet'!C36="TOTAL","",'Arrear Sheet'!U36))</f>
        <v>769</v>
      </c>
      <c r="U36" s="106">
        <f>IF(B36="","",IF('Arrear Sheet'!C36="TOTAL","",'Arrear Sheet'!V36))</f>
        <v>2100</v>
      </c>
      <c r="V36" s="106">
        <f>IF(B36="","",IF('Arrear Sheet'!C36="TOTAL","",'Arrear Sheet'!W36))</f>
        <v>2100</v>
      </c>
      <c r="W36" s="106">
        <f>IF(B36="","",IF('Arrear Sheet'!C36="TOTAL","",'Arrear Sheet'!X36))</f>
        <v>0</v>
      </c>
      <c r="X36" s="106" t="str">
        <f>IF(B36="","",IF('Arrear Sheet'!C36="TOTAL","",'Arrear Sheet'!AB36))</f>
        <v/>
      </c>
      <c r="Y36" s="106" t="str">
        <f>IF(B36="","",IF('Arrear Sheet'!D36="TOTAL","",'Arrear Sheet'!AC36))</f>
        <v/>
      </c>
      <c r="Z36" s="106" t="str">
        <f>IF(B36="","",IF('Arrear Sheet'!E36="TOTAL","",'Arrear Sheet'!AD36))</f>
        <v/>
      </c>
      <c r="AA36" s="106" t="str">
        <f>IF(B36="","",IF('Arrear Sheet'!C36="TOTAL","",'Arrear Sheet'!Y36))</f>
        <v/>
      </c>
      <c r="AB36" s="106" t="str">
        <f>IF(B36="","",IF('Arrear Sheet'!C36="TOTAL","",'Arrear Sheet'!Z36))</f>
        <v/>
      </c>
      <c r="AC36" s="106" t="str">
        <f>IF(B36="","",IF('Arrear Sheet'!C36="TOTAL","",'Arrear Sheet'!AA36))</f>
        <v/>
      </c>
      <c r="AD36" s="106">
        <f>IF(B36="","",IF('Arrear Sheet'!C36="TOTAL","",'Arrear Sheet'!AE36))</f>
        <v>168</v>
      </c>
      <c r="AE36" s="106">
        <f>IF(B36="","",IF('Arrear Sheet'!C36="TOTAL","",'Arrear Sheet'!AF36))</f>
        <v>0</v>
      </c>
      <c r="AF36" s="106">
        <f>IF(B36="","",'Arrear Sheet'!AG36)</f>
        <v>937</v>
      </c>
      <c r="AG36" s="24">
        <f>IFERROR(IF(B36="","",IF('Arrear Sheet'!C36="TOTAL","",SUM(Q36-AF36))),"")</f>
        <v>8370</v>
      </c>
      <c r="AH36" s="39"/>
      <c r="AI36" s="40"/>
      <c r="AK36" s="69"/>
      <c r="AL36" s="69"/>
      <c r="AM36" s="69"/>
      <c r="AN36" s="69"/>
      <c r="AO36" s="69"/>
      <c r="AP36" s="69"/>
    </row>
    <row r="37" spans="1:42" s="28" customFormat="1" ht="21" customHeight="1">
      <c r="A37" s="22">
        <f>IF('Arrear Sheet'!B37="","",'Arrear Sheet'!B37)</f>
        <v>30</v>
      </c>
      <c r="B37" s="23">
        <f>IF('Arrear Sheet'!C37="","",IF('Arrear Sheet'!C37="TOTAL","",'Arrear Sheet'!C37))</f>
        <v>44440</v>
      </c>
      <c r="C37" s="106">
        <f>IF('Arrear Sheet'!D37="","",IF('Arrear Sheet'!C37="TOTAL","",IF('Arrear Sheet'!D37="अक्षरें राशि :-","",'Arrear Sheet'!D37)))</f>
        <v>110500</v>
      </c>
      <c r="D37" s="106">
        <f>IF('Arrear Sheet'!E37="","",IF('Arrear Sheet'!C37="TOTAL","",'Arrear Sheet'!E37))</f>
        <v>41106</v>
      </c>
      <c r="E37" s="106">
        <f>IF(B37="","",IF('Arrear Sheet'!D37="TOTAL","",'Arrear Sheet'!F37))</f>
        <v>9945</v>
      </c>
      <c r="F37" s="106">
        <f>IF(B37="","",IF('Arrear Sheet'!E37="TOTAL","",'Arrear Sheet'!G37))</f>
        <v>22100</v>
      </c>
      <c r="G37" s="106">
        <f>IF(B37="","",IF('Arrear Sheet'!C37="TOTAL","",SUM(C37:F37)))</f>
        <v>183651</v>
      </c>
      <c r="H37" s="106">
        <f>IF(B37="","",IF('Arrear Sheet'!C37="TOTAL","",'Arrear Sheet'!I37))</f>
        <v>104900</v>
      </c>
      <c r="I37" s="106">
        <f>IF(B37="","",IF('Arrear Sheet'!C37="TOTAL","",'Arrear Sheet'!J37))</f>
        <v>39023</v>
      </c>
      <c r="J37" s="106">
        <f>IF(B37="","",IF('Arrear Sheet'!C37="TOTAL","",'Arrear Sheet'!K37))</f>
        <v>9441</v>
      </c>
      <c r="K37" s="106">
        <f>IF(B37="","",IF('Arrear Sheet'!D37="TOTAL","",'Arrear Sheet'!L37))</f>
        <v>20980</v>
      </c>
      <c r="L37" s="106">
        <f>IF(B37="","",IF('Arrear Sheet'!C37="TOTAL","",SUM(H37:K37)))</f>
        <v>174344</v>
      </c>
      <c r="M37" s="106">
        <f>IF(B37="","",IF('Arrear Sheet'!C37="TOTAL","",'Arrear Sheet'!N37))</f>
        <v>5600</v>
      </c>
      <c r="N37" s="106">
        <f>IF(B37="","",IF('Arrear Sheet'!C37="TOTAL","",'Arrear Sheet'!O37))</f>
        <v>2083</v>
      </c>
      <c r="O37" s="106">
        <f>IF(B37="","",IF('Arrear Sheet'!C37="TOTAL","",'Arrear Sheet'!P37))</f>
        <v>504</v>
      </c>
      <c r="P37" s="106">
        <f>IF(B37="","",IF('Arrear Sheet'!D37="TOTAL","",'Arrear Sheet'!Q37))</f>
        <v>1120</v>
      </c>
      <c r="Q37" s="106">
        <f>IF(B37="","",IF('Arrear Sheet'!C37="TOTAL","",SUM(M37:P37)))</f>
        <v>9307</v>
      </c>
      <c r="R37" s="106">
        <f>IF(B37="","",IF('Arrear Sheet'!C37="TOTAL","",'Arrear Sheet'!S37))</f>
        <v>15161</v>
      </c>
      <c r="S37" s="106">
        <f>IF(B37="","",IF('Arrear Sheet'!C37="TOTAL","",'Arrear Sheet'!T37))</f>
        <v>14392</v>
      </c>
      <c r="T37" s="106">
        <f>IF(B37="","",IF('Arrear Sheet'!C37="TOTAL","",'Arrear Sheet'!U37))</f>
        <v>769</v>
      </c>
      <c r="U37" s="106">
        <f>IF(B37="","",IF('Arrear Sheet'!C37="TOTAL","",'Arrear Sheet'!V37))</f>
        <v>2100</v>
      </c>
      <c r="V37" s="106">
        <f>IF(B37="","",IF('Arrear Sheet'!C37="TOTAL","",'Arrear Sheet'!W37))</f>
        <v>2100</v>
      </c>
      <c r="W37" s="106">
        <f>IF(B37="","",IF('Arrear Sheet'!C37="TOTAL","",'Arrear Sheet'!X37))</f>
        <v>0</v>
      </c>
      <c r="X37" s="106" t="str">
        <f>IF(B37="","",IF('Arrear Sheet'!C37="TOTAL","",'Arrear Sheet'!AB37))</f>
        <v/>
      </c>
      <c r="Y37" s="106" t="str">
        <f>IF(B37="","",IF('Arrear Sheet'!D37="TOTAL","",'Arrear Sheet'!AC37))</f>
        <v/>
      </c>
      <c r="Z37" s="106" t="str">
        <f>IF(B37="","",IF('Arrear Sheet'!E37="TOTAL","",'Arrear Sheet'!AD37))</f>
        <v/>
      </c>
      <c r="AA37" s="106" t="str">
        <f>IF(B37="","",IF('Arrear Sheet'!C37="TOTAL","",'Arrear Sheet'!Y37))</f>
        <v/>
      </c>
      <c r="AB37" s="106" t="str">
        <f>IF(B37="","",IF('Arrear Sheet'!C37="TOTAL","",'Arrear Sheet'!Z37))</f>
        <v/>
      </c>
      <c r="AC37" s="106" t="str">
        <f>IF(B37="","",IF('Arrear Sheet'!C37="TOTAL","",'Arrear Sheet'!AA37))</f>
        <v/>
      </c>
      <c r="AD37" s="106">
        <f>IF(B37="","",IF('Arrear Sheet'!C37="TOTAL","",'Arrear Sheet'!AE37))</f>
        <v>168</v>
      </c>
      <c r="AE37" s="106">
        <f>IF(B37="","",IF('Arrear Sheet'!C37="TOTAL","",'Arrear Sheet'!AF37))</f>
        <v>0</v>
      </c>
      <c r="AF37" s="106">
        <f>IF(B37="","",'Arrear Sheet'!AG37)</f>
        <v>937</v>
      </c>
      <c r="AG37" s="24">
        <f>IFERROR(IF(B37="","",IF('Arrear Sheet'!C37="TOTAL","",SUM(Q37-AF37))),"")</f>
        <v>8370</v>
      </c>
      <c r="AH37" s="39"/>
      <c r="AI37" s="40"/>
      <c r="AK37" s="69"/>
      <c r="AL37" s="69"/>
      <c r="AM37" s="69"/>
      <c r="AN37" s="69"/>
      <c r="AO37" s="69"/>
      <c r="AP37" s="69"/>
    </row>
    <row r="38" spans="1:42" s="28" customFormat="1" ht="21" customHeight="1">
      <c r="A38" s="22">
        <f>IF('Arrear Sheet'!B38="","",'Arrear Sheet'!B38)</f>
        <v>31</v>
      </c>
      <c r="B38" s="23">
        <f>IF('Arrear Sheet'!C38="","",IF('Arrear Sheet'!C38="TOTAL","",'Arrear Sheet'!C38))</f>
        <v>44470</v>
      </c>
      <c r="C38" s="106">
        <f>IF('Arrear Sheet'!D38="","",IF('Arrear Sheet'!C38="TOTAL","",IF('Arrear Sheet'!D38="अक्षरें राशि :-","",'Arrear Sheet'!D38)))</f>
        <v>110500</v>
      </c>
      <c r="D38" s="106">
        <f>IF('Arrear Sheet'!E38="","",IF('Arrear Sheet'!C38="TOTAL","",'Arrear Sheet'!E38))</f>
        <v>41106</v>
      </c>
      <c r="E38" s="106">
        <f>IF(B38="","",IF('Arrear Sheet'!D38="TOTAL","",'Arrear Sheet'!F38))</f>
        <v>9945</v>
      </c>
      <c r="F38" s="106">
        <f>IF(B38="","",IF('Arrear Sheet'!E38="TOTAL","",'Arrear Sheet'!G38))</f>
        <v>22100</v>
      </c>
      <c r="G38" s="106">
        <f>IF(B38="","",IF('Arrear Sheet'!C38="TOTAL","",SUM(C38:F38)))</f>
        <v>183651</v>
      </c>
      <c r="H38" s="106">
        <f>IF(B38="","",IF('Arrear Sheet'!C38="TOTAL","",'Arrear Sheet'!I38))</f>
        <v>104900</v>
      </c>
      <c r="I38" s="106">
        <f>IF(B38="","",IF('Arrear Sheet'!C38="TOTAL","",'Arrear Sheet'!J38))</f>
        <v>39023</v>
      </c>
      <c r="J38" s="106">
        <f>IF(B38="","",IF('Arrear Sheet'!C38="TOTAL","",'Arrear Sheet'!K38))</f>
        <v>9441</v>
      </c>
      <c r="K38" s="106">
        <f>IF(B38="","",IF('Arrear Sheet'!D38="TOTAL","",'Arrear Sheet'!L38))</f>
        <v>20980</v>
      </c>
      <c r="L38" s="106">
        <f>IF(B38="","",IF('Arrear Sheet'!C38="TOTAL","",SUM(H38:K38)))</f>
        <v>174344</v>
      </c>
      <c r="M38" s="106">
        <f>IF(B38="","",IF('Arrear Sheet'!C38="TOTAL","",'Arrear Sheet'!N38))</f>
        <v>5600</v>
      </c>
      <c r="N38" s="106">
        <f>IF(B38="","",IF('Arrear Sheet'!C38="TOTAL","",'Arrear Sheet'!O38))</f>
        <v>2083</v>
      </c>
      <c r="O38" s="106">
        <f>IF(B38="","",IF('Arrear Sheet'!C38="TOTAL","",'Arrear Sheet'!P38))</f>
        <v>504</v>
      </c>
      <c r="P38" s="106">
        <f>IF(B38="","",IF('Arrear Sheet'!D38="TOTAL","",'Arrear Sheet'!Q38))</f>
        <v>1120</v>
      </c>
      <c r="Q38" s="106">
        <f>IF(B38="","",IF('Arrear Sheet'!C38="TOTAL","",SUM(M38:P38)))</f>
        <v>9307</v>
      </c>
      <c r="R38" s="106">
        <f>IF(B38="","",IF('Arrear Sheet'!C38="TOTAL","",'Arrear Sheet'!S38))</f>
        <v>15161</v>
      </c>
      <c r="S38" s="106">
        <f>IF(B38="","",IF('Arrear Sheet'!C38="TOTAL","",'Arrear Sheet'!T38))</f>
        <v>14392</v>
      </c>
      <c r="T38" s="106">
        <f>IF(B38="","",IF('Arrear Sheet'!C38="TOTAL","",'Arrear Sheet'!U38))</f>
        <v>769</v>
      </c>
      <c r="U38" s="106">
        <f>IF(B38="","",IF('Arrear Sheet'!C38="TOTAL","",'Arrear Sheet'!V38))</f>
        <v>2100</v>
      </c>
      <c r="V38" s="106">
        <f>IF(B38="","",IF('Arrear Sheet'!C38="TOTAL","",'Arrear Sheet'!W38))</f>
        <v>2100</v>
      </c>
      <c r="W38" s="106">
        <f>IF(B38="","",IF('Arrear Sheet'!C38="TOTAL","",'Arrear Sheet'!X38))</f>
        <v>0</v>
      </c>
      <c r="X38" s="106" t="str">
        <f>IF(B38="","",IF('Arrear Sheet'!C38="TOTAL","",'Arrear Sheet'!AB38))</f>
        <v/>
      </c>
      <c r="Y38" s="106" t="str">
        <f>IF(B38="","",IF('Arrear Sheet'!D38="TOTAL","",'Arrear Sheet'!AC38))</f>
        <v/>
      </c>
      <c r="Z38" s="106" t="str">
        <f>IF(B38="","",IF('Arrear Sheet'!E38="TOTAL","",'Arrear Sheet'!AD38))</f>
        <v/>
      </c>
      <c r="AA38" s="106" t="str">
        <f>IF(B38="","",IF('Arrear Sheet'!C38="TOTAL","",'Arrear Sheet'!Y38))</f>
        <v/>
      </c>
      <c r="AB38" s="106" t="str">
        <f>IF(B38="","",IF('Arrear Sheet'!C38="TOTAL","",'Arrear Sheet'!Z38))</f>
        <v/>
      </c>
      <c r="AC38" s="106" t="str">
        <f>IF(B38="","",IF('Arrear Sheet'!C38="TOTAL","",'Arrear Sheet'!AA38))</f>
        <v/>
      </c>
      <c r="AD38" s="106" t="str">
        <f>IF(B38="","",IF('Arrear Sheet'!C38="TOTAL","",'Arrear Sheet'!AE38))</f>
        <v/>
      </c>
      <c r="AE38" s="106">
        <f>IF(B38="","",IF('Arrear Sheet'!C38="TOTAL","",'Arrear Sheet'!AF38))</f>
        <v>0</v>
      </c>
      <c r="AF38" s="106">
        <f>IF(B38="","",'Arrear Sheet'!AG38)</f>
        <v>769</v>
      </c>
      <c r="AG38" s="24">
        <f>IFERROR(IF(B38="","",IF('Arrear Sheet'!C38="TOTAL","",SUM(Q38-AF38))),"")</f>
        <v>8538</v>
      </c>
      <c r="AH38" s="39"/>
      <c r="AI38" s="40"/>
      <c r="AK38" s="69"/>
      <c r="AL38" s="69"/>
      <c r="AM38" s="69"/>
      <c r="AN38" s="69"/>
      <c r="AO38" s="69"/>
      <c r="AP38" s="69"/>
    </row>
    <row r="39" spans="1:42" s="28" customFormat="1" ht="21" customHeight="1">
      <c r="A39" s="22">
        <f>IF('Arrear Sheet'!B39="","",'Arrear Sheet'!B39)</f>
        <v>32</v>
      </c>
      <c r="B39" s="23">
        <f>IF('Arrear Sheet'!C39="","",IF('Arrear Sheet'!C39="TOTAL","",'Arrear Sheet'!C39))</f>
        <v>44501</v>
      </c>
      <c r="C39" s="106">
        <f>IF('Arrear Sheet'!D39="","",IF('Arrear Sheet'!C39="TOTAL","",IF('Arrear Sheet'!D39="अक्षरें राशि :-","",'Arrear Sheet'!D39)))</f>
        <v>110500</v>
      </c>
      <c r="D39" s="106">
        <f>IF('Arrear Sheet'!E39="","",IF('Arrear Sheet'!C39="TOTAL","",'Arrear Sheet'!E39))</f>
        <v>41106</v>
      </c>
      <c r="E39" s="106">
        <f>IF(B39="","",IF('Arrear Sheet'!D39="TOTAL","",'Arrear Sheet'!F39))</f>
        <v>9945</v>
      </c>
      <c r="F39" s="106">
        <f>IF(B39="","",IF('Arrear Sheet'!E39="TOTAL","",'Arrear Sheet'!G39))</f>
        <v>22100</v>
      </c>
      <c r="G39" s="106">
        <f>IF(B39="","",IF('Arrear Sheet'!C39="TOTAL","",SUM(C39:F39)))</f>
        <v>183651</v>
      </c>
      <c r="H39" s="106">
        <f>IF(B39="","",IF('Arrear Sheet'!C39="TOTAL","",'Arrear Sheet'!I39))</f>
        <v>104900</v>
      </c>
      <c r="I39" s="106">
        <f>IF(B39="","",IF('Arrear Sheet'!C39="TOTAL","",'Arrear Sheet'!J39))</f>
        <v>39023</v>
      </c>
      <c r="J39" s="106">
        <f>IF(B39="","",IF('Arrear Sheet'!C39="TOTAL","",'Arrear Sheet'!K39))</f>
        <v>9441</v>
      </c>
      <c r="K39" s="106">
        <f>IF(B39="","",IF('Arrear Sheet'!D39="TOTAL","",'Arrear Sheet'!L39))</f>
        <v>20980</v>
      </c>
      <c r="L39" s="106">
        <f>IF(B39="","",IF('Arrear Sheet'!C39="TOTAL","",SUM(H39:K39)))</f>
        <v>174344</v>
      </c>
      <c r="M39" s="106">
        <f>IF(B39="","",IF('Arrear Sheet'!C39="TOTAL","",'Arrear Sheet'!N39))</f>
        <v>5600</v>
      </c>
      <c r="N39" s="106">
        <f>IF(B39="","",IF('Arrear Sheet'!C39="TOTAL","",'Arrear Sheet'!O39))</f>
        <v>2083</v>
      </c>
      <c r="O39" s="106">
        <f>IF(B39="","",IF('Arrear Sheet'!C39="TOTAL","",'Arrear Sheet'!P39))</f>
        <v>504</v>
      </c>
      <c r="P39" s="106">
        <f>IF(B39="","",IF('Arrear Sheet'!D39="TOTAL","",'Arrear Sheet'!Q39))</f>
        <v>1120</v>
      </c>
      <c r="Q39" s="106">
        <f>IF(B39="","",IF('Arrear Sheet'!C39="TOTAL","",SUM(M39:P39)))</f>
        <v>9307</v>
      </c>
      <c r="R39" s="106">
        <f>IF(B39="","",IF('Arrear Sheet'!C39="TOTAL","",'Arrear Sheet'!S39))</f>
        <v>15161</v>
      </c>
      <c r="S39" s="106">
        <f>IF(B39="","",IF('Arrear Sheet'!C39="TOTAL","",'Arrear Sheet'!T39))</f>
        <v>14392</v>
      </c>
      <c r="T39" s="106">
        <f>IF(B39="","",IF('Arrear Sheet'!C39="TOTAL","",'Arrear Sheet'!U39))</f>
        <v>769</v>
      </c>
      <c r="U39" s="106">
        <f>IF(B39="","",IF('Arrear Sheet'!C39="TOTAL","",'Arrear Sheet'!V39))</f>
        <v>2100</v>
      </c>
      <c r="V39" s="106">
        <f>IF(B39="","",IF('Arrear Sheet'!C39="TOTAL","",'Arrear Sheet'!W39))</f>
        <v>2100</v>
      </c>
      <c r="W39" s="106">
        <f>IF(B39="","",IF('Arrear Sheet'!C39="TOTAL","",'Arrear Sheet'!X39))</f>
        <v>0</v>
      </c>
      <c r="X39" s="106" t="str">
        <f>IF(B39="","",IF('Arrear Sheet'!C39="TOTAL","",'Arrear Sheet'!AB39))</f>
        <v/>
      </c>
      <c r="Y39" s="106" t="str">
        <f>IF(B39="","",IF('Arrear Sheet'!D39="TOTAL","",'Arrear Sheet'!AC39))</f>
        <v/>
      </c>
      <c r="Z39" s="106" t="str">
        <f>IF(B39="","",IF('Arrear Sheet'!E39="TOTAL","",'Arrear Sheet'!AD39))</f>
        <v/>
      </c>
      <c r="AA39" s="106" t="str">
        <f>IF(B39="","",IF('Arrear Sheet'!C39="TOTAL","",'Arrear Sheet'!Y39))</f>
        <v/>
      </c>
      <c r="AB39" s="106" t="str">
        <f>IF(B39="","",IF('Arrear Sheet'!C39="TOTAL","",'Arrear Sheet'!Z39))</f>
        <v/>
      </c>
      <c r="AC39" s="106" t="str">
        <f>IF(B39="","",IF('Arrear Sheet'!C39="TOTAL","",'Arrear Sheet'!AA39))</f>
        <v/>
      </c>
      <c r="AD39" s="106" t="str">
        <f>IF(B39="","",IF('Arrear Sheet'!C39="TOTAL","",'Arrear Sheet'!AE39))</f>
        <v/>
      </c>
      <c r="AE39" s="106">
        <f>IF(B39="","",IF('Arrear Sheet'!C39="TOTAL","",'Arrear Sheet'!AF39))</f>
        <v>0</v>
      </c>
      <c r="AF39" s="106">
        <f>IF(B39="","",'Arrear Sheet'!AG39)</f>
        <v>769</v>
      </c>
      <c r="AG39" s="24">
        <f>IFERROR(IF(B39="","",IF('Arrear Sheet'!C39="TOTAL","",SUM(Q39-AF39))),"")</f>
        <v>8538</v>
      </c>
      <c r="AH39" s="39"/>
      <c r="AI39" s="40"/>
      <c r="AK39" s="69"/>
      <c r="AL39" s="69"/>
      <c r="AM39" s="69"/>
      <c r="AN39" s="69"/>
      <c r="AO39" s="69"/>
      <c r="AP39" s="69"/>
    </row>
    <row r="40" spans="1:42" s="28" customFormat="1" ht="21" customHeight="1">
      <c r="A40" s="22">
        <f>IF('Arrear Sheet'!B40="","",'Arrear Sheet'!B40)</f>
        <v>33</v>
      </c>
      <c r="B40" s="23">
        <f>IF('Arrear Sheet'!C40="","",IF('Arrear Sheet'!C40="TOTAL","",'Arrear Sheet'!C40))</f>
        <v>44531</v>
      </c>
      <c r="C40" s="106">
        <f>IF('Arrear Sheet'!D40="","",IF('Arrear Sheet'!C40="TOTAL","",IF('Arrear Sheet'!D40="अक्षरें राशि :-","",'Arrear Sheet'!D40)))</f>
        <v>110500</v>
      </c>
      <c r="D40" s="106">
        <f>IF('Arrear Sheet'!E40="","",IF('Arrear Sheet'!C40="TOTAL","",'Arrear Sheet'!E40))</f>
        <v>41106</v>
      </c>
      <c r="E40" s="106">
        <f>IF(B40="","",IF('Arrear Sheet'!D40="TOTAL","",'Arrear Sheet'!F40))</f>
        <v>9945</v>
      </c>
      <c r="F40" s="106">
        <f>IF(B40="","",IF('Arrear Sheet'!E40="TOTAL","",'Arrear Sheet'!G40))</f>
        <v>22100</v>
      </c>
      <c r="G40" s="106">
        <f>IF(B40="","",IF('Arrear Sheet'!C40="TOTAL","",SUM(C40:F40)))</f>
        <v>183651</v>
      </c>
      <c r="H40" s="106">
        <f>IF(B40="","",IF('Arrear Sheet'!C40="TOTAL","",'Arrear Sheet'!I40))</f>
        <v>104900</v>
      </c>
      <c r="I40" s="106">
        <f>IF(B40="","",IF('Arrear Sheet'!C40="TOTAL","",'Arrear Sheet'!J40))</f>
        <v>39023</v>
      </c>
      <c r="J40" s="106">
        <f>IF(B40="","",IF('Arrear Sheet'!C40="TOTAL","",'Arrear Sheet'!K40))</f>
        <v>9441</v>
      </c>
      <c r="K40" s="106">
        <f>IF(B40="","",IF('Arrear Sheet'!D40="TOTAL","",'Arrear Sheet'!L40))</f>
        <v>20980</v>
      </c>
      <c r="L40" s="106">
        <f>IF(B40="","",IF('Arrear Sheet'!C40="TOTAL","",SUM(H40:K40)))</f>
        <v>174344</v>
      </c>
      <c r="M40" s="106">
        <f>IF(B40="","",IF('Arrear Sheet'!C40="TOTAL","",'Arrear Sheet'!N40))</f>
        <v>5600</v>
      </c>
      <c r="N40" s="106">
        <f>IF(B40="","",IF('Arrear Sheet'!C40="TOTAL","",'Arrear Sheet'!O40))</f>
        <v>2083</v>
      </c>
      <c r="O40" s="106">
        <f>IF(B40="","",IF('Arrear Sheet'!C40="TOTAL","",'Arrear Sheet'!P40))</f>
        <v>504</v>
      </c>
      <c r="P40" s="106">
        <f>IF(B40="","",IF('Arrear Sheet'!D40="TOTAL","",'Arrear Sheet'!Q40))</f>
        <v>1120</v>
      </c>
      <c r="Q40" s="106">
        <f>IF(B40="","",IF('Arrear Sheet'!C40="TOTAL","",SUM(M40:P40)))</f>
        <v>9307</v>
      </c>
      <c r="R40" s="106">
        <f>IF(B40="","",IF('Arrear Sheet'!C40="TOTAL","",'Arrear Sheet'!S40))</f>
        <v>15161</v>
      </c>
      <c r="S40" s="106">
        <f>IF(B40="","",IF('Arrear Sheet'!C40="TOTAL","",'Arrear Sheet'!T40))</f>
        <v>14392</v>
      </c>
      <c r="T40" s="106">
        <f>IF(B40="","",IF('Arrear Sheet'!C40="TOTAL","",'Arrear Sheet'!U40))</f>
        <v>769</v>
      </c>
      <c r="U40" s="106">
        <f>IF(B40="","",IF('Arrear Sheet'!C40="TOTAL","",'Arrear Sheet'!V40))</f>
        <v>2100</v>
      </c>
      <c r="V40" s="106">
        <f>IF(B40="","",IF('Arrear Sheet'!C40="TOTAL","",'Arrear Sheet'!W40))</f>
        <v>2100</v>
      </c>
      <c r="W40" s="106">
        <f>IF(B40="","",IF('Arrear Sheet'!C40="TOTAL","",'Arrear Sheet'!X40))</f>
        <v>0</v>
      </c>
      <c r="X40" s="106" t="str">
        <f>IF(B40="","",IF('Arrear Sheet'!C40="TOTAL","",'Arrear Sheet'!AB40))</f>
        <v/>
      </c>
      <c r="Y40" s="106" t="str">
        <f>IF(B40="","",IF('Arrear Sheet'!D40="TOTAL","",'Arrear Sheet'!AC40))</f>
        <v/>
      </c>
      <c r="Z40" s="106" t="str">
        <f>IF(B40="","",IF('Arrear Sheet'!E40="TOTAL","",'Arrear Sheet'!AD40))</f>
        <v/>
      </c>
      <c r="AA40" s="106" t="str">
        <f>IF(B40="","",IF('Arrear Sheet'!C40="TOTAL","",'Arrear Sheet'!Y40))</f>
        <v/>
      </c>
      <c r="AB40" s="106" t="str">
        <f>IF(B40="","",IF('Arrear Sheet'!C40="TOTAL","",'Arrear Sheet'!Z40))</f>
        <v/>
      </c>
      <c r="AC40" s="106" t="str">
        <f>IF(B40="","",IF('Arrear Sheet'!C40="TOTAL","",'Arrear Sheet'!AA40))</f>
        <v/>
      </c>
      <c r="AD40" s="106" t="str">
        <f>IF(B40="","",IF('Arrear Sheet'!C40="TOTAL","",'Arrear Sheet'!AE40))</f>
        <v/>
      </c>
      <c r="AE40" s="106">
        <f>IF(B40="","",IF('Arrear Sheet'!C40="TOTAL","",'Arrear Sheet'!AF40))</f>
        <v>0</v>
      </c>
      <c r="AF40" s="106">
        <f>IF(B40="","",'Arrear Sheet'!AG40)</f>
        <v>769</v>
      </c>
      <c r="AG40" s="24">
        <f>IFERROR(IF(B40="","",IF('Arrear Sheet'!C40="TOTAL","",SUM(Q40-AF40))),"")</f>
        <v>8538</v>
      </c>
      <c r="AH40" s="39"/>
      <c r="AI40" s="40"/>
      <c r="AK40" s="69"/>
      <c r="AL40" s="69"/>
      <c r="AM40" s="69"/>
      <c r="AN40" s="69"/>
      <c r="AO40" s="69"/>
      <c r="AP40" s="69"/>
    </row>
    <row r="41" spans="1:42" s="28" customFormat="1" ht="21" customHeight="1">
      <c r="A41" s="22">
        <f>IF('Arrear Sheet'!B41="","",'Arrear Sheet'!B41)</f>
        <v>34</v>
      </c>
      <c r="B41" s="23">
        <f>IF('Arrear Sheet'!C41="","",IF('Arrear Sheet'!C41="TOTAL","",'Arrear Sheet'!C41))</f>
        <v>44562</v>
      </c>
      <c r="C41" s="106">
        <f>IF('Arrear Sheet'!D41="","",IF('Arrear Sheet'!C41="TOTAL","",IF('Arrear Sheet'!D41="अक्षरें राशि :-","",'Arrear Sheet'!D41)))</f>
        <v>110500</v>
      </c>
      <c r="D41" s="106">
        <f>IF('Arrear Sheet'!E41="","",IF('Arrear Sheet'!C41="TOTAL","",'Arrear Sheet'!E41))</f>
        <v>45084</v>
      </c>
      <c r="E41" s="106">
        <f>IF(B41="","",IF('Arrear Sheet'!D41="TOTAL","",'Arrear Sheet'!F41))</f>
        <v>9945</v>
      </c>
      <c r="F41" s="106">
        <f>IF(B41="","",IF('Arrear Sheet'!E41="TOTAL","",'Arrear Sheet'!G41))</f>
        <v>22100</v>
      </c>
      <c r="G41" s="106">
        <f>IF(B41="","",IF('Arrear Sheet'!C41="TOTAL","",SUM(C41:F41)))</f>
        <v>187629</v>
      </c>
      <c r="H41" s="106">
        <f>IF(B41="","",IF('Arrear Sheet'!C41="TOTAL","",'Arrear Sheet'!I41))</f>
        <v>104900</v>
      </c>
      <c r="I41" s="106">
        <f>IF(B41="","",IF('Arrear Sheet'!C41="TOTAL","",'Arrear Sheet'!J41))</f>
        <v>42799</v>
      </c>
      <c r="J41" s="106">
        <f>IF(B41="","",IF('Arrear Sheet'!C41="TOTAL","",'Arrear Sheet'!K41))</f>
        <v>9441</v>
      </c>
      <c r="K41" s="106">
        <f>IF(B41="","",IF('Arrear Sheet'!D41="TOTAL","",'Arrear Sheet'!L41))</f>
        <v>20980</v>
      </c>
      <c r="L41" s="106">
        <f>IF(B41="","",IF('Arrear Sheet'!C41="TOTAL","",SUM(H41:K41)))</f>
        <v>178120</v>
      </c>
      <c r="M41" s="106">
        <f>IF(B41="","",IF('Arrear Sheet'!C41="TOTAL","",'Arrear Sheet'!N41))</f>
        <v>5600</v>
      </c>
      <c r="N41" s="106">
        <f>IF(B41="","",IF('Arrear Sheet'!C41="TOTAL","",'Arrear Sheet'!O41))</f>
        <v>2285</v>
      </c>
      <c r="O41" s="106">
        <f>IF(B41="","",IF('Arrear Sheet'!C41="TOTAL","",'Arrear Sheet'!P41))</f>
        <v>504</v>
      </c>
      <c r="P41" s="106">
        <f>IF(B41="","",IF('Arrear Sheet'!D41="TOTAL","",'Arrear Sheet'!Q41))</f>
        <v>1120</v>
      </c>
      <c r="Q41" s="106">
        <f>IF(B41="","",IF('Arrear Sheet'!C41="TOTAL","",SUM(M41:P41)))</f>
        <v>9509</v>
      </c>
      <c r="R41" s="106">
        <f>IF(B41="","",IF('Arrear Sheet'!C41="TOTAL","",'Arrear Sheet'!S41))</f>
        <v>15558</v>
      </c>
      <c r="S41" s="106">
        <f>IF(B41="","",IF('Arrear Sheet'!C41="TOTAL","",'Arrear Sheet'!T41))</f>
        <v>14770</v>
      </c>
      <c r="T41" s="106">
        <f>IF(B41="","",IF('Arrear Sheet'!C41="TOTAL","",'Arrear Sheet'!U41))</f>
        <v>788</v>
      </c>
      <c r="U41" s="106">
        <f>IF(B41="","",IF('Arrear Sheet'!C41="TOTAL","",'Arrear Sheet'!V41))</f>
        <v>2100</v>
      </c>
      <c r="V41" s="106">
        <f>IF(B41="","",IF('Arrear Sheet'!C41="TOTAL","",'Arrear Sheet'!W41))</f>
        <v>2100</v>
      </c>
      <c r="W41" s="106">
        <f>IF(B41="","",IF('Arrear Sheet'!C41="TOTAL","",'Arrear Sheet'!X41))</f>
        <v>0</v>
      </c>
      <c r="X41" s="106" t="str">
        <f>IF(B41="","",IF('Arrear Sheet'!C41="TOTAL","",'Arrear Sheet'!AB41))</f>
        <v/>
      </c>
      <c r="Y41" s="106" t="str">
        <f>IF(B41="","",IF('Arrear Sheet'!D41="TOTAL","",'Arrear Sheet'!AC41))</f>
        <v/>
      </c>
      <c r="Z41" s="106" t="str">
        <f>IF(B41="","",IF('Arrear Sheet'!E41="TOTAL","",'Arrear Sheet'!AD41))</f>
        <v/>
      </c>
      <c r="AA41" s="106" t="str">
        <f>IF(B41="","",IF('Arrear Sheet'!C41="TOTAL","",'Arrear Sheet'!Y41))</f>
        <v/>
      </c>
      <c r="AB41" s="106" t="str">
        <f>IF(B41="","",IF('Arrear Sheet'!C41="TOTAL","",'Arrear Sheet'!Z41))</f>
        <v/>
      </c>
      <c r="AC41" s="106" t="str">
        <f>IF(B41="","",IF('Arrear Sheet'!C41="TOTAL","",'Arrear Sheet'!AA41))</f>
        <v/>
      </c>
      <c r="AD41" s="106" t="str">
        <f>IF(B41="","",IF('Arrear Sheet'!C41="TOTAL","",'Arrear Sheet'!AE41))</f>
        <v/>
      </c>
      <c r="AE41" s="106">
        <f>IF(B41="","",IF('Arrear Sheet'!C41="TOTAL","",'Arrear Sheet'!AF41))</f>
        <v>0</v>
      </c>
      <c r="AF41" s="106">
        <f>IF(B41="","",'Arrear Sheet'!AG41)</f>
        <v>788</v>
      </c>
      <c r="AG41" s="24">
        <f>IFERROR(IF(B41="","",IF('Arrear Sheet'!C41="TOTAL","",SUM(Q41-AF41))),"")</f>
        <v>8721</v>
      </c>
      <c r="AH41" s="39"/>
      <c r="AI41" s="40"/>
      <c r="AK41" s="69"/>
      <c r="AL41" s="69"/>
      <c r="AM41" s="69"/>
      <c r="AN41" s="69"/>
      <c r="AO41" s="69"/>
      <c r="AP41" s="69"/>
    </row>
    <row r="42" spans="1:42" s="28" customFormat="1" ht="21" customHeight="1">
      <c r="A42" s="22">
        <f>IF('Arrear Sheet'!B42="","",'Arrear Sheet'!B42)</f>
        <v>35</v>
      </c>
      <c r="B42" s="23">
        <f>IF('Arrear Sheet'!C42="","",IF('Arrear Sheet'!C42="TOTAL","",'Arrear Sheet'!C42))</f>
        <v>44593</v>
      </c>
      <c r="C42" s="106">
        <f>IF('Arrear Sheet'!D42="","",IF('Arrear Sheet'!C42="TOTAL","",IF('Arrear Sheet'!D42="अक्षरें राशि :-","",'Arrear Sheet'!D42)))</f>
        <v>110500</v>
      </c>
      <c r="D42" s="106">
        <f>IF('Arrear Sheet'!E42="","",IF('Arrear Sheet'!C42="TOTAL","",'Arrear Sheet'!E42))</f>
        <v>45084</v>
      </c>
      <c r="E42" s="106">
        <f>IF(B42="","",IF('Arrear Sheet'!D42="TOTAL","",'Arrear Sheet'!F42))</f>
        <v>9945</v>
      </c>
      <c r="F42" s="106">
        <f>IF(B42="","",IF('Arrear Sheet'!E42="TOTAL","",'Arrear Sheet'!G42))</f>
        <v>22100</v>
      </c>
      <c r="G42" s="106">
        <f>IF(B42="","",IF('Arrear Sheet'!C42="TOTAL","",SUM(C42:F42)))</f>
        <v>187629</v>
      </c>
      <c r="H42" s="106">
        <f>IF(B42="","",IF('Arrear Sheet'!C42="TOTAL","",'Arrear Sheet'!I42))</f>
        <v>104900</v>
      </c>
      <c r="I42" s="106">
        <f>IF(B42="","",IF('Arrear Sheet'!C42="TOTAL","",'Arrear Sheet'!J42))</f>
        <v>42799</v>
      </c>
      <c r="J42" s="106">
        <f>IF(B42="","",IF('Arrear Sheet'!C42="TOTAL","",'Arrear Sheet'!K42))</f>
        <v>9441</v>
      </c>
      <c r="K42" s="106">
        <f>IF(B42="","",IF('Arrear Sheet'!D42="TOTAL","",'Arrear Sheet'!L42))</f>
        <v>20980</v>
      </c>
      <c r="L42" s="106">
        <f>IF(B42="","",IF('Arrear Sheet'!C42="TOTAL","",SUM(H42:K42)))</f>
        <v>178120</v>
      </c>
      <c r="M42" s="106">
        <f>IF(B42="","",IF('Arrear Sheet'!C42="TOTAL","",'Arrear Sheet'!N42))</f>
        <v>5600</v>
      </c>
      <c r="N42" s="106">
        <f>IF(B42="","",IF('Arrear Sheet'!C42="TOTAL","",'Arrear Sheet'!O42))</f>
        <v>2285</v>
      </c>
      <c r="O42" s="106">
        <f>IF(B42="","",IF('Arrear Sheet'!C42="TOTAL","",'Arrear Sheet'!P42))</f>
        <v>504</v>
      </c>
      <c r="P42" s="106">
        <f>IF(B42="","",IF('Arrear Sheet'!D42="TOTAL","",'Arrear Sheet'!Q42))</f>
        <v>1120</v>
      </c>
      <c r="Q42" s="106">
        <f>IF(B42="","",IF('Arrear Sheet'!C42="TOTAL","",SUM(M42:P42)))</f>
        <v>9509</v>
      </c>
      <c r="R42" s="106">
        <f>IF(B42="","",IF('Arrear Sheet'!C42="TOTAL","",'Arrear Sheet'!S42))</f>
        <v>15558</v>
      </c>
      <c r="S42" s="106">
        <f>IF(B42="","",IF('Arrear Sheet'!C42="TOTAL","",'Arrear Sheet'!T42))</f>
        <v>14770</v>
      </c>
      <c r="T42" s="106">
        <f>IF(B42="","",IF('Arrear Sheet'!C42="TOTAL","",'Arrear Sheet'!U42))</f>
        <v>788</v>
      </c>
      <c r="U42" s="106">
        <f>IF(B42="","",IF('Arrear Sheet'!C42="TOTAL","",'Arrear Sheet'!V42))</f>
        <v>2100</v>
      </c>
      <c r="V42" s="106">
        <f>IF(B42="","",IF('Arrear Sheet'!C42="TOTAL","",'Arrear Sheet'!W42))</f>
        <v>2100</v>
      </c>
      <c r="W42" s="106">
        <f>IF(B42="","",IF('Arrear Sheet'!C42="TOTAL","",'Arrear Sheet'!X42))</f>
        <v>0</v>
      </c>
      <c r="X42" s="106" t="str">
        <f>IF(B42="","",IF('Arrear Sheet'!C42="TOTAL","",'Arrear Sheet'!AB42))</f>
        <v/>
      </c>
      <c r="Y42" s="106" t="str">
        <f>IF(B42="","",IF('Arrear Sheet'!D42="TOTAL","",'Arrear Sheet'!AC42))</f>
        <v/>
      </c>
      <c r="Z42" s="106" t="str">
        <f>IF(B42="","",IF('Arrear Sheet'!E42="TOTAL","",'Arrear Sheet'!AD42))</f>
        <v/>
      </c>
      <c r="AA42" s="106" t="str">
        <f>IF(B42="","",IF('Arrear Sheet'!C42="TOTAL","",'Arrear Sheet'!Y42))</f>
        <v/>
      </c>
      <c r="AB42" s="106" t="str">
        <f>IF(B42="","",IF('Arrear Sheet'!C42="TOTAL","",'Arrear Sheet'!Z42))</f>
        <v/>
      </c>
      <c r="AC42" s="106" t="str">
        <f>IF(B42="","",IF('Arrear Sheet'!C42="TOTAL","",'Arrear Sheet'!AA42))</f>
        <v/>
      </c>
      <c r="AD42" s="106" t="str">
        <f>IF(B42="","",IF('Arrear Sheet'!C42="TOTAL","",'Arrear Sheet'!AE42))</f>
        <v/>
      </c>
      <c r="AE42" s="106">
        <f>IF(B42="","",IF('Arrear Sheet'!C42="TOTAL","",'Arrear Sheet'!AF42))</f>
        <v>0</v>
      </c>
      <c r="AF42" s="106">
        <f>IF(B42="","",'Arrear Sheet'!AG42)</f>
        <v>788</v>
      </c>
      <c r="AG42" s="24">
        <f>IFERROR(IF(B42="","",IF('Arrear Sheet'!C42="TOTAL","",SUM(Q42-AF42))),"")</f>
        <v>8721</v>
      </c>
      <c r="AH42" s="39"/>
      <c r="AI42" s="40"/>
      <c r="AK42" s="69"/>
      <c r="AL42" s="69"/>
      <c r="AM42" s="69"/>
      <c r="AN42" s="69"/>
      <c r="AO42" s="69"/>
      <c r="AP42" s="69"/>
    </row>
    <row r="43" spans="1:42" s="28" customFormat="1" ht="21" customHeight="1">
      <c r="A43" s="22">
        <f>IF('Arrear Sheet'!B43="","",'Arrear Sheet'!B43)</f>
        <v>36</v>
      </c>
      <c r="B43" s="23">
        <f>IF('Arrear Sheet'!C43="","",IF('Arrear Sheet'!C43="TOTAL","",'Arrear Sheet'!C43))</f>
        <v>44621</v>
      </c>
      <c r="C43" s="106">
        <f>IF('Arrear Sheet'!D43="","",IF('Arrear Sheet'!C43="TOTAL","",IF('Arrear Sheet'!D43="अक्षरें राशि :-","",'Arrear Sheet'!D43)))</f>
        <v>110500</v>
      </c>
      <c r="D43" s="106">
        <f>IF('Arrear Sheet'!E43="","",IF('Arrear Sheet'!C43="TOTAL","",'Arrear Sheet'!E43))</f>
        <v>45084</v>
      </c>
      <c r="E43" s="106">
        <f>IF(B43="","",IF('Arrear Sheet'!D43="TOTAL","",'Arrear Sheet'!F43))</f>
        <v>9945</v>
      </c>
      <c r="F43" s="106">
        <f>IF(B43="","",IF('Arrear Sheet'!E43="TOTAL","",'Arrear Sheet'!G43))</f>
        <v>22100</v>
      </c>
      <c r="G43" s="106">
        <f>IF(B43="","",IF('Arrear Sheet'!C43="TOTAL","",SUM(C43:F43)))</f>
        <v>187629</v>
      </c>
      <c r="H43" s="106">
        <f>IF(B43="","",IF('Arrear Sheet'!C43="TOTAL","",'Arrear Sheet'!I43))</f>
        <v>104900</v>
      </c>
      <c r="I43" s="106">
        <f>IF(B43="","",IF('Arrear Sheet'!C43="TOTAL","",'Arrear Sheet'!J43))</f>
        <v>42799</v>
      </c>
      <c r="J43" s="106">
        <f>IF(B43="","",IF('Arrear Sheet'!C43="TOTAL","",'Arrear Sheet'!K43))</f>
        <v>9441</v>
      </c>
      <c r="K43" s="106">
        <f>IF(B43="","",IF('Arrear Sheet'!D43="TOTAL","",'Arrear Sheet'!L43))</f>
        <v>20980</v>
      </c>
      <c r="L43" s="106">
        <f>IF(B43="","",IF('Arrear Sheet'!C43="TOTAL","",SUM(H43:K43)))</f>
        <v>178120</v>
      </c>
      <c r="M43" s="106">
        <f>IF(B43="","",IF('Arrear Sheet'!C43="TOTAL","",'Arrear Sheet'!N43))</f>
        <v>5600</v>
      </c>
      <c r="N43" s="106">
        <f>IF(B43="","",IF('Arrear Sheet'!C43="TOTAL","",'Arrear Sheet'!O43))</f>
        <v>2285</v>
      </c>
      <c r="O43" s="106">
        <f>IF(B43="","",IF('Arrear Sheet'!C43="TOTAL","",'Arrear Sheet'!P43))</f>
        <v>504</v>
      </c>
      <c r="P43" s="106">
        <f>IF(B43="","",IF('Arrear Sheet'!D43="TOTAL","",'Arrear Sheet'!Q43))</f>
        <v>1120</v>
      </c>
      <c r="Q43" s="106">
        <f>IF(B43="","",IF('Arrear Sheet'!C43="TOTAL","",SUM(M43:P43)))</f>
        <v>9509</v>
      </c>
      <c r="R43" s="106">
        <f>IF(B43="","",IF('Arrear Sheet'!C43="TOTAL","",'Arrear Sheet'!S43))</f>
        <v>15558</v>
      </c>
      <c r="S43" s="106">
        <f>IF(B43="","",IF('Arrear Sheet'!C43="TOTAL","",'Arrear Sheet'!T43))</f>
        <v>14770</v>
      </c>
      <c r="T43" s="106">
        <f>IF(B43="","",IF('Arrear Sheet'!C43="TOTAL","",'Arrear Sheet'!U43))</f>
        <v>788</v>
      </c>
      <c r="U43" s="106">
        <f>IF(B43="","",IF('Arrear Sheet'!C43="TOTAL","",'Arrear Sheet'!V43))</f>
        <v>2100</v>
      </c>
      <c r="V43" s="106">
        <f>IF(B43="","",IF('Arrear Sheet'!C43="TOTAL","",'Arrear Sheet'!W43))</f>
        <v>2100</v>
      </c>
      <c r="W43" s="106">
        <f>IF(B43="","",IF('Arrear Sheet'!C43="TOTAL","",'Arrear Sheet'!X43))</f>
        <v>0</v>
      </c>
      <c r="X43" s="106" t="str">
        <f>IF(B43="","",IF('Arrear Sheet'!C43="TOTAL","",'Arrear Sheet'!AB43))</f>
        <v/>
      </c>
      <c r="Y43" s="106" t="str">
        <f>IF(B43="","",IF('Arrear Sheet'!D43="TOTAL","",'Arrear Sheet'!AC43))</f>
        <v/>
      </c>
      <c r="Z43" s="106" t="str">
        <f>IF(B43="","",IF('Arrear Sheet'!E43="TOTAL","",'Arrear Sheet'!AD43))</f>
        <v/>
      </c>
      <c r="AA43" s="106">
        <f>IF(B43="","",IF('Arrear Sheet'!C43="TOTAL","",'Arrear Sheet'!Y43))</f>
        <v>440</v>
      </c>
      <c r="AB43" s="106">
        <f>IF(B43="","",IF('Arrear Sheet'!C43="TOTAL","",'Arrear Sheet'!Z43))</f>
        <v>440</v>
      </c>
      <c r="AC43" s="106">
        <f>IF(B43="","",IF('Arrear Sheet'!C43="TOTAL","",'Arrear Sheet'!AA43))</f>
        <v>0</v>
      </c>
      <c r="AD43" s="106" t="str">
        <f>IF(B43="","",IF('Arrear Sheet'!C43="TOTAL","",'Arrear Sheet'!AE43))</f>
        <v/>
      </c>
      <c r="AE43" s="106">
        <f>IF(B43="","",IF('Arrear Sheet'!C43="TOTAL","",'Arrear Sheet'!AF43))</f>
        <v>0</v>
      </c>
      <c r="AF43" s="106">
        <f>IF(B43="","",'Arrear Sheet'!AG43)</f>
        <v>788</v>
      </c>
      <c r="AG43" s="24">
        <f>IFERROR(IF(B43="","",IF('Arrear Sheet'!C43="TOTAL","",SUM(Q43-AF43))),"")</f>
        <v>8721</v>
      </c>
      <c r="AH43" s="39"/>
      <c r="AI43" s="40"/>
      <c r="AK43" s="69"/>
      <c r="AL43" s="69"/>
      <c r="AM43" s="69"/>
      <c r="AN43" s="69"/>
      <c r="AO43" s="69"/>
      <c r="AP43" s="69"/>
    </row>
    <row r="44" spans="1:42" s="28" customFormat="1" ht="21" customHeight="1">
      <c r="A44" s="22">
        <f>IF('Arrear Sheet'!B44="","",'Arrear Sheet'!B44)</f>
        <v>37</v>
      </c>
      <c r="B44" s="23">
        <f>IF('Arrear Sheet'!C44="","",IF('Arrear Sheet'!C44="TOTAL","",'Arrear Sheet'!C44))</f>
        <v>44652</v>
      </c>
      <c r="C44" s="106">
        <f>IF('Arrear Sheet'!D44="","",IF('Arrear Sheet'!C44="TOTAL","",IF('Arrear Sheet'!D44="अक्षरें राशि :-","",'Arrear Sheet'!D44)))</f>
        <v>110500</v>
      </c>
      <c r="D44" s="106">
        <f>IF('Arrear Sheet'!E44="","",IF('Arrear Sheet'!C44="TOTAL","",'Arrear Sheet'!E44))</f>
        <v>45084</v>
      </c>
      <c r="E44" s="106">
        <f>IF(B44="","",IF('Arrear Sheet'!D44="TOTAL","",'Arrear Sheet'!F44))</f>
        <v>9945</v>
      </c>
      <c r="F44" s="106">
        <f>IF(B44="","",IF('Arrear Sheet'!E44="TOTAL","",'Arrear Sheet'!G44))</f>
        <v>22100</v>
      </c>
      <c r="G44" s="106">
        <f>IF(B44="","",IF('Arrear Sheet'!C44="TOTAL","",SUM(C44:F44)))</f>
        <v>187629</v>
      </c>
      <c r="H44" s="106">
        <f>IF(B44="","",IF('Arrear Sheet'!C44="TOTAL","",'Arrear Sheet'!I44))</f>
        <v>104900</v>
      </c>
      <c r="I44" s="106">
        <f>IF(B44="","",IF('Arrear Sheet'!C44="TOTAL","",'Arrear Sheet'!J44))</f>
        <v>42799</v>
      </c>
      <c r="J44" s="106">
        <f>IF(B44="","",IF('Arrear Sheet'!C44="TOTAL","",'Arrear Sheet'!K44))</f>
        <v>9441</v>
      </c>
      <c r="K44" s="106">
        <f>IF(B44="","",IF('Arrear Sheet'!D44="TOTAL","",'Arrear Sheet'!L44))</f>
        <v>20980</v>
      </c>
      <c r="L44" s="106">
        <f>IF(B44="","",IF('Arrear Sheet'!C44="TOTAL","",SUM(H44:K44)))</f>
        <v>178120</v>
      </c>
      <c r="M44" s="106">
        <f>IF(B44="","",IF('Arrear Sheet'!C44="TOTAL","",'Arrear Sheet'!N44))</f>
        <v>5600</v>
      </c>
      <c r="N44" s="106">
        <f>IF(B44="","",IF('Arrear Sheet'!C44="TOTAL","",'Arrear Sheet'!O44))</f>
        <v>2285</v>
      </c>
      <c r="O44" s="106">
        <f>IF(B44="","",IF('Arrear Sheet'!C44="TOTAL","",'Arrear Sheet'!P44))</f>
        <v>504</v>
      </c>
      <c r="P44" s="106">
        <f>IF(B44="","",IF('Arrear Sheet'!D44="TOTAL","",'Arrear Sheet'!Q44))</f>
        <v>1120</v>
      </c>
      <c r="Q44" s="106">
        <f>IF(B44="","",IF('Arrear Sheet'!C44="TOTAL","",SUM(M44:P44)))</f>
        <v>9509</v>
      </c>
      <c r="R44" s="106">
        <f>IF(B44="","",IF('Arrear Sheet'!C44="TOTAL","",'Arrear Sheet'!S44))</f>
        <v>2100</v>
      </c>
      <c r="S44" s="106">
        <f>IF(B44="","",IF('Arrear Sheet'!C44="TOTAL","",'Arrear Sheet'!T44))</f>
        <v>2100</v>
      </c>
      <c r="T44" s="106">
        <f>IF(B44="","",IF('Arrear Sheet'!C44="TOTAL","",'Arrear Sheet'!U44))</f>
        <v>0</v>
      </c>
      <c r="U44" s="106">
        <f>IF(B44="","",IF('Arrear Sheet'!C44="TOTAL","",'Arrear Sheet'!V44))</f>
        <v>2100</v>
      </c>
      <c r="V44" s="106">
        <f>IF(B44="","",IF('Arrear Sheet'!C44="TOTAL","",'Arrear Sheet'!W44))</f>
        <v>2100</v>
      </c>
      <c r="W44" s="106">
        <f>IF(B44="","",IF('Arrear Sheet'!C44="TOTAL","",'Arrear Sheet'!X44))</f>
        <v>0</v>
      </c>
      <c r="X44" s="106" t="str">
        <f>IF(B44="","",IF('Arrear Sheet'!C44="TOTAL","",'Arrear Sheet'!AB44))</f>
        <v/>
      </c>
      <c r="Y44" s="106" t="str">
        <f>IF(B44="","",IF('Arrear Sheet'!D44="TOTAL","",'Arrear Sheet'!AC44))</f>
        <v/>
      </c>
      <c r="Z44" s="106" t="str">
        <f>IF(B44="","",IF('Arrear Sheet'!E44="TOTAL","",'Arrear Sheet'!AD44))</f>
        <v/>
      </c>
      <c r="AA44" s="106">
        <f>IF(B44="","",IF('Arrear Sheet'!C44="TOTAL","",'Arrear Sheet'!Y44))</f>
        <v>875</v>
      </c>
      <c r="AB44" s="106">
        <f>IF(B44="","",IF('Arrear Sheet'!C44="TOTAL","",'Arrear Sheet'!Z44))</f>
        <v>875</v>
      </c>
      <c r="AC44" s="106">
        <f>IF(B44="","",IF('Arrear Sheet'!C44="TOTAL","",'Arrear Sheet'!AA44))</f>
        <v>0</v>
      </c>
      <c r="AD44" s="106" t="str">
        <f>IF(B44="","",IF('Arrear Sheet'!C44="TOTAL","",'Arrear Sheet'!AE44))</f>
        <v/>
      </c>
      <c r="AE44" s="106">
        <f>IF(B44="","",IF('Arrear Sheet'!C44="TOTAL","",'Arrear Sheet'!AF44))</f>
        <v>0</v>
      </c>
      <c r="AF44" s="106">
        <f>IF(B44="","",'Arrear Sheet'!AG44)</f>
        <v>0</v>
      </c>
      <c r="AG44" s="24">
        <f>IFERROR(IF(B44="","",IF('Arrear Sheet'!C44="TOTAL","",SUM(Q44-AF44))),"")</f>
        <v>9509</v>
      </c>
      <c r="AH44" s="39"/>
      <c r="AI44" s="40"/>
      <c r="AK44" s="69"/>
      <c r="AL44" s="69"/>
      <c r="AM44" s="69"/>
      <c r="AN44" s="69"/>
      <c r="AO44" s="69"/>
      <c r="AP44" s="69"/>
    </row>
    <row r="45" spans="1:42" s="28" customFormat="1" ht="21" customHeight="1">
      <c r="A45" s="22">
        <f>IF('Arrear Sheet'!B45="","",'Arrear Sheet'!B45)</f>
        <v>38</v>
      </c>
      <c r="B45" s="23">
        <f>IF('Arrear Sheet'!C45="","",IF('Arrear Sheet'!C45="TOTAL","",'Arrear Sheet'!C45))</f>
        <v>44682</v>
      </c>
      <c r="C45" s="106">
        <f>IF('Arrear Sheet'!D45="","",IF('Arrear Sheet'!C45="TOTAL","",IF('Arrear Sheet'!D45="अक्षरें राशि :-","",'Arrear Sheet'!D45)))</f>
        <v>110500</v>
      </c>
      <c r="D45" s="106">
        <f>IF('Arrear Sheet'!E45="","",IF('Arrear Sheet'!C45="TOTAL","",'Arrear Sheet'!E45))</f>
        <v>45084</v>
      </c>
      <c r="E45" s="106">
        <f>IF(B45="","",IF('Arrear Sheet'!D45="TOTAL","",'Arrear Sheet'!F45))</f>
        <v>9945</v>
      </c>
      <c r="F45" s="106">
        <f>IF(B45="","",IF('Arrear Sheet'!E45="TOTAL","",'Arrear Sheet'!G45))</f>
        <v>22100</v>
      </c>
      <c r="G45" s="106">
        <f>IF(B45="","",IF('Arrear Sheet'!C45="TOTAL","",SUM(C45:F45)))</f>
        <v>187629</v>
      </c>
      <c r="H45" s="106">
        <f>IF(B45="","",IF('Arrear Sheet'!C45="TOTAL","",'Arrear Sheet'!I45))</f>
        <v>104900</v>
      </c>
      <c r="I45" s="106">
        <f>IF(B45="","",IF('Arrear Sheet'!C45="TOTAL","",'Arrear Sheet'!J45))</f>
        <v>42799</v>
      </c>
      <c r="J45" s="106">
        <f>IF(B45="","",IF('Arrear Sheet'!C45="TOTAL","",'Arrear Sheet'!K45))</f>
        <v>9441</v>
      </c>
      <c r="K45" s="106">
        <f>IF(B45="","",IF('Arrear Sheet'!D45="TOTAL","",'Arrear Sheet'!L45))</f>
        <v>20980</v>
      </c>
      <c r="L45" s="106">
        <f>IF(B45="","",IF('Arrear Sheet'!C45="TOTAL","",SUM(H45:K45)))</f>
        <v>178120</v>
      </c>
      <c r="M45" s="106">
        <f>IF(B45="","",IF('Arrear Sheet'!C45="TOTAL","",'Arrear Sheet'!N45))</f>
        <v>5600</v>
      </c>
      <c r="N45" s="106">
        <f>IF(B45="","",IF('Arrear Sheet'!C45="TOTAL","",'Arrear Sheet'!O45))</f>
        <v>2285</v>
      </c>
      <c r="O45" s="106">
        <f>IF(B45="","",IF('Arrear Sheet'!C45="TOTAL","",'Arrear Sheet'!P45))</f>
        <v>504</v>
      </c>
      <c r="P45" s="106">
        <f>IF(B45="","",IF('Arrear Sheet'!D45="TOTAL","",'Arrear Sheet'!Q45))</f>
        <v>1120</v>
      </c>
      <c r="Q45" s="106">
        <f>IF(B45="","",IF('Arrear Sheet'!C45="TOTAL","",SUM(M45:P45)))</f>
        <v>9509</v>
      </c>
      <c r="R45" s="106">
        <f>IF(B45="","",IF('Arrear Sheet'!C45="TOTAL","",'Arrear Sheet'!S45))</f>
        <v>2100</v>
      </c>
      <c r="S45" s="106">
        <f>IF(B45="","",IF('Arrear Sheet'!C45="TOTAL","",'Arrear Sheet'!T45))</f>
        <v>2100</v>
      </c>
      <c r="T45" s="106">
        <f>IF(B45="","",IF('Arrear Sheet'!C45="TOTAL","",'Arrear Sheet'!U45))</f>
        <v>0</v>
      </c>
      <c r="U45" s="106">
        <f>IF(B45="","",IF('Arrear Sheet'!C45="TOTAL","",'Arrear Sheet'!V45))</f>
        <v>2100</v>
      </c>
      <c r="V45" s="106">
        <f>IF(B45="","",IF('Arrear Sheet'!C45="TOTAL","",'Arrear Sheet'!W45))</f>
        <v>2100</v>
      </c>
      <c r="W45" s="106">
        <f>IF(B45="","",IF('Arrear Sheet'!C45="TOTAL","",'Arrear Sheet'!X45))</f>
        <v>0</v>
      </c>
      <c r="X45" s="106" t="str">
        <f>IF(B45="","",IF('Arrear Sheet'!C45="TOTAL","",'Arrear Sheet'!AB45))</f>
        <v/>
      </c>
      <c r="Y45" s="106" t="str">
        <f>IF(B45="","",IF('Arrear Sheet'!D45="TOTAL","",'Arrear Sheet'!AC45))</f>
        <v/>
      </c>
      <c r="Z45" s="106" t="str">
        <f>IF(B45="","",IF('Arrear Sheet'!E45="TOTAL","",'Arrear Sheet'!AD45))</f>
        <v/>
      </c>
      <c r="AA45" s="106">
        <f>IF(B45="","",IF('Arrear Sheet'!C45="TOTAL","",'Arrear Sheet'!Y45))</f>
        <v>875</v>
      </c>
      <c r="AB45" s="106">
        <f>IF(B45="","",IF('Arrear Sheet'!C45="TOTAL","",'Arrear Sheet'!Z45))</f>
        <v>875</v>
      </c>
      <c r="AC45" s="106">
        <f>IF(B45="","",IF('Arrear Sheet'!C45="TOTAL","",'Arrear Sheet'!AA45))</f>
        <v>0</v>
      </c>
      <c r="AD45" s="106" t="str">
        <f>IF(B45="","",IF('Arrear Sheet'!C45="TOTAL","",'Arrear Sheet'!AE45))</f>
        <v/>
      </c>
      <c r="AE45" s="106">
        <f>IF(B45="","",IF('Arrear Sheet'!C45="TOTAL","",'Arrear Sheet'!AF45))</f>
        <v>0</v>
      </c>
      <c r="AF45" s="106">
        <f>IF(B45="","",'Arrear Sheet'!AG45)</f>
        <v>0</v>
      </c>
      <c r="AG45" s="24">
        <f>IFERROR(IF(B45="","",IF('Arrear Sheet'!C45="TOTAL","",SUM(Q45-AF45))),"")</f>
        <v>9509</v>
      </c>
      <c r="AH45" s="39"/>
      <c r="AI45" s="40"/>
      <c r="AK45" s="69"/>
      <c r="AL45" s="69"/>
      <c r="AM45" s="69"/>
      <c r="AN45" s="69"/>
      <c r="AO45" s="69"/>
      <c r="AP45" s="69"/>
    </row>
    <row r="46" spans="1:42" s="28" customFormat="1" ht="21" customHeight="1">
      <c r="A46" s="22">
        <f>IF('Arrear Sheet'!B46="","",'Arrear Sheet'!B46)</f>
        <v>39</v>
      </c>
      <c r="B46" s="23">
        <f>IF('Arrear Sheet'!C46="","",IF('Arrear Sheet'!C46="TOTAL","",'Arrear Sheet'!C46))</f>
        <v>44713</v>
      </c>
      <c r="C46" s="106">
        <f>IF('Arrear Sheet'!D46="","",IF('Arrear Sheet'!C46="TOTAL","",IF('Arrear Sheet'!D46="अक्षरें राशि :-","",'Arrear Sheet'!D46)))</f>
        <v>110500</v>
      </c>
      <c r="D46" s="106">
        <f>IF('Arrear Sheet'!E46="","",IF('Arrear Sheet'!C46="TOTAL","",'Arrear Sheet'!E46))</f>
        <v>45084</v>
      </c>
      <c r="E46" s="106">
        <f>IF(B46="","",IF('Arrear Sheet'!D46="TOTAL","",'Arrear Sheet'!F46))</f>
        <v>9945</v>
      </c>
      <c r="F46" s="106">
        <f>IF(B46="","",IF('Arrear Sheet'!E46="TOTAL","",'Arrear Sheet'!G46))</f>
        <v>22100</v>
      </c>
      <c r="G46" s="106">
        <f>IF(B46="","",IF('Arrear Sheet'!C46="TOTAL","",SUM(C46:F46)))</f>
        <v>187629</v>
      </c>
      <c r="H46" s="106">
        <f>IF(B46="","",IF('Arrear Sheet'!C46="TOTAL","",'Arrear Sheet'!I46))</f>
        <v>104900</v>
      </c>
      <c r="I46" s="106">
        <f>IF(B46="","",IF('Arrear Sheet'!C46="TOTAL","",'Arrear Sheet'!J46))</f>
        <v>42799</v>
      </c>
      <c r="J46" s="106">
        <f>IF(B46="","",IF('Arrear Sheet'!C46="TOTAL","",'Arrear Sheet'!K46))</f>
        <v>9441</v>
      </c>
      <c r="K46" s="106">
        <f>IF(B46="","",IF('Arrear Sheet'!D46="TOTAL","",'Arrear Sheet'!L46))</f>
        <v>20980</v>
      </c>
      <c r="L46" s="106">
        <f>IF(B46="","",IF('Arrear Sheet'!C46="TOTAL","",SUM(H46:K46)))</f>
        <v>178120</v>
      </c>
      <c r="M46" s="106">
        <f>IF(B46="","",IF('Arrear Sheet'!C46="TOTAL","",'Arrear Sheet'!N46))</f>
        <v>5600</v>
      </c>
      <c r="N46" s="106">
        <f>IF(B46="","",IF('Arrear Sheet'!C46="TOTAL","",'Arrear Sheet'!O46))</f>
        <v>2285</v>
      </c>
      <c r="O46" s="106">
        <f>IF(B46="","",IF('Arrear Sheet'!C46="TOTAL","",'Arrear Sheet'!P46))</f>
        <v>504</v>
      </c>
      <c r="P46" s="106">
        <f>IF(B46="","",IF('Arrear Sheet'!D46="TOTAL","",'Arrear Sheet'!Q46))</f>
        <v>1120</v>
      </c>
      <c r="Q46" s="106">
        <f>IF(B46="","",IF('Arrear Sheet'!C46="TOTAL","",SUM(M46:P46)))</f>
        <v>9509</v>
      </c>
      <c r="R46" s="106">
        <f>IF(B46="","",IF('Arrear Sheet'!C46="TOTAL","",'Arrear Sheet'!S46))</f>
        <v>2100</v>
      </c>
      <c r="S46" s="106">
        <f>IF(B46="","",IF('Arrear Sheet'!C46="TOTAL","",'Arrear Sheet'!T46))</f>
        <v>2100</v>
      </c>
      <c r="T46" s="106">
        <f>IF(B46="","",IF('Arrear Sheet'!C46="TOTAL","",'Arrear Sheet'!U46))</f>
        <v>0</v>
      </c>
      <c r="U46" s="106">
        <f>IF(B46="","",IF('Arrear Sheet'!C46="TOTAL","",'Arrear Sheet'!V46))</f>
        <v>2100</v>
      </c>
      <c r="V46" s="106">
        <f>IF(B46="","",IF('Arrear Sheet'!C46="TOTAL","",'Arrear Sheet'!W46))</f>
        <v>2100</v>
      </c>
      <c r="W46" s="106">
        <f>IF(B46="","",IF('Arrear Sheet'!C46="TOTAL","",'Arrear Sheet'!X46))</f>
        <v>0</v>
      </c>
      <c r="X46" s="106" t="str">
        <f>IF(B46="","",IF('Arrear Sheet'!C46="TOTAL","",'Arrear Sheet'!AB46))</f>
        <v/>
      </c>
      <c r="Y46" s="106" t="str">
        <f>IF(B46="","",IF('Arrear Sheet'!D46="TOTAL","",'Arrear Sheet'!AC46))</f>
        <v/>
      </c>
      <c r="Z46" s="106" t="str">
        <f>IF(B46="","",IF('Arrear Sheet'!E46="TOTAL","",'Arrear Sheet'!AD46))</f>
        <v/>
      </c>
      <c r="AA46" s="106">
        <f>IF(B46="","",IF('Arrear Sheet'!C46="TOTAL","",'Arrear Sheet'!Y46))</f>
        <v>875</v>
      </c>
      <c r="AB46" s="106">
        <f>IF(B46="","",IF('Arrear Sheet'!C46="TOTAL","",'Arrear Sheet'!Z46))</f>
        <v>875</v>
      </c>
      <c r="AC46" s="106">
        <f>IF(B46="","",IF('Arrear Sheet'!C46="TOTAL","",'Arrear Sheet'!AA46))</f>
        <v>0</v>
      </c>
      <c r="AD46" s="106" t="str">
        <f>IF(B46="","",IF('Arrear Sheet'!C46="TOTAL","",'Arrear Sheet'!AE46))</f>
        <v/>
      </c>
      <c r="AE46" s="106">
        <f>IF(B46="","",IF('Arrear Sheet'!C46="TOTAL","",'Arrear Sheet'!AF46))</f>
        <v>0</v>
      </c>
      <c r="AF46" s="106">
        <f>IF(B46="","",'Arrear Sheet'!AG46)</f>
        <v>0</v>
      </c>
      <c r="AG46" s="24">
        <f>IFERROR(IF(B46="","",IF('Arrear Sheet'!C46="TOTAL","",SUM(Q46-AF46))),"")</f>
        <v>9509</v>
      </c>
      <c r="AH46" s="39"/>
      <c r="AI46" s="40"/>
      <c r="AK46" s="69"/>
      <c r="AL46" s="69"/>
      <c r="AM46" s="69"/>
      <c r="AN46" s="69"/>
      <c r="AO46" s="69"/>
      <c r="AP46" s="69"/>
    </row>
    <row r="47" spans="1:42" s="28" customFormat="1" ht="21" customHeight="1">
      <c r="A47" s="22">
        <f>IF('Arrear Sheet'!B47="","",'Arrear Sheet'!B47)</f>
        <v>40</v>
      </c>
      <c r="B47" s="23">
        <f>IF('Arrear Sheet'!C47="","",IF('Arrear Sheet'!C47="TOTAL","",'Arrear Sheet'!C47))</f>
        <v>44743</v>
      </c>
      <c r="C47" s="106">
        <f>IF('Arrear Sheet'!D47="","",IF('Arrear Sheet'!C47="TOTAL","",IF('Arrear Sheet'!D47="अक्षरें राशि :-","",'Arrear Sheet'!D47)))</f>
        <v>113800</v>
      </c>
      <c r="D47" s="106">
        <f>IF('Arrear Sheet'!E47="","",IF('Arrear Sheet'!C47="TOTAL","",'Arrear Sheet'!E47))</f>
        <v>51893</v>
      </c>
      <c r="E47" s="106">
        <f>IF(B47="","",IF('Arrear Sheet'!D47="TOTAL","",'Arrear Sheet'!F47))</f>
        <v>10242</v>
      </c>
      <c r="F47" s="106">
        <f>IF(B47="","",IF('Arrear Sheet'!E47="TOTAL","",'Arrear Sheet'!G47))</f>
        <v>22760</v>
      </c>
      <c r="G47" s="106">
        <f>IF(B47="","",IF('Arrear Sheet'!C47="TOTAL","",SUM(C47:F47)))</f>
        <v>198695</v>
      </c>
      <c r="H47" s="106">
        <f>IF(B47="","",IF('Arrear Sheet'!C47="TOTAL","",'Arrear Sheet'!I47))</f>
        <v>108000</v>
      </c>
      <c r="I47" s="106">
        <f>IF(B47="","",IF('Arrear Sheet'!C47="TOTAL","",'Arrear Sheet'!J47))</f>
        <v>49248</v>
      </c>
      <c r="J47" s="106">
        <f>IF(B47="","",IF('Arrear Sheet'!C47="TOTAL","",'Arrear Sheet'!K47))</f>
        <v>9720</v>
      </c>
      <c r="K47" s="106">
        <f>IF(B47="","",IF('Arrear Sheet'!D47="TOTAL","",'Arrear Sheet'!L47))</f>
        <v>21600</v>
      </c>
      <c r="L47" s="106">
        <f>IF(B47="","",IF('Arrear Sheet'!C47="TOTAL","",SUM(H47:K47)))</f>
        <v>188568</v>
      </c>
      <c r="M47" s="106">
        <f>IF(B47="","",IF('Arrear Sheet'!C47="TOTAL","",'Arrear Sheet'!N47))</f>
        <v>5800</v>
      </c>
      <c r="N47" s="106">
        <f>IF(B47="","",IF('Arrear Sheet'!C47="TOTAL","",'Arrear Sheet'!O47))</f>
        <v>2645</v>
      </c>
      <c r="O47" s="106">
        <f>IF(B47="","",IF('Arrear Sheet'!C47="TOTAL","",'Arrear Sheet'!P47))</f>
        <v>522</v>
      </c>
      <c r="P47" s="106">
        <f>IF(B47="","",IF('Arrear Sheet'!D47="TOTAL","",'Arrear Sheet'!Q47))</f>
        <v>1160</v>
      </c>
      <c r="Q47" s="106">
        <f>IF(B47="","",IF('Arrear Sheet'!C47="TOTAL","",SUM(M47:P47)))</f>
        <v>10127</v>
      </c>
      <c r="R47" s="106">
        <f>IF(B47="","",IF('Arrear Sheet'!C47="TOTAL","",'Arrear Sheet'!S47))</f>
        <v>2100</v>
      </c>
      <c r="S47" s="106">
        <f>IF(B47="","",IF('Arrear Sheet'!C47="TOTAL","",'Arrear Sheet'!T47))</f>
        <v>2100</v>
      </c>
      <c r="T47" s="106">
        <f>IF(B47="","",IF('Arrear Sheet'!C47="TOTAL","",'Arrear Sheet'!U47))</f>
        <v>0</v>
      </c>
      <c r="U47" s="106">
        <f>IF(B47="","",IF('Arrear Sheet'!C47="TOTAL","",'Arrear Sheet'!V47))</f>
        <v>2100</v>
      </c>
      <c r="V47" s="106">
        <f>IF(B47="","",IF('Arrear Sheet'!C47="TOTAL","",'Arrear Sheet'!W47))</f>
        <v>2100</v>
      </c>
      <c r="W47" s="106">
        <f>IF(B47="","",IF('Arrear Sheet'!C47="TOTAL","",'Arrear Sheet'!X47))</f>
        <v>0</v>
      </c>
      <c r="X47" s="106" t="str">
        <f>IF(B47="","",IF('Arrear Sheet'!C47="TOTAL","",'Arrear Sheet'!AB47))</f>
        <v/>
      </c>
      <c r="Y47" s="106" t="str">
        <f>IF(B47="","",IF('Arrear Sheet'!D47="TOTAL","",'Arrear Sheet'!AC47))</f>
        <v/>
      </c>
      <c r="Z47" s="106" t="str">
        <f>IF(B47="","",IF('Arrear Sheet'!E47="TOTAL","",'Arrear Sheet'!AD47))</f>
        <v/>
      </c>
      <c r="AA47" s="106">
        <f>IF(B47="","",IF('Arrear Sheet'!C47="TOTAL","",'Arrear Sheet'!Y47))</f>
        <v>875</v>
      </c>
      <c r="AB47" s="106">
        <f>IF(B47="","",IF('Arrear Sheet'!C47="TOTAL","",'Arrear Sheet'!Z47))</f>
        <v>875</v>
      </c>
      <c r="AC47" s="106">
        <f>IF(B47="","",IF('Arrear Sheet'!C47="TOTAL","",'Arrear Sheet'!AA47))</f>
        <v>0</v>
      </c>
      <c r="AD47" s="106" t="str">
        <f>IF(B47="","",IF('Arrear Sheet'!C47="TOTAL","",'Arrear Sheet'!AE47))</f>
        <v/>
      </c>
      <c r="AE47" s="106">
        <f>IF(B47="","",IF('Arrear Sheet'!C47="TOTAL","",'Arrear Sheet'!AF47))</f>
        <v>0</v>
      </c>
      <c r="AF47" s="106">
        <f>IF(B47="","",'Arrear Sheet'!AG47)</f>
        <v>0</v>
      </c>
      <c r="AG47" s="24">
        <f>IFERROR(IF(B47="","",IF('Arrear Sheet'!C47="TOTAL","",SUM(Q47-AF47))),"")</f>
        <v>10127</v>
      </c>
      <c r="AH47" s="39"/>
      <c r="AI47" s="40"/>
      <c r="AK47" s="69"/>
      <c r="AL47" s="69"/>
      <c r="AM47" s="69"/>
      <c r="AN47" s="69"/>
      <c r="AO47" s="69"/>
      <c r="AP47" s="69"/>
    </row>
    <row r="48" spans="1:42" s="28" customFormat="1" ht="21" customHeight="1">
      <c r="A48" s="22">
        <f>IF('Arrear Sheet'!B48="","",'Arrear Sheet'!B48)</f>
        <v>41</v>
      </c>
      <c r="B48" s="23">
        <f>IF('Arrear Sheet'!C48="","",IF('Arrear Sheet'!C48="TOTAL","",'Arrear Sheet'!C48))</f>
        <v>44774</v>
      </c>
      <c r="C48" s="106">
        <f>IF('Arrear Sheet'!D48="","",IF('Arrear Sheet'!C48="TOTAL","",IF('Arrear Sheet'!D48="अक्षरें राशि :-","",'Arrear Sheet'!D48)))</f>
        <v>113800</v>
      </c>
      <c r="D48" s="106">
        <f>IF('Arrear Sheet'!E48="","",IF('Arrear Sheet'!C48="TOTAL","",'Arrear Sheet'!E48))</f>
        <v>51893</v>
      </c>
      <c r="E48" s="106">
        <f>IF(B48="","",IF('Arrear Sheet'!D48="TOTAL","",'Arrear Sheet'!F48))</f>
        <v>10242</v>
      </c>
      <c r="F48" s="106">
        <f>IF(B48="","",IF('Arrear Sheet'!E48="TOTAL","",'Arrear Sheet'!G48))</f>
        <v>22760</v>
      </c>
      <c r="G48" s="106">
        <f>IF(B48="","",IF('Arrear Sheet'!C48="TOTAL","",SUM(C48:F48)))</f>
        <v>198695</v>
      </c>
      <c r="H48" s="106">
        <f>IF(B48="","",IF('Arrear Sheet'!C48="TOTAL","",'Arrear Sheet'!I48))</f>
        <v>108000</v>
      </c>
      <c r="I48" s="106">
        <f>IF(B48="","",IF('Arrear Sheet'!C48="TOTAL","",'Arrear Sheet'!J48))</f>
        <v>49248</v>
      </c>
      <c r="J48" s="106">
        <f>IF(B48="","",IF('Arrear Sheet'!C48="TOTAL","",'Arrear Sheet'!K48))</f>
        <v>9720</v>
      </c>
      <c r="K48" s="106">
        <f>IF(B48="","",IF('Arrear Sheet'!D48="TOTAL","",'Arrear Sheet'!L48))</f>
        <v>21600</v>
      </c>
      <c r="L48" s="106">
        <f>IF(B48="","",IF('Arrear Sheet'!C48="TOTAL","",SUM(H48:K48)))</f>
        <v>188568</v>
      </c>
      <c r="M48" s="106">
        <f>IF(B48="","",IF('Arrear Sheet'!C48="TOTAL","",'Arrear Sheet'!N48))</f>
        <v>5800</v>
      </c>
      <c r="N48" s="106">
        <f>IF(B48="","",IF('Arrear Sheet'!C48="TOTAL","",'Arrear Sheet'!O48))</f>
        <v>2645</v>
      </c>
      <c r="O48" s="106">
        <f>IF(B48="","",IF('Arrear Sheet'!C48="TOTAL","",'Arrear Sheet'!P48))</f>
        <v>522</v>
      </c>
      <c r="P48" s="106">
        <f>IF(B48="","",IF('Arrear Sheet'!D48="TOTAL","",'Arrear Sheet'!Q48))</f>
        <v>1160</v>
      </c>
      <c r="Q48" s="106">
        <f>IF(B48="","",IF('Arrear Sheet'!C48="TOTAL","",SUM(M48:P48)))</f>
        <v>10127</v>
      </c>
      <c r="R48" s="106">
        <f>IF(B48="","",IF('Arrear Sheet'!C48="TOTAL","",'Arrear Sheet'!S48))</f>
        <v>2100</v>
      </c>
      <c r="S48" s="106">
        <f>IF(B48="","",IF('Arrear Sheet'!C48="TOTAL","",'Arrear Sheet'!T48))</f>
        <v>2100</v>
      </c>
      <c r="T48" s="106">
        <f>IF(B48="","",IF('Arrear Sheet'!C48="TOTAL","",'Arrear Sheet'!U48))</f>
        <v>0</v>
      </c>
      <c r="U48" s="106">
        <f>IF(B48="","",IF('Arrear Sheet'!C48="TOTAL","",'Arrear Sheet'!V48))</f>
        <v>2100</v>
      </c>
      <c r="V48" s="106">
        <f>IF(B48="","",IF('Arrear Sheet'!C48="TOTAL","",'Arrear Sheet'!W48))</f>
        <v>2100</v>
      </c>
      <c r="W48" s="106">
        <f>IF(B48="","",IF('Arrear Sheet'!C48="TOTAL","",'Arrear Sheet'!X48))</f>
        <v>0</v>
      </c>
      <c r="X48" s="106" t="str">
        <f>IF(B48="","",IF('Arrear Sheet'!C48="TOTAL","",'Arrear Sheet'!AB48))</f>
        <v/>
      </c>
      <c r="Y48" s="106" t="str">
        <f>IF(B48="","",IF('Arrear Sheet'!D48="TOTAL","",'Arrear Sheet'!AC48))</f>
        <v/>
      </c>
      <c r="Z48" s="106" t="str">
        <f>IF(B48="","",IF('Arrear Sheet'!E48="TOTAL","",'Arrear Sheet'!AD48))</f>
        <v/>
      </c>
      <c r="AA48" s="106">
        <f>IF(B48="","",IF('Arrear Sheet'!C48="TOTAL","",'Arrear Sheet'!Y48))</f>
        <v>875</v>
      </c>
      <c r="AB48" s="106">
        <f>IF(B48="","",IF('Arrear Sheet'!C48="TOTAL","",'Arrear Sheet'!Z48))</f>
        <v>875</v>
      </c>
      <c r="AC48" s="106">
        <f>IF(B48="","",IF('Arrear Sheet'!C48="TOTAL","",'Arrear Sheet'!AA48))</f>
        <v>0</v>
      </c>
      <c r="AD48" s="106" t="str">
        <f>IF(B48="","",IF('Arrear Sheet'!C48="TOTAL","",'Arrear Sheet'!AE48))</f>
        <v/>
      </c>
      <c r="AE48" s="106">
        <f>IF(B48="","",IF('Arrear Sheet'!C48="TOTAL","",'Arrear Sheet'!AF48))</f>
        <v>0</v>
      </c>
      <c r="AF48" s="106">
        <f>IF(B48="","",'Arrear Sheet'!AG48)</f>
        <v>0</v>
      </c>
      <c r="AG48" s="24">
        <f>IFERROR(IF(B48="","",IF('Arrear Sheet'!C48="TOTAL","",SUM(Q48-AF48))),"")</f>
        <v>10127</v>
      </c>
      <c r="AH48" s="39"/>
      <c r="AI48" s="40"/>
      <c r="AK48" s="100"/>
      <c r="AL48" s="100"/>
      <c r="AM48" s="100"/>
      <c r="AN48" s="100"/>
      <c r="AO48" s="100"/>
      <c r="AP48" s="100"/>
    </row>
    <row r="49" spans="1:42" s="28" customFormat="1" ht="21" customHeight="1">
      <c r="A49" s="22">
        <f>IF('Arrear Sheet'!B49="","",'Arrear Sheet'!B49)</f>
        <v>42</v>
      </c>
      <c r="B49" s="23">
        <f>IF('Arrear Sheet'!C49="","",IF('Arrear Sheet'!C49="TOTAL","",'Arrear Sheet'!C49))</f>
        <v>44805</v>
      </c>
      <c r="C49" s="106">
        <f>IF('Arrear Sheet'!D49="","",IF('Arrear Sheet'!C49="TOTAL","",IF('Arrear Sheet'!D49="अक्षरें राशि :-","",'Arrear Sheet'!D49)))</f>
        <v>113800</v>
      </c>
      <c r="D49" s="106">
        <f>IF('Arrear Sheet'!E49="","",IF('Arrear Sheet'!C49="TOTAL","",'Arrear Sheet'!E49))</f>
        <v>51893</v>
      </c>
      <c r="E49" s="106">
        <f>IF(B49="","",IF('Arrear Sheet'!D49="TOTAL","",'Arrear Sheet'!F49))</f>
        <v>10242</v>
      </c>
      <c r="F49" s="106">
        <f>IF(B49="","",IF('Arrear Sheet'!E49="TOTAL","",'Arrear Sheet'!G49))</f>
        <v>22760</v>
      </c>
      <c r="G49" s="106">
        <f>IF(B49="","",IF('Arrear Sheet'!C49="TOTAL","",SUM(C49:F49)))</f>
        <v>198695</v>
      </c>
      <c r="H49" s="106">
        <f>IF(B49="","",IF('Arrear Sheet'!C49="TOTAL","",'Arrear Sheet'!I49))</f>
        <v>108000</v>
      </c>
      <c r="I49" s="106">
        <f>IF(B49="","",IF('Arrear Sheet'!C49="TOTAL","",'Arrear Sheet'!J49))</f>
        <v>49248</v>
      </c>
      <c r="J49" s="106">
        <f>IF(B49="","",IF('Arrear Sheet'!C49="TOTAL","",'Arrear Sheet'!K49))</f>
        <v>9720</v>
      </c>
      <c r="K49" s="106">
        <f>IF(B49="","",IF('Arrear Sheet'!D49="TOTAL","",'Arrear Sheet'!L49))</f>
        <v>21600</v>
      </c>
      <c r="L49" s="106">
        <f>IF(B49="","",IF('Arrear Sheet'!C49="TOTAL","",SUM(H49:K49)))</f>
        <v>188568</v>
      </c>
      <c r="M49" s="106">
        <f>IF(B49="","",IF('Arrear Sheet'!C49="TOTAL","",'Arrear Sheet'!N49))</f>
        <v>5800</v>
      </c>
      <c r="N49" s="106">
        <f>IF(B49="","",IF('Arrear Sheet'!C49="TOTAL","",'Arrear Sheet'!O49))</f>
        <v>2645</v>
      </c>
      <c r="O49" s="106">
        <f>IF(B49="","",IF('Arrear Sheet'!C49="TOTAL","",'Arrear Sheet'!P49))</f>
        <v>522</v>
      </c>
      <c r="P49" s="106">
        <f>IF(B49="","",IF('Arrear Sheet'!D49="TOTAL","",'Arrear Sheet'!Q49))</f>
        <v>1160</v>
      </c>
      <c r="Q49" s="106">
        <f>IF(B49="","",IF('Arrear Sheet'!C49="TOTAL","",SUM(M49:P49)))</f>
        <v>10127</v>
      </c>
      <c r="R49" s="106">
        <f>IF(B49="","",IF('Arrear Sheet'!C49="TOTAL","",'Arrear Sheet'!S49))</f>
        <v>2100</v>
      </c>
      <c r="S49" s="106">
        <f>IF(B49="","",IF('Arrear Sheet'!C49="TOTAL","",'Arrear Sheet'!T49))</f>
        <v>2100</v>
      </c>
      <c r="T49" s="106">
        <f>IF(B49="","",IF('Arrear Sheet'!C49="TOTAL","",'Arrear Sheet'!U49))</f>
        <v>0</v>
      </c>
      <c r="U49" s="106">
        <f>IF(B49="","",IF('Arrear Sheet'!C49="TOTAL","",'Arrear Sheet'!V49))</f>
        <v>2100</v>
      </c>
      <c r="V49" s="106">
        <f>IF(B49="","",IF('Arrear Sheet'!C49="TOTAL","",'Arrear Sheet'!W49))</f>
        <v>2100</v>
      </c>
      <c r="W49" s="106">
        <f>IF(B49="","",IF('Arrear Sheet'!C49="TOTAL","",'Arrear Sheet'!X49))</f>
        <v>0</v>
      </c>
      <c r="X49" s="106" t="str">
        <f>IF(B49="","",IF('Arrear Sheet'!C49="TOTAL","",'Arrear Sheet'!AB49))</f>
        <v/>
      </c>
      <c r="Y49" s="106" t="str">
        <f>IF(B49="","",IF('Arrear Sheet'!D49="TOTAL","",'Arrear Sheet'!AC49))</f>
        <v/>
      </c>
      <c r="Z49" s="106" t="str">
        <f>IF(B49="","",IF('Arrear Sheet'!E49="TOTAL","",'Arrear Sheet'!AD49))</f>
        <v/>
      </c>
      <c r="AA49" s="106">
        <f>IF(B49="","",IF('Arrear Sheet'!C49="TOTAL","",'Arrear Sheet'!Y49))</f>
        <v>875</v>
      </c>
      <c r="AB49" s="106">
        <f>IF(B49="","",IF('Arrear Sheet'!C49="TOTAL","",'Arrear Sheet'!Z49))</f>
        <v>875</v>
      </c>
      <c r="AC49" s="106">
        <f>IF(B49="","",IF('Arrear Sheet'!C49="TOTAL","",'Arrear Sheet'!AA49))</f>
        <v>0</v>
      </c>
      <c r="AD49" s="106" t="str">
        <f>IF(B49="","",IF('Arrear Sheet'!C49="TOTAL","",'Arrear Sheet'!AE49))</f>
        <v/>
      </c>
      <c r="AE49" s="106">
        <f>IF(B49="","",IF('Arrear Sheet'!C49="TOTAL","",'Arrear Sheet'!AF49))</f>
        <v>0</v>
      </c>
      <c r="AF49" s="106">
        <f>IF(B49="","",'Arrear Sheet'!AG49)</f>
        <v>0</v>
      </c>
      <c r="AG49" s="24">
        <f>IFERROR(IF(B49="","",IF('Arrear Sheet'!C49="TOTAL","",SUM(Q49-AF49))),"")</f>
        <v>10127</v>
      </c>
      <c r="AH49" s="39"/>
      <c r="AI49" s="40"/>
      <c r="AK49" s="100"/>
      <c r="AL49" s="100"/>
      <c r="AM49" s="100"/>
      <c r="AN49" s="100"/>
      <c r="AO49" s="100"/>
      <c r="AP49" s="100"/>
    </row>
    <row r="50" spans="1:42" s="28" customFormat="1" ht="21" customHeight="1">
      <c r="A50" s="22">
        <f>IF('Arrear Sheet'!B50="","",'Arrear Sheet'!B50)</f>
        <v>43</v>
      </c>
      <c r="B50" s="23">
        <f>IF('Arrear Sheet'!C50="","",IF('Arrear Sheet'!C50="TOTAL","",'Arrear Sheet'!C50))</f>
        <v>44835</v>
      </c>
      <c r="C50" s="106">
        <f>IF('Arrear Sheet'!D50="","",IF('Arrear Sheet'!C50="TOTAL","",IF('Arrear Sheet'!D50="अक्षरें राशि :-","",'Arrear Sheet'!D50)))</f>
        <v>113800</v>
      </c>
      <c r="D50" s="106">
        <f>IF('Arrear Sheet'!E50="","",IF('Arrear Sheet'!C50="TOTAL","",'Arrear Sheet'!E50))</f>
        <v>51893</v>
      </c>
      <c r="E50" s="106">
        <f>IF(B50="","",IF('Arrear Sheet'!D50="TOTAL","",'Arrear Sheet'!F50))</f>
        <v>10242</v>
      </c>
      <c r="F50" s="106">
        <f>IF(B50="","",IF('Arrear Sheet'!E50="TOTAL","",'Arrear Sheet'!G50))</f>
        <v>22760</v>
      </c>
      <c r="G50" s="106">
        <f>IF(B50="","",IF('Arrear Sheet'!C50="TOTAL","",SUM(C50:F50)))</f>
        <v>198695</v>
      </c>
      <c r="H50" s="106">
        <f>IF(B50="","",IF('Arrear Sheet'!C50="TOTAL","",'Arrear Sheet'!I50))</f>
        <v>108000</v>
      </c>
      <c r="I50" s="106">
        <f>IF(B50="","",IF('Arrear Sheet'!C50="TOTAL","",'Arrear Sheet'!J50))</f>
        <v>49248</v>
      </c>
      <c r="J50" s="106">
        <f>IF(B50="","",IF('Arrear Sheet'!C50="TOTAL","",'Arrear Sheet'!K50))</f>
        <v>9720</v>
      </c>
      <c r="K50" s="106">
        <f>IF(B50="","",IF('Arrear Sheet'!D50="TOTAL","",'Arrear Sheet'!L50))</f>
        <v>21600</v>
      </c>
      <c r="L50" s="106">
        <f>IF(B50="","",IF('Arrear Sheet'!C50="TOTAL","",SUM(H50:K50)))</f>
        <v>188568</v>
      </c>
      <c r="M50" s="106">
        <f>IF(B50="","",IF('Arrear Sheet'!C50="TOTAL","",'Arrear Sheet'!N50))</f>
        <v>5800</v>
      </c>
      <c r="N50" s="106">
        <f>IF(B50="","",IF('Arrear Sheet'!C50="TOTAL","",'Arrear Sheet'!O50))</f>
        <v>2645</v>
      </c>
      <c r="O50" s="106">
        <f>IF(B50="","",IF('Arrear Sheet'!C50="TOTAL","",'Arrear Sheet'!P50))</f>
        <v>522</v>
      </c>
      <c r="P50" s="106">
        <f>IF(B50="","",IF('Arrear Sheet'!D50="TOTAL","",'Arrear Sheet'!Q50))</f>
        <v>1160</v>
      </c>
      <c r="Q50" s="106">
        <f>IF(B50="","",IF('Arrear Sheet'!C50="TOTAL","",SUM(M50:P50)))</f>
        <v>10127</v>
      </c>
      <c r="R50" s="106">
        <f>IF(B50="","",IF('Arrear Sheet'!C50="TOTAL","",'Arrear Sheet'!S50))</f>
        <v>2100</v>
      </c>
      <c r="S50" s="106">
        <f>IF(B50="","",IF('Arrear Sheet'!C50="TOTAL","",'Arrear Sheet'!T50))</f>
        <v>2100</v>
      </c>
      <c r="T50" s="106">
        <f>IF(B50="","",IF('Arrear Sheet'!C50="TOTAL","",'Arrear Sheet'!U50))</f>
        <v>0</v>
      </c>
      <c r="U50" s="106">
        <f>IF(B50="","",IF('Arrear Sheet'!C50="TOTAL","",'Arrear Sheet'!V50))</f>
        <v>2100</v>
      </c>
      <c r="V50" s="106">
        <f>IF(B50="","",IF('Arrear Sheet'!C50="TOTAL","",'Arrear Sheet'!W50))</f>
        <v>2100</v>
      </c>
      <c r="W50" s="106">
        <f>IF(B50="","",IF('Arrear Sheet'!C50="TOTAL","",'Arrear Sheet'!X50))</f>
        <v>0</v>
      </c>
      <c r="X50" s="106" t="str">
        <f>IF(B50="","",IF('Arrear Sheet'!C50="TOTAL","",'Arrear Sheet'!AB50))</f>
        <v/>
      </c>
      <c r="Y50" s="106" t="str">
        <f>IF(B50="","",IF('Arrear Sheet'!D50="TOTAL","",'Arrear Sheet'!AC50))</f>
        <v/>
      </c>
      <c r="Z50" s="106" t="str">
        <f>IF(B50="","",IF('Arrear Sheet'!E50="TOTAL","",'Arrear Sheet'!AD50))</f>
        <v/>
      </c>
      <c r="AA50" s="106">
        <f>IF(B50="","",IF('Arrear Sheet'!C50="TOTAL","",'Arrear Sheet'!Y50))</f>
        <v>875</v>
      </c>
      <c r="AB50" s="106">
        <f>IF(B50="","",IF('Arrear Sheet'!C50="TOTAL","",'Arrear Sheet'!Z50))</f>
        <v>875</v>
      </c>
      <c r="AC50" s="106">
        <f>IF(B50="","",IF('Arrear Sheet'!C50="TOTAL","",'Arrear Sheet'!AA50))</f>
        <v>0</v>
      </c>
      <c r="AD50" s="106" t="str">
        <f>IF(B50="","",IF('Arrear Sheet'!C50="TOTAL","",'Arrear Sheet'!AE50))</f>
        <v/>
      </c>
      <c r="AE50" s="106">
        <f>IF(B50="","",IF('Arrear Sheet'!C50="TOTAL","",'Arrear Sheet'!AF50))</f>
        <v>0</v>
      </c>
      <c r="AF50" s="106">
        <f>IF(B50="","",'Arrear Sheet'!AG50)</f>
        <v>0</v>
      </c>
      <c r="AG50" s="24">
        <f>IFERROR(IF(B50="","",IF('Arrear Sheet'!C50="TOTAL","",SUM(Q50-AF50))),"")</f>
        <v>10127</v>
      </c>
      <c r="AH50" s="39"/>
      <c r="AI50" s="40"/>
      <c r="AK50" s="100"/>
      <c r="AL50" s="100"/>
      <c r="AM50" s="100"/>
      <c r="AN50" s="100"/>
      <c r="AO50" s="100"/>
      <c r="AP50" s="100"/>
    </row>
    <row r="51" spans="1:42" s="28" customFormat="1" ht="21" customHeight="1">
      <c r="A51" s="22">
        <f>IF('Arrear Sheet'!B51="","",'Arrear Sheet'!B51)</f>
        <v>44</v>
      </c>
      <c r="B51" s="23">
        <f>IF('Arrear Sheet'!C51="","",IF('Arrear Sheet'!C51="TOTAL","",'Arrear Sheet'!C51))</f>
        <v>44866</v>
      </c>
      <c r="C51" s="106">
        <f>IF('Arrear Sheet'!D51="","",IF('Arrear Sheet'!C51="TOTAL","",IF('Arrear Sheet'!D51="अक्षरें राशि :-","",'Arrear Sheet'!D51)))</f>
        <v>113800</v>
      </c>
      <c r="D51" s="106">
        <f>IF('Arrear Sheet'!E51="","",IF('Arrear Sheet'!C51="TOTAL","",'Arrear Sheet'!E51))</f>
        <v>51893</v>
      </c>
      <c r="E51" s="106">
        <f>IF(B51="","",IF('Arrear Sheet'!D51="TOTAL","",'Arrear Sheet'!F51))</f>
        <v>10242</v>
      </c>
      <c r="F51" s="106">
        <f>IF(B51="","",IF('Arrear Sheet'!E51="TOTAL","",'Arrear Sheet'!G51))</f>
        <v>22760</v>
      </c>
      <c r="G51" s="106">
        <f>IF(B51="","",IF('Arrear Sheet'!C51="TOTAL","",SUM(C51:F51)))</f>
        <v>198695</v>
      </c>
      <c r="H51" s="106">
        <f>IF(B51="","",IF('Arrear Sheet'!C51="TOTAL","",'Arrear Sheet'!I51))</f>
        <v>108000</v>
      </c>
      <c r="I51" s="106">
        <f>IF(B51="","",IF('Arrear Sheet'!C51="TOTAL","",'Arrear Sheet'!J51))</f>
        <v>49248</v>
      </c>
      <c r="J51" s="106">
        <f>IF(B51="","",IF('Arrear Sheet'!C51="TOTAL","",'Arrear Sheet'!K51))</f>
        <v>9720</v>
      </c>
      <c r="K51" s="106">
        <f>IF(B51="","",IF('Arrear Sheet'!D51="TOTAL","",'Arrear Sheet'!L51))</f>
        <v>21600</v>
      </c>
      <c r="L51" s="106">
        <f>IF(B51="","",IF('Arrear Sheet'!C51="TOTAL","",SUM(H51:K51)))</f>
        <v>188568</v>
      </c>
      <c r="M51" s="106">
        <f>IF(B51="","",IF('Arrear Sheet'!C51="TOTAL","",'Arrear Sheet'!N51))</f>
        <v>5800</v>
      </c>
      <c r="N51" s="106">
        <f>IF(B51="","",IF('Arrear Sheet'!C51="TOTAL","",'Arrear Sheet'!O51))</f>
        <v>2645</v>
      </c>
      <c r="O51" s="106">
        <f>IF(B51="","",IF('Arrear Sheet'!C51="TOTAL","",'Arrear Sheet'!P51))</f>
        <v>522</v>
      </c>
      <c r="P51" s="106">
        <f>IF(B51="","",IF('Arrear Sheet'!D51="TOTAL","",'Arrear Sheet'!Q51))</f>
        <v>1160</v>
      </c>
      <c r="Q51" s="106">
        <f>IF(B51="","",IF('Arrear Sheet'!C51="TOTAL","",SUM(M51:P51)))</f>
        <v>10127</v>
      </c>
      <c r="R51" s="106">
        <f>IF(B51="","",IF('Arrear Sheet'!C51="TOTAL","",'Arrear Sheet'!S51))</f>
        <v>2100</v>
      </c>
      <c r="S51" s="106">
        <f>IF(B51="","",IF('Arrear Sheet'!C51="TOTAL","",'Arrear Sheet'!T51))</f>
        <v>2100</v>
      </c>
      <c r="T51" s="106">
        <f>IF(B51="","",IF('Arrear Sheet'!C51="TOTAL","",'Arrear Sheet'!U51))</f>
        <v>0</v>
      </c>
      <c r="U51" s="106">
        <f>IF(B51="","",IF('Arrear Sheet'!C51="TOTAL","",'Arrear Sheet'!V51))</f>
        <v>2100</v>
      </c>
      <c r="V51" s="106">
        <f>IF(B51="","",IF('Arrear Sheet'!C51="TOTAL","",'Arrear Sheet'!W51))</f>
        <v>2100</v>
      </c>
      <c r="W51" s="106">
        <f>IF(B51="","",IF('Arrear Sheet'!C51="TOTAL","",'Arrear Sheet'!X51))</f>
        <v>0</v>
      </c>
      <c r="X51" s="106" t="str">
        <f>IF(B51="","",IF('Arrear Sheet'!C51="TOTAL","",'Arrear Sheet'!AB51))</f>
        <v/>
      </c>
      <c r="Y51" s="106" t="str">
        <f>IF(B51="","",IF('Arrear Sheet'!D51="TOTAL","",'Arrear Sheet'!AC51))</f>
        <v/>
      </c>
      <c r="Z51" s="106" t="str">
        <f>IF(B51="","",IF('Arrear Sheet'!E51="TOTAL","",'Arrear Sheet'!AD51))</f>
        <v/>
      </c>
      <c r="AA51" s="106">
        <f>IF(B51="","",IF('Arrear Sheet'!C51="TOTAL","",'Arrear Sheet'!Y51))</f>
        <v>875</v>
      </c>
      <c r="AB51" s="106">
        <f>IF(B51="","",IF('Arrear Sheet'!C51="TOTAL","",'Arrear Sheet'!Z51))</f>
        <v>875</v>
      </c>
      <c r="AC51" s="106">
        <f>IF(B51="","",IF('Arrear Sheet'!C51="TOTAL","",'Arrear Sheet'!AA51))</f>
        <v>0</v>
      </c>
      <c r="AD51" s="106" t="str">
        <f>IF(B51="","",IF('Arrear Sheet'!C51="TOTAL","",'Arrear Sheet'!AE51))</f>
        <v/>
      </c>
      <c r="AE51" s="106">
        <f>IF(B51="","",IF('Arrear Sheet'!C51="TOTAL","",'Arrear Sheet'!AF51))</f>
        <v>0</v>
      </c>
      <c r="AF51" s="106">
        <f>IF(B51="","",'Arrear Sheet'!AG51)</f>
        <v>0</v>
      </c>
      <c r="AG51" s="24">
        <f>IFERROR(IF(B51="","",IF('Arrear Sheet'!C51="TOTAL","",SUM(Q51-AF51))),"")</f>
        <v>10127</v>
      </c>
      <c r="AH51" s="39"/>
      <c r="AI51" s="40"/>
      <c r="AK51" s="100"/>
      <c r="AL51" s="100"/>
      <c r="AM51" s="100"/>
      <c r="AN51" s="100"/>
      <c r="AO51" s="100"/>
      <c r="AP51" s="100"/>
    </row>
    <row r="52" spans="1:42" s="28" customFormat="1" ht="21" customHeight="1">
      <c r="A52" s="22">
        <f>IF('Arrear Sheet'!B52="","",'Arrear Sheet'!B52)</f>
        <v>45</v>
      </c>
      <c r="B52" s="23">
        <f>IF('Arrear Sheet'!C52="","",IF('Arrear Sheet'!C52="TOTAL","",'Arrear Sheet'!C52))</f>
        <v>44896</v>
      </c>
      <c r="C52" s="106">
        <f>IF('Arrear Sheet'!D52="","",IF('Arrear Sheet'!C52="TOTAL","",IF('Arrear Sheet'!D52="अक्षरें राशि :-","",'Arrear Sheet'!D52)))</f>
        <v>113800</v>
      </c>
      <c r="D52" s="106">
        <f>IF('Arrear Sheet'!E52="","",IF('Arrear Sheet'!C52="TOTAL","",'Arrear Sheet'!E52))</f>
        <v>51893</v>
      </c>
      <c r="E52" s="106">
        <f>IF(B52="","",IF('Arrear Sheet'!D52="TOTAL","",'Arrear Sheet'!F52))</f>
        <v>10242</v>
      </c>
      <c r="F52" s="106">
        <f>IF(B52="","",IF('Arrear Sheet'!E52="TOTAL","",'Arrear Sheet'!G52))</f>
        <v>22760</v>
      </c>
      <c r="G52" s="106">
        <f>IF(B52="","",IF('Arrear Sheet'!C52="TOTAL","",SUM(C52:F52)))</f>
        <v>198695</v>
      </c>
      <c r="H52" s="106">
        <f>IF(B52="","",IF('Arrear Sheet'!C52="TOTAL","",'Arrear Sheet'!I52))</f>
        <v>108000</v>
      </c>
      <c r="I52" s="106">
        <f>IF(B52="","",IF('Arrear Sheet'!C52="TOTAL","",'Arrear Sheet'!J52))</f>
        <v>49248</v>
      </c>
      <c r="J52" s="106">
        <f>IF(B52="","",IF('Arrear Sheet'!C52="TOTAL","",'Arrear Sheet'!K52))</f>
        <v>9720</v>
      </c>
      <c r="K52" s="106">
        <f>IF(B52="","",IF('Arrear Sheet'!D52="TOTAL","",'Arrear Sheet'!L52))</f>
        <v>21600</v>
      </c>
      <c r="L52" s="106">
        <f>IF(B52="","",IF('Arrear Sheet'!C52="TOTAL","",SUM(H52:K52)))</f>
        <v>188568</v>
      </c>
      <c r="M52" s="106">
        <f>IF(B52="","",IF('Arrear Sheet'!C52="TOTAL","",'Arrear Sheet'!N52))</f>
        <v>5800</v>
      </c>
      <c r="N52" s="106">
        <f>IF(B52="","",IF('Arrear Sheet'!C52="TOTAL","",'Arrear Sheet'!O52))</f>
        <v>2645</v>
      </c>
      <c r="O52" s="106">
        <f>IF(B52="","",IF('Arrear Sheet'!C52="TOTAL","",'Arrear Sheet'!P52))</f>
        <v>522</v>
      </c>
      <c r="P52" s="106">
        <f>IF(B52="","",IF('Arrear Sheet'!D52="TOTAL","",'Arrear Sheet'!Q52))</f>
        <v>1160</v>
      </c>
      <c r="Q52" s="106">
        <f>IF(B52="","",IF('Arrear Sheet'!C52="TOTAL","",SUM(M52:P52)))</f>
        <v>10127</v>
      </c>
      <c r="R52" s="106">
        <f>IF(B52="","",IF('Arrear Sheet'!C52="TOTAL","",'Arrear Sheet'!S52))</f>
        <v>2100</v>
      </c>
      <c r="S52" s="106">
        <f>IF(B52="","",IF('Arrear Sheet'!C52="TOTAL","",'Arrear Sheet'!T52))</f>
        <v>2100</v>
      </c>
      <c r="T52" s="106">
        <f>IF(B52="","",IF('Arrear Sheet'!C52="TOTAL","",'Arrear Sheet'!U52))</f>
        <v>0</v>
      </c>
      <c r="U52" s="106">
        <f>IF(B52="","",IF('Arrear Sheet'!C52="TOTAL","",'Arrear Sheet'!V52))</f>
        <v>2100</v>
      </c>
      <c r="V52" s="106">
        <f>IF(B52="","",IF('Arrear Sheet'!C52="TOTAL","",'Arrear Sheet'!W52))</f>
        <v>2100</v>
      </c>
      <c r="W52" s="106">
        <f>IF(B52="","",IF('Arrear Sheet'!C52="TOTAL","",'Arrear Sheet'!X52))</f>
        <v>0</v>
      </c>
      <c r="X52" s="106" t="str">
        <f>IF(B52="","",IF('Arrear Sheet'!C52="TOTAL","",'Arrear Sheet'!AB52))</f>
        <v/>
      </c>
      <c r="Y52" s="106" t="str">
        <f>IF(B52="","",IF('Arrear Sheet'!D52="TOTAL","",'Arrear Sheet'!AC52))</f>
        <v/>
      </c>
      <c r="Z52" s="106" t="str">
        <f>IF(B52="","",IF('Arrear Sheet'!E52="TOTAL","",'Arrear Sheet'!AD52))</f>
        <v/>
      </c>
      <c r="AA52" s="106">
        <f>IF(B52="","",IF('Arrear Sheet'!C52="TOTAL","",'Arrear Sheet'!Y52))</f>
        <v>875</v>
      </c>
      <c r="AB52" s="106">
        <f>IF(B52="","",IF('Arrear Sheet'!C52="TOTAL","",'Arrear Sheet'!Z52))</f>
        <v>875</v>
      </c>
      <c r="AC52" s="106">
        <f>IF(B52="","",IF('Arrear Sheet'!C52="TOTAL","",'Arrear Sheet'!AA52))</f>
        <v>0</v>
      </c>
      <c r="AD52" s="106" t="str">
        <f>IF(B52="","",IF('Arrear Sheet'!C52="TOTAL","",'Arrear Sheet'!AE52))</f>
        <v/>
      </c>
      <c r="AE52" s="106">
        <f>IF(B52="","",IF('Arrear Sheet'!C52="TOTAL","",'Arrear Sheet'!AF52))</f>
        <v>0</v>
      </c>
      <c r="AF52" s="106">
        <f>IF(B52="","",'Arrear Sheet'!AG52)</f>
        <v>0</v>
      </c>
      <c r="AG52" s="24">
        <f>IFERROR(IF(B52="","",IF('Arrear Sheet'!C52="TOTAL","",SUM(Q52-AF52))),"")</f>
        <v>10127</v>
      </c>
      <c r="AH52" s="39"/>
      <c r="AI52" s="40"/>
      <c r="AK52" s="100"/>
      <c r="AL52" s="100"/>
      <c r="AM52" s="100"/>
      <c r="AN52" s="100"/>
      <c r="AO52" s="100"/>
      <c r="AP52" s="100"/>
    </row>
    <row r="53" spans="1:42" s="28" customFormat="1" ht="21" customHeight="1">
      <c r="A53" s="22">
        <f>IF('Arrear Sheet'!B53="","",'Arrear Sheet'!B53)</f>
        <v>46</v>
      </c>
      <c r="B53" s="23">
        <f>IF('Arrear Sheet'!C53="","",IF('Arrear Sheet'!C53="TOTAL","",'Arrear Sheet'!C53))</f>
        <v>44927</v>
      </c>
      <c r="C53" s="106">
        <f>IF('Arrear Sheet'!D53="","",IF('Arrear Sheet'!C53="TOTAL","",IF('Arrear Sheet'!D53="अक्षरें राशि :-","",'Arrear Sheet'!D53)))</f>
        <v>113800</v>
      </c>
      <c r="D53" s="106">
        <f>IF('Arrear Sheet'!E53="","",IF('Arrear Sheet'!C53="TOTAL","",'Arrear Sheet'!E53))</f>
        <v>57355</v>
      </c>
      <c r="E53" s="106">
        <f>IF(B53="","",IF('Arrear Sheet'!D53="TOTAL","",'Arrear Sheet'!F53))</f>
        <v>10242</v>
      </c>
      <c r="F53" s="106">
        <f>IF(B53="","",IF('Arrear Sheet'!E53="TOTAL","",'Arrear Sheet'!G53))</f>
        <v>22760</v>
      </c>
      <c r="G53" s="106">
        <f>IF(B53="","",IF('Arrear Sheet'!C53="TOTAL","",SUM(C53:F53)))</f>
        <v>204157</v>
      </c>
      <c r="H53" s="106">
        <f>IF(B53="","",IF('Arrear Sheet'!C53="TOTAL","",'Arrear Sheet'!I53))</f>
        <v>108000</v>
      </c>
      <c r="I53" s="106">
        <f>IF(B53="","",IF('Arrear Sheet'!C53="TOTAL","",'Arrear Sheet'!J53))</f>
        <v>54432</v>
      </c>
      <c r="J53" s="106">
        <f>IF(B53="","",IF('Arrear Sheet'!C53="TOTAL","",'Arrear Sheet'!K53))</f>
        <v>9720</v>
      </c>
      <c r="K53" s="106">
        <f>IF(B53="","",IF('Arrear Sheet'!D53="TOTAL","",'Arrear Sheet'!L53))</f>
        <v>21600</v>
      </c>
      <c r="L53" s="106">
        <f>IF(B53="","",IF('Arrear Sheet'!C53="TOTAL","",SUM(H53:K53)))</f>
        <v>193752</v>
      </c>
      <c r="M53" s="106">
        <f>IF(B53="","",IF('Arrear Sheet'!C53="TOTAL","",'Arrear Sheet'!N53))</f>
        <v>5800</v>
      </c>
      <c r="N53" s="106">
        <f>IF(B53="","",IF('Arrear Sheet'!C53="TOTAL","",'Arrear Sheet'!O53))</f>
        <v>2923</v>
      </c>
      <c r="O53" s="106">
        <f>IF(B53="","",IF('Arrear Sheet'!C53="TOTAL","",'Arrear Sheet'!P53))</f>
        <v>522</v>
      </c>
      <c r="P53" s="106">
        <f>IF(B53="","",IF('Arrear Sheet'!D53="TOTAL","",'Arrear Sheet'!Q53))</f>
        <v>1160</v>
      </c>
      <c r="Q53" s="106">
        <f>IF(B53="","",IF('Arrear Sheet'!C53="TOTAL","",SUM(M53:P53)))</f>
        <v>10405</v>
      </c>
      <c r="R53" s="106">
        <f>IF(B53="","",IF('Arrear Sheet'!C53="TOTAL","",'Arrear Sheet'!S53))</f>
        <v>2100</v>
      </c>
      <c r="S53" s="106">
        <f>IF(B53="","",IF('Arrear Sheet'!C53="TOTAL","",'Arrear Sheet'!T53))</f>
        <v>2100</v>
      </c>
      <c r="T53" s="106">
        <f>IF(B53="","",IF('Arrear Sheet'!C53="TOTAL","",'Arrear Sheet'!U53))</f>
        <v>0</v>
      </c>
      <c r="U53" s="106">
        <f>IF(B53="","",IF('Arrear Sheet'!C53="TOTAL","",'Arrear Sheet'!V53))</f>
        <v>2100</v>
      </c>
      <c r="V53" s="106">
        <f>IF(B53="","",IF('Arrear Sheet'!C53="TOTAL","",'Arrear Sheet'!W53))</f>
        <v>2100</v>
      </c>
      <c r="W53" s="106">
        <f>IF(B53="","",IF('Arrear Sheet'!C53="TOTAL","",'Arrear Sheet'!X53))</f>
        <v>0</v>
      </c>
      <c r="X53" s="106" t="str">
        <f>IF(B53="","",IF('Arrear Sheet'!C53="TOTAL","",'Arrear Sheet'!AB53))</f>
        <v/>
      </c>
      <c r="Y53" s="106" t="str">
        <f>IF(B53="","",IF('Arrear Sheet'!D53="TOTAL","",'Arrear Sheet'!AC53))</f>
        <v/>
      </c>
      <c r="Z53" s="106" t="str">
        <f>IF(B53="","",IF('Arrear Sheet'!E53="TOTAL","",'Arrear Sheet'!AD53))</f>
        <v/>
      </c>
      <c r="AA53" s="106">
        <f>IF(B53="","",IF('Arrear Sheet'!C53="TOTAL","",'Arrear Sheet'!Y53))</f>
        <v>875</v>
      </c>
      <c r="AB53" s="106">
        <f>IF(B53="","",IF('Arrear Sheet'!C53="TOTAL","",'Arrear Sheet'!Z53))</f>
        <v>875</v>
      </c>
      <c r="AC53" s="106">
        <f>IF(B53="","",IF('Arrear Sheet'!C53="TOTAL","",'Arrear Sheet'!AA53))</f>
        <v>0</v>
      </c>
      <c r="AD53" s="106" t="str">
        <f>IF(B53="","",IF('Arrear Sheet'!C53="TOTAL","",'Arrear Sheet'!AE53))</f>
        <v/>
      </c>
      <c r="AE53" s="106">
        <f>IF(B53="","",IF('Arrear Sheet'!C53="TOTAL","",'Arrear Sheet'!AF53))</f>
        <v>0</v>
      </c>
      <c r="AF53" s="106">
        <f>IF(B53="","",'Arrear Sheet'!AG53)</f>
        <v>0</v>
      </c>
      <c r="AG53" s="24">
        <f>IFERROR(IF(B53="","",IF('Arrear Sheet'!C53="TOTAL","",SUM(Q53-AF53))),"")</f>
        <v>10405</v>
      </c>
      <c r="AH53" s="39"/>
      <c r="AI53" s="40"/>
      <c r="AK53" s="100"/>
      <c r="AL53" s="100"/>
      <c r="AM53" s="100"/>
      <c r="AN53" s="100"/>
      <c r="AO53" s="100"/>
      <c r="AP53" s="100"/>
    </row>
    <row r="54" spans="1:42" s="28" customFormat="1" ht="21" customHeight="1">
      <c r="A54" s="22">
        <f>IF('Arrear Sheet'!B54="","",'Arrear Sheet'!B54)</f>
        <v>47</v>
      </c>
      <c r="B54" s="23">
        <f>IF('Arrear Sheet'!C54="","",IF('Arrear Sheet'!C54="TOTAL","",'Arrear Sheet'!C54))</f>
        <v>44958</v>
      </c>
      <c r="C54" s="106">
        <f>IF('Arrear Sheet'!D54="","",IF('Arrear Sheet'!C54="TOTAL","",IF('Arrear Sheet'!D54="अक्षरें राशि :-","",'Arrear Sheet'!D54)))</f>
        <v>113800</v>
      </c>
      <c r="D54" s="106">
        <f>IF('Arrear Sheet'!E54="","",IF('Arrear Sheet'!C54="TOTAL","",'Arrear Sheet'!E54))</f>
        <v>57355</v>
      </c>
      <c r="E54" s="106">
        <f>IF(B54="","",IF('Arrear Sheet'!D54="TOTAL","",'Arrear Sheet'!F54))</f>
        <v>10242</v>
      </c>
      <c r="F54" s="106">
        <f>IF(B54="","",IF('Arrear Sheet'!E54="TOTAL","",'Arrear Sheet'!G54))</f>
        <v>22760</v>
      </c>
      <c r="G54" s="106">
        <f>IF(B54="","",IF('Arrear Sheet'!C54="TOTAL","",SUM(C54:F54)))</f>
        <v>204157</v>
      </c>
      <c r="H54" s="106">
        <f>IF(B54="","",IF('Arrear Sheet'!C54="TOTAL","",'Arrear Sheet'!I54))</f>
        <v>108000</v>
      </c>
      <c r="I54" s="106">
        <f>IF(B54="","",IF('Arrear Sheet'!C54="TOTAL","",'Arrear Sheet'!J54))</f>
        <v>54432</v>
      </c>
      <c r="J54" s="106">
        <f>IF(B54="","",IF('Arrear Sheet'!C54="TOTAL","",'Arrear Sheet'!K54))</f>
        <v>9720</v>
      </c>
      <c r="K54" s="106">
        <f>IF(B54="","",IF('Arrear Sheet'!D54="TOTAL","",'Arrear Sheet'!L54))</f>
        <v>21600</v>
      </c>
      <c r="L54" s="106">
        <f>IF(B54="","",IF('Arrear Sheet'!C54="TOTAL","",SUM(H54:K54)))</f>
        <v>193752</v>
      </c>
      <c r="M54" s="106">
        <f>IF(B54="","",IF('Arrear Sheet'!C54="TOTAL","",'Arrear Sheet'!N54))</f>
        <v>5800</v>
      </c>
      <c r="N54" s="106">
        <f>IF(B54="","",IF('Arrear Sheet'!C54="TOTAL","",'Arrear Sheet'!O54))</f>
        <v>2923</v>
      </c>
      <c r="O54" s="106">
        <f>IF(B54="","",IF('Arrear Sheet'!C54="TOTAL","",'Arrear Sheet'!P54))</f>
        <v>522</v>
      </c>
      <c r="P54" s="106">
        <f>IF(B54="","",IF('Arrear Sheet'!D54="TOTAL","",'Arrear Sheet'!Q54))</f>
        <v>1160</v>
      </c>
      <c r="Q54" s="106">
        <f>IF(B54="","",IF('Arrear Sheet'!C54="TOTAL","",SUM(M54:P54)))</f>
        <v>10405</v>
      </c>
      <c r="R54" s="106">
        <f>IF(B54="","",IF('Arrear Sheet'!C54="TOTAL","",'Arrear Sheet'!S54))</f>
        <v>2100</v>
      </c>
      <c r="S54" s="106">
        <f>IF(B54="","",IF('Arrear Sheet'!C54="TOTAL","",'Arrear Sheet'!T54))</f>
        <v>2100</v>
      </c>
      <c r="T54" s="106">
        <f>IF(B54="","",IF('Arrear Sheet'!C54="TOTAL","",'Arrear Sheet'!U54))</f>
        <v>0</v>
      </c>
      <c r="U54" s="106">
        <f>IF(B54="","",IF('Arrear Sheet'!C54="TOTAL","",'Arrear Sheet'!V54))</f>
        <v>2100</v>
      </c>
      <c r="V54" s="106">
        <f>IF(B54="","",IF('Arrear Sheet'!C54="TOTAL","",'Arrear Sheet'!W54))</f>
        <v>2100</v>
      </c>
      <c r="W54" s="106">
        <f>IF(B54="","",IF('Arrear Sheet'!C54="TOTAL","",'Arrear Sheet'!X54))</f>
        <v>0</v>
      </c>
      <c r="X54" s="106" t="str">
        <f>IF(B54="","",IF('Arrear Sheet'!C54="TOTAL","",'Arrear Sheet'!AB54))</f>
        <v/>
      </c>
      <c r="Y54" s="106" t="str">
        <f>IF(B54="","",IF('Arrear Sheet'!D54="TOTAL","",'Arrear Sheet'!AC54))</f>
        <v/>
      </c>
      <c r="Z54" s="106" t="str">
        <f>IF(B54="","",IF('Arrear Sheet'!E54="TOTAL","",'Arrear Sheet'!AD54))</f>
        <v/>
      </c>
      <c r="AA54" s="106">
        <f>IF(B54="","",IF('Arrear Sheet'!C54="TOTAL","",'Arrear Sheet'!Y54))</f>
        <v>875</v>
      </c>
      <c r="AB54" s="106">
        <f>IF(B54="","",IF('Arrear Sheet'!C54="TOTAL","",'Arrear Sheet'!Z54))</f>
        <v>875</v>
      </c>
      <c r="AC54" s="106">
        <f>IF(B54="","",IF('Arrear Sheet'!C54="TOTAL","",'Arrear Sheet'!AA54))</f>
        <v>0</v>
      </c>
      <c r="AD54" s="106" t="str">
        <f>IF(B54="","",IF('Arrear Sheet'!C54="TOTAL","",'Arrear Sheet'!AE54))</f>
        <v/>
      </c>
      <c r="AE54" s="106">
        <f>IF(B54="","",IF('Arrear Sheet'!C54="TOTAL","",'Arrear Sheet'!AF54))</f>
        <v>0</v>
      </c>
      <c r="AF54" s="106">
        <f>IF(B54="","",'Arrear Sheet'!AG54)</f>
        <v>0</v>
      </c>
      <c r="AG54" s="24">
        <f>IFERROR(IF(B54="","",IF('Arrear Sheet'!C54="TOTAL","",SUM(Q54-AF54))),"")</f>
        <v>10405</v>
      </c>
      <c r="AH54" s="39"/>
      <c r="AI54" s="40"/>
      <c r="AK54" s="104"/>
      <c r="AL54" s="104"/>
      <c r="AM54" s="104"/>
      <c r="AN54" s="104"/>
      <c r="AO54" s="104"/>
      <c r="AP54" s="104"/>
    </row>
    <row r="55" spans="1:42" s="28" customFormat="1" ht="21" customHeight="1">
      <c r="A55" s="22">
        <f>IF('Arrear Sheet'!B55="","",'Arrear Sheet'!B55)</f>
        <v>48</v>
      </c>
      <c r="B55" s="23">
        <f>IF('Arrear Sheet'!C55="","",IF('Arrear Sheet'!C55="TOTAL","",'Arrear Sheet'!C55))</f>
        <v>44986</v>
      </c>
      <c r="C55" s="106">
        <f>IF('Arrear Sheet'!D55="","",IF('Arrear Sheet'!C55="TOTAL","",IF('Arrear Sheet'!D55="अक्षरें राशि :-","",'Arrear Sheet'!D55)))</f>
        <v>113800</v>
      </c>
      <c r="D55" s="106">
        <f>IF('Arrear Sheet'!E55="","",IF('Arrear Sheet'!C55="TOTAL","",'Arrear Sheet'!E55))</f>
        <v>57355</v>
      </c>
      <c r="E55" s="106">
        <f>IF(B55="","",IF('Arrear Sheet'!D55="TOTAL","",'Arrear Sheet'!F55))</f>
        <v>10242</v>
      </c>
      <c r="F55" s="106">
        <f>IF(B55="","",IF('Arrear Sheet'!E55="TOTAL","",'Arrear Sheet'!G55))</f>
        <v>22760</v>
      </c>
      <c r="G55" s="106">
        <f>IF(B55="","",IF('Arrear Sheet'!C55="TOTAL","",SUM(C55:F55)))</f>
        <v>204157</v>
      </c>
      <c r="H55" s="106">
        <f>IF(B55="","",IF('Arrear Sheet'!C55="TOTAL","",'Arrear Sheet'!I55))</f>
        <v>108000</v>
      </c>
      <c r="I55" s="106">
        <f>IF(B55="","",IF('Arrear Sheet'!C55="TOTAL","",'Arrear Sheet'!J55))</f>
        <v>54432</v>
      </c>
      <c r="J55" s="106">
        <f>IF(B55="","",IF('Arrear Sheet'!C55="TOTAL","",'Arrear Sheet'!K55))</f>
        <v>9720</v>
      </c>
      <c r="K55" s="106">
        <f>IF(B55="","",IF('Arrear Sheet'!D55="TOTAL","",'Arrear Sheet'!L55))</f>
        <v>21600</v>
      </c>
      <c r="L55" s="106">
        <f>IF(B55="","",IF('Arrear Sheet'!C55="TOTAL","",SUM(H55:K55)))</f>
        <v>193752</v>
      </c>
      <c r="M55" s="106">
        <f>IF(B55="","",IF('Arrear Sheet'!C55="TOTAL","",'Arrear Sheet'!N55))</f>
        <v>5800</v>
      </c>
      <c r="N55" s="106">
        <f>IF(B55="","",IF('Arrear Sheet'!C55="TOTAL","",'Arrear Sheet'!O55))</f>
        <v>2923</v>
      </c>
      <c r="O55" s="106">
        <f>IF(B55="","",IF('Arrear Sheet'!C55="TOTAL","",'Arrear Sheet'!P55))</f>
        <v>522</v>
      </c>
      <c r="P55" s="106">
        <f>IF(B55="","",IF('Arrear Sheet'!D55="TOTAL","",'Arrear Sheet'!Q55))</f>
        <v>1160</v>
      </c>
      <c r="Q55" s="106">
        <f>IF(B55="","",IF('Arrear Sheet'!C55="TOTAL","",SUM(M55:P55)))</f>
        <v>10405</v>
      </c>
      <c r="R55" s="106">
        <f>IF(B55="","",IF('Arrear Sheet'!C55="TOTAL","",'Arrear Sheet'!S55))</f>
        <v>2100</v>
      </c>
      <c r="S55" s="106">
        <f>IF(B55="","",IF('Arrear Sheet'!C55="TOTAL","",'Arrear Sheet'!T55))</f>
        <v>2100</v>
      </c>
      <c r="T55" s="106">
        <f>IF(B55="","",IF('Arrear Sheet'!C55="TOTAL","",'Arrear Sheet'!U55))</f>
        <v>0</v>
      </c>
      <c r="U55" s="106">
        <f>IF(B55="","",IF('Arrear Sheet'!C55="TOTAL","",'Arrear Sheet'!V55))</f>
        <v>2100</v>
      </c>
      <c r="V55" s="106">
        <f>IF(B55="","",IF('Arrear Sheet'!C55="TOTAL","",'Arrear Sheet'!W55))</f>
        <v>2100</v>
      </c>
      <c r="W55" s="106">
        <f>IF(B55="","",IF('Arrear Sheet'!C55="TOTAL","",'Arrear Sheet'!X55))</f>
        <v>0</v>
      </c>
      <c r="X55" s="106" t="str">
        <f>IF(B55="","",IF('Arrear Sheet'!C55="TOTAL","",'Arrear Sheet'!AB55))</f>
        <v/>
      </c>
      <c r="Y55" s="106" t="str">
        <f>IF(B55="","",IF('Arrear Sheet'!D55="TOTAL","",'Arrear Sheet'!AC55))</f>
        <v/>
      </c>
      <c r="Z55" s="106" t="str">
        <f>IF(B55="","",IF('Arrear Sheet'!E55="TOTAL","",'Arrear Sheet'!AD55))</f>
        <v/>
      </c>
      <c r="AA55" s="106">
        <f>IF(B55="","",IF('Arrear Sheet'!C55="TOTAL","",'Arrear Sheet'!Y55))</f>
        <v>875</v>
      </c>
      <c r="AB55" s="106">
        <f>IF(B55="","",IF('Arrear Sheet'!C55="TOTAL","",'Arrear Sheet'!Z55))</f>
        <v>875</v>
      </c>
      <c r="AC55" s="106">
        <f>IF(B55="","",IF('Arrear Sheet'!C55="TOTAL","",'Arrear Sheet'!AA55))</f>
        <v>0</v>
      </c>
      <c r="AD55" s="106" t="str">
        <f>IF(B55="","",IF('Arrear Sheet'!C55="TOTAL","",'Arrear Sheet'!AE55))</f>
        <v/>
      </c>
      <c r="AE55" s="106">
        <f>IF(B55="","",IF('Arrear Sheet'!C55="TOTAL","",'Arrear Sheet'!AF55))</f>
        <v>0</v>
      </c>
      <c r="AF55" s="106">
        <f>IF(B55="","",'Arrear Sheet'!AG55)</f>
        <v>0</v>
      </c>
      <c r="AG55" s="24">
        <f>IFERROR(IF(B55="","",IF('Arrear Sheet'!C55="TOTAL","",SUM(Q55-AF55))),"")</f>
        <v>10405</v>
      </c>
      <c r="AH55" s="39"/>
      <c r="AI55" s="40"/>
      <c r="AK55" s="104"/>
      <c r="AL55" s="104"/>
      <c r="AM55" s="104"/>
      <c r="AN55" s="104"/>
      <c r="AO55" s="104"/>
      <c r="AP55" s="104"/>
    </row>
    <row r="56" spans="1:42" s="28" customFormat="1" ht="21" customHeight="1">
      <c r="A56" s="22">
        <f>IF('Arrear Sheet'!B56="","",'Arrear Sheet'!B56)</f>
        <v>49</v>
      </c>
      <c r="B56" s="23">
        <f>IF('Arrear Sheet'!C56="","",IF('Arrear Sheet'!C56="TOTAL","",'Arrear Sheet'!C56))</f>
        <v>45017</v>
      </c>
      <c r="C56" s="106">
        <f>IF('Arrear Sheet'!D56="","",IF('Arrear Sheet'!C56="TOTAL","",IF('Arrear Sheet'!D56="अक्षरें राशि :-","",'Arrear Sheet'!D56)))</f>
        <v>113800</v>
      </c>
      <c r="D56" s="106">
        <f>IF('Arrear Sheet'!E56="","",IF('Arrear Sheet'!C56="TOTAL","",'Arrear Sheet'!E56))</f>
        <v>57355</v>
      </c>
      <c r="E56" s="106">
        <f>IF(B56="","",IF('Arrear Sheet'!D56="TOTAL","",'Arrear Sheet'!F56))</f>
        <v>10242</v>
      </c>
      <c r="F56" s="106">
        <f>IF(B56="","",IF('Arrear Sheet'!E56="TOTAL","",'Arrear Sheet'!G56))</f>
        <v>22760</v>
      </c>
      <c r="G56" s="106">
        <f>IF(B56="","",IF('Arrear Sheet'!C56="TOTAL","",SUM(C56:F56)))</f>
        <v>204157</v>
      </c>
      <c r="H56" s="106">
        <f>IF(B56="","",IF('Arrear Sheet'!C56="TOTAL","",'Arrear Sheet'!I56))</f>
        <v>108000</v>
      </c>
      <c r="I56" s="106">
        <f>IF(B56="","",IF('Arrear Sheet'!C56="TOTAL","",'Arrear Sheet'!J56))</f>
        <v>54432</v>
      </c>
      <c r="J56" s="106">
        <f>IF(B56="","",IF('Arrear Sheet'!C56="TOTAL","",'Arrear Sheet'!K56))</f>
        <v>9720</v>
      </c>
      <c r="K56" s="106">
        <f>IF(B56="","",IF('Arrear Sheet'!D56="TOTAL","",'Arrear Sheet'!L56))</f>
        <v>21600</v>
      </c>
      <c r="L56" s="106">
        <f>IF(B56="","",IF('Arrear Sheet'!C56="TOTAL","",SUM(H56:K56)))</f>
        <v>193752</v>
      </c>
      <c r="M56" s="106">
        <f>IF(B56="","",IF('Arrear Sheet'!C56="TOTAL","",'Arrear Sheet'!N56))</f>
        <v>5800</v>
      </c>
      <c r="N56" s="106">
        <f>IF(B56="","",IF('Arrear Sheet'!C56="TOTAL","",'Arrear Sheet'!O56))</f>
        <v>2923</v>
      </c>
      <c r="O56" s="106">
        <f>IF(B56="","",IF('Arrear Sheet'!C56="TOTAL","",'Arrear Sheet'!P56))</f>
        <v>522</v>
      </c>
      <c r="P56" s="106">
        <f>IF(B56="","",IF('Arrear Sheet'!D56="TOTAL","",'Arrear Sheet'!Q56))</f>
        <v>1160</v>
      </c>
      <c r="Q56" s="106">
        <f>IF(B56="","",IF('Arrear Sheet'!C56="TOTAL","",SUM(M56:P56)))</f>
        <v>10405</v>
      </c>
      <c r="R56" s="106">
        <f>IF(B56="","",IF('Arrear Sheet'!C56="TOTAL","",'Arrear Sheet'!S56))</f>
        <v>2100</v>
      </c>
      <c r="S56" s="106">
        <f>IF(B56="","",IF('Arrear Sheet'!C56="TOTAL","",'Arrear Sheet'!T56))</f>
        <v>2100</v>
      </c>
      <c r="T56" s="106">
        <f>IF(B56="","",IF('Arrear Sheet'!C56="TOTAL","",'Arrear Sheet'!U56))</f>
        <v>0</v>
      </c>
      <c r="U56" s="106">
        <f>IF(B56="","",IF('Arrear Sheet'!C56="TOTAL","",'Arrear Sheet'!V56))</f>
        <v>2100</v>
      </c>
      <c r="V56" s="106">
        <f>IF(B56="","",IF('Arrear Sheet'!C56="TOTAL","",'Arrear Sheet'!W56))</f>
        <v>2100</v>
      </c>
      <c r="W56" s="106">
        <f>IF(B56="","",IF('Arrear Sheet'!C56="TOTAL","",'Arrear Sheet'!X56))</f>
        <v>0</v>
      </c>
      <c r="X56" s="106" t="str">
        <f>IF(B56="","",IF('Arrear Sheet'!C56="TOTAL","",'Arrear Sheet'!AB56))</f>
        <v/>
      </c>
      <c r="Y56" s="106" t="str">
        <f>IF(B56="","",IF('Arrear Sheet'!D56="TOTAL","",'Arrear Sheet'!AC56))</f>
        <v/>
      </c>
      <c r="Z56" s="106" t="str">
        <f>IF(B56="","",IF('Arrear Sheet'!E56="TOTAL","",'Arrear Sheet'!AD56))</f>
        <v/>
      </c>
      <c r="AA56" s="106">
        <f>IF(B56="","",IF('Arrear Sheet'!C56="TOTAL","",'Arrear Sheet'!Y56))</f>
        <v>875</v>
      </c>
      <c r="AB56" s="106">
        <f>IF(B56="","",IF('Arrear Sheet'!C56="TOTAL","",'Arrear Sheet'!Z56))</f>
        <v>875</v>
      </c>
      <c r="AC56" s="106">
        <f>IF(B56="","",IF('Arrear Sheet'!C56="TOTAL","",'Arrear Sheet'!AA56))</f>
        <v>0</v>
      </c>
      <c r="AD56" s="106" t="str">
        <f>IF(B56="","",IF('Arrear Sheet'!C56="TOTAL","",'Arrear Sheet'!AE56))</f>
        <v/>
      </c>
      <c r="AE56" s="106">
        <f>IF(B56="","",IF('Arrear Sheet'!C56="TOTAL","",'Arrear Sheet'!AF56))</f>
        <v>0</v>
      </c>
      <c r="AF56" s="106">
        <f>IF(B56="","",'Arrear Sheet'!AG56)</f>
        <v>0</v>
      </c>
      <c r="AG56" s="24">
        <f>IFERROR(IF(B56="","",IF('Arrear Sheet'!C56="TOTAL","",SUM(Q56-AF56))),"")</f>
        <v>10405</v>
      </c>
      <c r="AH56" s="39"/>
      <c r="AI56" s="40"/>
      <c r="AK56" s="104"/>
      <c r="AL56" s="104"/>
      <c r="AM56" s="104"/>
      <c r="AN56" s="104"/>
      <c r="AO56" s="104"/>
      <c r="AP56" s="104"/>
    </row>
    <row r="57" spans="1:42" s="28" customFormat="1" ht="21" customHeight="1">
      <c r="A57" s="22">
        <f>IF('Arrear Sheet'!B57="","",'Arrear Sheet'!B57)</f>
        <v>50</v>
      </c>
      <c r="B57" s="23">
        <f>IF('Arrear Sheet'!C57="","",IF('Arrear Sheet'!C57="TOTAL","",'Arrear Sheet'!C57))</f>
        <v>45047</v>
      </c>
      <c r="C57" s="106">
        <f>IF('Arrear Sheet'!D57="","",IF('Arrear Sheet'!C57="TOTAL","",IF('Arrear Sheet'!D57="अक्षरें राशि :-","",'Arrear Sheet'!D57)))</f>
        <v>113800</v>
      </c>
      <c r="D57" s="106">
        <f>IF('Arrear Sheet'!E57="","",IF('Arrear Sheet'!C57="TOTAL","",'Arrear Sheet'!E57))</f>
        <v>57355</v>
      </c>
      <c r="E57" s="106">
        <f>IF(B57="","",IF('Arrear Sheet'!D57="TOTAL","",'Arrear Sheet'!F57))</f>
        <v>10242</v>
      </c>
      <c r="F57" s="106">
        <f>IF(B57="","",IF('Arrear Sheet'!E57="TOTAL","",'Arrear Sheet'!G57))</f>
        <v>22760</v>
      </c>
      <c r="G57" s="106">
        <f>IF(B57="","",IF('Arrear Sheet'!C57="TOTAL","",SUM(C57:F57)))</f>
        <v>204157</v>
      </c>
      <c r="H57" s="106">
        <f>IF(B57="","",IF('Arrear Sheet'!C57="TOTAL","",'Arrear Sheet'!I57))</f>
        <v>108000</v>
      </c>
      <c r="I57" s="106">
        <f>IF(B57="","",IF('Arrear Sheet'!C57="TOTAL","",'Arrear Sheet'!J57))</f>
        <v>54432</v>
      </c>
      <c r="J57" s="106">
        <f>IF(B57="","",IF('Arrear Sheet'!C57="TOTAL","",'Arrear Sheet'!K57))</f>
        <v>9720</v>
      </c>
      <c r="K57" s="106">
        <f>IF(B57="","",IF('Arrear Sheet'!D57="TOTAL","",'Arrear Sheet'!L57))</f>
        <v>21600</v>
      </c>
      <c r="L57" s="106">
        <f>IF(B57="","",IF('Arrear Sheet'!C57="TOTAL","",SUM(H57:K57)))</f>
        <v>193752</v>
      </c>
      <c r="M57" s="106">
        <f>IF(B57="","",IF('Arrear Sheet'!C57="TOTAL","",'Arrear Sheet'!N57))</f>
        <v>5800</v>
      </c>
      <c r="N57" s="106">
        <f>IF(B57="","",IF('Arrear Sheet'!C57="TOTAL","",'Arrear Sheet'!O57))</f>
        <v>2923</v>
      </c>
      <c r="O57" s="106">
        <f>IF(B57="","",IF('Arrear Sheet'!C57="TOTAL","",'Arrear Sheet'!P57))</f>
        <v>522</v>
      </c>
      <c r="P57" s="106">
        <f>IF(B57="","",IF('Arrear Sheet'!D57="TOTAL","",'Arrear Sheet'!Q57))</f>
        <v>1160</v>
      </c>
      <c r="Q57" s="106">
        <f>IF(B57="","",IF('Arrear Sheet'!C57="TOTAL","",SUM(M57:P57)))</f>
        <v>10405</v>
      </c>
      <c r="R57" s="106">
        <f>IF(B57="","",IF('Arrear Sheet'!C57="TOTAL","",'Arrear Sheet'!S57))</f>
        <v>2100</v>
      </c>
      <c r="S57" s="106">
        <f>IF(B57="","",IF('Arrear Sheet'!C57="TOTAL","",'Arrear Sheet'!T57))</f>
        <v>2100</v>
      </c>
      <c r="T57" s="106">
        <f>IF(B57="","",IF('Arrear Sheet'!C57="TOTAL","",'Arrear Sheet'!U57))</f>
        <v>0</v>
      </c>
      <c r="U57" s="106">
        <f>IF(B57="","",IF('Arrear Sheet'!C57="TOTAL","",'Arrear Sheet'!V57))</f>
        <v>2100</v>
      </c>
      <c r="V57" s="106">
        <f>IF(B57="","",IF('Arrear Sheet'!C57="TOTAL","",'Arrear Sheet'!W57))</f>
        <v>2100</v>
      </c>
      <c r="W57" s="106">
        <f>IF(B57="","",IF('Arrear Sheet'!C57="TOTAL","",'Arrear Sheet'!X57))</f>
        <v>0</v>
      </c>
      <c r="X57" s="106" t="str">
        <f>IF(B57="","",IF('Arrear Sheet'!C57="TOTAL","",'Arrear Sheet'!AB57))</f>
        <v/>
      </c>
      <c r="Y57" s="106" t="str">
        <f>IF(B57="","",IF('Arrear Sheet'!D57="TOTAL","",'Arrear Sheet'!AC57))</f>
        <v/>
      </c>
      <c r="Z57" s="106" t="str">
        <f>IF(B57="","",IF('Arrear Sheet'!E57="TOTAL","",'Arrear Sheet'!AD57))</f>
        <v/>
      </c>
      <c r="AA57" s="106">
        <f>IF(B57="","",IF('Arrear Sheet'!C57="TOTAL","",'Arrear Sheet'!Y57))</f>
        <v>875</v>
      </c>
      <c r="AB57" s="106">
        <f>IF(B57="","",IF('Arrear Sheet'!C57="TOTAL","",'Arrear Sheet'!Z57))</f>
        <v>875</v>
      </c>
      <c r="AC57" s="106">
        <f>IF(B57="","",IF('Arrear Sheet'!C57="TOTAL","",'Arrear Sheet'!AA57))</f>
        <v>0</v>
      </c>
      <c r="AD57" s="106" t="str">
        <f>IF(B57="","",IF('Arrear Sheet'!C57="TOTAL","",'Arrear Sheet'!AE57))</f>
        <v/>
      </c>
      <c r="AE57" s="106">
        <f>IF(B57="","",IF('Arrear Sheet'!C57="TOTAL","",'Arrear Sheet'!AF57))</f>
        <v>0</v>
      </c>
      <c r="AF57" s="106">
        <f>IF(B57="","",'Arrear Sheet'!AG57)</f>
        <v>0</v>
      </c>
      <c r="AG57" s="24">
        <f>IFERROR(IF(B57="","",IF('Arrear Sheet'!C57="TOTAL","",SUM(Q57-AF57))),"")</f>
        <v>10405</v>
      </c>
      <c r="AH57" s="39"/>
      <c r="AI57" s="40"/>
      <c r="AK57" s="104"/>
      <c r="AL57" s="104"/>
      <c r="AM57" s="104"/>
      <c r="AN57" s="104"/>
      <c r="AO57" s="104"/>
      <c r="AP57" s="104"/>
    </row>
    <row r="58" spans="1:42" s="28" customFormat="1" ht="21" customHeight="1">
      <c r="A58" s="22">
        <f>IF('Arrear Sheet'!B58="","",'Arrear Sheet'!B58)</f>
        <v>51</v>
      </c>
      <c r="B58" s="23">
        <f>IF('Arrear Sheet'!C58="","",IF('Arrear Sheet'!C58="TOTAL","",'Arrear Sheet'!C58))</f>
        <v>45078</v>
      </c>
      <c r="C58" s="106">
        <f>IF('Arrear Sheet'!D58="","",IF('Arrear Sheet'!C58="TOTAL","",IF('Arrear Sheet'!D58="अक्षरें राशि :-","",'Arrear Sheet'!D58)))</f>
        <v>113800</v>
      </c>
      <c r="D58" s="106">
        <f>IF('Arrear Sheet'!E58="","",IF('Arrear Sheet'!C58="TOTAL","",'Arrear Sheet'!E58))</f>
        <v>57355</v>
      </c>
      <c r="E58" s="106">
        <f>IF(B58="","",IF('Arrear Sheet'!D58="TOTAL","",'Arrear Sheet'!F58))</f>
        <v>10242</v>
      </c>
      <c r="F58" s="106">
        <f>IF(B58="","",IF('Arrear Sheet'!E58="TOTAL","",'Arrear Sheet'!G58))</f>
        <v>22760</v>
      </c>
      <c r="G58" s="106">
        <f>IF(B58="","",IF('Arrear Sheet'!C58="TOTAL","",SUM(C58:F58)))</f>
        <v>204157</v>
      </c>
      <c r="H58" s="106">
        <f>IF(B58="","",IF('Arrear Sheet'!C58="TOTAL","",'Arrear Sheet'!I58))</f>
        <v>108000</v>
      </c>
      <c r="I58" s="106">
        <f>IF(B58="","",IF('Arrear Sheet'!C58="TOTAL","",'Arrear Sheet'!J58))</f>
        <v>54432</v>
      </c>
      <c r="J58" s="106">
        <f>IF(B58="","",IF('Arrear Sheet'!C58="TOTAL","",'Arrear Sheet'!K58))</f>
        <v>9720</v>
      </c>
      <c r="K58" s="106">
        <f>IF(B58="","",IF('Arrear Sheet'!D58="TOTAL","",'Arrear Sheet'!L58))</f>
        <v>21600</v>
      </c>
      <c r="L58" s="106">
        <f>IF(B58="","",IF('Arrear Sheet'!C58="TOTAL","",SUM(H58:K58)))</f>
        <v>193752</v>
      </c>
      <c r="M58" s="106">
        <f>IF(B58="","",IF('Arrear Sheet'!C58="TOTAL","",'Arrear Sheet'!N58))</f>
        <v>5800</v>
      </c>
      <c r="N58" s="106">
        <f>IF(B58="","",IF('Arrear Sheet'!C58="TOTAL","",'Arrear Sheet'!O58))</f>
        <v>2923</v>
      </c>
      <c r="O58" s="106">
        <f>IF(B58="","",IF('Arrear Sheet'!C58="TOTAL","",'Arrear Sheet'!P58))</f>
        <v>522</v>
      </c>
      <c r="P58" s="106">
        <f>IF(B58="","",IF('Arrear Sheet'!D58="TOTAL","",'Arrear Sheet'!Q58))</f>
        <v>1160</v>
      </c>
      <c r="Q58" s="106">
        <f>IF(B58="","",IF('Arrear Sheet'!C58="TOTAL","",SUM(M58:P58)))</f>
        <v>10405</v>
      </c>
      <c r="R58" s="106">
        <f>IF(B58="","",IF('Arrear Sheet'!C58="TOTAL","",'Arrear Sheet'!S58))</f>
        <v>2100</v>
      </c>
      <c r="S58" s="106">
        <f>IF(B58="","",IF('Arrear Sheet'!C58="TOTAL","",'Arrear Sheet'!T58))</f>
        <v>2100</v>
      </c>
      <c r="T58" s="106">
        <f>IF(B58="","",IF('Arrear Sheet'!C58="TOTAL","",'Arrear Sheet'!U58))</f>
        <v>0</v>
      </c>
      <c r="U58" s="106">
        <f>IF(B58="","",IF('Arrear Sheet'!C58="TOTAL","",'Arrear Sheet'!V58))</f>
        <v>2100</v>
      </c>
      <c r="V58" s="106">
        <f>IF(B58="","",IF('Arrear Sheet'!C58="TOTAL","",'Arrear Sheet'!W58))</f>
        <v>2100</v>
      </c>
      <c r="W58" s="106">
        <f>IF(B58="","",IF('Arrear Sheet'!C58="TOTAL","",'Arrear Sheet'!X58))</f>
        <v>0</v>
      </c>
      <c r="X58" s="106" t="str">
        <f>IF(B58="","",IF('Arrear Sheet'!C58="TOTAL","",'Arrear Sheet'!AB58))</f>
        <v/>
      </c>
      <c r="Y58" s="106" t="str">
        <f>IF(B58="","",IF('Arrear Sheet'!D58="TOTAL","",'Arrear Sheet'!AC58))</f>
        <v/>
      </c>
      <c r="Z58" s="106" t="str">
        <f>IF(B58="","",IF('Arrear Sheet'!E58="TOTAL","",'Arrear Sheet'!AD58))</f>
        <v/>
      </c>
      <c r="AA58" s="106">
        <f>IF(B58="","",IF('Arrear Sheet'!C58="TOTAL","",'Arrear Sheet'!Y58))</f>
        <v>875</v>
      </c>
      <c r="AB58" s="106">
        <f>IF(B58="","",IF('Arrear Sheet'!C58="TOTAL","",'Arrear Sheet'!Z58))</f>
        <v>875</v>
      </c>
      <c r="AC58" s="106">
        <f>IF(B58="","",IF('Arrear Sheet'!C58="TOTAL","",'Arrear Sheet'!AA58))</f>
        <v>0</v>
      </c>
      <c r="AD58" s="106" t="str">
        <f>IF(B58="","",IF('Arrear Sheet'!C58="TOTAL","",'Arrear Sheet'!AE58))</f>
        <v/>
      </c>
      <c r="AE58" s="106">
        <f>IF(B58="","",IF('Arrear Sheet'!C58="TOTAL","",'Arrear Sheet'!AF58))</f>
        <v>0</v>
      </c>
      <c r="AF58" s="106">
        <f>IF(B58="","",'Arrear Sheet'!AG58)</f>
        <v>0</v>
      </c>
      <c r="AG58" s="24">
        <f>IFERROR(IF(B58="","",IF('Arrear Sheet'!C58="TOTAL","",SUM(Q58-AF58))),"")</f>
        <v>10405</v>
      </c>
      <c r="AH58" s="39"/>
      <c r="AI58" s="40"/>
      <c r="AK58" s="104"/>
      <c r="AL58" s="104"/>
      <c r="AM58" s="104"/>
      <c r="AN58" s="104"/>
      <c r="AO58" s="104"/>
      <c r="AP58" s="104"/>
    </row>
    <row r="59" spans="1:42" s="28" customFormat="1" ht="21" customHeight="1">
      <c r="A59" s="22">
        <f>IF('Arrear Sheet'!B59="","",'Arrear Sheet'!B59)</f>
        <v>52</v>
      </c>
      <c r="B59" s="23">
        <f>IF('Arrear Sheet'!C59="","",IF('Arrear Sheet'!C59="TOTAL","",'Arrear Sheet'!C59))</f>
        <v>45108</v>
      </c>
      <c r="C59" s="106">
        <f>IF('Arrear Sheet'!D59="","",IF('Arrear Sheet'!C59="TOTAL","",IF('Arrear Sheet'!D59="अक्षरें राशि :-","",'Arrear Sheet'!D59)))</f>
        <v>117200</v>
      </c>
      <c r="D59" s="106">
        <f>IF('Arrear Sheet'!E59="","",IF('Arrear Sheet'!C59="TOTAL","",'Arrear Sheet'!E59))</f>
        <v>59069</v>
      </c>
      <c r="E59" s="106">
        <f>IF(B59="","",IF('Arrear Sheet'!D59="TOTAL","",'Arrear Sheet'!F59))</f>
        <v>10548</v>
      </c>
      <c r="F59" s="106">
        <f>IF(B59="","",IF('Arrear Sheet'!E59="TOTAL","",'Arrear Sheet'!G59))</f>
        <v>23440</v>
      </c>
      <c r="G59" s="106">
        <f>IF(B59="","",IF('Arrear Sheet'!C59="TOTAL","",SUM(C59:F59)))</f>
        <v>210257</v>
      </c>
      <c r="H59" s="106">
        <f>IF(B59="","",IF('Arrear Sheet'!C59="TOTAL","",'Arrear Sheet'!I59))</f>
        <v>111200</v>
      </c>
      <c r="I59" s="106">
        <f>IF(B59="","",IF('Arrear Sheet'!C59="TOTAL","",'Arrear Sheet'!J59))</f>
        <v>56045</v>
      </c>
      <c r="J59" s="106">
        <f>IF(B59="","",IF('Arrear Sheet'!C59="TOTAL","",'Arrear Sheet'!K59))</f>
        <v>10008</v>
      </c>
      <c r="K59" s="106">
        <f>IF(B59="","",IF('Arrear Sheet'!D59="TOTAL","",'Arrear Sheet'!L59))</f>
        <v>22240</v>
      </c>
      <c r="L59" s="106">
        <f>IF(B59="","",IF('Arrear Sheet'!C59="TOTAL","",SUM(H59:K59)))</f>
        <v>199493</v>
      </c>
      <c r="M59" s="106">
        <f>IF(B59="","",IF('Arrear Sheet'!C59="TOTAL","",'Arrear Sheet'!N59))</f>
        <v>6000</v>
      </c>
      <c r="N59" s="106">
        <f>IF(B59="","",IF('Arrear Sheet'!C59="TOTAL","",'Arrear Sheet'!O59))</f>
        <v>3024</v>
      </c>
      <c r="O59" s="106">
        <f>IF(B59="","",IF('Arrear Sheet'!C59="TOTAL","",'Arrear Sheet'!P59))</f>
        <v>540</v>
      </c>
      <c r="P59" s="106">
        <f>IF(B59="","",IF('Arrear Sheet'!D59="TOTAL","",'Arrear Sheet'!Q59))</f>
        <v>1200</v>
      </c>
      <c r="Q59" s="106">
        <f>IF(B59="","",IF('Arrear Sheet'!C59="TOTAL","",SUM(M59:P59)))</f>
        <v>10764</v>
      </c>
      <c r="R59" s="106">
        <f>IF(B59="","",IF('Arrear Sheet'!C59="TOTAL","",'Arrear Sheet'!S59))</f>
        <v>2100</v>
      </c>
      <c r="S59" s="106">
        <f>IF(B59="","",IF('Arrear Sheet'!C59="TOTAL","",'Arrear Sheet'!T59))</f>
        <v>2100</v>
      </c>
      <c r="T59" s="106">
        <f>IF(B59="","",IF('Arrear Sheet'!C59="TOTAL","",'Arrear Sheet'!U59))</f>
        <v>0</v>
      </c>
      <c r="U59" s="106">
        <f>IF(B59="","",IF('Arrear Sheet'!C59="TOTAL","",'Arrear Sheet'!V59))</f>
        <v>2100</v>
      </c>
      <c r="V59" s="106">
        <f>IF(B59="","",IF('Arrear Sheet'!C59="TOTAL","",'Arrear Sheet'!W59))</f>
        <v>2100</v>
      </c>
      <c r="W59" s="106">
        <f>IF(B59="","",IF('Arrear Sheet'!C59="TOTAL","",'Arrear Sheet'!X59))</f>
        <v>0</v>
      </c>
      <c r="X59" s="106" t="str">
        <f>IF(B59="","",IF('Arrear Sheet'!C59="TOTAL","",'Arrear Sheet'!AB59))</f>
        <v/>
      </c>
      <c r="Y59" s="106" t="str">
        <f>IF(B59="","",IF('Arrear Sheet'!D59="TOTAL","",'Arrear Sheet'!AC59))</f>
        <v/>
      </c>
      <c r="Z59" s="106" t="str">
        <f>IF(B59="","",IF('Arrear Sheet'!E59="TOTAL","",'Arrear Sheet'!AD59))</f>
        <v/>
      </c>
      <c r="AA59" s="106">
        <f>IF(B59="","",IF('Arrear Sheet'!C59="TOTAL","",'Arrear Sheet'!Y59))</f>
        <v>875</v>
      </c>
      <c r="AB59" s="106">
        <f>IF(B59="","",IF('Arrear Sheet'!C59="TOTAL","",'Arrear Sheet'!Z59))</f>
        <v>875</v>
      </c>
      <c r="AC59" s="106">
        <f>IF(B59="","",IF('Arrear Sheet'!C59="TOTAL","",'Arrear Sheet'!AA59))</f>
        <v>0</v>
      </c>
      <c r="AD59" s="106" t="str">
        <f>IF(B59="","",IF('Arrear Sheet'!C59="TOTAL","",'Arrear Sheet'!AE59))</f>
        <v/>
      </c>
      <c r="AE59" s="106">
        <f>IF(B59="","",IF('Arrear Sheet'!C59="TOTAL","",'Arrear Sheet'!AF59))</f>
        <v>0</v>
      </c>
      <c r="AF59" s="106">
        <f>IF(B59="","",'Arrear Sheet'!AG59)</f>
        <v>0</v>
      </c>
      <c r="AG59" s="24">
        <f>IFERROR(IF(B59="","",IF('Arrear Sheet'!C59="TOTAL","",SUM(Q59-AF59))),"")</f>
        <v>10764</v>
      </c>
      <c r="AH59" s="39"/>
      <c r="AI59" s="40"/>
      <c r="AK59" s="104"/>
      <c r="AL59" s="104"/>
      <c r="AM59" s="104"/>
      <c r="AN59" s="104"/>
      <c r="AO59" s="104"/>
      <c r="AP59" s="104"/>
    </row>
    <row r="60" spans="1:42" s="28" customFormat="1" ht="21" customHeight="1">
      <c r="A60" s="22">
        <f>IF('Arrear Sheet'!B60="","",'Arrear Sheet'!B60)</f>
        <v>53</v>
      </c>
      <c r="B60" s="23">
        <f>IF('Arrear Sheet'!C60="","",IF('Arrear Sheet'!C60="TOTAL","",'Arrear Sheet'!C60))</f>
        <v>45139</v>
      </c>
      <c r="C60" s="106">
        <f>IF('Arrear Sheet'!D60="","",IF('Arrear Sheet'!C60="TOTAL","",IF('Arrear Sheet'!D60="अक्षरें राशि :-","",'Arrear Sheet'!D60)))</f>
        <v>117200</v>
      </c>
      <c r="D60" s="106">
        <f>IF('Arrear Sheet'!E60="","",IF('Arrear Sheet'!C60="TOTAL","",'Arrear Sheet'!E60))</f>
        <v>59069</v>
      </c>
      <c r="E60" s="106">
        <f>IF(B60="","",IF('Arrear Sheet'!D60="TOTAL","",'Arrear Sheet'!F60))</f>
        <v>10548</v>
      </c>
      <c r="F60" s="106">
        <f>IF(B60="","",IF('Arrear Sheet'!E60="TOTAL","",'Arrear Sheet'!G60))</f>
        <v>23440</v>
      </c>
      <c r="G60" s="106">
        <f>IF(B60="","",IF('Arrear Sheet'!C60="TOTAL","",SUM(C60:F60)))</f>
        <v>210257</v>
      </c>
      <c r="H60" s="106">
        <f>IF(B60="","",IF('Arrear Sheet'!C60="TOTAL","",'Arrear Sheet'!I60))</f>
        <v>111200</v>
      </c>
      <c r="I60" s="106">
        <f>IF(B60="","",IF('Arrear Sheet'!C60="TOTAL","",'Arrear Sheet'!J60))</f>
        <v>56045</v>
      </c>
      <c r="J60" s="106">
        <f>IF(B60="","",IF('Arrear Sheet'!C60="TOTAL","",'Arrear Sheet'!K60))</f>
        <v>10008</v>
      </c>
      <c r="K60" s="106">
        <f>IF(B60="","",IF('Arrear Sheet'!D60="TOTAL","",'Arrear Sheet'!L60))</f>
        <v>22240</v>
      </c>
      <c r="L60" s="106">
        <f>IF(B60="","",IF('Arrear Sheet'!C60="TOTAL","",SUM(H60:K60)))</f>
        <v>199493</v>
      </c>
      <c r="M60" s="106">
        <f>IF(B60="","",IF('Arrear Sheet'!C60="TOTAL","",'Arrear Sheet'!N60))</f>
        <v>6000</v>
      </c>
      <c r="N60" s="106">
        <f>IF(B60="","",IF('Arrear Sheet'!C60="TOTAL","",'Arrear Sheet'!O60))</f>
        <v>3024</v>
      </c>
      <c r="O60" s="106">
        <f>IF(B60="","",IF('Arrear Sheet'!C60="TOTAL","",'Arrear Sheet'!P60))</f>
        <v>540</v>
      </c>
      <c r="P60" s="106">
        <f>IF(B60="","",IF('Arrear Sheet'!D60="TOTAL","",'Arrear Sheet'!Q60))</f>
        <v>1200</v>
      </c>
      <c r="Q60" s="106">
        <f>IF(B60="","",IF('Arrear Sheet'!C60="TOTAL","",SUM(M60:P60)))</f>
        <v>10764</v>
      </c>
      <c r="R60" s="106">
        <f>IF(B60="","",IF('Arrear Sheet'!C60="TOTAL","",'Arrear Sheet'!S60))</f>
        <v>2100</v>
      </c>
      <c r="S60" s="106">
        <f>IF(B60="","",IF('Arrear Sheet'!C60="TOTAL","",'Arrear Sheet'!T60))</f>
        <v>2100</v>
      </c>
      <c r="T60" s="106">
        <f>IF(B60="","",IF('Arrear Sheet'!C60="TOTAL","",'Arrear Sheet'!U60))</f>
        <v>0</v>
      </c>
      <c r="U60" s="106">
        <f>IF(B60="","",IF('Arrear Sheet'!C60="TOTAL","",'Arrear Sheet'!V60))</f>
        <v>2100</v>
      </c>
      <c r="V60" s="106">
        <f>IF(B60="","",IF('Arrear Sheet'!C60="TOTAL","",'Arrear Sheet'!W60))</f>
        <v>2100</v>
      </c>
      <c r="W60" s="106">
        <f>IF(B60="","",IF('Arrear Sheet'!C60="TOTAL","",'Arrear Sheet'!X60))</f>
        <v>0</v>
      </c>
      <c r="X60" s="106" t="str">
        <f>IF(B60="","",IF('Arrear Sheet'!C60="TOTAL","",'Arrear Sheet'!AB60))</f>
        <v/>
      </c>
      <c r="Y60" s="106" t="str">
        <f>IF(B60="","",IF('Arrear Sheet'!D60="TOTAL","",'Arrear Sheet'!AC60))</f>
        <v/>
      </c>
      <c r="Z60" s="106" t="str">
        <f>IF(B60="","",IF('Arrear Sheet'!E60="TOTAL","",'Arrear Sheet'!AD60))</f>
        <v/>
      </c>
      <c r="AA60" s="106">
        <f>IF(B60="","",IF('Arrear Sheet'!C60="TOTAL","",'Arrear Sheet'!Y60))</f>
        <v>875</v>
      </c>
      <c r="AB60" s="106">
        <f>IF(B60="","",IF('Arrear Sheet'!C60="TOTAL","",'Arrear Sheet'!Z60))</f>
        <v>875</v>
      </c>
      <c r="AC60" s="106">
        <f>IF(B60="","",IF('Arrear Sheet'!C60="TOTAL","",'Arrear Sheet'!AA60))</f>
        <v>0</v>
      </c>
      <c r="AD60" s="106" t="str">
        <f>IF(B60="","",IF('Arrear Sheet'!C60="TOTAL","",'Arrear Sheet'!AE60))</f>
        <v/>
      </c>
      <c r="AE60" s="106">
        <f>IF(B60="","",IF('Arrear Sheet'!C60="TOTAL","",'Arrear Sheet'!AF60))</f>
        <v>0</v>
      </c>
      <c r="AF60" s="106">
        <f>IF(B60="","",'Arrear Sheet'!AG60)</f>
        <v>0</v>
      </c>
      <c r="AG60" s="24">
        <f>IFERROR(IF(B60="","",IF('Arrear Sheet'!C60="TOTAL","",SUM(Q60-AF60))),"")</f>
        <v>10764</v>
      </c>
      <c r="AH60" s="39"/>
      <c r="AI60" s="40"/>
      <c r="AK60" s="104"/>
      <c r="AL60" s="104"/>
      <c r="AM60" s="104"/>
      <c r="AN60" s="104"/>
      <c r="AO60" s="104"/>
      <c r="AP60" s="104"/>
    </row>
    <row r="61" spans="1:42" s="28" customFormat="1" ht="21" customHeight="1">
      <c r="A61" s="22">
        <f>IF('Arrear Sheet'!B61="","",'Arrear Sheet'!B61)</f>
        <v>54</v>
      </c>
      <c r="B61" s="23">
        <f>IF('Arrear Sheet'!C61="","",IF('Arrear Sheet'!C61="TOTAL","",'Arrear Sheet'!C61))</f>
        <v>45170</v>
      </c>
      <c r="C61" s="106">
        <f>IF('Arrear Sheet'!D61="","",IF('Arrear Sheet'!C61="TOTAL","",IF('Arrear Sheet'!D61="अक्षरें राशि :-","",'Arrear Sheet'!D61)))</f>
        <v>117200</v>
      </c>
      <c r="D61" s="106">
        <f>IF('Arrear Sheet'!E61="","",IF('Arrear Sheet'!C61="TOTAL","",'Arrear Sheet'!E61))</f>
        <v>59069</v>
      </c>
      <c r="E61" s="106">
        <f>IF(B61="","",IF('Arrear Sheet'!D61="TOTAL","",'Arrear Sheet'!F61))</f>
        <v>10548</v>
      </c>
      <c r="F61" s="106">
        <f>IF(B61="","",IF('Arrear Sheet'!E61="TOTAL","",'Arrear Sheet'!G61))</f>
        <v>23440</v>
      </c>
      <c r="G61" s="106">
        <f>IF(B61="","",IF('Arrear Sheet'!C61="TOTAL","",SUM(C61:F61)))</f>
        <v>210257</v>
      </c>
      <c r="H61" s="106">
        <f>IF(B61="","",IF('Arrear Sheet'!C61="TOTAL","",'Arrear Sheet'!I61))</f>
        <v>111200</v>
      </c>
      <c r="I61" s="106">
        <f>IF(B61="","",IF('Arrear Sheet'!C61="TOTAL","",'Arrear Sheet'!J61))</f>
        <v>56045</v>
      </c>
      <c r="J61" s="106">
        <f>IF(B61="","",IF('Arrear Sheet'!C61="TOTAL","",'Arrear Sheet'!K61))</f>
        <v>10008</v>
      </c>
      <c r="K61" s="106">
        <f>IF(B61="","",IF('Arrear Sheet'!D61="TOTAL","",'Arrear Sheet'!L61))</f>
        <v>22240</v>
      </c>
      <c r="L61" s="106">
        <f>IF(B61="","",IF('Arrear Sheet'!C61="TOTAL","",SUM(H61:K61)))</f>
        <v>199493</v>
      </c>
      <c r="M61" s="106">
        <f>IF(B61="","",IF('Arrear Sheet'!C61="TOTAL","",'Arrear Sheet'!N61))</f>
        <v>6000</v>
      </c>
      <c r="N61" s="106">
        <f>IF(B61="","",IF('Arrear Sheet'!C61="TOTAL","",'Arrear Sheet'!O61))</f>
        <v>3024</v>
      </c>
      <c r="O61" s="106">
        <f>IF(B61="","",IF('Arrear Sheet'!C61="TOTAL","",'Arrear Sheet'!P61))</f>
        <v>540</v>
      </c>
      <c r="P61" s="106">
        <f>IF(B61="","",IF('Arrear Sheet'!D61="TOTAL","",'Arrear Sheet'!Q61))</f>
        <v>1200</v>
      </c>
      <c r="Q61" s="106">
        <f>IF(B61="","",IF('Arrear Sheet'!C61="TOTAL","",SUM(M61:P61)))</f>
        <v>10764</v>
      </c>
      <c r="R61" s="106">
        <f>IF(B61="","",IF('Arrear Sheet'!C61="TOTAL","",'Arrear Sheet'!S61))</f>
        <v>2100</v>
      </c>
      <c r="S61" s="106">
        <f>IF(B61="","",IF('Arrear Sheet'!C61="TOTAL","",'Arrear Sheet'!T61))</f>
        <v>2100</v>
      </c>
      <c r="T61" s="106">
        <f>IF(B61="","",IF('Arrear Sheet'!C61="TOTAL","",'Arrear Sheet'!U61))</f>
        <v>0</v>
      </c>
      <c r="U61" s="106">
        <f>IF(B61="","",IF('Arrear Sheet'!C61="TOTAL","",'Arrear Sheet'!V61))</f>
        <v>2100</v>
      </c>
      <c r="V61" s="106">
        <f>IF(B61="","",IF('Arrear Sheet'!C61="TOTAL","",'Arrear Sheet'!W61))</f>
        <v>2100</v>
      </c>
      <c r="W61" s="106">
        <f>IF(B61="","",IF('Arrear Sheet'!C61="TOTAL","",'Arrear Sheet'!X61))</f>
        <v>0</v>
      </c>
      <c r="X61" s="106" t="str">
        <f>IF(B61="","",IF('Arrear Sheet'!C61="TOTAL","",'Arrear Sheet'!AB61))</f>
        <v/>
      </c>
      <c r="Y61" s="106" t="str">
        <f>IF(B61="","",IF('Arrear Sheet'!D61="TOTAL","",'Arrear Sheet'!AC61))</f>
        <v/>
      </c>
      <c r="Z61" s="106" t="str">
        <f>IF(B61="","",IF('Arrear Sheet'!E61="TOTAL","",'Arrear Sheet'!AD61))</f>
        <v/>
      </c>
      <c r="AA61" s="106">
        <f>IF(B61="","",IF('Arrear Sheet'!C61="TOTAL","",'Arrear Sheet'!Y61))</f>
        <v>875</v>
      </c>
      <c r="AB61" s="106">
        <f>IF(B61="","",IF('Arrear Sheet'!C61="TOTAL","",'Arrear Sheet'!Z61))</f>
        <v>875</v>
      </c>
      <c r="AC61" s="106">
        <f>IF(B61="","",IF('Arrear Sheet'!C61="TOTAL","",'Arrear Sheet'!AA61))</f>
        <v>0</v>
      </c>
      <c r="AD61" s="106" t="str">
        <f>IF(B61="","",IF('Arrear Sheet'!C61="TOTAL","",'Arrear Sheet'!AE61))</f>
        <v/>
      </c>
      <c r="AE61" s="106">
        <f>IF(B61="","",IF('Arrear Sheet'!C61="TOTAL","",'Arrear Sheet'!AF61))</f>
        <v>0</v>
      </c>
      <c r="AF61" s="106">
        <f>IF(B61="","",'Arrear Sheet'!AG61)</f>
        <v>0</v>
      </c>
      <c r="AG61" s="24">
        <f>IFERROR(IF(B61="","",IF('Arrear Sheet'!C61="TOTAL","",SUM(Q61-AF61))),"")</f>
        <v>10764</v>
      </c>
      <c r="AH61" s="39"/>
      <c r="AI61" s="40"/>
      <c r="AK61" s="104"/>
      <c r="AL61" s="104"/>
      <c r="AM61" s="104"/>
      <c r="AN61" s="104"/>
      <c r="AO61" s="104"/>
      <c r="AP61" s="104"/>
    </row>
    <row r="62" spans="1:42" s="28" customFormat="1" ht="21" customHeight="1">
      <c r="A62" s="22">
        <f>IF('Arrear Sheet'!B62="","",'Arrear Sheet'!B62)</f>
        <v>55</v>
      </c>
      <c r="B62" s="23">
        <f>IF('Arrear Sheet'!C62="","",IF('Arrear Sheet'!C62="TOTAL","",'Arrear Sheet'!C62))</f>
        <v>45200</v>
      </c>
      <c r="C62" s="106">
        <f>IF('Arrear Sheet'!D62="","",IF('Arrear Sheet'!C62="TOTAL","",IF('Arrear Sheet'!D62="अक्षरें राशि :-","",'Arrear Sheet'!D62)))</f>
        <v>117200</v>
      </c>
      <c r="D62" s="106">
        <f>IF('Arrear Sheet'!E62="","",IF('Arrear Sheet'!C62="TOTAL","",'Arrear Sheet'!E62))</f>
        <v>59069</v>
      </c>
      <c r="E62" s="106">
        <f>IF(B62="","",IF('Arrear Sheet'!D62="TOTAL","",'Arrear Sheet'!F62))</f>
        <v>10548</v>
      </c>
      <c r="F62" s="106">
        <f>IF(B62="","",IF('Arrear Sheet'!E62="TOTAL","",'Arrear Sheet'!G62))</f>
        <v>23440</v>
      </c>
      <c r="G62" s="106">
        <f>IF(B62="","",IF('Arrear Sheet'!C62="TOTAL","",SUM(C62:F62)))</f>
        <v>210257</v>
      </c>
      <c r="H62" s="106">
        <f>IF(B62="","",IF('Arrear Sheet'!C62="TOTAL","",'Arrear Sheet'!I62))</f>
        <v>111200</v>
      </c>
      <c r="I62" s="106">
        <f>IF(B62="","",IF('Arrear Sheet'!C62="TOTAL","",'Arrear Sheet'!J62))</f>
        <v>56045</v>
      </c>
      <c r="J62" s="106">
        <f>IF(B62="","",IF('Arrear Sheet'!C62="TOTAL","",'Arrear Sheet'!K62))</f>
        <v>10008</v>
      </c>
      <c r="K62" s="106">
        <f>IF(B62="","",IF('Arrear Sheet'!D62="TOTAL","",'Arrear Sheet'!L62))</f>
        <v>22240</v>
      </c>
      <c r="L62" s="106">
        <f>IF(B62="","",IF('Arrear Sheet'!C62="TOTAL","",SUM(H62:K62)))</f>
        <v>199493</v>
      </c>
      <c r="M62" s="106">
        <f>IF(B62="","",IF('Arrear Sheet'!C62="TOTAL","",'Arrear Sheet'!N62))</f>
        <v>6000</v>
      </c>
      <c r="N62" s="106">
        <f>IF(B62="","",IF('Arrear Sheet'!C62="TOTAL","",'Arrear Sheet'!O62))</f>
        <v>3024</v>
      </c>
      <c r="O62" s="106">
        <f>IF(B62="","",IF('Arrear Sheet'!C62="TOTAL","",'Arrear Sheet'!P62))</f>
        <v>540</v>
      </c>
      <c r="P62" s="106">
        <f>IF(B62="","",IF('Arrear Sheet'!D62="TOTAL","",'Arrear Sheet'!Q62))</f>
        <v>1200</v>
      </c>
      <c r="Q62" s="106">
        <f>IF(B62="","",IF('Arrear Sheet'!C62="TOTAL","",SUM(M62:P62)))</f>
        <v>10764</v>
      </c>
      <c r="R62" s="106">
        <f>IF(B62="","",IF('Arrear Sheet'!C62="TOTAL","",'Arrear Sheet'!S62))</f>
        <v>2100</v>
      </c>
      <c r="S62" s="106">
        <f>IF(B62="","",IF('Arrear Sheet'!C62="TOTAL","",'Arrear Sheet'!T62))</f>
        <v>2100</v>
      </c>
      <c r="T62" s="106">
        <f>IF(B62="","",IF('Arrear Sheet'!C62="TOTAL","",'Arrear Sheet'!U62))</f>
        <v>0</v>
      </c>
      <c r="U62" s="106">
        <f>IF(B62="","",IF('Arrear Sheet'!C62="TOTAL","",'Arrear Sheet'!V62))</f>
        <v>2100</v>
      </c>
      <c r="V62" s="106">
        <f>IF(B62="","",IF('Arrear Sheet'!C62="TOTAL","",'Arrear Sheet'!W62))</f>
        <v>2100</v>
      </c>
      <c r="W62" s="106">
        <f>IF(B62="","",IF('Arrear Sheet'!C62="TOTAL","",'Arrear Sheet'!X62))</f>
        <v>0</v>
      </c>
      <c r="X62" s="106" t="str">
        <f>IF(B62="","",IF('Arrear Sheet'!C62="TOTAL","",'Arrear Sheet'!AB62))</f>
        <v/>
      </c>
      <c r="Y62" s="106" t="str">
        <f>IF(B62="","",IF('Arrear Sheet'!D62="TOTAL","",'Arrear Sheet'!AC62))</f>
        <v/>
      </c>
      <c r="Z62" s="106" t="str">
        <f>IF(B62="","",IF('Arrear Sheet'!E62="TOTAL","",'Arrear Sheet'!AD62))</f>
        <v/>
      </c>
      <c r="AA62" s="106">
        <f>IF(B62="","",IF('Arrear Sheet'!C62="TOTAL","",'Arrear Sheet'!Y62))</f>
        <v>875</v>
      </c>
      <c r="AB62" s="106">
        <f>IF(B62="","",IF('Arrear Sheet'!C62="TOTAL","",'Arrear Sheet'!Z62))</f>
        <v>875</v>
      </c>
      <c r="AC62" s="106">
        <f>IF(B62="","",IF('Arrear Sheet'!C62="TOTAL","",'Arrear Sheet'!AA62))</f>
        <v>0</v>
      </c>
      <c r="AD62" s="106" t="str">
        <f>IF(B62="","",IF('Arrear Sheet'!C62="TOTAL","",'Arrear Sheet'!AE62))</f>
        <v/>
      </c>
      <c r="AE62" s="106">
        <f>IF(B62="","",IF('Arrear Sheet'!C62="TOTAL","",'Arrear Sheet'!AF62))</f>
        <v>0</v>
      </c>
      <c r="AF62" s="106">
        <f>IF(B62="","",'Arrear Sheet'!AG62)</f>
        <v>0</v>
      </c>
      <c r="AG62" s="24">
        <f>IFERROR(IF(B62="","",IF('Arrear Sheet'!C62="TOTAL","",SUM(Q62-AF62))),"")</f>
        <v>10764</v>
      </c>
      <c r="AH62" s="39"/>
      <c r="AI62" s="40"/>
      <c r="AK62" s="104"/>
      <c r="AL62" s="104"/>
      <c r="AM62" s="104"/>
      <c r="AN62" s="104"/>
      <c r="AO62" s="104"/>
      <c r="AP62" s="104"/>
    </row>
    <row r="63" spans="1:42" s="28" customFormat="1" ht="21" customHeight="1">
      <c r="A63" s="22">
        <f>IF('Arrear Sheet'!B63="","",'Arrear Sheet'!B63)</f>
        <v>56</v>
      </c>
      <c r="B63" s="23">
        <f>IF('Arrear Sheet'!C63="","",IF('Arrear Sheet'!C63="TOTAL","",'Arrear Sheet'!C63))</f>
        <v>45231</v>
      </c>
      <c r="C63" s="106">
        <f>IF('Arrear Sheet'!D63="","",IF('Arrear Sheet'!C63="TOTAL","",IF('Arrear Sheet'!D63="अक्षरें राशि :-","",'Arrear Sheet'!D63)))</f>
        <v>117200</v>
      </c>
      <c r="D63" s="106">
        <f>IF('Arrear Sheet'!E63="","",IF('Arrear Sheet'!C63="TOTAL","",'Arrear Sheet'!E63))</f>
        <v>59069</v>
      </c>
      <c r="E63" s="106">
        <f>IF(B63="","",IF('Arrear Sheet'!D63="TOTAL","",'Arrear Sheet'!F63))</f>
        <v>10548</v>
      </c>
      <c r="F63" s="106">
        <f>IF(B63="","",IF('Arrear Sheet'!E63="TOTAL","",'Arrear Sheet'!G63))</f>
        <v>23440</v>
      </c>
      <c r="G63" s="106">
        <f>IF(B63="","",IF('Arrear Sheet'!C63="TOTAL","",SUM(C63:F63)))</f>
        <v>210257</v>
      </c>
      <c r="H63" s="106">
        <f>IF(B63="","",IF('Arrear Sheet'!C63="TOTAL","",'Arrear Sheet'!I63))</f>
        <v>111200</v>
      </c>
      <c r="I63" s="106">
        <f>IF(B63="","",IF('Arrear Sheet'!C63="TOTAL","",'Arrear Sheet'!J63))</f>
        <v>56045</v>
      </c>
      <c r="J63" s="106">
        <f>IF(B63="","",IF('Arrear Sheet'!C63="TOTAL","",'Arrear Sheet'!K63))</f>
        <v>10008</v>
      </c>
      <c r="K63" s="106">
        <f>IF(B63="","",IF('Arrear Sheet'!D63="TOTAL","",'Arrear Sheet'!L63))</f>
        <v>22240</v>
      </c>
      <c r="L63" s="106">
        <f>IF(B63="","",IF('Arrear Sheet'!C63="TOTAL","",SUM(H63:K63)))</f>
        <v>199493</v>
      </c>
      <c r="M63" s="106">
        <f>IF(B63="","",IF('Arrear Sheet'!C63="TOTAL","",'Arrear Sheet'!N63))</f>
        <v>6000</v>
      </c>
      <c r="N63" s="106">
        <f>IF(B63="","",IF('Arrear Sheet'!C63="TOTAL","",'Arrear Sheet'!O63))</f>
        <v>3024</v>
      </c>
      <c r="O63" s="106">
        <f>IF(B63="","",IF('Arrear Sheet'!C63="TOTAL","",'Arrear Sheet'!P63))</f>
        <v>540</v>
      </c>
      <c r="P63" s="106">
        <f>IF(B63="","",IF('Arrear Sheet'!D63="TOTAL","",'Arrear Sheet'!Q63))</f>
        <v>1200</v>
      </c>
      <c r="Q63" s="106">
        <f>IF(B63="","",IF('Arrear Sheet'!C63="TOTAL","",SUM(M63:P63)))</f>
        <v>10764</v>
      </c>
      <c r="R63" s="106">
        <f>IF(B63="","",IF('Arrear Sheet'!C63="TOTAL","",'Arrear Sheet'!S63))</f>
        <v>2100</v>
      </c>
      <c r="S63" s="106">
        <f>IF(B63="","",IF('Arrear Sheet'!C63="TOTAL","",'Arrear Sheet'!T63))</f>
        <v>2100</v>
      </c>
      <c r="T63" s="106">
        <f>IF(B63="","",IF('Arrear Sheet'!C63="TOTAL","",'Arrear Sheet'!U63))</f>
        <v>0</v>
      </c>
      <c r="U63" s="106">
        <f>IF(B63="","",IF('Arrear Sheet'!C63="TOTAL","",'Arrear Sheet'!V63))</f>
        <v>2100</v>
      </c>
      <c r="V63" s="106">
        <f>IF(B63="","",IF('Arrear Sheet'!C63="TOTAL","",'Arrear Sheet'!W63))</f>
        <v>2100</v>
      </c>
      <c r="W63" s="106">
        <f>IF(B63="","",IF('Arrear Sheet'!C63="TOTAL","",'Arrear Sheet'!X63))</f>
        <v>0</v>
      </c>
      <c r="X63" s="106" t="str">
        <f>IF(B63="","",IF('Arrear Sheet'!C63="TOTAL","",'Arrear Sheet'!AB63))</f>
        <v/>
      </c>
      <c r="Y63" s="106" t="str">
        <f>IF(B63="","",IF('Arrear Sheet'!D63="TOTAL","",'Arrear Sheet'!AC63))</f>
        <v/>
      </c>
      <c r="Z63" s="106" t="str">
        <f>IF(B63="","",IF('Arrear Sheet'!E63="TOTAL","",'Arrear Sheet'!AD63))</f>
        <v/>
      </c>
      <c r="AA63" s="106">
        <f>IF(B63="","",IF('Arrear Sheet'!C63="TOTAL","",'Arrear Sheet'!Y63))</f>
        <v>875</v>
      </c>
      <c r="AB63" s="106">
        <f>IF(B63="","",IF('Arrear Sheet'!C63="TOTAL","",'Arrear Sheet'!Z63))</f>
        <v>875</v>
      </c>
      <c r="AC63" s="106">
        <f>IF(B63="","",IF('Arrear Sheet'!C63="TOTAL","",'Arrear Sheet'!AA63))</f>
        <v>0</v>
      </c>
      <c r="AD63" s="106" t="str">
        <f>IF(B63="","",IF('Arrear Sheet'!C63="TOTAL","",'Arrear Sheet'!AE63))</f>
        <v/>
      </c>
      <c r="AE63" s="106">
        <f>IF(B63="","",IF('Arrear Sheet'!C63="TOTAL","",'Arrear Sheet'!AF63))</f>
        <v>0</v>
      </c>
      <c r="AF63" s="106">
        <f>IF(B63="","",'Arrear Sheet'!AG63)</f>
        <v>0</v>
      </c>
      <c r="AG63" s="24">
        <f>IFERROR(IF(B63="","",IF('Arrear Sheet'!C63="TOTAL","",SUM(Q63-AF63))),"")</f>
        <v>10764</v>
      </c>
      <c r="AH63" s="39"/>
      <c r="AI63" s="40"/>
      <c r="AK63" s="104"/>
      <c r="AL63" s="104"/>
      <c r="AM63" s="104"/>
      <c r="AN63" s="104"/>
      <c r="AO63" s="104"/>
      <c r="AP63" s="104"/>
    </row>
    <row r="64" spans="1:42" s="28" customFormat="1" ht="21" customHeight="1">
      <c r="A64" s="22" t="str">
        <f>IF('Arrear Sheet'!B64="","",'Arrear Sheet'!B64)</f>
        <v/>
      </c>
      <c r="B64" s="23" t="str">
        <f>IF('Arrear Sheet'!C64="","",IF('Arrear Sheet'!C64="TOTAL","",'Arrear Sheet'!C64))</f>
        <v/>
      </c>
      <c r="C64" s="106" t="str">
        <f>IF('Arrear Sheet'!D64="","",IF('Arrear Sheet'!C64="TOTAL","",IF('Arrear Sheet'!D64="अक्षरें राशि :-","",'Arrear Sheet'!D64)))</f>
        <v/>
      </c>
      <c r="D64" s="106" t="str">
        <f>IF('Arrear Sheet'!E64="","",IF('Arrear Sheet'!C64="TOTAL","",'Arrear Sheet'!E64))</f>
        <v/>
      </c>
      <c r="E64" s="106" t="str">
        <f>IF(B64="","",IF('Arrear Sheet'!D64="TOTAL","",'Arrear Sheet'!F64))</f>
        <v/>
      </c>
      <c r="F64" s="106" t="str">
        <f>IF(B64="","",IF('Arrear Sheet'!E64="TOTAL","",'Arrear Sheet'!G64))</f>
        <v/>
      </c>
      <c r="G64" s="106" t="str">
        <f>IF(B64="","",IF('Arrear Sheet'!C64="TOTAL","",SUM(C64:F64)))</f>
        <v/>
      </c>
      <c r="H64" s="106" t="str">
        <f>IF(B64="","",IF('Arrear Sheet'!C64="TOTAL","",'Arrear Sheet'!I64))</f>
        <v/>
      </c>
      <c r="I64" s="106" t="str">
        <f>IF(B64="","",IF('Arrear Sheet'!C64="TOTAL","",'Arrear Sheet'!J64))</f>
        <v/>
      </c>
      <c r="J64" s="106" t="str">
        <f>IF(B64="","",IF('Arrear Sheet'!C64="TOTAL","",'Arrear Sheet'!K64))</f>
        <v/>
      </c>
      <c r="K64" s="106" t="str">
        <f>IF(B64="","",IF('Arrear Sheet'!D64="TOTAL","",'Arrear Sheet'!L64))</f>
        <v/>
      </c>
      <c r="L64" s="106" t="str">
        <f>IF(B64="","",IF('Arrear Sheet'!C64="TOTAL","",SUM(H64:K64)))</f>
        <v/>
      </c>
      <c r="M64" s="106" t="str">
        <f>IF(B64="","",IF('Arrear Sheet'!C64="TOTAL","",'Arrear Sheet'!N64))</f>
        <v/>
      </c>
      <c r="N64" s="106" t="str">
        <f>IF(B64="","",IF('Arrear Sheet'!C64="TOTAL","",'Arrear Sheet'!O64))</f>
        <v/>
      </c>
      <c r="O64" s="106" t="str">
        <f>IF(B64="","",IF('Arrear Sheet'!C64="TOTAL","",'Arrear Sheet'!P64))</f>
        <v/>
      </c>
      <c r="P64" s="106" t="str">
        <f>IF(B64="","",IF('Arrear Sheet'!D64="TOTAL","",'Arrear Sheet'!Q64))</f>
        <v/>
      </c>
      <c r="Q64" s="106" t="str">
        <f>IF(B64="","",IF('Arrear Sheet'!C64="TOTAL","",SUM(M64:P64)))</f>
        <v/>
      </c>
      <c r="R64" s="106" t="str">
        <f>IF(B64="","",IF('Arrear Sheet'!C64="TOTAL","",'Arrear Sheet'!S64))</f>
        <v/>
      </c>
      <c r="S64" s="106" t="str">
        <f>IF(B64="","",IF('Arrear Sheet'!C64="TOTAL","",'Arrear Sheet'!T64))</f>
        <v/>
      </c>
      <c r="T64" s="106" t="str">
        <f>IF(B64="","",IF('Arrear Sheet'!C64="TOTAL","",'Arrear Sheet'!U64))</f>
        <v/>
      </c>
      <c r="U64" s="106" t="str">
        <f>IF(B64="","",IF('Arrear Sheet'!C64="TOTAL","",'Arrear Sheet'!V64))</f>
        <v/>
      </c>
      <c r="V64" s="106" t="str">
        <f>IF(B64="","",IF('Arrear Sheet'!C64="TOTAL","",'Arrear Sheet'!W64))</f>
        <v/>
      </c>
      <c r="W64" s="106" t="str">
        <f>IF(B64="","",IF('Arrear Sheet'!C64="TOTAL","",'Arrear Sheet'!X64))</f>
        <v/>
      </c>
      <c r="X64" s="106" t="str">
        <f>IF(B64="","",IF('Arrear Sheet'!C64="TOTAL","",'Arrear Sheet'!AB64))</f>
        <v/>
      </c>
      <c r="Y64" s="106" t="str">
        <f>IF(B64="","",IF('Arrear Sheet'!D64="TOTAL","",'Arrear Sheet'!AC64))</f>
        <v/>
      </c>
      <c r="Z64" s="106" t="str">
        <f>IF(B64="","",IF('Arrear Sheet'!E64="TOTAL","",'Arrear Sheet'!AD64))</f>
        <v/>
      </c>
      <c r="AA64" s="106" t="str">
        <f>IF(B64="","",IF('Arrear Sheet'!C64="TOTAL","",'Arrear Sheet'!Y64))</f>
        <v/>
      </c>
      <c r="AB64" s="106" t="str">
        <f>IF(B64="","",IF('Arrear Sheet'!C64="TOTAL","",'Arrear Sheet'!Z64))</f>
        <v/>
      </c>
      <c r="AC64" s="106" t="str">
        <f>IF(B64="","",IF('Arrear Sheet'!C64="TOTAL","",'Arrear Sheet'!AA64))</f>
        <v/>
      </c>
      <c r="AD64" s="106" t="str">
        <f>IF(B64="","",IF('Arrear Sheet'!C64="TOTAL","",'Arrear Sheet'!AE64))</f>
        <v/>
      </c>
      <c r="AE64" s="106" t="str">
        <f>IF(B64="","",IF('Arrear Sheet'!C64="TOTAL","",'Arrear Sheet'!AF64))</f>
        <v/>
      </c>
      <c r="AF64" s="106" t="str">
        <f>IF(B64="","",'Arrear Sheet'!AG64)</f>
        <v/>
      </c>
      <c r="AG64" s="24" t="str">
        <f>IFERROR(IF(B64="","",IF('Arrear Sheet'!C64="TOTAL","",SUM(Q64-AF64))),"")</f>
        <v/>
      </c>
      <c r="AH64" s="39"/>
      <c r="AI64" s="40"/>
      <c r="AK64" s="104"/>
      <c r="AL64" s="104"/>
      <c r="AM64" s="104"/>
      <c r="AN64" s="104"/>
      <c r="AO64" s="104"/>
      <c r="AP64" s="104"/>
    </row>
    <row r="65" spans="1:42" s="28" customFormat="1" ht="21" customHeight="1">
      <c r="A65" s="22" t="str">
        <f>IF('Arrear Sheet'!B65="","",'Arrear Sheet'!B65)</f>
        <v/>
      </c>
      <c r="B65" s="23" t="str">
        <f>IF('Arrear Sheet'!C65="","",IF('Arrear Sheet'!C65="TOTAL","",'Arrear Sheet'!C65))</f>
        <v/>
      </c>
      <c r="C65" s="106" t="str">
        <f>IF('Arrear Sheet'!D65="","",IF('Arrear Sheet'!C65="TOTAL","",IF('Arrear Sheet'!D65="अक्षरें राशि :-","",'Arrear Sheet'!D65)))</f>
        <v/>
      </c>
      <c r="D65" s="106" t="str">
        <f>IF('Arrear Sheet'!E65="","",IF('Arrear Sheet'!C65="TOTAL","",'Arrear Sheet'!E65))</f>
        <v/>
      </c>
      <c r="E65" s="106" t="str">
        <f>IF(B65="","",IF('Arrear Sheet'!D65="TOTAL","",'Arrear Sheet'!F65))</f>
        <v/>
      </c>
      <c r="F65" s="106" t="str">
        <f>IF(B65="","",IF('Arrear Sheet'!E65="TOTAL","",'Arrear Sheet'!G65))</f>
        <v/>
      </c>
      <c r="G65" s="106" t="str">
        <f>IF(B65="","",IF('Arrear Sheet'!C65="TOTAL","",SUM(C65:F65)))</f>
        <v/>
      </c>
      <c r="H65" s="106" t="str">
        <f>IF(B65="","",IF('Arrear Sheet'!C65="TOTAL","",'Arrear Sheet'!I65))</f>
        <v/>
      </c>
      <c r="I65" s="106" t="str">
        <f>IF(B65="","",IF('Arrear Sheet'!C65="TOTAL","",'Arrear Sheet'!J65))</f>
        <v/>
      </c>
      <c r="J65" s="106" t="str">
        <f>IF(B65="","",IF('Arrear Sheet'!C65="TOTAL","",'Arrear Sheet'!K65))</f>
        <v/>
      </c>
      <c r="K65" s="106" t="str">
        <f>IF(B65="","",IF('Arrear Sheet'!D65="TOTAL","",'Arrear Sheet'!L65))</f>
        <v/>
      </c>
      <c r="L65" s="106" t="str">
        <f>IF(B65="","",IF('Arrear Sheet'!C65="TOTAL","",SUM(H65:K65)))</f>
        <v/>
      </c>
      <c r="M65" s="106" t="str">
        <f>IF(B65="","",IF('Arrear Sheet'!C65="TOTAL","",'Arrear Sheet'!N65))</f>
        <v/>
      </c>
      <c r="N65" s="106" t="str">
        <f>IF(B65="","",IF('Arrear Sheet'!C65="TOTAL","",'Arrear Sheet'!O65))</f>
        <v/>
      </c>
      <c r="O65" s="106" t="str">
        <f>IF(B65="","",IF('Arrear Sheet'!C65="TOTAL","",'Arrear Sheet'!P65))</f>
        <v/>
      </c>
      <c r="P65" s="106" t="str">
        <f>IF(B65="","",IF('Arrear Sheet'!D65="TOTAL","",'Arrear Sheet'!Q65))</f>
        <v/>
      </c>
      <c r="Q65" s="106" t="str">
        <f>IF(B65="","",IF('Arrear Sheet'!C65="TOTAL","",SUM(M65:P65)))</f>
        <v/>
      </c>
      <c r="R65" s="106" t="str">
        <f>IF(B65="","",IF('Arrear Sheet'!C65="TOTAL","",'Arrear Sheet'!S65))</f>
        <v/>
      </c>
      <c r="S65" s="106" t="str">
        <f>IF(B65="","",IF('Arrear Sheet'!C65="TOTAL","",'Arrear Sheet'!T65))</f>
        <v/>
      </c>
      <c r="T65" s="106" t="str">
        <f>IF(B65="","",IF('Arrear Sheet'!C65="TOTAL","",'Arrear Sheet'!U65))</f>
        <v/>
      </c>
      <c r="U65" s="106" t="str">
        <f>IF(B65="","",IF('Arrear Sheet'!C65="TOTAL","",'Arrear Sheet'!V65))</f>
        <v/>
      </c>
      <c r="V65" s="106" t="str">
        <f>IF(B65="","",IF('Arrear Sheet'!C65="TOTAL","",'Arrear Sheet'!W65))</f>
        <v/>
      </c>
      <c r="W65" s="106" t="str">
        <f>IF(B65="","",IF('Arrear Sheet'!C65="TOTAL","",'Arrear Sheet'!X65))</f>
        <v/>
      </c>
      <c r="X65" s="106" t="str">
        <f>IF(B65="","",IF('Arrear Sheet'!C65="TOTAL","",'Arrear Sheet'!AB65))</f>
        <v/>
      </c>
      <c r="Y65" s="106" t="str">
        <f>IF(B65="","",IF('Arrear Sheet'!D65="TOTAL","",'Arrear Sheet'!AC65))</f>
        <v/>
      </c>
      <c r="Z65" s="106" t="str">
        <f>IF(B65="","",IF('Arrear Sheet'!E65="TOTAL","",'Arrear Sheet'!AD65))</f>
        <v/>
      </c>
      <c r="AA65" s="106" t="str">
        <f>IF(B65="","",IF('Arrear Sheet'!C65="TOTAL","",'Arrear Sheet'!Y65))</f>
        <v/>
      </c>
      <c r="AB65" s="106" t="str">
        <f>IF(B65="","",IF('Arrear Sheet'!C65="TOTAL","",'Arrear Sheet'!Z65))</f>
        <v/>
      </c>
      <c r="AC65" s="106" t="str">
        <f>IF(B65="","",IF('Arrear Sheet'!C65="TOTAL","",'Arrear Sheet'!AA65))</f>
        <v/>
      </c>
      <c r="AD65" s="106" t="str">
        <f>IF(B65="","",IF('Arrear Sheet'!C65="TOTAL","",'Arrear Sheet'!AE65))</f>
        <v/>
      </c>
      <c r="AE65" s="106" t="str">
        <f>IF(B65="","",IF('Arrear Sheet'!C65="TOTAL","",'Arrear Sheet'!AF65))</f>
        <v/>
      </c>
      <c r="AF65" s="106" t="str">
        <f>IF(B65="","",'Arrear Sheet'!AG65)</f>
        <v/>
      </c>
      <c r="AG65" s="24" t="str">
        <f>IFERROR(IF(B65="","",IF('Arrear Sheet'!C65="TOTAL","",SUM(Q65-AF65))),"")</f>
        <v/>
      </c>
      <c r="AH65" s="39"/>
      <c r="AI65" s="40"/>
      <c r="AK65" s="104"/>
      <c r="AL65" s="104"/>
      <c r="AM65" s="104"/>
      <c r="AN65" s="104"/>
      <c r="AO65" s="104"/>
      <c r="AP65" s="104"/>
    </row>
    <row r="66" spans="1:42" s="28" customFormat="1" ht="21" customHeight="1">
      <c r="A66" s="22" t="str">
        <f>IF('Arrear Sheet'!B66="","",'Arrear Sheet'!B66)</f>
        <v/>
      </c>
      <c r="B66" s="23" t="str">
        <f>IF('Arrear Sheet'!C66="","",IF('Arrear Sheet'!C66="TOTAL","",'Arrear Sheet'!C66))</f>
        <v/>
      </c>
      <c r="C66" s="106" t="str">
        <f>IF('Arrear Sheet'!D66="","",IF('Arrear Sheet'!C66="TOTAL","",IF('Arrear Sheet'!D66="अक्षरें राशि :-","",'Arrear Sheet'!D66)))</f>
        <v/>
      </c>
      <c r="D66" s="106" t="str">
        <f>IF('Arrear Sheet'!E66="","",IF('Arrear Sheet'!C66="TOTAL","",'Arrear Sheet'!E66))</f>
        <v/>
      </c>
      <c r="E66" s="106" t="str">
        <f>IF(B66="","",IF('Arrear Sheet'!D66="TOTAL","",'Arrear Sheet'!F66))</f>
        <v/>
      </c>
      <c r="F66" s="106" t="str">
        <f>IF(B66="","",IF('Arrear Sheet'!E66="TOTAL","",'Arrear Sheet'!G66))</f>
        <v/>
      </c>
      <c r="G66" s="106" t="str">
        <f>IF(B66="","",IF('Arrear Sheet'!C66="TOTAL","",SUM(C66:F66)))</f>
        <v/>
      </c>
      <c r="H66" s="106" t="str">
        <f>IF(B66="","",IF('Arrear Sheet'!C66="TOTAL","",'Arrear Sheet'!I66))</f>
        <v/>
      </c>
      <c r="I66" s="106" t="str">
        <f>IF(B66="","",IF('Arrear Sheet'!C66="TOTAL","",'Arrear Sheet'!J66))</f>
        <v/>
      </c>
      <c r="J66" s="106" t="str">
        <f>IF(B66="","",IF('Arrear Sheet'!C66="TOTAL","",'Arrear Sheet'!K66))</f>
        <v/>
      </c>
      <c r="K66" s="106" t="str">
        <f>IF(B66="","",IF('Arrear Sheet'!D66="TOTAL","",'Arrear Sheet'!L66))</f>
        <v/>
      </c>
      <c r="L66" s="106" t="str">
        <f>IF(B66="","",IF('Arrear Sheet'!C66="TOTAL","",SUM(H66:K66)))</f>
        <v/>
      </c>
      <c r="M66" s="106" t="str">
        <f>IF(B66="","",IF('Arrear Sheet'!C66="TOTAL","",'Arrear Sheet'!N66))</f>
        <v/>
      </c>
      <c r="N66" s="106" t="str">
        <f>IF(B66="","",IF('Arrear Sheet'!C66="TOTAL","",'Arrear Sheet'!O66))</f>
        <v/>
      </c>
      <c r="O66" s="106" t="str">
        <f>IF(B66="","",IF('Arrear Sheet'!C66="TOTAL","",'Arrear Sheet'!P66))</f>
        <v/>
      </c>
      <c r="P66" s="106" t="str">
        <f>IF(B66="","",IF('Arrear Sheet'!D66="TOTAL","",'Arrear Sheet'!Q66))</f>
        <v/>
      </c>
      <c r="Q66" s="106" t="str">
        <f>IF(B66="","",IF('Arrear Sheet'!C66="TOTAL","",SUM(M66:P66)))</f>
        <v/>
      </c>
      <c r="R66" s="106" t="str">
        <f>IF(B66="","",IF('Arrear Sheet'!C66="TOTAL","",'Arrear Sheet'!S66))</f>
        <v/>
      </c>
      <c r="S66" s="106" t="str">
        <f>IF(B66="","",IF('Arrear Sheet'!C66="TOTAL","",'Arrear Sheet'!T66))</f>
        <v/>
      </c>
      <c r="T66" s="106" t="str">
        <f>IF(B66="","",IF('Arrear Sheet'!C66="TOTAL","",'Arrear Sheet'!U66))</f>
        <v/>
      </c>
      <c r="U66" s="106" t="str">
        <f>IF(B66="","",IF('Arrear Sheet'!C66="TOTAL","",'Arrear Sheet'!V66))</f>
        <v/>
      </c>
      <c r="V66" s="106" t="str">
        <f>IF(B66="","",IF('Arrear Sheet'!C66="TOTAL","",'Arrear Sheet'!W66))</f>
        <v/>
      </c>
      <c r="W66" s="106" t="str">
        <f>IF(B66="","",IF('Arrear Sheet'!C66="TOTAL","",'Arrear Sheet'!X66))</f>
        <v/>
      </c>
      <c r="X66" s="106" t="str">
        <f>IF(B66="","",IF('Arrear Sheet'!C66="TOTAL","",'Arrear Sheet'!AB66))</f>
        <v/>
      </c>
      <c r="Y66" s="106" t="str">
        <f>IF(B66="","",IF('Arrear Sheet'!D66="TOTAL","",'Arrear Sheet'!AC66))</f>
        <v/>
      </c>
      <c r="Z66" s="106" t="str">
        <f>IF(B66="","",IF('Arrear Sheet'!E66="TOTAL","",'Arrear Sheet'!AD66))</f>
        <v/>
      </c>
      <c r="AA66" s="106" t="str">
        <f>IF(B66="","",IF('Arrear Sheet'!C66="TOTAL","",'Arrear Sheet'!Y66))</f>
        <v/>
      </c>
      <c r="AB66" s="106" t="str">
        <f>IF(B66="","",IF('Arrear Sheet'!C66="TOTAL","",'Arrear Sheet'!Z66))</f>
        <v/>
      </c>
      <c r="AC66" s="106" t="str">
        <f>IF(B66="","",IF('Arrear Sheet'!C66="TOTAL","",'Arrear Sheet'!AA66))</f>
        <v/>
      </c>
      <c r="AD66" s="106" t="str">
        <f>IF(B66="","",IF('Arrear Sheet'!C66="TOTAL","",'Arrear Sheet'!AE66))</f>
        <v/>
      </c>
      <c r="AE66" s="106" t="str">
        <f>IF(B66="","",IF('Arrear Sheet'!C66="TOTAL","",'Arrear Sheet'!AF66))</f>
        <v/>
      </c>
      <c r="AF66" s="106" t="str">
        <f>IF(B66="","",'Arrear Sheet'!AG66)</f>
        <v/>
      </c>
      <c r="AG66" s="24" t="str">
        <f>IFERROR(IF(B66="","",IF('Arrear Sheet'!C66="TOTAL","",SUM(Q66-AF66))),"")</f>
        <v/>
      </c>
      <c r="AH66" s="39"/>
      <c r="AI66" s="40"/>
      <c r="AK66" s="104"/>
      <c r="AL66" s="104"/>
      <c r="AM66" s="104"/>
      <c r="AN66" s="104"/>
      <c r="AO66" s="104"/>
      <c r="AP66" s="104"/>
    </row>
    <row r="67" spans="1:42" s="28" customFormat="1" ht="21" customHeight="1">
      <c r="A67" s="22" t="str">
        <f>IF('Arrear Sheet'!B67="","",'Arrear Sheet'!B67)</f>
        <v/>
      </c>
      <c r="B67" s="23" t="str">
        <f>IF('Arrear Sheet'!C67="","",IF('Arrear Sheet'!C67="TOTAL","",'Arrear Sheet'!C67))</f>
        <v/>
      </c>
      <c r="C67" s="106" t="str">
        <f>IF('Arrear Sheet'!D67="","",IF('Arrear Sheet'!C67="TOTAL","",IF('Arrear Sheet'!D67="अक्षरें राशि :-","",'Arrear Sheet'!D67)))</f>
        <v/>
      </c>
      <c r="D67" s="106" t="str">
        <f>IF('Arrear Sheet'!E67="","",IF('Arrear Sheet'!C67="TOTAL","",'Arrear Sheet'!E67))</f>
        <v/>
      </c>
      <c r="E67" s="106" t="str">
        <f>IF(B67="","",IF('Arrear Sheet'!D67="TOTAL","",'Arrear Sheet'!F67))</f>
        <v/>
      </c>
      <c r="F67" s="106" t="str">
        <f>IF(B67="","",IF('Arrear Sheet'!E67="TOTAL","",'Arrear Sheet'!G67))</f>
        <v/>
      </c>
      <c r="G67" s="106" t="str">
        <f>IF(B67="","",IF('Arrear Sheet'!C67="TOTAL","",SUM(C67:F67)))</f>
        <v/>
      </c>
      <c r="H67" s="106" t="str">
        <f>IF(B67="","",IF('Arrear Sheet'!C67="TOTAL","",'Arrear Sheet'!I67))</f>
        <v/>
      </c>
      <c r="I67" s="106" t="str">
        <f>IF(B67="","",IF('Arrear Sheet'!C67="TOTAL","",'Arrear Sheet'!J67))</f>
        <v/>
      </c>
      <c r="J67" s="106" t="str">
        <f>IF(B67="","",IF('Arrear Sheet'!C67="TOTAL","",'Arrear Sheet'!K67))</f>
        <v/>
      </c>
      <c r="K67" s="106" t="str">
        <f>IF(B67="","",IF('Arrear Sheet'!D67="TOTAL","",'Arrear Sheet'!L67))</f>
        <v/>
      </c>
      <c r="L67" s="106" t="str">
        <f>IF(B67="","",IF('Arrear Sheet'!C67="TOTAL","",SUM(H67:K67)))</f>
        <v/>
      </c>
      <c r="M67" s="106" t="str">
        <f>IF(B67="","",IF('Arrear Sheet'!C67="TOTAL","",'Arrear Sheet'!N67))</f>
        <v/>
      </c>
      <c r="N67" s="106" t="str">
        <f>IF(B67="","",IF('Arrear Sheet'!C67="TOTAL","",'Arrear Sheet'!O67))</f>
        <v/>
      </c>
      <c r="O67" s="106" t="str">
        <f>IF(B67="","",IF('Arrear Sheet'!C67="TOTAL","",'Arrear Sheet'!P67))</f>
        <v/>
      </c>
      <c r="P67" s="106" t="str">
        <f>IF(B67="","",IF('Arrear Sheet'!D67="TOTAL","",'Arrear Sheet'!Q67))</f>
        <v/>
      </c>
      <c r="Q67" s="106" t="str">
        <f>IF(B67="","",IF('Arrear Sheet'!C67="TOTAL","",SUM(M67:P67)))</f>
        <v/>
      </c>
      <c r="R67" s="106" t="str">
        <f>IF(B67="","",IF('Arrear Sheet'!C67="TOTAL","",'Arrear Sheet'!S67))</f>
        <v/>
      </c>
      <c r="S67" s="106" t="str">
        <f>IF(B67="","",IF('Arrear Sheet'!C67="TOTAL","",'Arrear Sheet'!T67))</f>
        <v/>
      </c>
      <c r="T67" s="106" t="str">
        <f>IF(B67="","",IF('Arrear Sheet'!C67="TOTAL","",'Arrear Sheet'!U67))</f>
        <v/>
      </c>
      <c r="U67" s="106" t="str">
        <f>IF(B67="","",IF('Arrear Sheet'!C67="TOTAL","",'Arrear Sheet'!V67))</f>
        <v/>
      </c>
      <c r="V67" s="106" t="str">
        <f>IF(B67="","",IF('Arrear Sheet'!C67="TOTAL","",'Arrear Sheet'!W67))</f>
        <v/>
      </c>
      <c r="W67" s="106" t="str">
        <f>IF(B67="","",IF('Arrear Sheet'!C67="TOTAL","",'Arrear Sheet'!X67))</f>
        <v/>
      </c>
      <c r="X67" s="106" t="str">
        <f>IF(B67="","",IF('Arrear Sheet'!C67="TOTAL","",'Arrear Sheet'!AB67))</f>
        <v/>
      </c>
      <c r="Y67" s="106" t="str">
        <f>IF(B67="","",IF('Arrear Sheet'!D67="TOTAL","",'Arrear Sheet'!AC67))</f>
        <v/>
      </c>
      <c r="Z67" s="106" t="str">
        <f>IF(B67="","",IF('Arrear Sheet'!E67="TOTAL","",'Arrear Sheet'!AD67))</f>
        <v/>
      </c>
      <c r="AA67" s="106" t="str">
        <f>IF(B67="","",IF('Arrear Sheet'!C67="TOTAL","",'Arrear Sheet'!Y67))</f>
        <v/>
      </c>
      <c r="AB67" s="106" t="str">
        <f>IF(B67="","",IF('Arrear Sheet'!C67="TOTAL","",'Arrear Sheet'!Z67))</f>
        <v/>
      </c>
      <c r="AC67" s="106" t="str">
        <f>IF(B67="","",IF('Arrear Sheet'!C67="TOTAL","",'Arrear Sheet'!AA67))</f>
        <v/>
      </c>
      <c r="AD67" s="106" t="str">
        <f>IF(B67="","",IF('Arrear Sheet'!C67="TOTAL","",'Arrear Sheet'!AE67))</f>
        <v/>
      </c>
      <c r="AE67" s="106" t="str">
        <f>IF(B67="","",IF('Arrear Sheet'!C67="TOTAL","",'Arrear Sheet'!AF67))</f>
        <v/>
      </c>
      <c r="AF67" s="106" t="str">
        <f>IF(B67="","",'Arrear Sheet'!AG67)</f>
        <v/>
      </c>
      <c r="AG67" s="24" t="str">
        <f>IFERROR(IF(B67="","",IF('Arrear Sheet'!C67="TOTAL","",SUM(Q67-AF67))),"")</f>
        <v/>
      </c>
      <c r="AH67" s="39"/>
      <c r="AI67" s="40"/>
      <c r="AK67" s="104"/>
      <c r="AL67" s="104"/>
      <c r="AM67" s="104"/>
      <c r="AN67" s="104"/>
      <c r="AO67" s="104"/>
      <c r="AP67" s="104"/>
    </row>
    <row r="68" spans="1:42" s="28" customFormat="1" ht="21" customHeight="1">
      <c r="A68" s="22" t="str">
        <f>IF('Arrear Sheet'!B68="","",'Arrear Sheet'!B68)</f>
        <v/>
      </c>
      <c r="B68" s="23" t="str">
        <f>IF('Arrear Sheet'!C68="","",IF('Arrear Sheet'!C68="TOTAL","",'Arrear Sheet'!C68))</f>
        <v/>
      </c>
      <c r="C68" s="106" t="str">
        <f>IF('Arrear Sheet'!D68="","",IF('Arrear Sheet'!C68="TOTAL","",IF('Arrear Sheet'!D68="अक्षरें राशि :-","",'Arrear Sheet'!D68)))</f>
        <v/>
      </c>
      <c r="D68" s="106" t="str">
        <f>IF('Arrear Sheet'!E68="","",IF('Arrear Sheet'!C68="TOTAL","",'Arrear Sheet'!E68))</f>
        <v/>
      </c>
      <c r="E68" s="106" t="str">
        <f>IF(B68="","",IF('Arrear Sheet'!D68="TOTAL","",'Arrear Sheet'!F68))</f>
        <v/>
      </c>
      <c r="F68" s="106" t="str">
        <f>IF(B68="","",IF('Arrear Sheet'!E68="TOTAL","",'Arrear Sheet'!G68))</f>
        <v/>
      </c>
      <c r="G68" s="106" t="str">
        <f>IF(B68="","",IF('Arrear Sheet'!C68="TOTAL","",SUM(C68:F68)))</f>
        <v/>
      </c>
      <c r="H68" s="106" t="str">
        <f>IF(B68="","",IF('Arrear Sheet'!C68="TOTAL","",'Arrear Sheet'!I68))</f>
        <v/>
      </c>
      <c r="I68" s="106" t="str">
        <f>IF(B68="","",IF('Arrear Sheet'!C68="TOTAL","",'Arrear Sheet'!J68))</f>
        <v/>
      </c>
      <c r="J68" s="106" t="str">
        <f>IF(B68="","",IF('Arrear Sheet'!C68="TOTAL","",'Arrear Sheet'!K68))</f>
        <v/>
      </c>
      <c r="K68" s="106" t="str">
        <f>IF(B68="","",IF('Arrear Sheet'!D68="TOTAL","",'Arrear Sheet'!L68))</f>
        <v/>
      </c>
      <c r="L68" s="106" t="str">
        <f>IF(B68="","",IF('Arrear Sheet'!C68="TOTAL","",SUM(H68:K68)))</f>
        <v/>
      </c>
      <c r="M68" s="106" t="str">
        <f>IF(B68="","",IF('Arrear Sheet'!C68="TOTAL","",'Arrear Sheet'!N68))</f>
        <v/>
      </c>
      <c r="N68" s="106" t="str">
        <f>IF(B68="","",IF('Arrear Sheet'!C68="TOTAL","",'Arrear Sheet'!O68))</f>
        <v/>
      </c>
      <c r="O68" s="106" t="str">
        <f>IF(B68="","",IF('Arrear Sheet'!C68="TOTAL","",'Arrear Sheet'!P68))</f>
        <v/>
      </c>
      <c r="P68" s="106" t="str">
        <f>IF(B68="","",IF('Arrear Sheet'!D68="TOTAL","",'Arrear Sheet'!Q68))</f>
        <v/>
      </c>
      <c r="Q68" s="106" t="str">
        <f>IF(B68="","",IF('Arrear Sheet'!C68="TOTAL","",SUM(M68:P68)))</f>
        <v/>
      </c>
      <c r="R68" s="106" t="str">
        <f>IF(B68="","",IF('Arrear Sheet'!C68="TOTAL","",'Arrear Sheet'!S68))</f>
        <v/>
      </c>
      <c r="S68" s="106" t="str">
        <f>IF(B68="","",IF('Arrear Sheet'!C68="TOTAL","",'Arrear Sheet'!T68))</f>
        <v/>
      </c>
      <c r="T68" s="106" t="str">
        <f>IF(B68="","",IF('Arrear Sheet'!C68="TOTAL","",'Arrear Sheet'!U68))</f>
        <v/>
      </c>
      <c r="U68" s="106" t="str">
        <f>IF(B68="","",IF('Arrear Sheet'!C68="TOTAL","",'Arrear Sheet'!V68))</f>
        <v/>
      </c>
      <c r="V68" s="106" t="str">
        <f>IF(B68="","",IF('Arrear Sheet'!C68="TOTAL","",'Arrear Sheet'!W68))</f>
        <v/>
      </c>
      <c r="W68" s="106" t="str">
        <f>IF(B68="","",IF('Arrear Sheet'!C68="TOTAL","",'Arrear Sheet'!X68))</f>
        <v/>
      </c>
      <c r="X68" s="106" t="str">
        <f>IF(B68="","",IF('Arrear Sheet'!C68="TOTAL","",'Arrear Sheet'!AB68))</f>
        <v/>
      </c>
      <c r="Y68" s="106" t="str">
        <f>IF(B68="","",IF('Arrear Sheet'!D68="TOTAL","",'Arrear Sheet'!AC68))</f>
        <v/>
      </c>
      <c r="Z68" s="106" t="str">
        <f>IF(B68="","",IF('Arrear Sheet'!E68="TOTAL","",'Arrear Sheet'!AD68))</f>
        <v/>
      </c>
      <c r="AA68" s="106" t="str">
        <f>IF(B68="","",IF('Arrear Sheet'!C68="TOTAL","",'Arrear Sheet'!Y68))</f>
        <v/>
      </c>
      <c r="AB68" s="106" t="str">
        <f>IF(B68="","",IF('Arrear Sheet'!C68="TOTAL","",'Arrear Sheet'!Z68))</f>
        <v/>
      </c>
      <c r="AC68" s="106" t="str">
        <f>IF(B68="","",IF('Arrear Sheet'!C68="TOTAL","",'Arrear Sheet'!AA68))</f>
        <v/>
      </c>
      <c r="AD68" s="106" t="str">
        <f>IF(B68="","",IF('Arrear Sheet'!C68="TOTAL","",'Arrear Sheet'!AE68))</f>
        <v/>
      </c>
      <c r="AE68" s="106" t="str">
        <f>IF(B68="","",IF('Arrear Sheet'!C68="TOTAL","",'Arrear Sheet'!AF68))</f>
        <v/>
      </c>
      <c r="AF68" s="106" t="str">
        <f>IF(B68="","",'Arrear Sheet'!AG68)</f>
        <v/>
      </c>
      <c r="AG68" s="24" t="str">
        <f>IFERROR(IF(B68="","",IF('Arrear Sheet'!C68="TOTAL","",SUM(Q68-AF68))),"")</f>
        <v/>
      </c>
      <c r="AH68" s="39"/>
      <c r="AI68" s="40"/>
      <c r="AK68" s="104"/>
      <c r="AL68" s="104"/>
      <c r="AM68" s="104"/>
      <c r="AN68" s="104"/>
      <c r="AO68" s="104"/>
      <c r="AP68" s="104"/>
    </row>
    <row r="69" spans="1:42" s="28" customFormat="1" ht="21" customHeight="1">
      <c r="A69" s="22" t="str">
        <f>IF('Arrear Sheet'!B69="","",'Arrear Sheet'!B69)</f>
        <v/>
      </c>
      <c r="B69" s="23" t="str">
        <f>IF('Arrear Sheet'!C69="","",IF('Arrear Sheet'!C69="TOTAL","",'Arrear Sheet'!C69))</f>
        <v/>
      </c>
      <c r="C69" s="106" t="str">
        <f>IF('Arrear Sheet'!D69="","",IF('Arrear Sheet'!C69="TOTAL","",IF('Arrear Sheet'!D69="अक्षरें राशि :-","",'Arrear Sheet'!D69)))</f>
        <v/>
      </c>
      <c r="D69" s="106" t="str">
        <f>IF('Arrear Sheet'!E69="","",IF('Arrear Sheet'!C69="TOTAL","",'Arrear Sheet'!E69))</f>
        <v/>
      </c>
      <c r="E69" s="106" t="str">
        <f>IF(B69="","",IF('Arrear Sheet'!D69="TOTAL","",'Arrear Sheet'!F69))</f>
        <v/>
      </c>
      <c r="F69" s="106" t="str">
        <f>IF(B69="","",IF('Arrear Sheet'!E69="TOTAL","",'Arrear Sheet'!G69))</f>
        <v/>
      </c>
      <c r="G69" s="106" t="str">
        <f>IF(B69="","",IF('Arrear Sheet'!C69="TOTAL","",SUM(C69:F69)))</f>
        <v/>
      </c>
      <c r="H69" s="106" t="str">
        <f>IF(B69="","",IF('Arrear Sheet'!C69="TOTAL","",'Arrear Sheet'!I69))</f>
        <v/>
      </c>
      <c r="I69" s="106" t="str">
        <f>IF(B69="","",IF('Arrear Sheet'!C69="TOTAL","",'Arrear Sheet'!J69))</f>
        <v/>
      </c>
      <c r="J69" s="106" t="str">
        <f>IF(B69="","",IF('Arrear Sheet'!C69="TOTAL","",'Arrear Sheet'!K69))</f>
        <v/>
      </c>
      <c r="K69" s="106" t="str">
        <f>IF(B69="","",IF('Arrear Sheet'!D69="TOTAL","",'Arrear Sheet'!L69))</f>
        <v/>
      </c>
      <c r="L69" s="106" t="str">
        <f>IF(B69="","",IF('Arrear Sheet'!C69="TOTAL","",SUM(H69:K69)))</f>
        <v/>
      </c>
      <c r="M69" s="106" t="str">
        <f>IF(B69="","",IF('Arrear Sheet'!C69="TOTAL","",'Arrear Sheet'!N69))</f>
        <v/>
      </c>
      <c r="N69" s="106" t="str">
        <f>IF(B69="","",IF('Arrear Sheet'!C69="TOTAL","",'Arrear Sheet'!O69))</f>
        <v/>
      </c>
      <c r="O69" s="106" t="str">
        <f>IF(B69="","",IF('Arrear Sheet'!C69="TOTAL","",'Arrear Sheet'!P69))</f>
        <v/>
      </c>
      <c r="P69" s="106" t="str">
        <f>IF(B69="","",IF('Arrear Sheet'!D69="TOTAL","",'Arrear Sheet'!Q69))</f>
        <v/>
      </c>
      <c r="Q69" s="106" t="str">
        <f>IF(B69="","",IF('Arrear Sheet'!C69="TOTAL","",SUM(M69:P69)))</f>
        <v/>
      </c>
      <c r="R69" s="106" t="str">
        <f>IF(B69="","",IF('Arrear Sheet'!C69="TOTAL","",'Arrear Sheet'!S69))</f>
        <v/>
      </c>
      <c r="S69" s="106" t="str">
        <f>IF(B69="","",IF('Arrear Sheet'!C69="TOTAL","",'Arrear Sheet'!T69))</f>
        <v/>
      </c>
      <c r="T69" s="106" t="str">
        <f>IF(B69="","",IF('Arrear Sheet'!C69="TOTAL","",'Arrear Sheet'!U69))</f>
        <v/>
      </c>
      <c r="U69" s="106" t="str">
        <f>IF(B69="","",IF('Arrear Sheet'!C69="TOTAL","",'Arrear Sheet'!V69))</f>
        <v/>
      </c>
      <c r="V69" s="106" t="str">
        <f>IF(B69="","",IF('Arrear Sheet'!C69="TOTAL","",'Arrear Sheet'!W69))</f>
        <v/>
      </c>
      <c r="W69" s="106" t="str">
        <f>IF(B69="","",IF('Arrear Sheet'!C69="TOTAL","",'Arrear Sheet'!X69))</f>
        <v/>
      </c>
      <c r="X69" s="106" t="str">
        <f>IF(B69="","",IF('Arrear Sheet'!C69="TOTAL","",'Arrear Sheet'!AB69))</f>
        <v/>
      </c>
      <c r="Y69" s="106" t="str">
        <f>IF(B69="","",IF('Arrear Sheet'!D69="TOTAL","",'Arrear Sheet'!AC69))</f>
        <v/>
      </c>
      <c r="Z69" s="106" t="str">
        <f>IF(B69="","",IF('Arrear Sheet'!E69="TOTAL","",'Arrear Sheet'!AD69))</f>
        <v/>
      </c>
      <c r="AA69" s="106" t="str">
        <f>IF(B69="","",IF('Arrear Sheet'!C69="TOTAL","",'Arrear Sheet'!Y69))</f>
        <v/>
      </c>
      <c r="AB69" s="106" t="str">
        <f>IF(B69="","",IF('Arrear Sheet'!C69="TOTAL","",'Arrear Sheet'!Z69))</f>
        <v/>
      </c>
      <c r="AC69" s="106" t="str">
        <f>IF(B69="","",IF('Arrear Sheet'!C69="TOTAL","",'Arrear Sheet'!AA69))</f>
        <v/>
      </c>
      <c r="AD69" s="106" t="str">
        <f>IF(B69="","",IF('Arrear Sheet'!C69="TOTAL","",'Arrear Sheet'!AE69))</f>
        <v/>
      </c>
      <c r="AE69" s="106" t="str">
        <f>IF(B69="","",IF('Arrear Sheet'!C69="TOTAL","",'Arrear Sheet'!AF69))</f>
        <v/>
      </c>
      <c r="AF69" s="106" t="str">
        <f>IF(B69="","",'Arrear Sheet'!AG69)</f>
        <v/>
      </c>
      <c r="AG69" s="24" t="str">
        <f>IFERROR(IF(B69="","",IF('Arrear Sheet'!C69="TOTAL","",SUM(Q69-AF69))),"")</f>
        <v/>
      </c>
      <c r="AH69" s="39"/>
      <c r="AI69" s="40"/>
      <c r="AK69" s="104"/>
      <c r="AL69" s="104"/>
      <c r="AM69" s="104"/>
      <c r="AN69" s="104"/>
      <c r="AO69" s="104"/>
      <c r="AP69" s="104"/>
    </row>
    <row r="70" spans="1:42" s="28" customFormat="1" ht="21" customHeight="1">
      <c r="A70" s="22" t="str">
        <f>IF('Arrear Sheet'!B70="","",'Arrear Sheet'!B70)</f>
        <v/>
      </c>
      <c r="B70" s="23" t="str">
        <f>IF('Arrear Sheet'!C70="","",IF('Arrear Sheet'!C70="TOTAL","",'Arrear Sheet'!C70))</f>
        <v/>
      </c>
      <c r="C70" s="106" t="str">
        <f>IF('Arrear Sheet'!D70="","",IF('Arrear Sheet'!C70="TOTAL","",IF('Arrear Sheet'!D70="अक्षरें राशि :-","",'Arrear Sheet'!D70)))</f>
        <v/>
      </c>
      <c r="D70" s="106" t="str">
        <f>IF('Arrear Sheet'!E70="","",IF('Arrear Sheet'!C70="TOTAL","",'Arrear Sheet'!E70))</f>
        <v/>
      </c>
      <c r="E70" s="106" t="str">
        <f>IF(B70="","",IF('Arrear Sheet'!D70="TOTAL","",'Arrear Sheet'!F70))</f>
        <v/>
      </c>
      <c r="F70" s="106" t="str">
        <f>IF(B70="","",IF('Arrear Sheet'!E70="TOTAL","",'Arrear Sheet'!G70))</f>
        <v/>
      </c>
      <c r="G70" s="106" t="str">
        <f>IF(B70="","",IF('Arrear Sheet'!C70="TOTAL","",SUM(C70:F70)))</f>
        <v/>
      </c>
      <c r="H70" s="106" t="str">
        <f>IF(B70="","",IF('Arrear Sheet'!C70="TOTAL","",'Arrear Sheet'!I70))</f>
        <v/>
      </c>
      <c r="I70" s="106" t="str">
        <f>IF(B70="","",IF('Arrear Sheet'!C70="TOTAL","",'Arrear Sheet'!J70))</f>
        <v/>
      </c>
      <c r="J70" s="106" t="str">
        <f>IF(B70="","",IF('Arrear Sheet'!C70="TOTAL","",'Arrear Sheet'!K70))</f>
        <v/>
      </c>
      <c r="K70" s="106" t="str">
        <f>IF(B70="","",IF('Arrear Sheet'!D70="TOTAL","",'Arrear Sheet'!L70))</f>
        <v/>
      </c>
      <c r="L70" s="106" t="str">
        <f>IF(B70="","",IF('Arrear Sheet'!C70="TOTAL","",SUM(H70:K70)))</f>
        <v/>
      </c>
      <c r="M70" s="106" t="str">
        <f>IF(B70="","",IF('Arrear Sheet'!C70="TOTAL","",'Arrear Sheet'!N70))</f>
        <v/>
      </c>
      <c r="N70" s="106" t="str">
        <f>IF(B70="","",IF('Arrear Sheet'!C70="TOTAL","",'Arrear Sheet'!O70))</f>
        <v/>
      </c>
      <c r="O70" s="106" t="str">
        <f>IF(B70="","",IF('Arrear Sheet'!C70="TOTAL","",'Arrear Sheet'!P70))</f>
        <v/>
      </c>
      <c r="P70" s="106" t="str">
        <f>IF(B70="","",IF('Arrear Sheet'!D70="TOTAL","",'Arrear Sheet'!Q70))</f>
        <v/>
      </c>
      <c r="Q70" s="106" t="str">
        <f>IF(B70="","",IF('Arrear Sheet'!C70="TOTAL","",SUM(M70:P70)))</f>
        <v/>
      </c>
      <c r="R70" s="106" t="str">
        <f>IF(B70="","",IF('Arrear Sheet'!C70="TOTAL","",'Arrear Sheet'!S70))</f>
        <v/>
      </c>
      <c r="S70" s="106" t="str">
        <f>IF(B70="","",IF('Arrear Sheet'!C70="TOTAL","",'Arrear Sheet'!T70))</f>
        <v/>
      </c>
      <c r="T70" s="106" t="str">
        <f>IF(B70="","",IF('Arrear Sheet'!C70="TOTAL","",'Arrear Sheet'!U70))</f>
        <v/>
      </c>
      <c r="U70" s="106" t="str">
        <f>IF(B70="","",IF('Arrear Sheet'!C70="TOTAL","",'Arrear Sheet'!V70))</f>
        <v/>
      </c>
      <c r="V70" s="106" t="str">
        <f>IF(B70="","",IF('Arrear Sheet'!C70="TOTAL","",'Arrear Sheet'!W70))</f>
        <v/>
      </c>
      <c r="W70" s="106" t="str">
        <f>IF(B70="","",IF('Arrear Sheet'!C70="TOTAL","",'Arrear Sheet'!X70))</f>
        <v/>
      </c>
      <c r="X70" s="106" t="str">
        <f>IF(B70="","",IF('Arrear Sheet'!C70="TOTAL","",'Arrear Sheet'!AB70))</f>
        <v/>
      </c>
      <c r="Y70" s="106" t="str">
        <f>IF(B70="","",IF('Arrear Sheet'!D70="TOTAL","",'Arrear Sheet'!AC70))</f>
        <v/>
      </c>
      <c r="Z70" s="106" t="str">
        <f>IF(B70="","",IF('Arrear Sheet'!E70="TOTAL","",'Arrear Sheet'!AD70))</f>
        <v/>
      </c>
      <c r="AA70" s="106" t="str">
        <f>IF(B70="","",IF('Arrear Sheet'!C70="TOTAL","",'Arrear Sheet'!Y70))</f>
        <v/>
      </c>
      <c r="AB70" s="106" t="str">
        <f>IF(B70="","",IF('Arrear Sheet'!C70="TOTAL","",'Arrear Sheet'!Z70))</f>
        <v/>
      </c>
      <c r="AC70" s="106" t="str">
        <f>IF(B70="","",IF('Arrear Sheet'!C70="TOTAL","",'Arrear Sheet'!AA70))</f>
        <v/>
      </c>
      <c r="AD70" s="106" t="str">
        <f>IF(B70="","",IF('Arrear Sheet'!C70="TOTAL","",'Arrear Sheet'!AE70))</f>
        <v/>
      </c>
      <c r="AE70" s="106" t="str">
        <f>IF(B70="","",IF('Arrear Sheet'!C70="TOTAL","",'Arrear Sheet'!AF70))</f>
        <v/>
      </c>
      <c r="AF70" s="106" t="str">
        <f>IF(B70="","",'Arrear Sheet'!AG70)</f>
        <v/>
      </c>
      <c r="AG70" s="24" t="str">
        <f>IFERROR(IF(B70="","",IF('Arrear Sheet'!C70="TOTAL","",SUM(Q70-AF70))),"")</f>
        <v/>
      </c>
      <c r="AH70" s="39"/>
      <c r="AI70" s="40"/>
      <c r="AK70" s="104"/>
      <c r="AL70" s="104"/>
      <c r="AM70" s="104"/>
      <c r="AN70" s="104"/>
      <c r="AO70" s="104"/>
      <c r="AP70" s="104"/>
    </row>
    <row r="71" spans="1:42" s="28" customFormat="1" ht="21" customHeight="1">
      <c r="A71" s="22" t="str">
        <f>IF('Arrear Sheet'!B71="","",'Arrear Sheet'!B71)</f>
        <v/>
      </c>
      <c r="B71" s="23" t="str">
        <f>IF('Arrear Sheet'!C71="","",IF('Arrear Sheet'!C71="TOTAL","",'Arrear Sheet'!C71))</f>
        <v/>
      </c>
      <c r="C71" s="106" t="str">
        <f>IF('Arrear Sheet'!D71="","",IF('Arrear Sheet'!C71="TOTAL","",IF('Arrear Sheet'!D71="अक्षरें राशि :-","",'Arrear Sheet'!D71)))</f>
        <v/>
      </c>
      <c r="D71" s="106" t="str">
        <f>IF('Arrear Sheet'!E71="","",IF('Arrear Sheet'!C71="TOTAL","",'Arrear Sheet'!E71))</f>
        <v/>
      </c>
      <c r="E71" s="106" t="str">
        <f>IF(B71="","",IF('Arrear Sheet'!D71="TOTAL","",'Arrear Sheet'!F71))</f>
        <v/>
      </c>
      <c r="F71" s="106" t="str">
        <f>IF(B71="","",IF('Arrear Sheet'!E71="TOTAL","",'Arrear Sheet'!G71))</f>
        <v/>
      </c>
      <c r="G71" s="106" t="str">
        <f>IF(B71="","",IF('Arrear Sheet'!C71="TOTAL","",SUM(C71:F71)))</f>
        <v/>
      </c>
      <c r="H71" s="106" t="str">
        <f>IF(B71="","",IF('Arrear Sheet'!C71="TOTAL","",'Arrear Sheet'!I71))</f>
        <v/>
      </c>
      <c r="I71" s="106" t="str">
        <f>IF(B71="","",IF('Arrear Sheet'!C71="TOTAL","",'Arrear Sheet'!J71))</f>
        <v/>
      </c>
      <c r="J71" s="106" t="str">
        <f>IF(B71="","",IF('Arrear Sheet'!C71="TOTAL","",'Arrear Sheet'!K71))</f>
        <v/>
      </c>
      <c r="K71" s="106" t="str">
        <f>IF(B71="","",IF('Arrear Sheet'!D71="TOTAL","",'Arrear Sheet'!L71))</f>
        <v/>
      </c>
      <c r="L71" s="106" t="str">
        <f>IF(B71="","",IF('Arrear Sheet'!C71="TOTAL","",SUM(H71:K71)))</f>
        <v/>
      </c>
      <c r="M71" s="106" t="str">
        <f>IF(B71="","",IF('Arrear Sheet'!C71="TOTAL","",'Arrear Sheet'!N71))</f>
        <v/>
      </c>
      <c r="N71" s="106" t="str">
        <f>IF(B71="","",IF('Arrear Sheet'!C71="TOTAL","",'Arrear Sheet'!O71))</f>
        <v/>
      </c>
      <c r="O71" s="106" t="str">
        <f>IF(B71="","",IF('Arrear Sheet'!C71="TOTAL","",'Arrear Sheet'!P71))</f>
        <v/>
      </c>
      <c r="P71" s="106" t="str">
        <f>IF(B71="","",IF('Arrear Sheet'!D71="TOTAL","",'Arrear Sheet'!Q71))</f>
        <v/>
      </c>
      <c r="Q71" s="106" t="str">
        <f>IF(B71="","",IF('Arrear Sheet'!C71="TOTAL","",SUM(M71:P71)))</f>
        <v/>
      </c>
      <c r="R71" s="106" t="str">
        <f>IF(B71="","",IF('Arrear Sheet'!C71="TOTAL","",'Arrear Sheet'!S71))</f>
        <v/>
      </c>
      <c r="S71" s="106" t="str">
        <f>IF(B71="","",IF('Arrear Sheet'!C71="TOTAL","",'Arrear Sheet'!T71))</f>
        <v/>
      </c>
      <c r="T71" s="106" t="str">
        <f>IF(B71="","",IF('Arrear Sheet'!C71="TOTAL","",'Arrear Sheet'!U71))</f>
        <v/>
      </c>
      <c r="U71" s="106" t="str">
        <f>IF(B71="","",IF('Arrear Sheet'!C71="TOTAL","",'Arrear Sheet'!V71))</f>
        <v/>
      </c>
      <c r="V71" s="106" t="str">
        <f>IF(B71="","",IF('Arrear Sheet'!C71="TOTAL","",'Arrear Sheet'!W71))</f>
        <v/>
      </c>
      <c r="W71" s="106" t="str">
        <f>IF(B71="","",IF('Arrear Sheet'!C71="TOTAL","",'Arrear Sheet'!X71))</f>
        <v/>
      </c>
      <c r="X71" s="106" t="str">
        <f>IF(B71="","",IF('Arrear Sheet'!C71="TOTAL","",'Arrear Sheet'!AB71))</f>
        <v/>
      </c>
      <c r="Y71" s="106" t="str">
        <f>IF(B71="","",IF('Arrear Sheet'!D71="TOTAL","",'Arrear Sheet'!AC71))</f>
        <v/>
      </c>
      <c r="Z71" s="106" t="str">
        <f>IF(B71="","",IF('Arrear Sheet'!E71="TOTAL","",'Arrear Sheet'!AD71))</f>
        <v/>
      </c>
      <c r="AA71" s="106" t="str">
        <f>IF(B71="","",IF('Arrear Sheet'!C71="TOTAL","",'Arrear Sheet'!Y71))</f>
        <v/>
      </c>
      <c r="AB71" s="106" t="str">
        <f>IF(B71="","",IF('Arrear Sheet'!C71="TOTAL","",'Arrear Sheet'!Z71))</f>
        <v/>
      </c>
      <c r="AC71" s="106" t="str">
        <f>IF(B71="","",IF('Arrear Sheet'!C71="TOTAL","",'Arrear Sheet'!AA71))</f>
        <v/>
      </c>
      <c r="AD71" s="106" t="str">
        <f>IF(B71="","",IF('Arrear Sheet'!C71="TOTAL","",'Arrear Sheet'!AE71))</f>
        <v/>
      </c>
      <c r="AE71" s="106" t="str">
        <f>IF(B71="","",IF('Arrear Sheet'!C71="TOTAL","",'Arrear Sheet'!AF71))</f>
        <v/>
      </c>
      <c r="AF71" s="106" t="str">
        <f>IF(B71="","",'Arrear Sheet'!AG71)</f>
        <v/>
      </c>
      <c r="AG71" s="24" t="str">
        <f>IFERROR(IF(B71="","",IF('Arrear Sheet'!C71="TOTAL","",SUM(Q71-AF71))),"")</f>
        <v/>
      </c>
      <c r="AH71" s="39"/>
      <c r="AI71" s="40"/>
      <c r="AK71" s="104"/>
      <c r="AL71" s="104"/>
      <c r="AM71" s="104"/>
      <c r="AN71" s="104"/>
      <c r="AO71" s="104"/>
      <c r="AP71" s="104"/>
    </row>
    <row r="72" spans="1:42" s="28" customFormat="1" ht="21" customHeight="1">
      <c r="A72" s="22" t="str">
        <f>IF('Arrear Sheet'!B72="","",'Arrear Sheet'!B72)</f>
        <v/>
      </c>
      <c r="B72" s="23" t="str">
        <f>IF('Arrear Sheet'!C72="","",IF('Arrear Sheet'!C72="TOTAL","",'Arrear Sheet'!C72))</f>
        <v/>
      </c>
      <c r="C72" s="106" t="str">
        <f>IF('Arrear Sheet'!D72="","",IF('Arrear Sheet'!C72="TOTAL","",IF('Arrear Sheet'!D72="अक्षरें राशि :-","",'Arrear Sheet'!D72)))</f>
        <v/>
      </c>
      <c r="D72" s="106" t="str">
        <f>IF('Arrear Sheet'!E72="","",IF('Arrear Sheet'!C72="TOTAL","",'Arrear Sheet'!E72))</f>
        <v/>
      </c>
      <c r="E72" s="106" t="str">
        <f>IF(B72="","",IF('Arrear Sheet'!D72="TOTAL","",'Arrear Sheet'!F72))</f>
        <v/>
      </c>
      <c r="F72" s="106" t="str">
        <f>IF(B72="","",IF('Arrear Sheet'!E72="TOTAL","",'Arrear Sheet'!G72))</f>
        <v/>
      </c>
      <c r="G72" s="106" t="str">
        <f>IF(B72="","",IF('Arrear Sheet'!C72="TOTAL","",SUM(C72:F72)))</f>
        <v/>
      </c>
      <c r="H72" s="106" t="str">
        <f>IF(B72="","",IF('Arrear Sheet'!C72="TOTAL","",'Arrear Sheet'!I72))</f>
        <v/>
      </c>
      <c r="I72" s="106" t="str">
        <f>IF(B72="","",IF('Arrear Sheet'!C72="TOTAL","",'Arrear Sheet'!J72))</f>
        <v/>
      </c>
      <c r="J72" s="106" t="str">
        <f>IF(B72="","",IF('Arrear Sheet'!C72="TOTAL","",'Arrear Sheet'!K72))</f>
        <v/>
      </c>
      <c r="K72" s="106" t="str">
        <f>IF(B72="","",IF('Arrear Sheet'!D72="TOTAL","",'Arrear Sheet'!L72))</f>
        <v/>
      </c>
      <c r="L72" s="106" t="str">
        <f>IF(B72="","",IF('Arrear Sheet'!C72="TOTAL","",SUM(H72:K72)))</f>
        <v/>
      </c>
      <c r="M72" s="106" t="str">
        <f>IF(B72="","",IF('Arrear Sheet'!C72="TOTAL","",'Arrear Sheet'!N72))</f>
        <v/>
      </c>
      <c r="N72" s="106" t="str">
        <f>IF(B72="","",IF('Arrear Sheet'!C72="TOTAL","",'Arrear Sheet'!O72))</f>
        <v/>
      </c>
      <c r="O72" s="106" t="str">
        <f>IF(B72="","",IF('Arrear Sheet'!C72="TOTAL","",'Arrear Sheet'!P72))</f>
        <v/>
      </c>
      <c r="P72" s="106" t="str">
        <f>IF(B72="","",IF('Arrear Sheet'!D72="TOTAL","",'Arrear Sheet'!Q72))</f>
        <v/>
      </c>
      <c r="Q72" s="106" t="str">
        <f>IF(B72="","",IF('Arrear Sheet'!C72="TOTAL","",SUM(M72:P72)))</f>
        <v/>
      </c>
      <c r="R72" s="106" t="str">
        <f>IF(B72="","",IF('Arrear Sheet'!C72="TOTAL","",'Arrear Sheet'!S72))</f>
        <v/>
      </c>
      <c r="S72" s="106" t="str">
        <f>IF(B72="","",IF('Arrear Sheet'!C72="TOTAL","",'Arrear Sheet'!T72))</f>
        <v/>
      </c>
      <c r="T72" s="106" t="str">
        <f>IF(B72="","",IF('Arrear Sheet'!C72="TOTAL","",'Arrear Sheet'!U72))</f>
        <v/>
      </c>
      <c r="U72" s="106" t="str">
        <f>IF(B72="","",IF('Arrear Sheet'!C72="TOTAL","",'Arrear Sheet'!V72))</f>
        <v/>
      </c>
      <c r="V72" s="106" t="str">
        <f>IF(B72="","",IF('Arrear Sheet'!C72="TOTAL","",'Arrear Sheet'!W72))</f>
        <v/>
      </c>
      <c r="W72" s="106" t="str">
        <f>IF(B72="","",IF('Arrear Sheet'!C72="TOTAL","",'Arrear Sheet'!X72))</f>
        <v/>
      </c>
      <c r="X72" s="106" t="str">
        <f>IF(B72="","",IF('Arrear Sheet'!C72="TOTAL","",'Arrear Sheet'!AB72))</f>
        <v/>
      </c>
      <c r="Y72" s="106" t="str">
        <f>IF(B72="","",IF('Arrear Sheet'!D72="TOTAL","",'Arrear Sheet'!AC72))</f>
        <v/>
      </c>
      <c r="Z72" s="106" t="str">
        <f>IF(B72="","",IF('Arrear Sheet'!E72="TOTAL","",'Arrear Sheet'!AD72))</f>
        <v/>
      </c>
      <c r="AA72" s="106" t="str">
        <f>IF(B72="","",IF('Arrear Sheet'!C72="TOTAL","",'Arrear Sheet'!Y72))</f>
        <v/>
      </c>
      <c r="AB72" s="106" t="str">
        <f>IF(B72="","",IF('Arrear Sheet'!C72="TOTAL","",'Arrear Sheet'!Z72))</f>
        <v/>
      </c>
      <c r="AC72" s="106" t="str">
        <f>IF(B72="","",IF('Arrear Sheet'!C72="TOTAL","",'Arrear Sheet'!AA72))</f>
        <v/>
      </c>
      <c r="AD72" s="106" t="str">
        <f>IF(B72="","",IF('Arrear Sheet'!C72="TOTAL","",'Arrear Sheet'!AE72))</f>
        <v/>
      </c>
      <c r="AE72" s="106" t="str">
        <f>IF(B72="","",IF('Arrear Sheet'!C72="TOTAL","",'Arrear Sheet'!AF72))</f>
        <v/>
      </c>
      <c r="AF72" s="106" t="str">
        <f>IF(B72="","",'Arrear Sheet'!AG72)</f>
        <v/>
      </c>
      <c r="AG72" s="24" t="str">
        <f>IFERROR(IF(B72="","",IF('Arrear Sheet'!C72="TOTAL","",SUM(Q72-AF72))),"")</f>
        <v/>
      </c>
      <c r="AH72" s="39"/>
      <c r="AI72" s="40"/>
      <c r="AK72" s="104"/>
      <c r="AL72" s="104"/>
      <c r="AM72" s="104"/>
      <c r="AN72" s="104"/>
      <c r="AO72" s="104"/>
      <c r="AP72" s="104"/>
    </row>
    <row r="73" spans="1:42" s="28" customFormat="1" ht="21" customHeight="1">
      <c r="A73" s="22" t="str">
        <f>IF('Arrear Sheet'!B73="","",'Arrear Sheet'!B73)</f>
        <v/>
      </c>
      <c r="B73" s="23" t="str">
        <f>IF('Arrear Sheet'!C73="","",IF('Arrear Sheet'!C73="TOTAL","",'Arrear Sheet'!C73))</f>
        <v/>
      </c>
      <c r="C73" s="106" t="str">
        <f>IF('Arrear Sheet'!D73="","",IF('Arrear Sheet'!C73="TOTAL","",IF('Arrear Sheet'!D73="अक्षरें राशि :-","",'Arrear Sheet'!D73)))</f>
        <v/>
      </c>
      <c r="D73" s="106" t="str">
        <f>IF('Arrear Sheet'!E73="","",IF('Arrear Sheet'!C73="TOTAL","",'Arrear Sheet'!E73))</f>
        <v/>
      </c>
      <c r="E73" s="106" t="str">
        <f>IF(B73="","",IF('Arrear Sheet'!D73="TOTAL","",'Arrear Sheet'!F73))</f>
        <v/>
      </c>
      <c r="F73" s="106" t="str">
        <f>IF(B73="","",IF('Arrear Sheet'!E73="TOTAL","",'Arrear Sheet'!G73))</f>
        <v/>
      </c>
      <c r="G73" s="106" t="str">
        <f>IF(B73="","",IF('Arrear Sheet'!C73="TOTAL","",SUM(C73:F73)))</f>
        <v/>
      </c>
      <c r="H73" s="106" t="str">
        <f>IF(B73="","",IF('Arrear Sheet'!C73="TOTAL","",'Arrear Sheet'!I73))</f>
        <v/>
      </c>
      <c r="I73" s="106" t="str">
        <f>IF(B73="","",IF('Arrear Sheet'!C73="TOTAL","",'Arrear Sheet'!J73))</f>
        <v/>
      </c>
      <c r="J73" s="106" t="str">
        <f>IF(B73="","",IF('Arrear Sheet'!C73="TOTAL","",'Arrear Sheet'!K73))</f>
        <v/>
      </c>
      <c r="K73" s="106" t="str">
        <f>IF(B73="","",IF('Arrear Sheet'!D73="TOTAL","",'Arrear Sheet'!L73))</f>
        <v/>
      </c>
      <c r="L73" s="106" t="str">
        <f>IF(B73="","",IF('Arrear Sheet'!C73="TOTAL","",SUM(H73:K73)))</f>
        <v/>
      </c>
      <c r="M73" s="106" t="str">
        <f>IF(B73="","",IF('Arrear Sheet'!C73="TOTAL","",'Arrear Sheet'!N73))</f>
        <v/>
      </c>
      <c r="N73" s="106" t="str">
        <f>IF(B73="","",IF('Arrear Sheet'!C73="TOTAL","",'Arrear Sheet'!O73))</f>
        <v/>
      </c>
      <c r="O73" s="106" t="str">
        <f>IF(B73="","",IF('Arrear Sheet'!C73="TOTAL","",'Arrear Sheet'!P73))</f>
        <v/>
      </c>
      <c r="P73" s="106" t="str">
        <f>IF(B73="","",IF('Arrear Sheet'!D73="TOTAL","",'Arrear Sheet'!Q73))</f>
        <v/>
      </c>
      <c r="Q73" s="106" t="str">
        <f>IF(B73="","",IF('Arrear Sheet'!C73="TOTAL","",SUM(M73:P73)))</f>
        <v/>
      </c>
      <c r="R73" s="106" t="str">
        <f>IF(B73="","",IF('Arrear Sheet'!C73="TOTAL","",'Arrear Sheet'!S73))</f>
        <v/>
      </c>
      <c r="S73" s="106" t="str">
        <f>IF(B73="","",IF('Arrear Sheet'!C73="TOTAL","",'Arrear Sheet'!T73))</f>
        <v/>
      </c>
      <c r="T73" s="106" t="str">
        <f>IF(B73="","",IF('Arrear Sheet'!C73="TOTAL","",'Arrear Sheet'!U73))</f>
        <v/>
      </c>
      <c r="U73" s="106" t="str">
        <f>IF(B73="","",IF('Arrear Sheet'!C73="TOTAL","",'Arrear Sheet'!V73))</f>
        <v/>
      </c>
      <c r="V73" s="106" t="str">
        <f>IF(B73="","",IF('Arrear Sheet'!C73="TOTAL","",'Arrear Sheet'!W73))</f>
        <v/>
      </c>
      <c r="W73" s="106" t="str">
        <f>IF(B73="","",IF('Arrear Sheet'!C73="TOTAL","",'Arrear Sheet'!X73))</f>
        <v/>
      </c>
      <c r="X73" s="106" t="str">
        <f>IF(B73="","",IF('Arrear Sheet'!C73="TOTAL","",'Arrear Sheet'!AB73))</f>
        <v/>
      </c>
      <c r="Y73" s="106" t="str">
        <f>IF(B73="","",IF('Arrear Sheet'!D73="TOTAL","",'Arrear Sheet'!AC73))</f>
        <v/>
      </c>
      <c r="Z73" s="106" t="str">
        <f>IF(B73="","",IF('Arrear Sheet'!E73="TOTAL","",'Arrear Sheet'!AD73))</f>
        <v/>
      </c>
      <c r="AA73" s="106" t="str">
        <f>IF(B73="","",IF('Arrear Sheet'!C73="TOTAL","",'Arrear Sheet'!Y73))</f>
        <v/>
      </c>
      <c r="AB73" s="106" t="str">
        <f>IF(B73="","",IF('Arrear Sheet'!C73="TOTAL","",'Arrear Sheet'!Z73))</f>
        <v/>
      </c>
      <c r="AC73" s="106" t="str">
        <f>IF(B73="","",IF('Arrear Sheet'!C73="TOTAL","",'Arrear Sheet'!AA73))</f>
        <v/>
      </c>
      <c r="AD73" s="106" t="str">
        <f>IF(B73="","",IF('Arrear Sheet'!C73="TOTAL","",'Arrear Sheet'!AE73))</f>
        <v/>
      </c>
      <c r="AE73" s="106" t="str">
        <f>IF(B73="","",IF('Arrear Sheet'!C73="TOTAL","",'Arrear Sheet'!AF73))</f>
        <v/>
      </c>
      <c r="AF73" s="106" t="str">
        <f>IF(B73="","",'Arrear Sheet'!AG73)</f>
        <v/>
      </c>
      <c r="AG73" s="24" t="str">
        <f>IFERROR(IF(B73="","",IF('Arrear Sheet'!C73="TOTAL","",SUM(Q73-AF73))),"")</f>
        <v/>
      </c>
      <c r="AH73" s="39"/>
      <c r="AI73" s="40"/>
      <c r="AK73" s="104"/>
      <c r="AL73" s="104"/>
      <c r="AM73" s="104"/>
      <c r="AN73" s="104"/>
      <c r="AO73" s="104"/>
      <c r="AP73" s="104"/>
    </row>
    <row r="74" spans="1:42" s="28" customFormat="1" ht="21" customHeight="1">
      <c r="A74" s="22" t="str">
        <f>IF('Arrear Sheet'!B74="","",'Arrear Sheet'!B74)</f>
        <v/>
      </c>
      <c r="B74" s="23" t="str">
        <f>IF('Arrear Sheet'!C74="","",IF('Arrear Sheet'!C74="TOTAL","",'Arrear Sheet'!C74))</f>
        <v/>
      </c>
      <c r="C74" s="106" t="str">
        <f>IF('Arrear Sheet'!D74="","",IF('Arrear Sheet'!C74="TOTAL","",IF('Arrear Sheet'!D74="अक्षरें राशि :-","",'Arrear Sheet'!D74)))</f>
        <v/>
      </c>
      <c r="D74" s="106" t="str">
        <f>IF('Arrear Sheet'!E74="","",IF('Arrear Sheet'!C74="TOTAL","",'Arrear Sheet'!E74))</f>
        <v/>
      </c>
      <c r="E74" s="106" t="str">
        <f>IF(B74="","",IF('Arrear Sheet'!D74="TOTAL","",'Arrear Sheet'!F74))</f>
        <v/>
      </c>
      <c r="F74" s="106" t="str">
        <f>IF(B74="","",IF('Arrear Sheet'!E74="TOTAL","",'Arrear Sheet'!G74))</f>
        <v/>
      </c>
      <c r="G74" s="106" t="str">
        <f>IF(B74="","",IF('Arrear Sheet'!C74="TOTAL","",SUM(C74:F74)))</f>
        <v/>
      </c>
      <c r="H74" s="106" t="str">
        <f>IF(B74="","",IF('Arrear Sheet'!C74="TOTAL","",'Arrear Sheet'!I74))</f>
        <v/>
      </c>
      <c r="I74" s="106" t="str">
        <f>IF(B74="","",IF('Arrear Sheet'!C74="TOTAL","",'Arrear Sheet'!J74))</f>
        <v/>
      </c>
      <c r="J74" s="106" t="str">
        <f>IF(B74="","",IF('Arrear Sheet'!C74="TOTAL","",'Arrear Sheet'!K74))</f>
        <v/>
      </c>
      <c r="K74" s="106" t="str">
        <f>IF(B74="","",IF('Arrear Sheet'!D74="TOTAL","",'Arrear Sheet'!L74))</f>
        <v/>
      </c>
      <c r="L74" s="106" t="str">
        <f>IF(B74="","",IF('Arrear Sheet'!C74="TOTAL","",SUM(H74:K74)))</f>
        <v/>
      </c>
      <c r="M74" s="106" t="str">
        <f>IF(B74="","",IF('Arrear Sheet'!C74="TOTAL","",'Arrear Sheet'!N74))</f>
        <v/>
      </c>
      <c r="N74" s="106" t="str">
        <f>IF(B74="","",IF('Arrear Sheet'!C74="TOTAL","",'Arrear Sheet'!O74))</f>
        <v/>
      </c>
      <c r="O74" s="106" t="str">
        <f>IF(B74="","",IF('Arrear Sheet'!C74="TOTAL","",'Arrear Sheet'!P74))</f>
        <v/>
      </c>
      <c r="P74" s="106" t="str">
        <f>IF(B74="","",IF('Arrear Sheet'!D74="TOTAL","",'Arrear Sheet'!Q74))</f>
        <v/>
      </c>
      <c r="Q74" s="106" t="str">
        <f>IF(B74="","",IF('Arrear Sheet'!C74="TOTAL","",SUM(M74:P74)))</f>
        <v/>
      </c>
      <c r="R74" s="106" t="str">
        <f>IF(B74="","",IF('Arrear Sheet'!C74="TOTAL","",'Arrear Sheet'!S74))</f>
        <v/>
      </c>
      <c r="S74" s="106" t="str">
        <f>IF(B74="","",IF('Arrear Sheet'!C74="TOTAL","",'Arrear Sheet'!T74))</f>
        <v/>
      </c>
      <c r="T74" s="106" t="str">
        <f>IF(B74="","",IF('Arrear Sheet'!C74="TOTAL","",'Arrear Sheet'!U74))</f>
        <v/>
      </c>
      <c r="U74" s="106" t="str">
        <f>IF(B74="","",IF('Arrear Sheet'!C74="TOTAL","",'Arrear Sheet'!V74))</f>
        <v/>
      </c>
      <c r="V74" s="106" t="str">
        <f>IF(B74="","",IF('Arrear Sheet'!C74="TOTAL","",'Arrear Sheet'!W74))</f>
        <v/>
      </c>
      <c r="W74" s="106" t="str">
        <f>IF(B74="","",IF('Arrear Sheet'!C74="TOTAL","",'Arrear Sheet'!X74))</f>
        <v/>
      </c>
      <c r="X74" s="106" t="str">
        <f>IF(B74="","",IF('Arrear Sheet'!C74="TOTAL","",'Arrear Sheet'!AB74))</f>
        <v/>
      </c>
      <c r="Y74" s="106" t="str">
        <f>IF(B74="","",IF('Arrear Sheet'!D74="TOTAL","",'Arrear Sheet'!AC74))</f>
        <v/>
      </c>
      <c r="Z74" s="106" t="str">
        <f>IF(B74="","",IF('Arrear Sheet'!E74="TOTAL","",'Arrear Sheet'!AD74))</f>
        <v/>
      </c>
      <c r="AA74" s="106" t="str">
        <f>IF(B74="","",IF('Arrear Sheet'!C74="TOTAL","",'Arrear Sheet'!Y74))</f>
        <v/>
      </c>
      <c r="AB74" s="106" t="str">
        <f>IF(B74="","",IF('Arrear Sheet'!C74="TOTAL","",'Arrear Sheet'!Z74))</f>
        <v/>
      </c>
      <c r="AC74" s="106" t="str">
        <f>IF(B74="","",IF('Arrear Sheet'!C74="TOTAL","",'Arrear Sheet'!AA74))</f>
        <v/>
      </c>
      <c r="AD74" s="106" t="str">
        <f>IF(B74="","",IF('Arrear Sheet'!C74="TOTAL","",'Arrear Sheet'!AE74))</f>
        <v/>
      </c>
      <c r="AE74" s="106" t="str">
        <f>IF(B74="","",IF('Arrear Sheet'!C74="TOTAL","",'Arrear Sheet'!AF74))</f>
        <v/>
      </c>
      <c r="AF74" s="106" t="str">
        <f>IF(B74="","",'Arrear Sheet'!AG74)</f>
        <v/>
      </c>
      <c r="AG74" s="24" t="str">
        <f>IFERROR(IF(B74="","",IF('Arrear Sheet'!C74="TOTAL","",SUM(Q74-AF74))),"")</f>
        <v/>
      </c>
      <c r="AH74" s="39"/>
      <c r="AI74" s="40"/>
      <c r="AK74" s="104"/>
      <c r="AL74" s="104"/>
      <c r="AM74" s="104"/>
      <c r="AN74" s="104"/>
      <c r="AO74" s="104"/>
      <c r="AP74" s="104"/>
    </row>
    <row r="75" spans="1:42" s="28" customFormat="1" ht="21" customHeight="1">
      <c r="A75" s="22" t="str">
        <f>IF('Arrear Sheet'!B75="","",'Arrear Sheet'!B75)</f>
        <v/>
      </c>
      <c r="B75" s="23" t="str">
        <f>IF('Arrear Sheet'!C75="","",IF('Arrear Sheet'!C75="TOTAL","",'Arrear Sheet'!C75))</f>
        <v/>
      </c>
      <c r="C75" s="106" t="str">
        <f>IF('Arrear Sheet'!D75="","",IF('Arrear Sheet'!C75="TOTAL","",IF('Arrear Sheet'!D75="अक्षरें राशि :-","",'Arrear Sheet'!D75)))</f>
        <v/>
      </c>
      <c r="D75" s="106" t="str">
        <f>IF('Arrear Sheet'!E75="","",IF('Arrear Sheet'!C75="TOTAL","",'Arrear Sheet'!E75))</f>
        <v/>
      </c>
      <c r="E75" s="106" t="str">
        <f>IF(B75="","",IF('Arrear Sheet'!D75="TOTAL","",'Arrear Sheet'!F75))</f>
        <v/>
      </c>
      <c r="F75" s="106" t="str">
        <f>IF(B75="","",IF('Arrear Sheet'!E75="TOTAL","",'Arrear Sheet'!G75))</f>
        <v/>
      </c>
      <c r="G75" s="106" t="str">
        <f>IF(B75="","",IF('Arrear Sheet'!C75="TOTAL","",SUM(C75:F75)))</f>
        <v/>
      </c>
      <c r="H75" s="106" t="str">
        <f>IF(B75="","",IF('Arrear Sheet'!C75="TOTAL","",'Arrear Sheet'!I75))</f>
        <v/>
      </c>
      <c r="I75" s="106" t="str">
        <f>IF(B75="","",IF('Arrear Sheet'!C75="TOTAL","",'Arrear Sheet'!J75))</f>
        <v/>
      </c>
      <c r="J75" s="106" t="str">
        <f>IF(B75="","",IF('Arrear Sheet'!C75="TOTAL","",'Arrear Sheet'!K75))</f>
        <v/>
      </c>
      <c r="K75" s="106" t="str">
        <f>IF(B75="","",IF('Arrear Sheet'!D75="TOTAL","",'Arrear Sheet'!L75))</f>
        <v/>
      </c>
      <c r="L75" s="106" t="str">
        <f>IF(B75="","",IF('Arrear Sheet'!C75="TOTAL","",SUM(H75:K75)))</f>
        <v/>
      </c>
      <c r="M75" s="106" t="str">
        <f>IF(B75="","",IF('Arrear Sheet'!C75="TOTAL","",'Arrear Sheet'!N75))</f>
        <v/>
      </c>
      <c r="N75" s="106" t="str">
        <f>IF(B75="","",IF('Arrear Sheet'!C75="TOTAL","",'Arrear Sheet'!O75))</f>
        <v/>
      </c>
      <c r="O75" s="106" t="str">
        <f>IF(B75="","",IF('Arrear Sheet'!C75="TOTAL","",'Arrear Sheet'!P75))</f>
        <v/>
      </c>
      <c r="P75" s="106" t="str">
        <f>IF(B75="","",IF('Arrear Sheet'!D75="TOTAL","",'Arrear Sheet'!Q75))</f>
        <v/>
      </c>
      <c r="Q75" s="106" t="str">
        <f>IF(B75="","",IF('Arrear Sheet'!C75="TOTAL","",SUM(M75:P75)))</f>
        <v/>
      </c>
      <c r="R75" s="106" t="str">
        <f>IF(B75="","",IF('Arrear Sheet'!C75="TOTAL","",'Arrear Sheet'!S75))</f>
        <v/>
      </c>
      <c r="S75" s="106" t="str">
        <f>IF(B75="","",IF('Arrear Sheet'!C75="TOTAL","",'Arrear Sheet'!T75))</f>
        <v/>
      </c>
      <c r="T75" s="106" t="str">
        <f>IF(B75="","",IF('Arrear Sheet'!C75="TOTAL","",'Arrear Sheet'!U75))</f>
        <v/>
      </c>
      <c r="U75" s="106" t="str">
        <f>IF(B75="","",IF('Arrear Sheet'!C75="TOTAL","",'Arrear Sheet'!V75))</f>
        <v/>
      </c>
      <c r="V75" s="106" t="str">
        <f>IF(B75="","",IF('Arrear Sheet'!C75="TOTAL","",'Arrear Sheet'!W75))</f>
        <v/>
      </c>
      <c r="W75" s="106" t="str">
        <f>IF(B75="","",IF('Arrear Sheet'!C75="TOTAL","",'Arrear Sheet'!X75))</f>
        <v/>
      </c>
      <c r="X75" s="106" t="str">
        <f>IF(B75="","",IF('Arrear Sheet'!C75="TOTAL","",'Arrear Sheet'!AB75))</f>
        <v/>
      </c>
      <c r="Y75" s="106" t="str">
        <f>IF(B75="","",IF('Arrear Sheet'!D75="TOTAL","",'Arrear Sheet'!AC75))</f>
        <v/>
      </c>
      <c r="Z75" s="106" t="str">
        <f>IF(B75="","",IF('Arrear Sheet'!E75="TOTAL","",'Arrear Sheet'!AD75))</f>
        <v/>
      </c>
      <c r="AA75" s="106" t="str">
        <f>IF(B75="","",IF('Arrear Sheet'!C75="TOTAL","",'Arrear Sheet'!Y75))</f>
        <v/>
      </c>
      <c r="AB75" s="106" t="str">
        <f>IF(B75="","",IF('Arrear Sheet'!C75="TOTAL","",'Arrear Sheet'!Z75))</f>
        <v/>
      </c>
      <c r="AC75" s="106" t="str">
        <f>IF(B75="","",IF('Arrear Sheet'!C75="TOTAL","",'Arrear Sheet'!AA75))</f>
        <v/>
      </c>
      <c r="AD75" s="106" t="str">
        <f>IF(B75="","",IF('Arrear Sheet'!C75="TOTAL","",'Arrear Sheet'!AE75))</f>
        <v/>
      </c>
      <c r="AE75" s="106" t="str">
        <f>IF(B75="","",IF('Arrear Sheet'!C75="TOTAL","",'Arrear Sheet'!AF75))</f>
        <v/>
      </c>
      <c r="AF75" s="106" t="str">
        <f>IF(B75="","",'Arrear Sheet'!AG75)</f>
        <v/>
      </c>
      <c r="AG75" s="24" t="str">
        <f>IFERROR(IF(B75="","",IF('Arrear Sheet'!C75="TOTAL","",SUM(Q75-AF75))),"")</f>
        <v/>
      </c>
      <c r="AH75" s="39"/>
      <c r="AI75" s="40"/>
      <c r="AK75" s="104"/>
      <c r="AL75" s="104"/>
      <c r="AM75" s="104"/>
      <c r="AN75" s="104"/>
      <c r="AO75" s="104"/>
      <c r="AP75" s="104"/>
    </row>
    <row r="76" spans="1:42" s="28" customFormat="1" ht="21" customHeight="1">
      <c r="A76" s="22" t="str">
        <f>IF('Arrear Sheet'!B76="","",'Arrear Sheet'!B76)</f>
        <v/>
      </c>
      <c r="B76" s="23" t="str">
        <f>IF('Arrear Sheet'!C76="","",IF('Arrear Sheet'!C76="TOTAL","",'Arrear Sheet'!C76))</f>
        <v/>
      </c>
      <c r="C76" s="106" t="str">
        <f>IF('Arrear Sheet'!D76="","",IF('Arrear Sheet'!C76="TOTAL","",IF('Arrear Sheet'!D76="अक्षरें राशि :-","",'Arrear Sheet'!D76)))</f>
        <v/>
      </c>
      <c r="D76" s="106" t="str">
        <f>IF('Arrear Sheet'!E76="","",IF('Arrear Sheet'!C76="TOTAL","",'Arrear Sheet'!E76))</f>
        <v/>
      </c>
      <c r="E76" s="106" t="str">
        <f>IF(B76="","",IF('Arrear Sheet'!D76="TOTAL","",'Arrear Sheet'!F76))</f>
        <v/>
      </c>
      <c r="F76" s="106" t="str">
        <f>IF(B76="","",IF('Arrear Sheet'!E76="TOTAL","",'Arrear Sheet'!G76))</f>
        <v/>
      </c>
      <c r="G76" s="106" t="str">
        <f>IF(B76="","",IF('Arrear Sheet'!C76="TOTAL","",SUM(C76:F76)))</f>
        <v/>
      </c>
      <c r="H76" s="106" t="str">
        <f>IF(B76="","",IF('Arrear Sheet'!C76="TOTAL","",'Arrear Sheet'!I76))</f>
        <v/>
      </c>
      <c r="I76" s="106" t="str">
        <f>IF(B76="","",IF('Arrear Sheet'!C76="TOTAL","",'Arrear Sheet'!J76))</f>
        <v/>
      </c>
      <c r="J76" s="106" t="str">
        <f>IF(B76="","",IF('Arrear Sheet'!C76="TOTAL","",'Arrear Sheet'!K76))</f>
        <v/>
      </c>
      <c r="K76" s="106" t="str">
        <f>IF(B76="","",IF('Arrear Sheet'!D76="TOTAL","",'Arrear Sheet'!L76))</f>
        <v/>
      </c>
      <c r="L76" s="106" t="str">
        <f>IF(B76="","",IF('Arrear Sheet'!C76="TOTAL","",SUM(H76:K76)))</f>
        <v/>
      </c>
      <c r="M76" s="106" t="str">
        <f>IF(B76="","",IF('Arrear Sheet'!C76="TOTAL","",'Arrear Sheet'!N76))</f>
        <v/>
      </c>
      <c r="N76" s="106" t="str">
        <f>IF(B76="","",IF('Arrear Sheet'!C76="TOTAL","",'Arrear Sheet'!O76))</f>
        <v/>
      </c>
      <c r="O76" s="106" t="str">
        <f>IF(B76="","",IF('Arrear Sheet'!C76="TOTAL","",'Arrear Sheet'!P76))</f>
        <v/>
      </c>
      <c r="P76" s="106" t="str">
        <f>IF(B76="","",IF('Arrear Sheet'!D76="TOTAL","",'Arrear Sheet'!Q76))</f>
        <v/>
      </c>
      <c r="Q76" s="106" t="str">
        <f>IF(B76="","",IF('Arrear Sheet'!C76="TOTAL","",SUM(M76:P76)))</f>
        <v/>
      </c>
      <c r="R76" s="106" t="str">
        <f>IF(B76="","",IF('Arrear Sheet'!C76="TOTAL","",'Arrear Sheet'!S76))</f>
        <v/>
      </c>
      <c r="S76" s="106" t="str">
        <f>IF(B76="","",IF('Arrear Sheet'!C76="TOTAL","",'Arrear Sheet'!T76))</f>
        <v/>
      </c>
      <c r="T76" s="106" t="str">
        <f>IF(B76="","",IF('Arrear Sheet'!C76="TOTAL","",'Arrear Sheet'!U76))</f>
        <v/>
      </c>
      <c r="U76" s="106" t="str">
        <f>IF(B76="","",IF('Arrear Sheet'!C76="TOTAL","",'Arrear Sheet'!V76))</f>
        <v/>
      </c>
      <c r="V76" s="106" t="str">
        <f>IF(B76="","",IF('Arrear Sheet'!C76="TOTAL","",'Arrear Sheet'!W76))</f>
        <v/>
      </c>
      <c r="W76" s="106" t="str">
        <f>IF(B76="","",IF('Arrear Sheet'!C76="TOTAL","",'Arrear Sheet'!X76))</f>
        <v/>
      </c>
      <c r="X76" s="106" t="str">
        <f>IF(B76="","",IF('Arrear Sheet'!C76="TOTAL","",'Arrear Sheet'!AB76))</f>
        <v/>
      </c>
      <c r="Y76" s="106" t="str">
        <f>IF(B76="","",IF('Arrear Sheet'!D76="TOTAL","",'Arrear Sheet'!AC76))</f>
        <v/>
      </c>
      <c r="Z76" s="106" t="str">
        <f>IF(B76="","",IF('Arrear Sheet'!E76="TOTAL","",'Arrear Sheet'!AD76))</f>
        <v/>
      </c>
      <c r="AA76" s="106" t="str">
        <f>IF(B76="","",IF('Arrear Sheet'!C76="TOTAL","",'Arrear Sheet'!Y76))</f>
        <v/>
      </c>
      <c r="AB76" s="106" t="str">
        <f>IF(B76="","",IF('Arrear Sheet'!C76="TOTAL","",'Arrear Sheet'!Z76))</f>
        <v/>
      </c>
      <c r="AC76" s="106" t="str">
        <f>IF(B76="","",IF('Arrear Sheet'!C76="TOTAL","",'Arrear Sheet'!AA76))</f>
        <v/>
      </c>
      <c r="AD76" s="106" t="str">
        <f>IF(B76="","",IF('Arrear Sheet'!C76="TOTAL","",'Arrear Sheet'!AE76))</f>
        <v/>
      </c>
      <c r="AE76" s="106" t="str">
        <f>IF(B76="","",IF('Arrear Sheet'!C76="TOTAL","",'Arrear Sheet'!AF76))</f>
        <v/>
      </c>
      <c r="AF76" s="106" t="str">
        <f>IF(B76="","",'Arrear Sheet'!AG76)</f>
        <v/>
      </c>
      <c r="AG76" s="24" t="str">
        <f>IFERROR(IF(B76="","",IF('Arrear Sheet'!C76="TOTAL","",SUM(Q76-AF76))),"")</f>
        <v/>
      </c>
      <c r="AH76" s="39"/>
      <c r="AI76" s="40"/>
      <c r="AK76" s="104"/>
      <c r="AL76" s="104"/>
      <c r="AM76" s="104"/>
      <c r="AN76" s="104"/>
      <c r="AO76" s="104"/>
      <c r="AP76" s="104"/>
    </row>
    <row r="77" spans="1:42" s="28" customFormat="1" ht="21" customHeight="1">
      <c r="A77" s="22" t="str">
        <f>IF('Arrear Sheet'!B77="","",'Arrear Sheet'!B77)</f>
        <v/>
      </c>
      <c r="B77" s="23" t="str">
        <f>IF('Arrear Sheet'!C77="","",IF('Arrear Sheet'!C77="TOTAL","",'Arrear Sheet'!C77))</f>
        <v/>
      </c>
      <c r="C77" s="106" t="str">
        <f>IF('Arrear Sheet'!D77="","",IF('Arrear Sheet'!C77="TOTAL","",IF('Arrear Sheet'!D77="अक्षरें राशि :-","",'Arrear Sheet'!D77)))</f>
        <v/>
      </c>
      <c r="D77" s="106" t="str">
        <f>IF('Arrear Sheet'!E77="","",IF('Arrear Sheet'!C77="TOTAL","",'Arrear Sheet'!E77))</f>
        <v/>
      </c>
      <c r="E77" s="106" t="str">
        <f>IF(B77="","",IF('Arrear Sheet'!D77="TOTAL","",'Arrear Sheet'!F77))</f>
        <v/>
      </c>
      <c r="F77" s="106" t="str">
        <f>IF(B77="","",IF('Arrear Sheet'!E77="TOTAL","",'Arrear Sheet'!G77))</f>
        <v/>
      </c>
      <c r="G77" s="106" t="str">
        <f>IF(B77="","",IF('Arrear Sheet'!C77="TOTAL","",SUM(C77:F77)))</f>
        <v/>
      </c>
      <c r="H77" s="106" t="str">
        <f>IF(B77="","",IF('Arrear Sheet'!C77="TOTAL","",'Arrear Sheet'!I77))</f>
        <v/>
      </c>
      <c r="I77" s="106" t="str">
        <f>IF(B77="","",IF('Arrear Sheet'!C77="TOTAL","",'Arrear Sheet'!J77))</f>
        <v/>
      </c>
      <c r="J77" s="106" t="str">
        <f>IF(B77="","",IF('Arrear Sheet'!C77="TOTAL","",'Arrear Sheet'!K77))</f>
        <v/>
      </c>
      <c r="K77" s="106" t="str">
        <f>IF(B77="","",IF('Arrear Sheet'!D77="TOTAL","",'Arrear Sheet'!L77))</f>
        <v/>
      </c>
      <c r="L77" s="106" t="str">
        <f>IF(B77="","",IF('Arrear Sheet'!C77="TOTAL","",SUM(H77:K77)))</f>
        <v/>
      </c>
      <c r="M77" s="106" t="str">
        <f>IF(B77="","",IF('Arrear Sheet'!C77="TOTAL","",'Arrear Sheet'!N77))</f>
        <v/>
      </c>
      <c r="N77" s="106" t="str">
        <f>IF(B77="","",IF('Arrear Sheet'!C77="TOTAL","",'Arrear Sheet'!O77))</f>
        <v/>
      </c>
      <c r="O77" s="106" t="str">
        <f>IF(B77="","",IF('Arrear Sheet'!C77="TOTAL","",'Arrear Sheet'!P77))</f>
        <v/>
      </c>
      <c r="P77" s="106" t="str">
        <f>IF(B77="","",IF('Arrear Sheet'!D77="TOTAL","",'Arrear Sheet'!Q77))</f>
        <v/>
      </c>
      <c r="Q77" s="106" t="str">
        <f>IF(B77="","",IF('Arrear Sheet'!C77="TOTAL","",SUM(M77:P77)))</f>
        <v/>
      </c>
      <c r="R77" s="106" t="str">
        <f>IF(B77="","",IF('Arrear Sheet'!C77="TOTAL","",'Arrear Sheet'!S77))</f>
        <v/>
      </c>
      <c r="S77" s="106" t="str">
        <f>IF(B77="","",IF('Arrear Sheet'!C77="TOTAL","",'Arrear Sheet'!T77))</f>
        <v/>
      </c>
      <c r="T77" s="106" t="str">
        <f>IF(B77="","",IF('Arrear Sheet'!C77="TOTAL","",'Arrear Sheet'!U77))</f>
        <v/>
      </c>
      <c r="U77" s="106" t="str">
        <f>IF(B77="","",IF('Arrear Sheet'!C77="TOTAL","",'Arrear Sheet'!V77))</f>
        <v/>
      </c>
      <c r="V77" s="106" t="str">
        <f>IF(B77="","",IF('Arrear Sheet'!C77="TOTAL","",'Arrear Sheet'!W77))</f>
        <v/>
      </c>
      <c r="W77" s="106" t="str">
        <f>IF(B77="","",IF('Arrear Sheet'!C77="TOTAL","",'Arrear Sheet'!X77))</f>
        <v/>
      </c>
      <c r="X77" s="106" t="str">
        <f>IF(B77="","",IF('Arrear Sheet'!C77="TOTAL","",'Arrear Sheet'!AB77))</f>
        <v/>
      </c>
      <c r="Y77" s="106" t="str">
        <f>IF(B77="","",IF('Arrear Sheet'!D77="TOTAL","",'Arrear Sheet'!AC77))</f>
        <v/>
      </c>
      <c r="Z77" s="106" t="str">
        <f>IF(B77="","",IF('Arrear Sheet'!E77="TOTAL","",'Arrear Sheet'!AD77))</f>
        <v/>
      </c>
      <c r="AA77" s="106" t="str">
        <f>IF(B77="","",IF('Arrear Sheet'!C77="TOTAL","",'Arrear Sheet'!Y77))</f>
        <v/>
      </c>
      <c r="AB77" s="106" t="str">
        <f>IF(B77="","",IF('Arrear Sheet'!C77="TOTAL","",'Arrear Sheet'!Z77))</f>
        <v/>
      </c>
      <c r="AC77" s="106" t="str">
        <f>IF(B77="","",IF('Arrear Sheet'!C77="TOTAL","",'Arrear Sheet'!AA77))</f>
        <v/>
      </c>
      <c r="AD77" s="106" t="str">
        <f>IF(B77="","",IF('Arrear Sheet'!C77="TOTAL","",'Arrear Sheet'!AE77))</f>
        <v/>
      </c>
      <c r="AE77" s="106" t="str">
        <f>IF(B77="","",IF('Arrear Sheet'!C77="TOTAL","",'Arrear Sheet'!AF77))</f>
        <v/>
      </c>
      <c r="AF77" s="106" t="str">
        <f>IF(B77="","",'Arrear Sheet'!AG77)</f>
        <v/>
      </c>
      <c r="AG77" s="24" t="str">
        <f>IFERROR(IF(B77="","",IF('Arrear Sheet'!C77="TOTAL","",SUM(Q77-AF77))),"")</f>
        <v/>
      </c>
      <c r="AH77" s="39"/>
      <c r="AI77" s="40"/>
      <c r="AK77" s="104"/>
      <c r="AL77" s="104"/>
      <c r="AM77" s="104"/>
      <c r="AN77" s="104"/>
      <c r="AO77" s="104"/>
      <c r="AP77" s="104"/>
    </row>
    <row r="78" spans="1:42" s="28" customFormat="1" ht="21" customHeight="1">
      <c r="A78" s="22" t="str">
        <f>IF('Arrear Sheet'!B78="","",'Arrear Sheet'!B78)</f>
        <v/>
      </c>
      <c r="B78" s="23" t="str">
        <f>IF('Arrear Sheet'!C78="","",IF('Arrear Sheet'!C78="TOTAL","",'Arrear Sheet'!C78))</f>
        <v/>
      </c>
      <c r="C78" s="106" t="str">
        <f>IF('Arrear Sheet'!D78="","",IF('Arrear Sheet'!C78="TOTAL","",IF('Arrear Sheet'!D78="अक्षरें राशि :-","",'Arrear Sheet'!D78)))</f>
        <v/>
      </c>
      <c r="D78" s="106" t="str">
        <f>IF('Arrear Sheet'!E78="","",IF('Arrear Sheet'!C78="TOTAL","",'Arrear Sheet'!E78))</f>
        <v/>
      </c>
      <c r="E78" s="106" t="str">
        <f>IF(B78="","",IF('Arrear Sheet'!D78="TOTAL","",'Arrear Sheet'!F78))</f>
        <v/>
      </c>
      <c r="F78" s="106" t="str">
        <f>IF(B78="","",IF('Arrear Sheet'!E78="TOTAL","",'Arrear Sheet'!G78))</f>
        <v/>
      </c>
      <c r="G78" s="106" t="str">
        <f>IF(B78="","",IF('Arrear Sheet'!C78="TOTAL","",SUM(C78:F78)))</f>
        <v/>
      </c>
      <c r="H78" s="106" t="str">
        <f>IF(B78="","",IF('Arrear Sheet'!C78="TOTAL","",'Arrear Sheet'!I78))</f>
        <v/>
      </c>
      <c r="I78" s="106" t="str">
        <f>IF(B78="","",IF('Arrear Sheet'!C78="TOTAL","",'Arrear Sheet'!J78))</f>
        <v/>
      </c>
      <c r="J78" s="106" t="str">
        <f>IF(B78="","",IF('Arrear Sheet'!C78="TOTAL","",'Arrear Sheet'!K78))</f>
        <v/>
      </c>
      <c r="K78" s="106" t="str">
        <f>IF(B78="","",IF('Arrear Sheet'!D78="TOTAL","",'Arrear Sheet'!L78))</f>
        <v/>
      </c>
      <c r="L78" s="106" t="str">
        <f>IF(B78="","",IF('Arrear Sheet'!C78="TOTAL","",SUM(H78:K78)))</f>
        <v/>
      </c>
      <c r="M78" s="106" t="str">
        <f>IF(B78="","",IF('Arrear Sheet'!C78="TOTAL","",'Arrear Sheet'!N78))</f>
        <v/>
      </c>
      <c r="N78" s="106" t="str">
        <f>IF(B78="","",IF('Arrear Sheet'!C78="TOTAL","",'Arrear Sheet'!O78))</f>
        <v/>
      </c>
      <c r="O78" s="106" t="str">
        <f>IF(B78="","",IF('Arrear Sheet'!C78="TOTAL","",'Arrear Sheet'!P78))</f>
        <v/>
      </c>
      <c r="P78" s="106" t="str">
        <f>IF(B78="","",IF('Arrear Sheet'!D78="TOTAL","",'Arrear Sheet'!Q78))</f>
        <v/>
      </c>
      <c r="Q78" s="106" t="str">
        <f>IF(B78="","",IF('Arrear Sheet'!C78="TOTAL","",SUM(M78:P78)))</f>
        <v/>
      </c>
      <c r="R78" s="106" t="str">
        <f>IF(B78="","",IF('Arrear Sheet'!C78="TOTAL","",'Arrear Sheet'!S78))</f>
        <v/>
      </c>
      <c r="S78" s="106" t="str">
        <f>IF(B78="","",IF('Arrear Sheet'!C78="TOTAL","",'Arrear Sheet'!T78))</f>
        <v/>
      </c>
      <c r="T78" s="106" t="str">
        <f>IF(B78="","",IF('Arrear Sheet'!C78="TOTAL","",'Arrear Sheet'!U78))</f>
        <v/>
      </c>
      <c r="U78" s="106" t="str">
        <f>IF(B78="","",IF('Arrear Sheet'!C78="TOTAL","",'Arrear Sheet'!V78))</f>
        <v/>
      </c>
      <c r="V78" s="106" t="str">
        <f>IF(B78="","",IF('Arrear Sheet'!C78="TOTAL","",'Arrear Sheet'!W78))</f>
        <v/>
      </c>
      <c r="W78" s="106" t="str">
        <f>IF(B78="","",IF('Arrear Sheet'!C78="TOTAL","",'Arrear Sheet'!X78))</f>
        <v/>
      </c>
      <c r="X78" s="106" t="str">
        <f>IF(B78="","",IF('Arrear Sheet'!C78="TOTAL","",'Arrear Sheet'!AB78))</f>
        <v/>
      </c>
      <c r="Y78" s="106" t="str">
        <f>IF(B78="","",IF('Arrear Sheet'!D78="TOTAL","",'Arrear Sheet'!AC78))</f>
        <v/>
      </c>
      <c r="Z78" s="106" t="str">
        <f>IF(B78="","",IF('Arrear Sheet'!E78="TOTAL","",'Arrear Sheet'!AD78))</f>
        <v/>
      </c>
      <c r="AA78" s="106" t="str">
        <f>IF(B78="","",IF('Arrear Sheet'!C78="TOTAL","",'Arrear Sheet'!Y78))</f>
        <v/>
      </c>
      <c r="AB78" s="106" t="str">
        <f>IF(B78="","",IF('Arrear Sheet'!C78="TOTAL","",'Arrear Sheet'!Z78))</f>
        <v/>
      </c>
      <c r="AC78" s="106" t="str">
        <f>IF(B78="","",IF('Arrear Sheet'!C78="TOTAL","",'Arrear Sheet'!AA78))</f>
        <v/>
      </c>
      <c r="AD78" s="106" t="str">
        <f>IF(B78="","",IF('Arrear Sheet'!C78="TOTAL","",'Arrear Sheet'!AE78))</f>
        <v/>
      </c>
      <c r="AE78" s="106" t="str">
        <f>IF(B78="","",IF('Arrear Sheet'!C78="TOTAL","",'Arrear Sheet'!AF78))</f>
        <v/>
      </c>
      <c r="AF78" s="106" t="str">
        <f>IF(B78="","",'Arrear Sheet'!AG78)</f>
        <v/>
      </c>
      <c r="AG78" s="24" t="str">
        <f>IFERROR(IF(B78="","",IF('Arrear Sheet'!C78="TOTAL","",SUM(Q78-AF78))),"")</f>
        <v/>
      </c>
      <c r="AH78" s="39"/>
      <c r="AI78" s="40"/>
      <c r="AK78" s="104"/>
      <c r="AL78" s="104"/>
      <c r="AM78" s="104"/>
      <c r="AN78" s="104"/>
      <c r="AO78" s="104"/>
      <c r="AP78" s="104"/>
    </row>
    <row r="79" spans="1:42" s="28" customFormat="1" ht="21" customHeight="1">
      <c r="A79" s="22" t="str">
        <f>IF('Arrear Sheet'!B79="","",'Arrear Sheet'!B79)</f>
        <v/>
      </c>
      <c r="B79" s="23" t="str">
        <f>IF('Arrear Sheet'!C79="","",IF('Arrear Sheet'!C79="TOTAL","",'Arrear Sheet'!C79))</f>
        <v/>
      </c>
      <c r="C79" s="106" t="str">
        <f>IF('Arrear Sheet'!D79="","",IF('Arrear Sheet'!C79="TOTAL","",IF('Arrear Sheet'!D79="अक्षरें राशि :-","",'Arrear Sheet'!D79)))</f>
        <v/>
      </c>
      <c r="D79" s="106" t="str">
        <f>IF('Arrear Sheet'!E79="","",IF('Arrear Sheet'!C79="TOTAL","",'Arrear Sheet'!E79))</f>
        <v/>
      </c>
      <c r="E79" s="106" t="str">
        <f>IF(B79="","",IF('Arrear Sheet'!D79="TOTAL","",'Arrear Sheet'!F79))</f>
        <v/>
      </c>
      <c r="F79" s="106" t="str">
        <f>IF(B79="","",IF('Arrear Sheet'!E79="TOTAL","",'Arrear Sheet'!G79))</f>
        <v/>
      </c>
      <c r="G79" s="106" t="str">
        <f>IF(B79="","",IF('Arrear Sheet'!C79="TOTAL","",SUM(C79:F79)))</f>
        <v/>
      </c>
      <c r="H79" s="106" t="str">
        <f>IF(B79="","",IF('Arrear Sheet'!C79="TOTAL","",'Arrear Sheet'!I79))</f>
        <v/>
      </c>
      <c r="I79" s="106" t="str">
        <f>IF(B79="","",IF('Arrear Sheet'!C79="TOTAL","",'Arrear Sheet'!J79))</f>
        <v/>
      </c>
      <c r="J79" s="106" t="str">
        <f>IF(B79="","",IF('Arrear Sheet'!C79="TOTAL","",'Arrear Sheet'!K79))</f>
        <v/>
      </c>
      <c r="K79" s="106" t="str">
        <f>IF(B79="","",IF('Arrear Sheet'!D79="TOTAL","",'Arrear Sheet'!L79))</f>
        <v/>
      </c>
      <c r="L79" s="106" t="str">
        <f>IF(B79="","",IF('Arrear Sheet'!C79="TOTAL","",SUM(H79:K79)))</f>
        <v/>
      </c>
      <c r="M79" s="106" t="str">
        <f>IF(B79="","",IF('Arrear Sheet'!C79="TOTAL","",'Arrear Sheet'!N79))</f>
        <v/>
      </c>
      <c r="N79" s="106" t="str">
        <f>IF(B79="","",IF('Arrear Sheet'!C79="TOTAL","",'Arrear Sheet'!O79))</f>
        <v/>
      </c>
      <c r="O79" s="106" t="str">
        <f>IF(B79="","",IF('Arrear Sheet'!C79="TOTAL","",'Arrear Sheet'!P79))</f>
        <v/>
      </c>
      <c r="P79" s="106" t="str">
        <f>IF(B79="","",IF('Arrear Sheet'!D79="TOTAL","",'Arrear Sheet'!Q79))</f>
        <v/>
      </c>
      <c r="Q79" s="106" t="str">
        <f>IF(B79="","",IF('Arrear Sheet'!C79="TOTAL","",SUM(M79:P79)))</f>
        <v/>
      </c>
      <c r="R79" s="106" t="str">
        <f>IF(B79="","",IF('Arrear Sheet'!C79="TOTAL","",'Arrear Sheet'!S79))</f>
        <v/>
      </c>
      <c r="S79" s="106" t="str">
        <f>IF(B79="","",IF('Arrear Sheet'!C79="TOTAL","",'Arrear Sheet'!T79))</f>
        <v/>
      </c>
      <c r="T79" s="106" t="str">
        <f>IF(B79="","",IF('Arrear Sheet'!C79="TOTAL","",'Arrear Sheet'!U79))</f>
        <v/>
      </c>
      <c r="U79" s="106" t="str">
        <f>IF(B79="","",IF('Arrear Sheet'!C79="TOTAL","",'Arrear Sheet'!V79))</f>
        <v/>
      </c>
      <c r="V79" s="106" t="str">
        <f>IF(B79="","",IF('Arrear Sheet'!C79="TOTAL","",'Arrear Sheet'!W79))</f>
        <v/>
      </c>
      <c r="W79" s="106" t="str">
        <f>IF(B79="","",IF('Arrear Sheet'!C79="TOTAL","",'Arrear Sheet'!X79))</f>
        <v/>
      </c>
      <c r="X79" s="106" t="str">
        <f>IF(B79="","",IF('Arrear Sheet'!C79="TOTAL","",'Arrear Sheet'!AB79))</f>
        <v/>
      </c>
      <c r="Y79" s="106" t="str">
        <f>IF(B79="","",IF('Arrear Sheet'!D79="TOTAL","",'Arrear Sheet'!AC79))</f>
        <v/>
      </c>
      <c r="Z79" s="106" t="str">
        <f>IF(B79="","",IF('Arrear Sheet'!E79="TOTAL","",'Arrear Sheet'!AD79))</f>
        <v/>
      </c>
      <c r="AA79" s="106" t="str">
        <f>IF(B79="","",IF('Arrear Sheet'!C79="TOTAL","",'Arrear Sheet'!Y79))</f>
        <v/>
      </c>
      <c r="AB79" s="106" t="str">
        <f>IF(B79="","",IF('Arrear Sheet'!C79="TOTAL","",'Arrear Sheet'!Z79))</f>
        <v/>
      </c>
      <c r="AC79" s="106" t="str">
        <f>IF(B79="","",IF('Arrear Sheet'!C79="TOTAL","",'Arrear Sheet'!AA79))</f>
        <v/>
      </c>
      <c r="AD79" s="106" t="str">
        <f>IF(B79="","",IF('Arrear Sheet'!C79="TOTAL","",'Arrear Sheet'!AE79))</f>
        <v/>
      </c>
      <c r="AE79" s="106" t="str">
        <f>IF(B79="","",IF('Arrear Sheet'!C79="TOTAL","",'Arrear Sheet'!AF79))</f>
        <v/>
      </c>
      <c r="AF79" s="106" t="str">
        <f>IF(B79="","",'Arrear Sheet'!AG79)</f>
        <v/>
      </c>
      <c r="AG79" s="24" t="str">
        <f>IFERROR(IF(B79="","",IF('Arrear Sheet'!C79="TOTAL","",SUM(Q79-AF79))),"")</f>
        <v/>
      </c>
      <c r="AH79" s="39"/>
      <c r="AI79" s="40"/>
      <c r="AK79" s="151"/>
      <c r="AL79" s="151"/>
      <c r="AM79" s="151"/>
      <c r="AN79" s="151"/>
      <c r="AO79" s="151"/>
      <c r="AP79" s="151"/>
    </row>
    <row r="80" spans="1:42" s="28" customFormat="1" ht="21" customHeight="1">
      <c r="A80" s="22" t="str">
        <f>IF('Arrear Sheet'!B80="","",'Arrear Sheet'!B80)</f>
        <v/>
      </c>
      <c r="B80" s="23" t="str">
        <f>IF('Arrear Sheet'!C80="","",IF('Arrear Sheet'!C80="TOTAL","",'Arrear Sheet'!C80))</f>
        <v/>
      </c>
      <c r="C80" s="106" t="str">
        <f>IF('Arrear Sheet'!D80="","",IF('Arrear Sheet'!C80="TOTAL","",IF('Arrear Sheet'!D80="अक्षरें राशि :-","",'Arrear Sheet'!D80)))</f>
        <v/>
      </c>
      <c r="D80" s="106" t="str">
        <f>IF('Arrear Sheet'!E80="","",IF('Arrear Sheet'!C80="TOTAL","",'Arrear Sheet'!E80))</f>
        <v/>
      </c>
      <c r="E80" s="106" t="str">
        <f>IF(B80="","",IF('Arrear Sheet'!D80="TOTAL","",'Arrear Sheet'!F80))</f>
        <v/>
      </c>
      <c r="F80" s="106" t="str">
        <f>IF(B80="","",IF('Arrear Sheet'!E80="TOTAL","",'Arrear Sheet'!G80))</f>
        <v/>
      </c>
      <c r="G80" s="106" t="str">
        <f>IF(B80="","",IF('Arrear Sheet'!C80="TOTAL","",SUM(C80:F80)))</f>
        <v/>
      </c>
      <c r="H80" s="106" t="str">
        <f>IF(B80="","",IF('Arrear Sheet'!C80="TOTAL","",'Arrear Sheet'!I80))</f>
        <v/>
      </c>
      <c r="I80" s="106" t="str">
        <f>IF(B80="","",IF('Arrear Sheet'!C80="TOTAL","",'Arrear Sheet'!J80))</f>
        <v/>
      </c>
      <c r="J80" s="106" t="str">
        <f>IF(B80="","",IF('Arrear Sheet'!C80="TOTAL","",'Arrear Sheet'!K80))</f>
        <v/>
      </c>
      <c r="K80" s="106" t="str">
        <f>IF(B80="","",IF('Arrear Sheet'!D80="TOTAL","",'Arrear Sheet'!L80))</f>
        <v/>
      </c>
      <c r="L80" s="106" t="str">
        <f>IF(B80="","",IF('Arrear Sheet'!C80="TOTAL","",SUM(H80:K80)))</f>
        <v/>
      </c>
      <c r="M80" s="106" t="str">
        <f>IF(B80="","",IF('Arrear Sheet'!C80="TOTAL","",'Arrear Sheet'!N80))</f>
        <v/>
      </c>
      <c r="N80" s="106" t="str">
        <f>IF(B80="","",IF('Arrear Sheet'!C80="TOTAL","",'Arrear Sheet'!O80))</f>
        <v/>
      </c>
      <c r="O80" s="106" t="str">
        <f>IF(B80="","",IF('Arrear Sheet'!C80="TOTAL","",'Arrear Sheet'!P80))</f>
        <v/>
      </c>
      <c r="P80" s="106" t="str">
        <f>IF(B80="","",IF('Arrear Sheet'!D80="TOTAL","",'Arrear Sheet'!Q80))</f>
        <v/>
      </c>
      <c r="Q80" s="106" t="str">
        <f>IF(B80="","",IF('Arrear Sheet'!C80="TOTAL","",SUM(M80:P80)))</f>
        <v/>
      </c>
      <c r="R80" s="106" t="str">
        <f>IF(B80="","",IF('Arrear Sheet'!C80="TOTAL","",'Arrear Sheet'!S80))</f>
        <v/>
      </c>
      <c r="S80" s="106" t="str">
        <f>IF(B80="","",IF('Arrear Sheet'!C80="TOTAL","",'Arrear Sheet'!T80))</f>
        <v/>
      </c>
      <c r="T80" s="106" t="str">
        <f>IF(B80="","",IF('Arrear Sheet'!C80="TOTAL","",'Arrear Sheet'!U80))</f>
        <v/>
      </c>
      <c r="U80" s="106" t="str">
        <f>IF(B80="","",IF('Arrear Sheet'!C80="TOTAL","",'Arrear Sheet'!V80))</f>
        <v/>
      </c>
      <c r="V80" s="106" t="str">
        <f>IF(B80="","",IF('Arrear Sheet'!C80="TOTAL","",'Arrear Sheet'!W80))</f>
        <v/>
      </c>
      <c r="W80" s="106" t="str">
        <f>IF(B80="","",IF('Arrear Sheet'!C80="TOTAL","",'Arrear Sheet'!X80))</f>
        <v/>
      </c>
      <c r="X80" s="106" t="str">
        <f>IF(B80="","",IF('Arrear Sheet'!C80="TOTAL","",'Arrear Sheet'!AB80))</f>
        <v/>
      </c>
      <c r="Y80" s="106" t="str">
        <f>IF(B80="","",IF('Arrear Sheet'!D80="TOTAL","",'Arrear Sheet'!AC80))</f>
        <v/>
      </c>
      <c r="Z80" s="106" t="str">
        <f>IF(B80="","",IF('Arrear Sheet'!E80="TOTAL","",'Arrear Sheet'!AD80))</f>
        <v/>
      </c>
      <c r="AA80" s="106" t="str">
        <f>IF(B80="","",IF('Arrear Sheet'!C80="TOTAL","",'Arrear Sheet'!Y80))</f>
        <v/>
      </c>
      <c r="AB80" s="106" t="str">
        <f>IF(B80="","",IF('Arrear Sheet'!C80="TOTAL","",'Arrear Sheet'!Z80))</f>
        <v/>
      </c>
      <c r="AC80" s="106" t="str">
        <f>IF(B80="","",IF('Arrear Sheet'!C80="TOTAL","",'Arrear Sheet'!AA80))</f>
        <v/>
      </c>
      <c r="AD80" s="106" t="str">
        <f>IF(B80="","",IF('Arrear Sheet'!C80="TOTAL","",'Arrear Sheet'!AE80))</f>
        <v/>
      </c>
      <c r="AE80" s="106" t="str">
        <f>IF(B80="","",IF('Arrear Sheet'!C80="TOTAL","",'Arrear Sheet'!AF80))</f>
        <v/>
      </c>
      <c r="AF80" s="106" t="str">
        <f>IF(B80="","",'Arrear Sheet'!AG80)</f>
        <v/>
      </c>
      <c r="AG80" s="24" t="str">
        <f>IFERROR(IF(B80="","",IF('Arrear Sheet'!C80="TOTAL","",SUM(Q80-AF80))),"")</f>
        <v/>
      </c>
      <c r="AH80" s="39"/>
      <c r="AI80" s="40"/>
      <c r="AK80" s="151"/>
      <c r="AL80" s="151"/>
      <c r="AM80" s="151"/>
      <c r="AN80" s="151"/>
      <c r="AO80" s="151"/>
      <c r="AP80" s="151"/>
    </row>
    <row r="81" spans="1:42" s="28" customFormat="1" ht="21" customHeight="1">
      <c r="A81" s="22" t="str">
        <f>IF('Arrear Sheet'!B81="","",'Arrear Sheet'!B81)</f>
        <v/>
      </c>
      <c r="B81" s="23" t="str">
        <f>IF('Arrear Sheet'!C81="","",IF('Arrear Sheet'!C81="TOTAL","",'Arrear Sheet'!C81))</f>
        <v/>
      </c>
      <c r="C81" s="106" t="str">
        <f>IF('Arrear Sheet'!D81="","",IF('Arrear Sheet'!C81="TOTAL","",IF('Arrear Sheet'!D81="अक्षरें राशि :-","",'Arrear Sheet'!D81)))</f>
        <v/>
      </c>
      <c r="D81" s="106" t="str">
        <f>IF('Arrear Sheet'!E81="","",IF('Arrear Sheet'!C81="TOTAL","",'Arrear Sheet'!E81))</f>
        <v/>
      </c>
      <c r="E81" s="106" t="str">
        <f>IF(B81="","",IF('Arrear Sheet'!D81="TOTAL","",'Arrear Sheet'!F81))</f>
        <v/>
      </c>
      <c r="F81" s="106" t="str">
        <f>IF(B81="","",IF('Arrear Sheet'!E81="TOTAL","",'Arrear Sheet'!G81))</f>
        <v/>
      </c>
      <c r="G81" s="106" t="str">
        <f>IF(B81="","",IF('Arrear Sheet'!C81="TOTAL","",SUM(C81:F81)))</f>
        <v/>
      </c>
      <c r="H81" s="106" t="str">
        <f>IF(B81="","",IF('Arrear Sheet'!C81="TOTAL","",'Arrear Sheet'!I81))</f>
        <v/>
      </c>
      <c r="I81" s="106" t="str">
        <f>IF(B81="","",IF('Arrear Sheet'!C81="TOTAL","",'Arrear Sheet'!J81))</f>
        <v/>
      </c>
      <c r="J81" s="106" t="str">
        <f>IF(B81="","",IF('Arrear Sheet'!C81="TOTAL","",'Arrear Sheet'!K81))</f>
        <v/>
      </c>
      <c r="K81" s="106" t="str">
        <f>IF(B81="","",IF('Arrear Sheet'!D81="TOTAL","",'Arrear Sheet'!L81))</f>
        <v/>
      </c>
      <c r="L81" s="106" t="str">
        <f>IF(B81="","",IF('Arrear Sheet'!C81="TOTAL","",SUM(H81:K81)))</f>
        <v/>
      </c>
      <c r="M81" s="106" t="str">
        <f>IF(B81="","",IF('Arrear Sheet'!C81="TOTAL","",'Arrear Sheet'!N81))</f>
        <v/>
      </c>
      <c r="N81" s="106" t="str">
        <f>IF(B81="","",IF('Arrear Sheet'!C81="TOTAL","",'Arrear Sheet'!O81))</f>
        <v/>
      </c>
      <c r="O81" s="106" t="str">
        <f>IF(B81="","",IF('Arrear Sheet'!C81="TOTAL","",'Arrear Sheet'!P81))</f>
        <v/>
      </c>
      <c r="P81" s="106" t="str">
        <f>IF(B81="","",IF('Arrear Sheet'!D81="TOTAL","",'Arrear Sheet'!Q81))</f>
        <v/>
      </c>
      <c r="Q81" s="106" t="str">
        <f>IF(B81="","",IF('Arrear Sheet'!C81="TOTAL","",SUM(M81:P81)))</f>
        <v/>
      </c>
      <c r="R81" s="106" t="str">
        <f>IF(B81="","",IF('Arrear Sheet'!C81="TOTAL","",'Arrear Sheet'!S81))</f>
        <v/>
      </c>
      <c r="S81" s="106" t="str">
        <f>IF(B81="","",IF('Arrear Sheet'!C81="TOTAL","",'Arrear Sheet'!T81))</f>
        <v/>
      </c>
      <c r="T81" s="106" t="str">
        <f>IF(B81="","",IF('Arrear Sheet'!C81="TOTAL","",'Arrear Sheet'!U81))</f>
        <v/>
      </c>
      <c r="U81" s="106" t="str">
        <f>IF(B81="","",IF('Arrear Sheet'!C81="TOTAL","",'Arrear Sheet'!V81))</f>
        <v/>
      </c>
      <c r="V81" s="106" t="str">
        <f>IF(B81="","",IF('Arrear Sheet'!C81="TOTAL","",'Arrear Sheet'!W81))</f>
        <v/>
      </c>
      <c r="W81" s="106" t="str">
        <f>IF(B81="","",IF('Arrear Sheet'!C81="TOTAL","",'Arrear Sheet'!X81))</f>
        <v/>
      </c>
      <c r="X81" s="106" t="str">
        <f>IF(B81="","",IF('Arrear Sheet'!C81="TOTAL","",'Arrear Sheet'!AB81))</f>
        <v/>
      </c>
      <c r="Y81" s="106" t="str">
        <f>IF(B81="","",IF('Arrear Sheet'!D81="TOTAL","",'Arrear Sheet'!AC81))</f>
        <v/>
      </c>
      <c r="Z81" s="106" t="str">
        <f>IF(B81="","",IF('Arrear Sheet'!E81="TOTAL","",'Arrear Sheet'!AD81))</f>
        <v/>
      </c>
      <c r="AA81" s="106" t="str">
        <f>IF(B81="","",IF('Arrear Sheet'!C81="TOTAL","",'Arrear Sheet'!Y81))</f>
        <v/>
      </c>
      <c r="AB81" s="106" t="str">
        <f>IF(B81="","",IF('Arrear Sheet'!C81="TOTAL","",'Arrear Sheet'!Z81))</f>
        <v/>
      </c>
      <c r="AC81" s="106" t="str">
        <f>IF(B81="","",IF('Arrear Sheet'!C81="TOTAL","",'Arrear Sheet'!AA81))</f>
        <v/>
      </c>
      <c r="AD81" s="106" t="str">
        <f>IF(B81="","",IF('Arrear Sheet'!C81="TOTAL","",'Arrear Sheet'!AE81))</f>
        <v/>
      </c>
      <c r="AE81" s="106" t="str">
        <f>IF(B81="","",IF('Arrear Sheet'!C81="TOTAL","",'Arrear Sheet'!AF81))</f>
        <v/>
      </c>
      <c r="AF81" s="106" t="str">
        <f>IF(B81="","",'Arrear Sheet'!AG81)</f>
        <v/>
      </c>
      <c r="AG81" s="24" t="str">
        <f>IFERROR(IF(B81="","",IF('Arrear Sheet'!C81="TOTAL","",SUM(Q81-AF81))),"")</f>
        <v/>
      </c>
      <c r="AH81" s="39"/>
      <c r="AI81" s="40"/>
      <c r="AK81" s="151"/>
      <c r="AL81" s="151"/>
      <c r="AM81" s="151"/>
      <c r="AN81" s="151"/>
      <c r="AO81" s="151"/>
      <c r="AP81" s="151"/>
    </row>
    <row r="82" spans="1:42" s="28" customFormat="1" ht="21" customHeight="1">
      <c r="A82" s="22" t="str">
        <f>IF('Arrear Sheet'!B82="","",'Arrear Sheet'!B82)</f>
        <v/>
      </c>
      <c r="B82" s="23" t="str">
        <f>IF('Arrear Sheet'!C82="","",IF('Arrear Sheet'!C82="TOTAL","",'Arrear Sheet'!C82))</f>
        <v/>
      </c>
      <c r="C82" s="106" t="str">
        <f>IF('Arrear Sheet'!D82="","",IF('Arrear Sheet'!C82="TOTAL","",IF('Arrear Sheet'!D82="अक्षरें राशि :-","",'Arrear Sheet'!D82)))</f>
        <v/>
      </c>
      <c r="D82" s="106" t="str">
        <f>IF('Arrear Sheet'!E82="","",IF('Arrear Sheet'!C82="TOTAL","",'Arrear Sheet'!E82))</f>
        <v/>
      </c>
      <c r="E82" s="106" t="str">
        <f>IF(B82="","",IF('Arrear Sheet'!D82="TOTAL","",'Arrear Sheet'!F82))</f>
        <v/>
      </c>
      <c r="F82" s="106" t="str">
        <f>IF(B82="","",IF('Arrear Sheet'!E82="TOTAL","",'Arrear Sheet'!G82))</f>
        <v/>
      </c>
      <c r="G82" s="106" t="str">
        <f>IF(B82="","",IF('Arrear Sheet'!C82="TOTAL","",SUM(C82:F82)))</f>
        <v/>
      </c>
      <c r="H82" s="106" t="str">
        <f>IF(B82="","",IF('Arrear Sheet'!C82="TOTAL","",'Arrear Sheet'!I82))</f>
        <v/>
      </c>
      <c r="I82" s="106" t="str">
        <f>IF(B82="","",IF('Arrear Sheet'!C82="TOTAL","",'Arrear Sheet'!J82))</f>
        <v/>
      </c>
      <c r="J82" s="106" t="str">
        <f>IF(B82="","",IF('Arrear Sheet'!C82="TOTAL","",'Arrear Sheet'!K82))</f>
        <v/>
      </c>
      <c r="K82" s="106" t="str">
        <f>IF(B82="","",IF('Arrear Sheet'!D82="TOTAL","",'Arrear Sheet'!L82))</f>
        <v/>
      </c>
      <c r="L82" s="106" t="str">
        <f>IF(B82="","",IF('Arrear Sheet'!C82="TOTAL","",SUM(H82:K82)))</f>
        <v/>
      </c>
      <c r="M82" s="106" t="str">
        <f>IF(B82="","",IF('Arrear Sheet'!C82="TOTAL","",'Arrear Sheet'!N82))</f>
        <v/>
      </c>
      <c r="N82" s="106" t="str">
        <f>IF(B82="","",IF('Arrear Sheet'!C82="TOTAL","",'Arrear Sheet'!O82))</f>
        <v/>
      </c>
      <c r="O82" s="106" t="str">
        <f>IF(B82="","",IF('Arrear Sheet'!C82="TOTAL","",'Arrear Sheet'!P82))</f>
        <v/>
      </c>
      <c r="P82" s="106" t="str">
        <f>IF(B82="","",IF('Arrear Sheet'!D82="TOTAL","",'Arrear Sheet'!Q82))</f>
        <v/>
      </c>
      <c r="Q82" s="106" t="str">
        <f>IF(B82="","",IF('Arrear Sheet'!C82="TOTAL","",SUM(M82:P82)))</f>
        <v/>
      </c>
      <c r="R82" s="106" t="str">
        <f>IF(B82="","",IF('Arrear Sheet'!C82="TOTAL","",'Arrear Sheet'!S82))</f>
        <v/>
      </c>
      <c r="S82" s="106" t="str">
        <f>IF(B82="","",IF('Arrear Sheet'!C82="TOTAL","",'Arrear Sheet'!T82))</f>
        <v/>
      </c>
      <c r="T82" s="106" t="str">
        <f>IF(B82="","",IF('Arrear Sheet'!C82="TOTAL","",'Arrear Sheet'!U82))</f>
        <v/>
      </c>
      <c r="U82" s="106" t="str">
        <f>IF(B82="","",IF('Arrear Sheet'!C82="TOTAL","",'Arrear Sheet'!V82))</f>
        <v/>
      </c>
      <c r="V82" s="106" t="str">
        <f>IF(B82="","",IF('Arrear Sheet'!C82="TOTAL","",'Arrear Sheet'!W82))</f>
        <v/>
      </c>
      <c r="W82" s="106" t="str">
        <f>IF(B82="","",IF('Arrear Sheet'!C82="TOTAL","",'Arrear Sheet'!X82))</f>
        <v/>
      </c>
      <c r="X82" s="106" t="str">
        <f>IF(B82="","",IF('Arrear Sheet'!C82="TOTAL","",'Arrear Sheet'!AB82))</f>
        <v/>
      </c>
      <c r="Y82" s="106" t="str">
        <f>IF(B82="","",IF('Arrear Sheet'!D82="TOTAL","",'Arrear Sheet'!AC82))</f>
        <v/>
      </c>
      <c r="Z82" s="106" t="str">
        <f>IF(B82="","",IF('Arrear Sheet'!E82="TOTAL","",'Arrear Sheet'!AD82))</f>
        <v/>
      </c>
      <c r="AA82" s="106" t="str">
        <f>IF(B82="","",IF('Arrear Sheet'!C82="TOTAL","",'Arrear Sheet'!Y82))</f>
        <v/>
      </c>
      <c r="AB82" s="106" t="str">
        <f>IF(B82="","",IF('Arrear Sheet'!C82="TOTAL","",'Arrear Sheet'!Z82))</f>
        <v/>
      </c>
      <c r="AC82" s="106" t="str">
        <f>IF(B82="","",IF('Arrear Sheet'!C82="TOTAL","",'Arrear Sheet'!AA82))</f>
        <v/>
      </c>
      <c r="AD82" s="106" t="str">
        <f>IF(B82="","",IF('Arrear Sheet'!C82="TOTAL","",'Arrear Sheet'!AE82))</f>
        <v/>
      </c>
      <c r="AE82" s="106" t="str">
        <f>IF(B82="","",IF('Arrear Sheet'!C82="TOTAL","",'Arrear Sheet'!AF82))</f>
        <v/>
      </c>
      <c r="AF82" s="106" t="str">
        <f>IF(B82="","",'Arrear Sheet'!AG82)</f>
        <v/>
      </c>
      <c r="AG82" s="24" t="str">
        <f>IFERROR(IF(B82="","",IF('Arrear Sheet'!C82="TOTAL","",SUM(Q82-AF82))),"")</f>
        <v/>
      </c>
      <c r="AH82" s="39"/>
      <c r="AI82" s="40"/>
      <c r="AK82" s="151"/>
      <c r="AL82" s="151"/>
      <c r="AM82" s="151"/>
      <c r="AN82" s="151"/>
      <c r="AO82" s="151"/>
      <c r="AP82" s="151"/>
    </row>
    <row r="83" spans="1:42" s="28" customFormat="1" ht="21" customHeight="1">
      <c r="A83" s="22" t="str">
        <f>IF('Arrear Sheet'!B83="","",'Arrear Sheet'!B83)</f>
        <v/>
      </c>
      <c r="B83" s="23" t="str">
        <f>IF('Arrear Sheet'!C83="","",IF('Arrear Sheet'!C83="TOTAL","",'Arrear Sheet'!C83))</f>
        <v/>
      </c>
      <c r="C83" s="106" t="str">
        <f>IF('Arrear Sheet'!D83="","",IF('Arrear Sheet'!C83="TOTAL","",IF('Arrear Sheet'!D83="अक्षरें राशि :-","",'Arrear Sheet'!D83)))</f>
        <v/>
      </c>
      <c r="D83" s="106" t="str">
        <f>IF('Arrear Sheet'!E83="","",IF('Arrear Sheet'!C83="TOTAL","",'Arrear Sheet'!E83))</f>
        <v/>
      </c>
      <c r="E83" s="106" t="str">
        <f>IF(B83="","",IF('Arrear Sheet'!D83="TOTAL","",'Arrear Sheet'!F83))</f>
        <v/>
      </c>
      <c r="F83" s="106" t="str">
        <f>IF(B83="","",IF('Arrear Sheet'!E83="TOTAL","",'Arrear Sheet'!G83))</f>
        <v/>
      </c>
      <c r="G83" s="106" t="str">
        <f>IF(B83="","",IF('Arrear Sheet'!C83="TOTAL","",SUM(C83:F83)))</f>
        <v/>
      </c>
      <c r="H83" s="106" t="str">
        <f>IF(B83="","",IF('Arrear Sheet'!C83="TOTAL","",'Arrear Sheet'!I83))</f>
        <v/>
      </c>
      <c r="I83" s="106" t="str">
        <f>IF(B83="","",IF('Arrear Sheet'!C83="TOTAL","",'Arrear Sheet'!J83))</f>
        <v/>
      </c>
      <c r="J83" s="106" t="str">
        <f>IF(B83="","",IF('Arrear Sheet'!C83="TOTAL","",'Arrear Sheet'!K83))</f>
        <v/>
      </c>
      <c r="K83" s="106" t="str">
        <f>IF(B83="","",IF('Arrear Sheet'!D83="TOTAL","",'Arrear Sheet'!L83))</f>
        <v/>
      </c>
      <c r="L83" s="106" t="str">
        <f>IF(B83="","",IF('Arrear Sheet'!C83="TOTAL","",SUM(H83:K83)))</f>
        <v/>
      </c>
      <c r="M83" s="106" t="str">
        <f>IF(B83="","",IF('Arrear Sheet'!C83="TOTAL","",'Arrear Sheet'!N83))</f>
        <v/>
      </c>
      <c r="N83" s="106" t="str">
        <f>IF(B83="","",IF('Arrear Sheet'!C83="TOTAL","",'Arrear Sheet'!O83))</f>
        <v/>
      </c>
      <c r="O83" s="106" t="str">
        <f>IF(B83="","",IF('Arrear Sheet'!C83="TOTAL","",'Arrear Sheet'!P83))</f>
        <v/>
      </c>
      <c r="P83" s="106" t="str">
        <f>IF(B83="","",IF('Arrear Sheet'!D83="TOTAL","",'Arrear Sheet'!Q83))</f>
        <v/>
      </c>
      <c r="Q83" s="106" t="str">
        <f>IF(B83="","",IF('Arrear Sheet'!C83="TOTAL","",SUM(M83:P83)))</f>
        <v/>
      </c>
      <c r="R83" s="106" t="str">
        <f>IF(B83="","",IF('Arrear Sheet'!C83="TOTAL","",'Arrear Sheet'!S83))</f>
        <v/>
      </c>
      <c r="S83" s="106" t="str">
        <f>IF(B83="","",IF('Arrear Sheet'!C83="TOTAL","",'Arrear Sheet'!T83))</f>
        <v/>
      </c>
      <c r="T83" s="106" t="str">
        <f>IF(B83="","",IF('Arrear Sheet'!C83="TOTAL","",'Arrear Sheet'!U83))</f>
        <v/>
      </c>
      <c r="U83" s="106" t="str">
        <f>IF(B83="","",IF('Arrear Sheet'!C83="TOTAL","",'Arrear Sheet'!V83))</f>
        <v/>
      </c>
      <c r="V83" s="106" t="str">
        <f>IF(B83="","",IF('Arrear Sheet'!C83="TOTAL","",'Arrear Sheet'!W83))</f>
        <v/>
      </c>
      <c r="W83" s="106" t="str">
        <f>IF(B83="","",IF('Arrear Sheet'!C83="TOTAL","",'Arrear Sheet'!X83))</f>
        <v/>
      </c>
      <c r="X83" s="106" t="str">
        <f>IF(B83="","",IF('Arrear Sheet'!C83="TOTAL","",'Arrear Sheet'!AB83))</f>
        <v/>
      </c>
      <c r="Y83" s="106" t="str">
        <f>IF(B83="","",IF('Arrear Sheet'!D83="TOTAL","",'Arrear Sheet'!AC83))</f>
        <v/>
      </c>
      <c r="Z83" s="106" t="str">
        <f>IF(B83="","",IF('Arrear Sheet'!E83="TOTAL","",'Arrear Sheet'!AD83))</f>
        <v/>
      </c>
      <c r="AA83" s="106" t="str">
        <f>IF(B83="","",IF('Arrear Sheet'!C83="TOTAL","",'Arrear Sheet'!Y83))</f>
        <v/>
      </c>
      <c r="AB83" s="106" t="str">
        <f>IF(B83="","",IF('Arrear Sheet'!C83="TOTAL","",'Arrear Sheet'!Z83))</f>
        <v/>
      </c>
      <c r="AC83" s="106" t="str">
        <f>IF(B83="","",IF('Arrear Sheet'!C83="TOTAL","",'Arrear Sheet'!AA83))</f>
        <v/>
      </c>
      <c r="AD83" s="106" t="str">
        <f>IF(B83="","",IF('Arrear Sheet'!C83="TOTAL","",'Arrear Sheet'!AE83))</f>
        <v/>
      </c>
      <c r="AE83" s="106" t="str">
        <f>IF(B83="","",IF('Arrear Sheet'!C83="TOTAL","",'Arrear Sheet'!AF83))</f>
        <v/>
      </c>
      <c r="AF83" s="106" t="str">
        <f>IF(B83="","",'Arrear Sheet'!AG83)</f>
        <v/>
      </c>
      <c r="AG83" s="24" t="str">
        <f>IFERROR(IF(B83="","",IF('Arrear Sheet'!C83="TOTAL","",SUM(Q83-AF83))),"")</f>
        <v/>
      </c>
      <c r="AH83" s="39"/>
      <c r="AI83" s="40"/>
      <c r="AK83" s="151"/>
      <c r="AL83" s="151"/>
      <c r="AM83" s="151"/>
      <c r="AN83" s="151"/>
      <c r="AO83" s="151"/>
      <c r="AP83" s="151"/>
    </row>
    <row r="84" spans="1:42" s="28" customFormat="1" ht="21" customHeight="1">
      <c r="A84" s="22" t="str">
        <f>IF('Arrear Sheet'!B84="","",'Arrear Sheet'!B84)</f>
        <v/>
      </c>
      <c r="B84" s="23" t="str">
        <f>IF('Arrear Sheet'!C84="","",IF('Arrear Sheet'!C84="TOTAL","",'Arrear Sheet'!C84))</f>
        <v/>
      </c>
      <c r="C84" s="106" t="str">
        <f>IF('Arrear Sheet'!D84="","",IF('Arrear Sheet'!C84="TOTAL","",IF('Arrear Sheet'!D84="अक्षरें राशि :-","",'Arrear Sheet'!D84)))</f>
        <v/>
      </c>
      <c r="D84" s="106" t="str">
        <f>IF('Arrear Sheet'!E84="","",IF('Arrear Sheet'!C84="TOTAL","",'Arrear Sheet'!E84))</f>
        <v/>
      </c>
      <c r="E84" s="106" t="str">
        <f>IF(B84="","",IF('Arrear Sheet'!D84="TOTAL","",'Arrear Sheet'!F84))</f>
        <v/>
      </c>
      <c r="F84" s="106" t="str">
        <f>IF(B84="","",IF('Arrear Sheet'!E84="TOTAL","",'Arrear Sheet'!G84))</f>
        <v/>
      </c>
      <c r="G84" s="106" t="str">
        <f>IF(B84="","",IF('Arrear Sheet'!C84="TOTAL","",SUM(C84:F84)))</f>
        <v/>
      </c>
      <c r="H84" s="106" t="str">
        <f>IF(B84="","",IF('Arrear Sheet'!C84="TOTAL","",'Arrear Sheet'!I84))</f>
        <v/>
      </c>
      <c r="I84" s="106" t="str">
        <f>IF(B84="","",IF('Arrear Sheet'!C84="TOTAL","",'Arrear Sheet'!J84))</f>
        <v/>
      </c>
      <c r="J84" s="106" t="str">
        <f>IF(B84="","",IF('Arrear Sheet'!C84="TOTAL","",'Arrear Sheet'!K84))</f>
        <v/>
      </c>
      <c r="K84" s="106" t="str">
        <f>IF(B84="","",IF('Arrear Sheet'!D84="TOTAL","",'Arrear Sheet'!L84))</f>
        <v/>
      </c>
      <c r="L84" s="106" t="str">
        <f>IF(B84="","",IF('Arrear Sheet'!C84="TOTAL","",SUM(H84:K84)))</f>
        <v/>
      </c>
      <c r="M84" s="106" t="str">
        <f>IF(B84="","",IF('Arrear Sheet'!C84="TOTAL","",'Arrear Sheet'!N84))</f>
        <v/>
      </c>
      <c r="N84" s="106" t="str">
        <f>IF(B84="","",IF('Arrear Sheet'!C84="TOTAL","",'Arrear Sheet'!O84))</f>
        <v/>
      </c>
      <c r="O84" s="106" t="str">
        <f>IF(B84="","",IF('Arrear Sheet'!C84="TOTAL","",'Arrear Sheet'!P84))</f>
        <v/>
      </c>
      <c r="P84" s="106" t="str">
        <f>IF(B84="","",IF('Arrear Sheet'!D84="TOTAL","",'Arrear Sheet'!Q84))</f>
        <v/>
      </c>
      <c r="Q84" s="106" t="str">
        <f>IF(B84="","",IF('Arrear Sheet'!C84="TOTAL","",SUM(M84:P84)))</f>
        <v/>
      </c>
      <c r="R84" s="106" t="str">
        <f>IF(B84="","",IF('Arrear Sheet'!C84="TOTAL","",'Arrear Sheet'!S84))</f>
        <v/>
      </c>
      <c r="S84" s="106" t="str">
        <f>IF(B84="","",IF('Arrear Sheet'!C84="TOTAL","",'Arrear Sheet'!T84))</f>
        <v/>
      </c>
      <c r="T84" s="106" t="str">
        <f>IF(B84="","",IF('Arrear Sheet'!C84="TOTAL","",'Arrear Sheet'!U84))</f>
        <v/>
      </c>
      <c r="U84" s="106" t="str">
        <f>IF(B84="","",IF('Arrear Sheet'!C84="TOTAL","",'Arrear Sheet'!V84))</f>
        <v/>
      </c>
      <c r="V84" s="106" t="str">
        <f>IF(B84="","",IF('Arrear Sheet'!C84="TOTAL","",'Arrear Sheet'!W84))</f>
        <v/>
      </c>
      <c r="W84" s="106" t="str">
        <f>IF(B84="","",IF('Arrear Sheet'!C84="TOTAL","",'Arrear Sheet'!X84))</f>
        <v/>
      </c>
      <c r="X84" s="106" t="str">
        <f>IF(B84="","",IF('Arrear Sheet'!C84="TOTAL","",'Arrear Sheet'!AB84))</f>
        <v/>
      </c>
      <c r="Y84" s="106" t="str">
        <f>IF(B84="","",IF('Arrear Sheet'!D84="TOTAL","",'Arrear Sheet'!AC84))</f>
        <v/>
      </c>
      <c r="Z84" s="106" t="str">
        <f>IF(B84="","",IF('Arrear Sheet'!E84="TOTAL","",'Arrear Sheet'!AD84))</f>
        <v/>
      </c>
      <c r="AA84" s="106" t="str">
        <f>IF(B84="","",IF('Arrear Sheet'!C84="TOTAL","",'Arrear Sheet'!Y84))</f>
        <v/>
      </c>
      <c r="AB84" s="106" t="str">
        <f>IF(B84="","",IF('Arrear Sheet'!C84="TOTAL","",'Arrear Sheet'!Z84))</f>
        <v/>
      </c>
      <c r="AC84" s="106" t="str">
        <f>IF(B84="","",IF('Arrear Sheet'!C84="TOTAL","",'Arrear Sheet'!AA84))</f>
        <v/>
      </c>
      <c r="AD84" s="106" t="str">
        <f>IF(B84="","",IF('Arrear Sheet'!C84="TOTAL","",'Arrear Sheet'!AE84))</f>
        <v/>
      </c>
      <c r="AE84" s="106" t="str">
        <f>IF(B84="","",IF('Arrear Sheet'!C84="TOTAL","",'Arrear Sheet'!AF84))</f>
        <v/>
      </c>
      <c r="AF84" s="106" t="str">
        <f>IF(B84="","",'Arrear Sheet'!AG84)</f>
        <v/>
      </c>
      <c r="AG84" s="24" t="str">
        <f>IFERROR(IF(B84="","",IF('Arrear Sheet'!C84="TOTAL","",SUM(Q84-AF84))),"")</f>
        <v/>
      </c>
      <c r="AH84" s="39"/>
      <c r="AI84" s="40"/>
      <c r="AK84" s="151"/>
      <c r="AL84" s="151"/>
      <c r="AM84" s="151"/>
      <c r="AN84" s="151"/>
      <c r="AO84" s="151"/>
      <c r="AP84" s="151"/>
    </row>
    <row r="85" spans="1:42" s="28" customFormat="1" ht="21" customHeight="1">
      <c r="A85" s="22" t="str">
        <f>IF('Arrear Sheet'!B85="","",'Arrear Sheet'!B85)</f>
        <v/>
      </c>
      <c r="B85" s="23" t="str">
        <f>IF('Arrear Sheet'!C85="","",IF('Arrear Sheet'!C85="TOTAL","",'Arrear Sheet'!C85))</f>
        <v/>
      </c>
      <c r="C85" s="106" t="str">
        <f>IF('Arrear Sheet'!D85="","",IF('Arrear Sheet'!C85="TOTAL","",IF('Arrear Sheet'!D85="अक्षरें राशि :-","",'Arrear Sheet'!D85)))</f>
        <v/>
      </c>
      <c r="D85" s="106" t="str">
        <f>IF('Arrear Sheet'!E85="","",IF('Arrear Sheet'!C85="TOTAL","",'Arrear Sheet'!E85))</f>
        <v/>
      </c>
      <c r="E85" s="106" t="str">
        <f>IF(B85="","",IF('Arrear Sheet'!D85="TOTAL","",'Arrear Sheet'!F85))</f>
        <v/>
      </c>
      <c r="F85" s="106" t="str">
        <f>IF(B85="","",IF('Arrear Sheet'!E85="TOTAL","",'Arrear Sheet'!G85))</f>
        <v/>
      </c>
      <c r="G85" s="106" t="str">
        <f>IF(B85="","",IF('Arrear Sheet'!C85="TOTAL","",SUM(C85:F85)))</f>
        <v/>
      </c>
      <c r="H85" s="106" t="str">
        <f>IF(B85="","",IF('Arrear Sheet'!C85="TOTAL","",'Arrear Sheet'!I85))</f>
        <v/>
      </c>
      <c r="I85" s="106" t="str">
        <f>IF(B85="","",IF('Arrear Sheet'!C85="TOTAL","",'Arrear Sheet'!J85))</f>
        <v/>
      </c>
      <c r="J85" s="106" t="str">
        <f>IF(B85="","",IF('Arrear Sheet'!C85="TOTAL","",'Arrear Sheet'!K85))</f>
        <v/>
      </c>
      <c r="K85" s="106" t="str">
        <f>IF(B85="","",IF('Arrear Sheet'!D85="TOTAL","",'Arrear Sheet'!L85))</f>
        <v/>
      </c>
      <c r="L85" s="106" t="str">
        <f>IF(B85="","",IF('Arrear Sheet'!C85="TOTAL","",SUM(H85:K85)))</f>
        <v/>
      </c>
      <c r="M85" s="106" t="str">
        <f>IF(B85="","",IF('Arrear Sheet'!C85="TOTAL","",'Arrear Sheet'!N85))</f>
        <v/>
      </c>
      <c r="N85" s="106" t="str">
        <f>IF(B85="","",IF('Arrear Sheet'!C85="TOTAL","",'Arrear Sheet'!O85))</f>
        <v/>
      </c>
      <c r="O85" s="106" t="str">
        <f>IF(B85="","",IF('Arrear Sheet'!C85="TOTAL","",'Arrear Sheet'!P85))</f>
        <v/>
      </c>
      <c r="P85" s="106" t="str">
        <f>IF(B85="","",IF('Arrear Sheet'!D85="TOTAL","",'Arrear Sheet'!Q85))</f>
        <v/>
      </c>
      <c r="Q85" s="106" t="str">
        <f>IF(B85="","",IF('Arrear Sheet'!C85="TOTAL","",SUM(M85:P85)))</f>
        <v/>
      </c>
      <c r="R85" s="106" t="str">
        <f>IF(B85="","",IF('Arrear Sheet'!C85="TOTAL","",'Arrear Sheet'!S85))</f>
        <v/>
      </c>
      <c r="S85" s="106" t="str">
        <f>IF(B85="","",IF('Arrear Sheet'!C85="TOTAL","",'Arrear Sheet'!T85))</f>
        <v/>
      </c>
      <c r="T85" s="106" t="str">
        <f>IF(B85="","",IF('Arrear Sheet'!C85="TOTAL","",'Arrear Sheet'!U85))</f>
        <v/>
      </c>
      <c r="U85" s="106" t="str">
        <f>IF(B85="","",IF('Arrear Sheet'!C85="TOTAL","",'Arrear Sheet'!V85))</f>
        <v/>
      </c>
      <c r="V85" s="106" t="str">
        <f>IF(B85="","",IF('Arrear Sheet'!C85="TOTAL","",'Arrear Sheet'!W85))</f>
        <v/>
      </c>
      <c r="W85" s="106" t="str">
        <f>IF(B85="","",IF('Arrear Sheet'!C85="TOTAL","",'Arrear Sheet'!X85))</f>
        <v/>
      </c>
      <c r="X85" s="106" t="str">
        <f>IF(B85="","",IF('Arrear Sheet'!C85="TOTAL","",'Arrear Sheet'!AB85))</f>
        <v/>
      </c>
      <c r="Y85" s="106" t="str">
        <f>IF(B85="","",IF('Arrear Sheet'!D85="TOTAL","",'Arrear Sheet'!AC85))</f>
        <v/>
      </c>
      <c r="Z85" s="106" t="str">
        <f>IF(B85="","",IF('Arrear Sheet'!E85="TOTAL","",'Arrear Sheet'!AD85))</f>
        <v/>
      </c>
      <c r="AA85" s="106" t="str">
        <f>IF(B85="","",IF('Arrear Sheet'!C85="TOTAL","",'Arrear Sheet'!Y85))</f>
        <v/>
      </c>
      <c r="AB85" s="106" t="str">
        <f>IF(B85="","",IF('Arrear Sheet'!C85="TOTAL","",'Arrear Sheet'!Z85))</f>
        <v/>
      </c>
      <c r="AC85" s="106" t="str">
        <f>IF(B85="","",IF('Arrear Sheet'!C85="TOTAL","",'Arrear Sheet'!AA85))</f>
        <v/>
      </c>
      <c r="AD85" s="106" t="str">
        <f>IF(B85="","",IF('Arrear Sheet'!C85="TOTAL","",'Arrear Sheet'!AE85))</f>
        <v/>
      </c>
      <c r="AE85" s="106" t="str">
        <f>IF(B85="","",IF('Arrear Sheet'!C85="TOTAL","",'Arrear Sheet'!AF85))</f>
        <v/>
      </c>
      <c r="AF85" s="106" t="str">
        <f>IF(B85="","",'Arrear Sheet'!AG85)</f>
        <v/>
      </c>
      <c r="AG85" s="24" t="str">
        <f>IFERROR(IF(B85="","",IF('Arrear Sheet'!C85="TOTAL","",SUM(Q85-AF85))),"")</f>
        <v/>
      </c>
      <c r="AH85" s="39"/>
      <c r="AI85" s="40"/>
      <c r="AK85" s="151"/>
      <c r="AL85" s="151"/>
      <c r="AM85" s="151"/>
      <c r="AN85" s="151"/>
      <c r="AO85" s="151"/>
      <c r="AP85" s="151"/>
    </row>
    <row r="86" spans="1:42" s="28" customFormat="1" ht="21" customHeight="1">
      <c r="A86" s="22" t="str">
        <f>IF('Arrear Sheet'!B86="","",'Arrear Sheet'!B86)</f>
        <v/>
      </c>
      <c r="B86" s="23" t="str">
        <f>IF('Arrear Sheet'!C86="","",IF('Arrear Sheet'!C86="TOTAL","",'Arrear Sheet'!C86))</f>
        <v/>
      </c>
      <c r="C86" s="106" t="str">
        <f>IF('Arrear Sheet'!D86="","",IF('Arrear Sheet'!C86="TOTAL","",IF('Arrear Sheet'!D86="अक्षरें राशि :-","",'Arrear Sheet'!D86)))</f>
        <v/>
      </c>
      <c r="D86" s="106" t="str">
        <f>IF('Arrear Sheet'!E86="","",IF('Arrear Sheet'!C86="TOTAL","",'Arrear Sheet'!E86))</f>
        <v/>
      </c>
      <c r="E86" s="106" t="str">
        <f>IF(B86="","",IF('Arrear Sheet'!D86="TOTAL","",'Arrear Sheet'!F86))</f>
        <v/>
      </c>
      <c r="F86" s="106" t="str">
        <f>IF(B86="","",IF('Arrear Sheet'!E86="TOTAL","",'Arrear Sheet'!G86))</f>
        <v/>
      </c>
      <c r="G86" s="106" t="str">
        <f>IF(B86="","",IF('Arrear Sheet'!C86="TOTAL","",SUM(C86:F86)))</f>
        <v/>
      </c>
      <c r="H86" s="106" t="str">
        <f>IF(B86="","",IF('Arrear Sheet'!C86="TOTAL","",'Arrear Sheet'!I86))</f>
        <v/>
      </c>
      <c r="I86" s="106" t="str">
        <f>IF(B86="","",IF('Arrear Sheet'!C86="TOTAL","",'Arrear Sheet'!J86))</f>
        <v/>
      </c>
      <c r="J86" s="106" t="str">
        <f>IF(B86="","",IF('Arrear Sheet'!C86="TOTAL","",'Arrear Sheet'!K86))</f>
        <v/>
      </c>
      <c r="K86" s="106" t="str">
        <f>IF(B86="","",IF('Arrear Sheet'!D86="TOTAL","",'Arrear Sheet'!L86))</f>
        <v/>
      </c>
      <c r="L86" s="106" t="str">
        <f>IF(B86="","",IF('Arrear Sheet'!C86="TOTAL","",SUM(H86:K86)))</f>
        <v/>
      </c>
      <c r="M86" s="106" t="str">
        <f>IF(B86="","",IF('Arrear Sheet'!C86="TOTAL","",'Arrear Sheet'!N86))</f>
        <v/>
      </c>
      <c r="N86" s="106" t="str">
        <f>IF(B86="","",IF('Arrear Sheet'!C86="TOTAL","",'Arrear Sheet'!O86))</f>
        <v/>
      </c>
      <c r="O86" s="106" t="str">
        <f>IF(B86="","",IF('Arrear Sheet'!C86="TOTAL","",'Arrear Sheet'!P86))</f>
        <v/>
      </c>
      <c r="P86" s="106" t="str">
        <f>IF(B86="","",IF('Arrear Sheet'!D86="TOTAL","",'Arrear Sheet'!Q86))</f>
        <v/>
      </c>
      <c r="Q86" s="106" t="str">
        <f>IF(B86="","",IF('Arrear Sheet'!C86="TOTAL","",SUM(M86:P86)))</f>
        <v/>
      </c>
      <c r="R86" s="106" t="str">
        <f>IF(B86="","",IF('Arrear Sheet'!C86="TOTAL","",'Arrear Sheet'!S86))</f>
        <v/>
      </c>
      <c r="S86" s="106" t="str">
        <f>IF(B86="","",IF('Arrear Sheet'!C86="TOTAL","",'Arrear Sheet'!T86))</f>
        <v/>
      </c>
      <c r="T86" s="106" t="str">
        <f>IF(B86="","",IF('Arrear Sheet'!C86="TOTAL","",'Arrear Sheet'!U86))</f>
        <v/>
      </c>
      <c r="U86" s="106" t="str">
        <f>IF(B86="","",IF('Arrear Sheet'!C86="TOTAL","",'Arrear Sheet'!V86))</f>
        <v/>
      </c>
      <c r="V86" s="106" t="str">
        <f>IF(B86="","",IF('Arrear Sheet'!C86="TOTAL","",'Arrear Sheet'!W86))</f>
        <v/>
      </c>
      <c r="W86" s="106" t="str">
        <f>IF(B86="","",IF('Arrear Sheet'!C86="TOTAL","",'Arrear Sheet'!X86))</f>
        <v/>
      </c>
      <c r="X86" s="106" t="str">
        <f>IF(B86="","",IF('Arrear Sheet'!C86="TOTAL","",'Arrear Sheet'!AB86))</f>
        <v/>
      </c>
      <c r="Y86" s="106" t="str">
        <f>IF(B86="","",IF('Arrear Sheet'!D86="TOTAL","",'Arrear Sheet'!AC86))</f>
        <v/>
      </c>
      <c r="Z86" s="106" t="str">
        <f>IF(B86="","",IF('Arrear Sheet'!E86="TOTAL","",'Arrear Sheet'!AD86))</f>
        <v/>
      </c>
      <c r="AA86" s="106" t="str">
        <f>IF(B86="","",IF('Arrear Sheet'!C86="TOTAL","",'Arrear Sheet'!Y86))</f>
        <v/>
      </c>
      <c r="AB86" s="106" t="str">
        <f>IF(B86="","",IF('Arrear Sheet'!C86="TOTAL","",'Arrear Sheet'!Z86))</f>
        <v/>
      </c>
      <c r="AC86" s="106" t="str">
        <f>IF(B86="","",IF('Arrear Sheet'!C86="TOTAL","",'Arrear Sheet'!AA86))</f>
        <v/>
      </c>
      <c r="AD86" s="106" t="str">
        <f>IF(B86="","",IF('Arrear Sheet'!C86="TOTAL","",'Arrear Sheet'!AE86))</f>
        <v/>
      </c>
      <c r="AE86" s="106" t="str">
        <f>IF(B86="","",IF('Arrear Sheet'!C86="TOTAL","",'Arrear Sheet'!AF86))</f>
        <v/>
      </c>
      <c r="AF86" s="106" t="str">
        <f>IF(B86="","",'Arrear Sheet'!AG86)</f>
        <v/>
      </c>
      <c r="AG86" s="24" t="str">
        <f>IFERROR(IF(B86="","",IF('Arrear Sheet'!C86="TOTAL","",SUM(Q86-AF86))),"")</f>
        <v/>
      </c>
      <c r="AH86" s="39"/>
      <c r="AI86" s="40"/>
      <c r="AK86" s="158"/>
      <c r="AL86" s="158"/>
      <c r="AM86" s="158"/>
      <c r="AN86" s="158"/>
      <c r="AO86" s="158"/>
      <c r="AP86" s="158"/>
    </row>
    <row r="87" spans="1:42" s="28" customFormat="1" ht="21" customHeight="1">
      <c r="A87" s="22" t="str">
        <f>IF('Arrear Sheet'!B87="","",'Arrear Sheet'!B87)</f>
        <v/>
      </c>
      <c r="B87" s="23" t="str">
        <f>IF('Arrear Sheet'!C87="","",IF('Arrear Sheet'!C87="TOTAL","",'Arrear Sheet'!C87))</f>
        <v/>
      </c>
      <c r="C87" s="106" t="str">
        <f>IF('Arrear Sheet'!D87="","",IF('Arrear Sheet'!C87="TOTAL","",IF('Arrear Sheet'!D87="अक्षरें राशि :-","",'Arrear Sheet'!D87)))</f>
        <v/>
      </c>
      <c r="D87" s="106" t="str">
        <f>IF('Arrear Sheet'!E87="","",IF('Arrear Sheet'!C87="TOTAL","",'Arrear Sheet'!E87))</f>
        <v/>
      </c>
      <c r="E87" s="106" t="str">
        <f>IF(B87="","",IF('Arrear Sheet'!D87="TOTAL","",'Arrear Sheet'!F87))</f>
        <v/>
      </c>
      <c r="F87" s="106" t="str">
        <f>IF(B87="","",IF('Arrear Sheet'!E87="TOTAL","",'Arrear Sheet'!G87))</f>
        <v/>
      </c>
      <c r="G87" s="106" t="str">
        <f>IF(B87="","",IF('Arrear Sheet'!C87="TOTAL","",SUM(C87:F87)))</f>
        <v/>
      </c>
      <c r="H87" s="106" t="str">
        <f>IF(B87="","",IF('Arrear Sheet'!C87="TOTAL","",'Arrear Sheet'!I87))</f>
        <v/>
      </c>
      <c r="I87" s="106" t="str">
        <f>IF(B87="","",IF('Arrear Sheet'!C87="TOTAL","",'Arrear Sheet'!J87))</f>
        <v/>
      </c>
      <c r="J87" s="106" t="str">
        <f>IF(B87="","",IF('Arrear Sheet'!C87="TOTAL","",'Arrear Sheet'!K87))</f>
        <v/>
      </c>
      <c r="K87" s="106" t="str">
        <f>IF(B87="","",IF('Arrear Sheet'!D87="TOTAL","",'Arrear Sheet'!L87))</f>
        <v/>
      </c>
      <c r="L87" s="106" t="str">
        <f>IF(B87="","",IF('Arrear Sheet'!C87="TOTAL","",SUM(H87:K87)))</f>
        <v/>
      </c>
      <c r="M87" s="106" t="str">
        <f>IF(B87="","",IF('Arrear Sheet'!C87="TOTAL","",'Arrear Sheet'!N87))</f>
        <v/>
      </c>
      <c r="N87" s="106" t="str">
        <f>IF(B87="","",IF('Arrear Sheet'!C87="TOTAL","",'Arrear Sheet'!O87))</f>
        <v/>
      </c>
      <c r="O87" s="106" t="str">
        <f>IF(B87="","",IF('Arrear Sheet'!C87="TOTAL","",'Arrear Sheet'!P87))</f>
        <v/>
      </c>
      <c r="P87" s="106" t="str">
        <f>IF(B87="","",IF('Arrear Sheet'!D87="TOTAL","",'Arrear Sheet'!Q87))</f>
        <v/>
      </c>
      <c r="Q87" s="106" t="str">
        <f>IF(B87="","",IF('Arrear Sheet'!C87="TOTAL","",SUM(M87:P87)))</f>
        <v/>
      </c>
      <c r="R87" s="106" t="str">
        <f>IF(B87="","",IF('Arrear Sheet'!C87="TOTAL","",'Arrear Sheet'!S87))</f>
        <v/>
      </c>
      <c r="S87" s="106" t="str">
        <f>IF(B87="","",IF('Arrear Sheet'!C87="TOTAL","",'Arrear Sheet'!T87))</f>
        <v/>
      </c>
      <c r="T87" s="106" t="str">
        <f>IF(B87="","",IF('Arrear Sheet'!C87="TOTAL","",'Arrear Sheet'!U87))</f>
        <v/>
      </c>
      <c r="U87" s="106" t="str">
        <f>IF(B87="","",IF('Arrear Sheet'!C87="TOTAL","",'Arrear Sheet'!V87))</f>
        <v/>
      </c>
      <c r="V87" s="106" t="str">
        <f>IF(B87="","",IF('Arrear Sheet'!C87="TOTAL","",'Arrear Sheet'!W87))</f>
        <v/>
      </c>
      <c r="W87" s="106" t="str">
        <f>IF(B87="","",IF('Arrear Sheet'!C87="TOTAL","",'Arrear Sheet'!X87))</f>
        <v/>
      </c>
      <c r="X87" s="106" t="str">
        <f>IF(B87="","",IF('Arrear Sheet'!C87="TOTAL","",'Arrear Sheet'!AB87))</f>
        <v/>
      </c>
      <c r="Y87" s="106" t="str">
        <f>IF(B87="","",IF('Arrear Sheet'!D87="TOTAL","",'Arrear Sheet'!AC87))</f>
        <v/>
      </c>
      <c r="Z87" s="106" t="str">
        <f>IF(B87="","",IF('Arrear Sheet'!E87="TOTAL","",'Arrear Sheet'!AD87))</f>
        <v/>
      </c>
      <c r="AA87" s="106" t="str">
        <f>IF(B87="","",IF('Arrear Sheet'!C87="TOTAL","",'Arrear Sheet'!Y87))</f>
        <v/>
      </c>
      <c r="AB87" s="106" t="str">
        <f>IF(B87="","",IF('Arrear Sheet'!C87="TOTAL","",'Arrear Sheet'!Z87))</f>
        <v/>
      </c>
      <c r="AC87" s="106" t="str">
        <f>IF(B87="","",IF('Arrear Sheet'!C87="TOTAL","",'Arrear Sheet'!AA87))</f>
        <v/>
      </c>
      <c r="AD87" s="106" t="str">
        <f>IF(B87="","",IF('Arrear Sheet'!C87="TOTAL","",'Arrear Sheet'!AE87))</f>
        <v/>
      </c>
      <c r="AE87" s="106" t="str">
        <f>IF(B87="","",IF('Arrear Sheet'!C87="TOTAL","",'Arrear Sheet'!AF87))</f>
        <v/>
      </c>
      <c r="AF87" s="106" t="str">
        <f>IF(B87="","",'Arrear Sheet'!AG87)</f>
        <v/>
      </c>
      <c r="AG87" s="24" t="str">
        <f>IFERROR(IF(B87="","",IF('Arrear Sheet'!C87="TOTAL","",SUM(Q87-AF87))),"")</f>
        <v/>
      </c>
      <c r="AH87" s="39"/>
      <c r="AI87" s="40"/>
      <c r="AK87" s="158"/>
      <c r="AL87" s="158"/>
      <c r="AM87" s="158"/>
      <c r="AN87" s="158"/>
      <c r="AO87" s="158"/>
      <c r="AP87" s="158"/>
    </row>
    <row r="88" spans="1:42" s="28" customFormat="1" ht="21" customHeight="1">
      <c r="A88" s="22" t="str">
        <f>IF('Arrear Sheet'!B88="","",'Arrear Sheet'!B88)</f>
        <v/>
      </c>
      <c r="B88" s="23" t="str">
        <f>IF('Arrear Sheet'!C88="","",IF('Arrear Sheet'!C88="TOTAL","",'Arrear Sheet'!C88))</f>
        <v/>
      </c>
      <c r="C88" s="106" t="str">
        <f>IF('Arrear Sheet'!D88="","",IF('Arrear Sheet'!C88="TOTAL","",IF('Arrear Sheet'!D88="अक्षरें राशि :-","",'Arrear Sheet'!D88)))</f>
        <v/>
      </c>
      <c r="D88" s="106" t="str">
        <f>IF('Arrear Sheet'!E88="","",IF('Arrear Sheet'!C88="TOTAL","",'Arrear Sheet'!E88))</f>
        <v/>
      </c>
      <c r="E88" s="106" t="str">
        <f>IF(B88="","",IF('Arrear Sheet'!D88="TOTAL","",'Arrear Sheet'!F88))</f>
        <v/>
      </c>
      <c r="F88" s="106" t="str">
        <f>IF(B88="","",IF('Arrear Sheet'!E88="TOTAL","",'Arrear Sheet'!G88))</f>
        <v/>
      </c>
      <c r="G88" s="106" t="str">
        <f>IF(B88="","",IF('Arrear Sheet'!C88="TOTAL","",SUM(C88:F88)))</f>
        <v/>
      </c>
      <c r="H88" s="106" t="str">
        <f>IF(B88="","",IF('Arrear Sheet'!C88="TOTAL","",'Arrear Sheet'!I88))</f>
        <v/>
      </c>
      <c r="I88" s="106" t="str">
        <f>IF(B88="","",IF('Arrear Sheet'!C88="TOTAL","",'Arrear Sheet'!J88))</f>
        <v/>
      </c>
      <c r="J88" s="106" t="str">
        <f>IF(B88="","",IF('Arrear Sheet'!C88="TOTAL","",'Arrear Sheet'!K88))</f>
        <v/>
      </c>
      <c r="K88" s="106" t="str">
        <f>IF(B88="","",IF('Arrear Sheet'!D88="TOTAL","",'Arrear Sheet'!L88))</f>
        <v/>
      </c>
      <c r="L88" s="106" t="str">
        <f>IF(B88="","",IF('Arrear Sheet'!C88="TOTAL","",SUM(H88:K88)))</f>
        <v/>
      </c>
      <c r="M88" s="106" t="str">
        <f>IF(B88="","",IF('Arrear Sheet'!C88="TOTAL","",'Arrear Sheet'!N88))</f>
        <v/>
      </c>
      <c r="N88" s="106" t="str">
        <f>IF(B88="","",IF('Arrear Sheet'!C88="TOTAL","",'Arrear Sheet'!O88))</f>
        <v/>
      </c>
      <c r="O88" s="106" t="str">
        <f>IF(B88="","",IF('Arrear Sheet'!C88="TOTAL","",'Arrear Sheet'!P88))</f>
        <v/>
      </c>
      <c r="P88" s="106" t="str">
        <f>IF(B88="","",IF('Arrear Sheet'!D88="TOTAL","",'Arrear Sheet'!Q88))</f>
        <v/>
      </c>
      <c r="Q88" s="106" t="str">
        <f>IF(B88="","",IF('Arrear Sheet'!C88="TOTAL","",SUM(M88:P88)))</f>
        <v/>
      </c>
      <c r="R88" s="106" t="str">
        <f>IF(B88="","",IF('Arrear Sheet'!C88="TOTAL","",'Arrear Sheet'!S88))</f>
        <v/>
      </c>
      <c r="S88" s="106" t="str">
        <f>IF(B88="","",IF('Arrear Sheet'!C88="TOTAL","",'Arrear Sheet'!T88))</f>
        <v/>
      </c>
      <c r="T88" s="106" t="str">
        <f>IF(B88="","",IF('Arrear Sheet'!C88="TOTAL","",'Arrear Sheet'!U88))</f>
        <v/>
      </c>
      <c r="U88" s="106" t="str">
        <f>IF(B88="","",IF('Arrear Sheet'!C88="TOTAL","",'Arrear Sheet'!V88))</f>
        <v/>
      </c>
      <c r="V88" s="106" t="str">
        <f>IF(B88="","",IF('Arrear Sheet'!C88="TOTAL","",'Arrear Sheet'!W88))</f>
        <v/>
      </c>
      <c r="W88" s="106" t="str">
        <f>IF(B88="","",IF('Arrear Sheet'!C88="TOTAL","",'Arrear Sheet'!X88))</f>
        <v/>
      </c>
      <c r="X88" s="106" t="str">
        <f>IF(B88="","",IF('Arrear Sheet'!C88="TOTAL","",'Arrear Sheet'!AB88))</f>
        <v/>
      </c>
      <c r="Y88" s="106" t="str">
        <f>IF(B88="","",IF('Arrear Sheet'!D88="TOTAL","",'Arrear Sheet'!AC88))</f>
        <v/>
      </c>
      <c r="Z88" s="106" t="str">
        <f>IF(B88="","",IF('Arrear Sheet'!E88="TOTAL","",'Arrear Sheet'!AD88))</f>
        <v/>
      </c>
      <c r="AA88" s="106" t="str">
        <f>IF(B88="","",IF('Arrear Sheet'!C88="TOTAL","",'Arrear Sheet'!Y88))</f>
        <v/>
      </c>
      <c r="AB88" s="106" t="str">
        <f>IF(B88="","",IF('Arrear Sheet'!C88="TOTAL","",'Arrear Sheet'!Z88))</f>
        <v/>
      </c>
      <c r="AC88" s="106" t="str">
        <f>IF(B88="","",IF('Arrear Sheet'!C88="TOTAL","",'Arrear Sheet'!AA88))</f>
        <v/>
      </c>
      <c r="AD88" s="106" t="str">
        <f>IF(B88="","",IF('Arrear Sheet'!C88="TOTAL","",'Arrear Sheet'!AE88))</f>
        <v/>
      </c>
      <c r="AE88" s="106" t="str">
        <f>IF(B88="","",IF('Arrear Sheet'!C88="TOTAL","",'Arrear Sheet'!AF88))</f>
        <v/>
      </c>
      <c r="AF88" s="106" t="str">
        <f>IF(B88="","",'Arrear Sheet'!AG88)</f>
        <v/>
      </c>
      <c r="AG88" s="24" t="str">
        <f>IFERROR(IF(B88="","",IF('Arrear Sheet'!C88="TOTAL","",SUM(Q88-AF88))),"")</f>
        <v/>
      </c>
      <c r="AH88" s="39"/>
      <c r="AI88" s="40"/>
      <c r="AK88" s="158"/>
      <c r="AL88" s="158"/>
      <c r="AM88" s="158"/>
      <c r="AN88" s="158"/>
      <c r="AO88" s="158"/>
      <c r="AP88" s="158"/>
    </row>
    <row r="89" spans="1:42" s="28" customFormat="1" ht="21" customHeight="1">
      <c r="A89" s="22" t="str">
        <f>IF('Arrear Sheet'!B89="","",'Arrear Sheet'!B89)</f>
        <v/>
      </c>
      <c r="B89" s="23" t="str">
        <f>IF('Arrear Sheet'!C89="","",IF('Arrear Sheet'!C89="TOTAL","",'Arrear Sheet'!C89))</f>
        <v/>
      </c>
      <c r="C89" s="106" t="str">
        <f>IF('Arrear Sheet'!D89="","",IF('Arrear Sheet'!C89="TOTAL","",IF('Arrear Sheet'!D89="अक्षरें राशि :-","",'Arrear Sheet'!D89)))</f>
        <v/>
      </c>
      <c r="D89" s="106" t="str">
        <f>IF('Arrear Sheet'!E89="","",IF('Arrear Sheet'!C89="TOTAL","",'Arrear Sheet'!E89))</f>
        <v/>
      </c>
      <c r="E89" s="106" t="str">
        <f>IF(B89="","",IF('Arrear Sheet'!D89="TOTAL","",'Arrear Sheet'!F89))</f>
        <v/>
      </c>
      <c r="F89" s="106" t="str">
        <f>IF(B89="","",IF('Arrear Sheet'!E89="TOTAL","",'Arrear Sheet'!G89))</f>
        <v/>
      </c>
      <c r="G89" s="106" t="str">
        <f>IF(B89="","",IF('Arrear Sheet'!C89="TOTAL","",SUM(C89:F89)))</f>
        <v/>
      </c>
      <c r="H89" s="106" t="str">
        <f>IF(B89="","",IF('Arrear Sheet'!C89="TOTAL","",'Arrear Sheet'!I89))</f>
        <v/>
      </c>
      <c r="I89" s="106" t="str">
        <f>IF(B89="","",IF('Arrear Sheet'!C89="TOTAL","",'Arrear Sheet'!J89))</f>
        <v/>
      </c>
      <c r="J89" s="106" t="str">
        <f>IF(B89="","",IF('Arrear Sheet'!C89="TOTAL","",'Arrear Sheet'!K89))</f>
        <v/>
      </c>
      <c r="K89" s="106" t="str">
        <f>IF(B89="","",IF('Arrear Sheet'!D89="TOTAL","",'Arrear Sheet'!L89))</f>
        <v/>
      </c>
      <c r="L89" s="106" t="str">
        <f>IF(B89="","",IF('Arrear Sheet'!C89="TOTAL","",SUM(H89:K89)))</f>
        <v/>
      </c>
      <c r="M89" s="106" t="str">
        <f>IF(B89="","",IF('Arrear Sheet'!C89="TOTAL","",'Arrear Sheet'!N89))</f>
        <v/>
      </c>
      <c r="N89" s="106" t="str">
        <f>IF(B89="","",IF('Arrear Sheet'!C89="TOTAL","",'Arrear Sheet'!O89))</f>
        <v/>
      </c>
      <c r="O89" s="106" t="str">
        <f>IF(B89="","",IF('Arrear Sheet'!C89="TOTAL","",'Arrear Sheet'!P89))</f>
        <v/>
      </c>
      <c r="P89" s="106" t="str">
        <f>IF(B89="","",IF('Arrear Sheet'!D89="TOTAL","",'Arrear Sheet'!Q89))</f>
        <v/>
      </c>
      <c r="Q89" s="106" t="str">
        <f>IF(B89="","",IF('Arrear Sheet'!C89="TOTAL","",SUM(M89:P89)))</f>
        <v/>
      </c>
      <c r="R89" s="106" t="str">
        <f>IF(B89="","",IF('Arrear Sheet'!C89="TOTAL","",'Arrear Sheet'!S89))</f>
        <v/>
      </c>
      <c r="S89" s="106" t="str">
        <f>IF(B89="","",IF('Arrear Sheet'!C89="TOTAL","",'Arrear Sheet'!T89))</f>
        <v/>
      </c>
      <c r="T89" s="106" t="str">
        <f>IF(B89="","",IF('Arrear Sheet'!C89="TOTAL","",'Arrear Sheet'!U89))</f>
        <v/>
      </c>
      <c r="U89" s="106" t="str">
        <f>IF(B89="","",IF('Arrear Sheet'!C89="TOTAL","",'Arrear Sheet'!V89))</f>
        <v/>
      </c>
      <c r="V89" s="106" t="str">
        <f>IF(B89="","",IF('Arrear Sheet'!C89="TOTAL","",'Arrear Sheet'!W89))</f>
        <v/>
      </c>
      <c r="W89" s="106" t="str">
        <f>IF(B89="","",IF('Arrear Sheet'!C89="TOTAL","",'Arrear Sheet'!X89))</f>
        <v/>
      </c>
      <c r="X89" s="106" t="str">
        <f>IF(B89="","",IF('Arrear Sheet'!C89="TOTAL","",'Arrear Sheet'!AB89))</f>
        <v/>
      </c>
      <c r="Y89" s="106" t="str">
        <f>IF(B89="","",IF('Arrear Sheet'!D89="TOTAL","",'Arrear Sheet'!AC89))</f>
        <v/>
      </c>
      <c r="Z89" s="106" t="str">
        <f>IF(B89="","",IF('Arrear Sheet'!E89="TOTAL","",'Arrear Sheet'!AD89))</f>
        <v/>
      </c>
      <c r="AA89" s="106" t="str">
        <f>IF(B89="","",IF('Arrear Sheet'!C89="TOTAL","",'Arrear Sheet'!Y89))</f>
        <v/>
      </c>
      <c r="AB89" s="106" t="str">
        <f>IF(B89="","",IF('Arrear Sheet'!C89="TOTAL","",'Arrear Sheet'!Z89))</f>
        <v/>
      </c>
      <c r="AC89" s="106" t="str">
        <f>IF(B89="","",IF('Arrear Sheet'!C89="TOTAL","",'Arrear Sheet'!AA89))</f>
        <v/>
      </c>
      <c r="AD89" s="106" t="str">
        <f>IF(B89="","",IF('Arrear Sheet'!C89="TOTAL","",'Arrear Sheet'!AE89))</f>
        <v/>
      </c>
      <c r="AE89" s="106" t="str">
        <f>IF(B89="","",IF('Arrear Sheet'!C89="TOTAL","",'Arrear Sheet'!AF89))</f>
        <v/>
      </c>
      <c r="AF89" s="106" t="str">
        <f>IF(B89="","",'Arrear Sheet'!AG89)</f>
        <v/>
      </c>
      <c r="AG89" s="24" t="str">
        <f>IFERROR(IF(B89="","",IF('Arrear Sheet'!C89="TOTAL","",SUM(Q89-AF89))),"")</f>
        <v/>
      </c>
      <c r="AH89" s="39"/>
      <c r="AI89" s="40"/>
      <c r="AK89" s="158"/>
      <c r="AL89" s="158"/>
      <c r="AM89" s="158"/>
      <c r="AN89" s="158"/>
      <c r="AO89" s="158"/>
      <c r="AP89" s="158"/>
    </row>
    <row r="90" spans="1:42" s="28" customFormat="1" ht="21" customHeight="1">
      <c r="A90" s="22" t="str">
        <f>IF('Arrear Sheet'!B90="","",'Arrear Sheet'!B90)</f>
        <v/>
      </c>
      <c r="B90" s="23" t="str">
        <f>IF('Arrear Sheet'!C90="","",IF('Arrear Sheet'!C90="TOTAL","",'Arrear Sheet'!C90))</f>
        <v/>
      </c>
      <c r="C90" s="106" t="str">
        <f>IF('Arrear Sheet'!D90="","",IF('Arrear Sheet'!C90="TOTAL","",IF('Arrear Sheet'!D90="अक्षरें राशि :-","",'Arrear Sheet'!D90)))</f>
        <v/>
      </c>
      <c r="D90" s="106" t="str">
        <f>IF('Arrear Sheet'!E90="","",IF('Arrear Sheet'!C90="TOTAL","",'Arrear Sheet'!E90))</f>
        <v/>
      </c>
      <c r="E90" s="106" t="str">
        <f>IF(B90="","",IF('Arrear Sheet'!D90="TOTAL","",'Arrear Sheet'!F90))</f>
        <v/>
      </c>
      <c r="F90" s="106" t="str">
        <f>IF(B90="","",IF('Arrear Sheet'!E90="TOTAL","",'Arrear Sheet'!G90))</f>
        <v/>
      </c>
      <c r="G90" s="106" t="str">
        <f>IF(B90="","",IF('Arrear Sheet'!C90="TOTAL","",SUM(C90:F90)))</f>
        <v/>
      </c>
      <c r="H90" s="106" t="str">
        <f>IF(B90="","",IF('Arrear Sheet'!C90="TOTAL","",'Arrear Sheet'!I90))</f>
        <v/>
      </c>
      <c r="I90" s="106" t="str">
        <f>IF(B90="","",IF('Arrear Sheet'!C90="TOTAL","",'Arrear Sheet'!J90))</f>
        <v/>
      </c>
      <c r="J90" s="106" t="str">
        <f>IF(B90="","",IF('Arrear Sheet'!C90="TOTAL","",'Arrear Sheet'!K90))</f>
        <v/>
      </c>
      <c r="K90" s="106" t="str">
        <f>IF(B90="","",IF('Arrear Sheet'!D90="TOTAL","",'Arrear Sheet'!L90))</f>
        <v/>
      </c>
      <c r="L90" s="106" t="str">
        <f>IF(B90="","",IF('Arrear Sheet'!C90="TOTAL","",SUM(H90:K90)))</f>
        <v/>
      </c>
      <c r="M90" s="106" t="str">
        <f>IF(B90="","",IF('Arrear Sheet'!C90="TOTAL","",'Arrear Sheet'!N90))</f>
        <v/>
      </c>
      <c r="N90" s="106" t="str">
        <f>IF(B90="","",IF('Arrear Sheet'!C90="TOTAL","",'Arrear Sheet'!O90))</f>
        <v/>
      </c>
      <c r="O90" s="106" t="str">
        <f>IF(B90="","",IF('Arrear Sheet'!C90="TOTAL","",'Arrear Sheet'!P90))</f>
        <v/>
      </c>
      <c r="P90" s="106" t="str">
        <f>IF(B90="","",IF('Arrear Sheet'!D90="TOTAL","",'Arrear Sheet'!Q90))</f>
        <v/>
      </c>
      <c r="Q90" s="106" t="str">
        <f>IF(B90="","",IF('Arrear Sheet'!C90="TOTAL","",SUM(M90:P90)))</f>
        <v/>
      </c>
      <c r="R90" s="106" t="str">
        <f>IF(B90="","",IF('Arrear Sheet'!C90="TOTAL","",'Arrear Sheet'!S90))</f>
        <v/>
      </c>
      <c r="S90" s="106" t="str">
        <f>IF(B90="","",IF('Arrear Sheet'!C90="TOTAL","",'Arrear Sheet'!T90))</f>
        <v/>
      </c>
      <c r="T90" s="106" t="str">
        <f>IF(B90="","",IF('Arrear Sheet'!C90="TOTAL","",'Arrear Sheet'!U90))</f>
        <v/>
      </c>
      <c r="U90" s="106" t="str">
        <f>IF(B90="","",IF('Arrear Sheet'!C90="TOTAL","",'Arrear Sheet'!V90))</f>
        <v/>
      </c>
      <c r="V90" s="106" t="str">
        <f>IF(B90="","",IF('Arrear Sheet'!C90="TOTAL","",'Arrear Sheet'!W90))</f>
        <v/>
      </c>
      <c r="W90" s="106" t="str">
        <f>IF(B90="","",IF('Arrear Sheet'!C90="TOTAL","",'Arrear Sheet'!X90))</f>
        <v/>
      </c>
      <c r="X90" s="106" t="str">
        <f>IF(B90="","",IF('Arrear Sheet'!C90="TOTAL","",'Arrear Sheet'!AB90))</f>
        <v/>
      </c>
      <c r="Y90" s="106" t="str">
        <f>IF(B90="","",IF('Arrear Sheet'!D90="TOTAL","",'Arrear Sheet'!AC90))</f>
        <v/>
      </c>
      <c r="Z90" s="106" t="str">
        <f>IF(B90="","",IF('Arrear Sheet'!E90="TOTAL","",'Arrear Sheet'!AD90))</f>
        <v/>
      </c>
      <c r="AA90" s="106" t="str">
        <f>IF(B90="","",IF('Arrear Sheet'!C90="TOTAL","",'Arrear Sheet'!Y90))</f>
        <v/>
      </c>
      <c r="AB90" s="106" t="str">
        <f>IF(B90="","",IF('Arrear Sheet'!C90="TOTAL","",'Arrear Sheet'!Z90))</f>
        <v/>
      </c>
      <c r="AC90" s="106" t="str">
        <f>IF(B90="","",IF('Arrear Sheet'!C90="TOTAL","",'Arrear Sheet'!AA90))</f>
        <v/>
      </c>
      <c r="AD90" s="106" t="str">
        <f>IF(B90="","",IF('Arrear Sheet'!C90="TOTAL","",'Arrear Sheet'!AE90))</f>
        <v/>
      </c>
      <c r="AE90" s="106" t="str">
        <f>IF(B90="","",IF('Arrear Sheet'!C90="TOTAL","",'Arrear Sheet'!AF90))</f>
        <v/>
      </c>
      <c r="AF90" s="106" t="str">
        <f>IF(B90="","",'Arrear Sheet'!AG90)</f>
        <v/>
      </c>
      <c r="AG90" s="24" t="str">
        <f>IFERROR(IF(B90="","",IF('Arrear Sheet'!C90="TOTAL","",SUM(Q90-AF90))),"")</f>
        <v/>
      </c>
      <c r="AH90" s="39"/>
      <c r="AI90" s="40"/>
      <c r="AK90" s="158"/>
      <c r="AL90" s="158"/>
      <c r="AM90" s="158"/>
      <c r="AN90" s="158"/>
      <c r="AO90" s="158"/>
      <c r="AP90" s="158"/>
    </row>
    <row r="91" spans="1:42" s="28" customFormat="1" ht="21" customHeight="1">
      <c r="A91" s="22" t="str">
        <f>IF('Arrear Sheet'!B91="","",'Arrear Sheet'!B91)</f>
        <v/>
      </c>
      <c r="B91" s="23" t="str">
        <f>IF('Arrear Sheet'!C91="","",IF('Arrear Sheet'!C91="TOTAL","",'Arrear Sheet'!C91))</f>
        <v/>
      </c>
      <c r="C91" s="106" t="str">
        <f>IF('Arrear Sheet'!D91="","",IF('Arrear Sheet'!C91="TOTAL","",IF('Arrear Sheet'!D91="अक्षरें राशि :-","",'Arrear Sheet'!D91)))</f>
        <v/>
      </c>
      <c r="D91" s="106" t="str">
        <f>IF('Arrear Sheet'!E91="","",IF('Arrear Sheet'!C91="TOTAL","",'Arrear Sheet'!E91))</f>
        <v/>
      </c>
      <c r="E91" s="106" t="str">
        <f>IF(B91="","",IF('Arrear Sheet'!D91="TOTAL","",'Arrear Sheet'!F91))</f>
        <v/>
      </c>
      <c r="F91" s="106" t="str">
        <f>IF(B91="","",IF('Arrear Sheet'!E91="TOTAL","",'Arrear Sheet'!G91))</f>
        <v/>
      </c>
      <c r="G91" s="106" t="str">
        <f>IF(B91="","",IF('Arrear Sheet'!C91="TOTAL","",SUM(C91:F91)))</f>
        <v/>
      </c>
      <c r="H91" s="106" t="str">
        <f>IF(B91="","",IF('Arrear Sheet'!C91="TOTAL","",'Arrear Sheet'!I91))</f>
        <v/>
      </c>
      <c r="I91" s="106" t="str">
        <f>IF(B91="","",IF('Arrear Sheet'!C91="TOTAL","",'Arrear Sheet'!J91))</f>
        <v/>
      </c>
      <c r="J91" s="106" t="str">
        <f>IF(B91="","",IF('Arrear Sheet'!C91="TOTAL","",'Arrear Sheet'!K91))</f>
        <v/>
      </c>
      <c r="K91" s="106" t="str">
        <f>IF(B91="","",IF('Arrear Sheet'!D91="TOTAL","",'Arrear Sheet'!L91))</f>
        <v/>
      </c>
      <c r="L91" s="106" t="str">
        <f>IF(B91="","",IF('Arrear Sheet'!C91="TOTAL","",SUM(H91:K91)))</f>
        <v/>
      </c>
      <c r="M91" s="106" t="str">
        <f>IF(B91="","",IF('Arrear Sheet'!C91="TOTAL","",'Arrear Sheet'!N91))</f>
        <v/>
      </c>
      <c r="N91" s="106" t="str">
        <f>IF(B91="","",IF('Arrear Sheet'!C91="TOTAL","",'Arrear Sheet'!O91))</f>
        <v/>
      </c>
      <c r="O91" s="106" t="str">
        <f>IF(B91="","",IF('Arrear Sheet'!C91="TOTAL","",'Arrear Sheet'!P91))</f>
        <v/>
      </c>
      <c r="P91" s="106" t="str">
        <f>IF(B91="","",IF('Arrear Sheet'!D91="TOTAL","",'Arrear Sheet'!Q91))</f>
        <v/>
      </c>
      <c r="Q91" s="106" t="str">
        <f>IF(B91="","",IF('Arrear Sheet'!C91="TOTAL","",SUM(M91:P91)))</f>
        <v/>
      </c>
      <c r="R91" s="106" t="str">
        <f>IF(B91="","",IF('Arrear Sheet'!C91="TOTAL","",'Arrear Sheet'!S91))</f>
        <v/>
      </c>
      <c r="S91" s="106" t="str">
        <f>IF(B91="","",IF('Arrear Sheet'!C91="TOTAL","",'Arrear Sheet'!T91))</f>
        <v/>
      </c>
      <c r="T91" s="106" t="str">
        <f>IF(B91="","",IF('Arrear Sheet'!C91="TOTAL","",'Arrear Sheet'!U91))</f>
        <v/>
      </c>
      <c r="U91" s="106" t="str">
        <f>IF(B91="","",IF('Arrear Sheet'!C91="TOTAL","",'Arrear Sheet'!V91))</f>
        <v/>
      </c>
      <c r="V91" s="106" t="str">
        <f>IF(B91="","",IF('Arrear Sheet'!C91="TOTAL","",'Arrear Sheet'!W91))</f>
        <v/>
      </c>
      <c r="W91" s="106" t="str">
        <f>IF(B91="","",IF('Arrear Sheet'!C91="TOTAL","",'Arrear Sheet'!X91))</f>
        <v/>
      </c>
      <c r="X91" s="106" t="str">
        <f>IF(B91="","",IF('Arrear Sheet'!C91="TOTAL","",'Arrear Sheet'!AB91))</f>
        <v/>
      </c>
      <c r="Y91" s="106" t="str">
        <f>IF(B91="","",IF('Arrear Sheet'!D91="TOTAL","",'Arrear Sheet'!AC91))</f>
        <v/>
      </c>
      <c r="Z91" s="106" t="str">
        <f>IF(B91="","",IF('Arrear Sheet'!E91="TOTAL","",'Arrear Sheet'!AD91))</f>
        <v/>
      </c>
      <c r="AA91" s="106" t="str">
        <f>IF(B91="","",IF('Arrear Sheet'!C91="TOTAL","",'Arrear Sheet'!Y91))</f>
        <v/>
      </c>
      <c r="AB91" s="106" t="str">
        <f>IF(B91="","",IF('Arrear Sheet'!C91="TOTAL","",'Arrear Sheet'!Z91))</f>
        <v/>
      </c>
      <c r="AC91" s="106" t="str">
        <f>IF(B91="","",IF('Arrear Sheet'!C91="TOTAL","",'Arrear Sheet'!AA91))</f>
        <v/>
      </c>
      <c r="AD91" s="106" t="str">
        <f>IF(B91="","",IF('Arrear Sheet'!C91="TOTAL","",'Arrear Sheet'!AE91))</f>
        <v/>
      </c>
      <c r="AE91" s="106" t="str">
        <f>IF(B91="","",IF('Arrear Sheet'!C91="TOTAL","",'Arrear Sheet'!AF91))</f>
        <v/>
      </c>
      <c r="AF91" s="106" t="str">
        <f>IF(B91="","",'Arrear Sheet'!AG91)</f>
        <v/>
      </c>
      <c r="AG91" s="24" t="str">
        <f>IFERROR(IF(B91="","",IF('Arrear Sheet'!C91="TOTAL","",SUM(Q91-AF91))),"")</f>
        <v/>
      </c>
      <c r="AH91" s="39"/>
      <c r="AI91" s="40"/>
      <c r="AK91" s="158"/>
      <c r="AL91" s="158"/>
      <c r="AM91" s="158"/>
      <c r="AN91" s="158"/>
      <c r="AO91" s="158"/>
      <c r="AP91" s="158"/>
    </row>
    <row r="92" spans="1:42" s="28" customFormat="1" ht="32.25" customHeight="1">
      <c r="A92" s="268" t="s">
        <v>18</v>
      </c>
      <c r="B92" s="269"/>
      <c r="C92" s="138">
        <f>IF($D$3="","",SUM(C8:C91))</f>
        <v>6085467</v>
      </c>
      <c r="D92" s="138">
        <f t="shared" ref="D92:AG92" si="0">IF($D$3="","",SUM(D8:D91))</f>
        <v>2024586</v>
      </c>
      <c r="E92" s="138">
        <f t="shared" si="0"/>
        <v>519613</v>
      </c>
      <c r="F92" s="138">
        <f t="shared" si="0"/>
        <v>1217093</v>
      </c>
      <c r="G92" s="138">
        <f t="shared" si="0"/>
        <v>9846759</v>
      </c>
      <c r="H92" s="138">
        <f t="shared" si="0"/>
        <v>5773733</v>
      </c>
      <c r="I92" s="138">
        <f t="shared" si="0"/>
        <v>1921127</v>
      </c>
      <c r="J92" s="138">
        <f t="shared" si="0"/>
        <v>493007</v>
      </c>
      <c r="K92" s="138">
        <f t="shared" si="0"/>
        <v>1154747</v>
      </c>
      <c r="L92" s="138">
        <f t="shared" si="0"/>
        <v>9342614</v>
      </c>
      <c r="M92" s="138">
        <f t="shared" si="0"/>
        <v>311734</v>
      </c>
      <c r="N92" s="138">
        <f t="shared" si="0"/>
        <v>103459</v>
      </c>
      <c r="O92" s="138">
        <f t="shared" si="0"/>
        <v>26606</v>
      </c>
      <c r="P92" s="138">
        <f t="shared" si="0"/>
        <v>62346</v>
      </c>
      <c r="Q92" s="138">
        <f t="shared" si="0"/>
        <v>504145</v>
      </c>
      <c r="R92" s="138">
        <f t="shared" si="0"/>
        <v>516092</v>
      </c>
      <c r="S92" s="138">
        <f t="shared" si="0"/>
        <v>491754</v>
      </c>
      <c r="T92" s="138">
        <f t="shared" si="0"/>
        <v>24338</v>
      </c>
      <c r="U92" s="138">
        <f t="shared" si="0"/>
        <v>117600</v>
      </c>
      <c r="V92" s="138">
        <f t="shared" si="0"/>
        <v>117600</v>
      </c>
      <c r="W92" s="138">
        <f t="shared" si="0"/>
        <v>0</v>
      </c>
      <c r="X92" s="138">
        <f t="shared" si="0"/>
        <v>16806</v>
      </c>
      <c r="Y92" s="138">
        <f t="shared" si="0"/>
        <v>15935</v>
      </c>
      <c r="Z92" s="138">
        <f t="shared" si="0"/>
        <v>871</v>
      </c>
      <c r="AA92" s="138">
        <f t="shared" si="0"/>
        <v>17940</v>
      </c>
      <c r="AB92" s="138">
        <f t="shared" si="0"/>
        <v>17940</v>
      </c>
      <c r="AC92" s="138">
        <f t="shared" si="0"/>
        <v>0</v>
      </c>
      <c r="AD92" s="138">
        <f t="shared" si="0"/>
        <v>504</v>
      </c>
      <c r="AE92" s="138">
        <f t="shared" si="0"/>
        <v>0</v>
      </c>
      <c r="AF92" s="138">
        <f t="shared" si="0"/>
        <v>25713</v>
      </c>
      <c r="AG92" s="138">
        <f t="shared" si="0"/>
        <v>478432</v>
      </c>
      <c r="AH92" s="29"/>
      <c r="AI92" s="29"/>
      <c r="AK92" s="270"/>
      <c r="AL92" s="271"/>
      <c r="AM92" s="271"/>
      <c r="AN92" s="271"/>
      <c r="AO92" s="271"/>
      <c r="AP92" s="270"/>
    </row>
    <row r="93" spans="1:42" s="28" customFormat="1" ht="18.75">
      <c r="A93" s="30"/>
      <c r="B93" s="30"/>
      <c r="C93" s="31"/>
      <c r="D93" s="31"/>
      <c r="E93" s="31"/>
      <c r="F93" s="31"/>
      <c r="G93" s="31"/>
      <c r="H93" s="272" t="s">
        <v>38</v>
      </c>
      <c r="I93" s="272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32"/>
      <c r="AK93" s="270"/>
      <c r="AL93" s="271"/>
      <c r="AM93" s="271"/>
      <c r="AN93" s="271"/>
      <c r="AO93" s="271"/>
      <c r="AP93" s="270"/>
    </row>
    <row r="94" spans="1:42" s="28" customFormat="1" ht="18.75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274"/>
      <c r="Y94" s="274"/>
      <c r="Z94" s="274"/>
      <c r="AA94" s="274"/>
      <c r="AB94" s="274"/>
      <c r="AC94" s="274"/>
      <c r="AD94" s="274"/>
      <c r="AE94" s="274"/>
      <c r="AF94" s="274"/>
      <c r="AG94" s="274"/>
      <c r="AH94" s="274"/>
      <c r="AI94" s="32"/>
      <c r="AK94" s="270"/>
      <c r="AL94" s="271"/>
      <c r="AM94" s="271"/>
      <c r="AN94" s="271"/>
      <c r="AO94" s="271"/>
      <c r="AP94" s="270"/>
    </row>
    <row r="95" spans="1:42" s="28" customFormat="1" ht="18.75">
      <c r="A95" s="2"/>
      <c r="B95" s="3" t="s">
        <v>32</v>
      </c>
      <c r="C95" s="275"/>
      <c r="D95" s="275"/>
      <c r="E95" s="275"/>
      <c r="F95" s="275"/>
      <c r="G95" s="275"/>
      <c r="H95" s="275"/>
      <c r="I95" s="4"/>
      <c r="J95" s="5" t="s">
        <v>33</v>
      </c>
      <c r="K95" s="5"/>
      <c r="L95" s="276">
        <f ca="1">TODAY()</f>
        <v>45104</v>
      </c>
      <c r="M95" s="276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277"/>
      <c r="Y95" s="277"/>
      <c r="Z95" s="277"/>
      <c r="AA95" s="277"/>
      <c r="AB95" s="277"/>
      <c r="AC95" s="277"/>
      <c r="AD95" s="277"/>
      <c r="AE95" s="277"/>
      <c r="AF95" s="277"/>
      <c r="AG95" s="277"/>
      <c r="AH95" s="277"/>
      <c r="AI95" s="32"/>
      <c r="AK95" s="270"/>
      <c r="AL95" s="271"/>
      <c r="AM95" s="271"/>
      <c r="AN95" s="271"/>
      <c r="AO95" s="271"/>
      <c r="AP95" s="270"/>
    </row>
    <row r="96" spans="1:42" s="28" customFormat="1" ht="18.75">
      <c r="A96" s="2"/>
      <c r="B96" s="279" t="s">
        <v>34</v>
      </c>
      <c r="C96" s="279"/>
      <c r="D96" s="279"/>
      <c r="E96" s="279"/>
      <c r="F96" s="279"/>
      <c r="G96" s="279"/>
      <c r="H96" s="279"/>
      <c r="I96" s="279"/>
      <c r="J96" s="7"/>
      <c r="K96" s="7"/>
      <c r="L96" s="55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3"/>
      <c r="AH96" s="32"/>
      <c r="AI96" s="32"/>
      <c r="AK96" s="270"/>
      <c r="AL96" s="271"/>
      <c r="AM96" s="271"/>
      <c r="AN96" s="271"/>
      <c r="AO96" s="271"/>
      <c r="AP96" s="270"/>
    </row>
    <row r="97" spans="1:42" s="28" customFormat="1" ht="18.75">
      <c r="A97" s="8">
        <v>1</v>
      </c>
      <c r="B97" s="280" t="s">
        <v>35</v>
      </c>
      <c r="C97" s="280"/>
      <c r="D97" s="280"/>
      <c r="E97" s="280"/>
      <c r="F97" s="280"/>
      <c r="G97" s="280"/>
      <c r="H97" s="280"/>
      <c r="I97" s="4"/>
      <c r="J97" s="2"/>
      <c r="K97" s="2"/>
      <c r="L97" s="55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274" t="str">
        <f>IF(AND(D3=""),"",CONCATENATE("( ",'Master Sheet'!D5," ) "))</f>
        <v xml:space="preserve">( USHA PALIYA ) </v>
      </c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32"/>
      <c r="AK97" s="270"/>
      <c r="AL97" s="271"/>
      <c r="AM97" s="271"/>
      <c r="AN97" s="271"/>
      <c r="AO97" s="271"/>
      <c r="AP97" s="270"/>
    </row>
    <row r="98" spans="1:42" s="28" customFormat="1" ht="18.75">
      <c r="A98" s="9">
        <v>2</v>
      </c>
      <c r="B98" s="278" t="s">
        <v>36</v>
      </c>
      <c r="C98" s="278"/>
      <c r="D98" s="278"/>
      <c r="E98" s="278"/>
      <c r="F98" s="192"/>
      <c r="G98" s="281" t="str">
        <f>CONCATENATE(H3,",","  ",P3)</f>
        <v>HEERALAL JAT,  MO</v>
      </c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1"/>
      <c r="S98" s="31"/>
      <c r="T98" s="31"/>
      <c r="U98" s="34"/>
      <c r="V98" s="31"/>
      <c r="W98" s="31"/>
      <c r="X98" s="277" t="s">
        <v>31</v>
      </c>
      <c r="Y98" s="277"/>
      <c r="Z98" s="277"/>
      <c r="AA98" s="277"/>
      <c r="AB98" s="277"/>
      <c r="AC98" s="277"/>
      <c r="AD98" s="277"/>
      <c r="AE98" s="277"/>
      <c r="AF98" s="277"/>
      <c r="AG98" s="277"/>
      <c r="AH98" s="277"/>
      <c r="AI98" s="32"/>
      <c r="AK98" s="270"/>
      <c r="AL98" s="271"/>
      <c r="AM98" s="271"/>
      <c r="AN98" s="271"/>
      <c r="AO98" s="271"/>
      <c r="AP98" s="270"/>
    </row>
    <row r="99" spans="1:42" s="28" customFormat="1" ht="18.75">
      <c r="A99" s="8">
        <v>3</v>
      </c>
      <c r="B99" s="278" t="s">
        <v>37</v>
      </c>
      <c r="C99" s="278"/>
      <c r="D99" s="10"/>
      <c r="E99" s="10"/>
      <c r="F99" s="10"/>
      <c r="G99" s="57"/>
      <c r="H99" s="57"/>
      <c r="I99" s="57"/>
      <c r="J99" s="57"/>
      <c r="K99" s="193"/>
      <c r="L99" s="57"/>
      <c r="M99" s="57"/>
      <c r="N99" s="57"/>
      <c r="O99" s="57"/>
      <c r="P99" s="193"/>
      <c r="Q99" s="57"/>
      <c r="R99" s="57"/>
      <c r="S99" s="31"/>
      <c r="T99" s="31"/>
      <c r="U99" s="31"/>
      <c r="V99" s="31"/>
      <c r="W99" s="31"/>
      <c r="X99" s="283" t="str">
        <f>IF('Master Sheet'!D3="","",'Master Sheet'!D3)</f>
        <v>Senior Medical officer, Community Health Center, Chandawal Nagar</v>
      </c>
      <c r="Y99" s="283"/>
      <c r="Z99" s="283"/>
      <c r="AA99" s="283"/>
      <c r="AB99" s="283"/>
      <c r="AC99" s="283"/>
      <c r="AD99" s="283"/>
      <c r="AE99" s="283"/>
      <c r="AF99" s="283"/>
      <c r="AG99" s="283"/>
      <c r="AH99" s="283"/>
      <c r="AI99" s="32"/>
      <c r="AK99" s="270"/>
      <c r="AL99" s="271"/>
      <c r="AM99" s="271"/>
      <c r="AN99" s="271"/>
      <c r="AO99" s="271"/>
      <c r="AP99" s="270"/>
    </row>
    <row r="100" spans="1:42" s="28" customFormat="1" ht="18.75">
      <c r="A100" s="8"/>
      <c r="B100" s="56"/>
      <c r="C100" s="56"/>
      <c r="D100" s="10"/>
      <c r="E100" s="10"/>
      <c r="F100" s="10"/>
      <c r="G100" s="57"/>
      <c r="H100" s="57"/>
      <c r="I100" s="57"/>
      <c r="J100" s="57"/>
      <c r="K100" s="193"/>
      <c r="L100" s="57"/>
      <c r="M100" s="57"/>
      <c r="N100" s="57"/>
      <c r="O100" s="57"/>
      <c r="P100" s="193"/>
      <c r="Q100" s="57"/>
      <c r="R100" s="57"/>
      <c r="S100" s="31"/>
      <c r="T100" s="31"/>
      <c r="U100" s="31"/>
      <c r="V100" s="31"/>
      <c r="W100" s="31"/>
      <c r="X100" s="283"/>
      <c r="Y100" s="283"/>
      <c r="Z100" s="283"/>
      <c r="AA100" s="283"/>
      <c r="AB100" s="283"/>
      <c r="AC100" s="283"/>
      <c r="AD100" s="283"/>
      <c r="AE100" s="283"/>
      <c r="AF100" s="283"/>
      <c r="AG100" s="283"/>
      <c r="AH100" s="283"/>
      <c r="AI100" s="32"/>
      <c r="AK100" s="270"/>
      <c r="AL100" s="271"/>
      <c r="AM100" s="271"/>
      <c r="AN100" s="271"/>
      <c r="AO100" s="271"/>
      <c r="AP100" s="270"/>
    </row>
    <row r="101" spans="1:42" s="28" customFormat="1" ht="18.75">
      <c r="A101" s="8"/>
      <c r="B101" s="278"/>
      <c r="C101" s="278"/>
      <c r="D101" s="11"/>
      <c r="E101" s="11"/>
      <c r="F101" s="11"/>
      <c r="G101" s="2"/>
      <c r="H101" s="2"/>
      <c r="I101" s="12"/>
      <c r="J101" s="13"/>
      <c r="K101" s="13"/>
      <c r="L101" s="55"/>
      <c r="M101" s="35" t="s">
        <v>19</v>
      </c>
      <c r="N101" s="35"/>
      <c r="O101" s="35"/>
      <c r="P101" s="35"/>
      <c r="Q101" s="35"/>
      <c r="R101" s="35"/>
      <c r="S101" s="35"/>
      <c r="T101" s="35"/>
      <c r="U101" s="35"/>
      <c r="V101" s="1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6"/>
      <c r="AH101" s="35"/>
      <c r="AI101" s="35"/>
      <c r="AK101" s="271"/>
      <c r="AL101" s="271"/>
      <c r="AM101" s="271"/>
      <c r="AN101" s="271"/>
      <c r="AO101" s="271"/>
      <c r="AP101" s="271"/>
    </row>
    <row r="102" spans="1:42" s="28" customFormat="1">
      <c r="B102" s="37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</row>
    <row r="103" spans="1:42" s="28" customFormat="1">
      <c r="B103" s="37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</row>
    <row r="104" spans="1:42" s="28" customFormat="1">
      <c r="B104" s="37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</row>
    <row r="105" spans="1:42" s="28" customFormat="1">
      <c r="B105" s="37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</row>
    <row r="106" spans="1:42" s="28" customFormat="1">
      <c r="B106" s="37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</row>
    <row r="107" spans="1:42" s="28" customFormat="1">
      <c r="B107" s="37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</row>
    <row r="108" spans="1:42" s="28" customFormat="1">
      <c r="B108" s="37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</row>
    <row r="109" spans="1:42" s="28" customFormat="1">
      <c r="B109" s="37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</row>
    <row r="110" spans="1:42" s="28" customFormat="1">
      <c r="B110" s="37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</row>
    <row r="111" spans="1:42" s="28" customFormat="1">
      <c r="B111" s="37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</row>
    <row r="112" spans="1:42" s="28" customFormat="1"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15"/>
      <c r="AG112" s="15"/>
      <c r="AH112" s="15"/>
      <c r="AI112" s="15"/>
    </row>
    <row r="113" spans="2:35" s="28" customFormat="1"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15"/>
      <c r="AG113" s="15"/>
      <c r="AH113" s="15"/>
      <c r="AI113" s="15"/>
    </row>
    <row r="114" spans="2:35" s="28" customFormat="1"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15"/>
      <c r="AG114" s="15"/>
      <c r="AH114" s="15"/>
      <c r="AI114" s="15"/>
    </row>
    <row r="115" spans="2:35" s="28" customFormat="1"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15"/>
      <c r="AG115" s="15"/>
      <c r="AH115" s="15"/>
      <c r="AI115" s="15"/>
    </row>
    <row r="116" spans="2:35" s="28" customFormat="1"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15"/>
      <c r="AG116" s="15"/>
      <c r="AH116" s="15"/>
      <c r="AI116" s="15"/>
    </row>
    <row r="117" spans="2:35" s="28" customFormat="1"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15"/>
      <c r="AG117" s="15"/>
      <c r="AH117" s="15"/>
      <c r="AI117" s="15"/>
    </row>
    <row r="118" spans="2:35" s="28" customFormat="1"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15"/>
      <c r="AG118" s="15"/>
      <c r="AH118" s="15"/>
      <c r="AI118" s="15"/>
    </row>
    <row r="119" spans="2:35" s="28" customFormat="1"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15"/>
      <c r="AG119" s="15"/>
      <c r="AH119" s="15"/>
      <c r="AI119" s="15"/>
    </row>
    <row r="120" spans="2:35" s="28" customFormat="1"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15"/>
      <c r="AG120" s="15"/>
      <c r="AH120" s="15"/>
      <c r="AI120" s="15"/>
    </row>
    <row r="121" spans="2:35" s="28" customFormat="1"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15"/>
      <c r="AG121" s="15"/>
      <c r="AH121" s="15"/>
      <c r="AI121" s="15"/>
    </row>
    <row r="122" spans="2:35" s="28" customFormat="1">
      <c r="B122" s="37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15"/>
      <c r="AG122" s="15"/>
      <c r="AH122" s="15"/>
      <c r="AI122" s="15"/>
    </row>
    <row r="123" spans="2:35" s="28" customFormat="1"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15"/>
      <c r="AG123" s="15"/>
      <c r="AH123" s="15"/>
      <c r="AI123" s="15"/>
    </row>
    <row r="124" spans="2:35" s="28" customFormat="1">
      <c r="B124" s="37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15"/>
      <c r="AG124" s="15"/>
      <c r="AH124" s="15"/>
      <c r="AI124" s="15"/>
    </row>
  </sheetData>
  <mergeCells count="49">
    <mergeCell ref="Z4:AI4"/>
    <mergeCell ref="B4:D4"/>
    <mergeCell ref="H4:N4"/>
    <mergeCell ref="O4:R4"/>
    <mergeCell ref="T4:V4"/>
    <mergeCell ref="W4:Y4"/>
    <mergeCell ref="AD6:AD7"/>
    <mergeCell ref="B99:C99"/>
    <mergeCell ref="X99:AH100"/>
    <mergeCell ref="R6:T6"/>
    <mergeCell ref="AA6:AC6"/>
    <mergeCell ref="B101:C101"/>
    <mergeCell ref="B96:I96"/>
    <mergeCell ref="B97:H97"/>
    <mergeCell ref="X97:AH97"/>
    <mergeCell ref="B98:E98"/>
    <mergeCell ref="G98:R98"/>
    <mergeCell ref="X98:AH98"/>
    <mergeCell ref="AI6:AI7"/>
    <mergeCell ref="A92:B92"/>
    <mergeCell ref="AK92:AO101"/>
    <mergeCell ref="AP92:AP101"/>
    <mergeCell ref="H93:I93"/>
    <mergeCell ref="J93:AH93"/>
    <mergeCell ref="X94:AH94"/>
    <mergeCell ref="C95:H95"/>
    <mergeCell ref="L95:M95"/>
    <mergeCell ref="X95:AH95"/>
    <mergeCell ref="U6:W6"/>
    <mergeCell ref="X6:Z6"/>
    <mergeCell ref="AE6:AE7"/>
    <mergeCell ref="AF6:AF7"/>
    <mergeCell ref="AG6:AG7"/>
    <mergeCell ref="AH6:AH7"/>
    <mergeCell ref="A6:A7"/>
    <mergeCell ref="B6:B7"/>
    <mergeCell ref="C6:G6"/>
    <mergeCell ref="H6:L6"/>
    <mergeCell ref="M6:Q6"/>
    <mergeCell ref="B1:AI1"/>
    <mergeCell ref="B2:AI2"/>
    <mergeCell ref="N3:O3"/>
    <mergeCell ref="V3:X3"/>
    <mergeCell ref="Y3:Z3"/>
    <mergeCell ref="AE3:AG3"/>
    <mergeCell ref="AH3:AI3"/>
    <mergeCell ref="P3:U3"/>
    <mergeCell ref="H3:M3"/>
    <mergeCell ref="D3:G3"/>
  </mergeCells>
  <conditionalFormatting sqref="A8:A91">
    <cfRule type="cellIs" dxfId="0" priority="1" operator="equal">
      <formula>0</formula>
    </cfRule>
  </conditionalFormatting>
  <pageMargins left="0.4" right="0.3" top="0.25" bottom="0.25" header="0.3" footer="0.3"/>
  <pageSetup paperSize="9" scale="62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How to Use</vt:lpstr>
      <vt:lpstr>Master Sheet</vt:lpstr>
      <vt:lpstr>Arrear Sheet</vt:lpstr>
      <vt:lpstr>Unlock sheet</vt:lpstr>
      <vt:lpstr>month</vt:lpstr>
      <vt:lpstr>post</vt:lpstr>
      <vt:lpstr>'Arrear Sheet'!Print_Area</vt:lpstr>
      <vt:lpstr>'Unlock sheet'!Print_Area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2023-06-27T17:08:17Z</dcterms:modified>
</cp:coreProperties>
</file>