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w to Use" sheetId="11" r:id="rId1"/>
    <sheet name="Master Sheet" sheetId="9" r:id="rId2"/>
    <sheet name="Arrear Sheet" sheetId="2" r:id="rId3"/>
    <sheet name="Unlock sheet" sheetId="10" r:id="rId4"/>
  </sheets>
  <definedNames>
    <definedName name="month">'Master Sheet'!$AG$3:$AG$75</definedName>
    <definedName name="post">Table1[Post]</definedName>
    <definedName name="_xlnm.Print_Area" localSheetId="2">'Arrear Sheet'!$A$1:$AC$74</definedName>
    <definedName name="_xlnm.Print_Area" localSheetId="3">'Unlock sheet'!$A$1:$AC$62</definedName>
    <definedName name="ram">#REF!</definedName>
  </definedNames>
  <calcPr calcId="124519"/>
</workbook>
</file>

<file path=xl/calcChain.xml><?xml version="1.0" encoding="utf-8"?>
<calcChain xmlns="http://schemas.openxmlformats.org/spreadsheetml/2006/main">
  <c r="AA54" i="10"/>
  <c r="X54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8"/>
  <c r="AK63" i="2"/>
  <c r="AW20"/>
  <c r="BE81"/>
  <c r="BE82"/>
  <c r="H52" i="10"/>
  <c r="H53"/>
  <c r="H51"/>
  <c r="D49"/>
  <c r="D50"/>
  <c r="D51"/>
  <c r="D52"/>
  <c r="D53"/>
  <c r="D48"/>
  <c r="L48" s="1"/>
  <c r="A73" i="2"/>
  <c r="A74"/>
  <c r="D29" i="9"/>
  <c r="H49" i="10"/>
  <c r="I49"/>
  <c r="H50"/>
  <c r="I50"/>
  <c r="I51"/>
  <c r="I52"/>
  <c r="I53"/>
  <c r="I48"/>
  <c r="H48"/>
  <c r="E49"/>
  <c r="E50"/>
  <c r="E51"/>
  <c r="E52"/>
  <c r="E53"/>
  <c r="E48"/>
  <c r="C48"/>
  <c r="G48"/>
  <c r="K48"/>
  <c r="P48"/>
  <c r="R48"/>
  <c r="S48"/>
  <c r="T48"/>
  <c r="W48"/>
  <c r="C49"/>
  <c r="M49" s="1"/>
  <c r="G49"/>
  <c r="K49"/>
  <c r="R49"/>
  <c r="S49"/>
  <c r="S50" s="1"/>
  <c r="S51" s="1"/>
  <c r="S52" s="1"/>
  <c r="S53" s="1"/>
  <c r="W49"/>
  <c r="R50"/>
  <c r="W50"/>
  <c r="W51"/>
  <c r="W52"/>
  <c r="W53"/>
  <c r="AR7" i="2"/>
  <c r="AP7"/>
  <c r="AN38"/>
  <c r="AN37"/>
  <c r="AN36"/>
  <c r="AN34"/>
  <c r="AN33"/>
  <c r="AN32"/>
  <c r="M48" i="10" l="1"/>
  <c r="T49"/>
  <c r="J48"/>
  <c r="T50"/>
  <c r="F48"/>
  <c r="O48"/>
  <c r="Q48" s="1"/>
  <c r="R51"/>
  <c r="G50"/>
  <c r="C50"/>
  <c r="P49"/>
  <c r="J49"/>
  <c r="AO2" i="2"/>
  <c r="AN2"/>
  <c r="AN30"/>
  <c r="AN29"/>
  <c r="AN28"/>
  <c r="G9" i="10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K8"/>
  <c r="E8"/>
  <c r="D8"/>
  <c r="R16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S9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R9"/>
  <c r="R10" s="1"/>
  <c r="R11" s="1"/>
  <c r="R12" s="1"/>
  <c r="R13" s="1"/>
  <c r="R14" s="1"/>
  <c r="R15" s="1"/>
  <c r="N48" l="1"/>
  <c r="AA48" s="1"/>
  <c r="L49"/>
  <c r="O49"/>
  <c r="Q49" s="1"/>
  <c r="L50"/>
  <c r="C51"/>
  <c r="K50"/>
  <c r="M50"/>
  <c r="F49"/>
  <c r="N49" s="1"/>
  <c r="R52"/>
  <c r="T51"/>
  <c r="J50"/>
  <c r="P50"/>
  <c r="G51"/>
  <c r="AN3" i="2"/>
  <c r="AO4"/>
  <c r="AN26"/>
  <c r="AN27"/>
  <c r="V3" i="10"/>
  <c r="V3" i="2"/>
  <c r="B1"/>
  <c r="D18" i="10"/>
  <c r="F18" s="1"/>
  <c r="E18"/>
  <c r="H18"/>
  <c r="I18"/>
  <c r="K18"/>
  <c r="P18"/>
  <c r="T18"/>
  <c r="W18"/>
  <c r="D19"/>
  <c r="F19" s="1"/>
  <c r="E19"/>
  <c r="H19"/>
  <c r="J19" s="1"/>
  <c r="I19"/>
  <c r="K19"/>
  <c r="M19"/>
  <c r="T19"/>
  <c r="W19"/>
  <c r="D20"/>
  <c r="O20" s="1"/>
  <c r="E20"/>
  <c r="H20"/>
  <c r="J20" s="1"/>
  <c r="I20"/>
  <c r="K20"/>
  <c r="P20"/>
  <c r="T20"/>
  <c r="W20"/>
  <c r="D21"/>
  <c r="O21" s="1"/>
  <c r="E21"/>
  <c r="H21"/>
  <c r="I21"/>
  <c r="K21"/>
  <c r="P21"/>
  <c r="T21"/>
  <c r="W21"/>
  <c r="D22"/>
  <c r="F22" s="1"/>
  <c r="E22"/>
  <c r="M22" s="1"/>
  <c r="H22"/>
  <c r="P22" s="1"/>
  <c r="I22"/>
  <c r="K22"/>
  <c r="L22"/>
  <c r="T22"/>
  <c r="W22"/>
  <c r="D23"/>
  <c r="E23"/>
  <c r="H23"/>
  <c r="J23" s="1"/>
  <c r="I23"/>
  <c r="K23"/>
  <c r="P23"/>
  <c r="T23"/>
  <c r="W23"/>
  <c r="D24"/>
  <c r="O24" s="1"/>
  <c r="E24"/>
  <c r="M24" s="1"/>
  <c r="H24"/>
  <c r="I24"/>
  <c r="K24"/>
  <c r="L24"/>
  <c r="P24"/>
  <c r="T24"/>
  <c r="W24"/>
  <c r="D25"/>
  <c r="L25" s="1"/>
  <c r="E25"/>
  <c r="H25"/>
  <c r="I25"/>
  <c r="K25"/>
  <c r="P25"/>
  <c r="T25"/>
  <c r="W25"/>
  <c r="D26"/>
  <c r="F26" s="1"/>
  <c r="E26"/>
  <c r="H26"/>
  <c r="I26"/>
  <c r="J26" s="1"/>
  <c r="K26"/>
  <c r="P26"/>
  <c r="T26"/>
  <c r="W26"/>
  <c r="D27"/>
  <c r="F27" s="1"/>
  <c r="E27"/>
  <c r="H27"/>
  <c r="I27"/>
  <c r="K27"/>
  <c r="M27"/>
  <c r="P27"/>
  <c r="T27"/>
  <c r="W27"/>
  <c r="D28"/>
  <c r="O28" s="1"/>
  <c r="Q28" s="1"/>
  <c r="E28"/>
  <c r="M28" s="1"/>
  <c r="H28"/>
  <c r="I28"/>
  <c r="K28"/>
  <c r="L28"/>
  <c r="P28"/>
  <c r="T28"/>
  <c r="W28"/>
  <c r="D29"/>
  <c r="L29" s="1"/>
  <c r="E29"/>
  <c r="H29"/>
  <c r="I29"/>
  <c r="J29" s="1"/>
  <c r="K29"/>
  <c r="P29"/>
  <c r="T29"/>
  <c r="W29"/>
  <c r="D30"/>
  <c r="F30" s="1"/>
  <c r="E30"/>
  <c r="H30"/>
  <c r="I30"/>
  <c r="K30"/>
  <c r="T30"/>
  <c r="W30"/>
  <c r="D31"/>
  <c r="F31" s="1"/>
  <c r="E31"/>
  <c r="H31"/>
  <c r="I31"/>
  <c r="K31"/>
  <c r="M31"/>
  <c r="P31"/>
  <c r="T31"/>
  <c r="W31"/>
  <c r="D32"/>
  <c r="E32"/>
  <c r="H32"/>
  <c r="I32"/>
  <c r="K32"/>
  <c r="L32"/>
  <c r="O32"/>
  <c r="P32"/>
  <c r="T32"/>
  <c r="W32"/>
  <c r="D33"/>
  <c r="O33" s="1"/>
  <c r="E33"/>
  <c r="M33" s="1"/>
  <c r="H33"/>
  <c r="I33"/>
  <c r="J33" s="1"/>
  <c r="K33"/>
  <c r="P33"/>
  <c r="T33"/>
  <c r="W33"/>
  <c r="D34"/>
  <c r="F34" s="1"/>
  <c r="E34"/>
  <c r="M34" s="1"/>
  <c r="H34"/>
  <c r="P34" s="1"/>
  <c r="I34"/>
  <c r="J34"/>
  <c r="K34"/>
  <c r="T34"/>
  <c r="W34"/>
  <c r="D35"/>
  <c r="F35" s="1"/>
  <c r="E35"/>
  <c r="H35"/>
  <c r="I35"/>
  <c r="M35" s="1"/>
  <c r="K35"/>
  <c r="P35"/>
  <c r="T35"/>
  <c r="W35"/>
  <c r="D36"/>
  <c r="L36" s="1"/>
  <c r="E36"/>
  <c r="M36" s="1"/>
  <c r="H36"/>
  <c r="I36"/>
  <c r="K36"/>
  <c r="O36"/>
  <c r="P36"/>
  <c r="T36"/>
  <c r="W36"/>
  <c r="D37"/>
  <c r="L37" s="1"/>
  <c r="E37"/>
  <c r="H37"/>
  <c r="I37"/>
  <c r="J37" s="1"/>
  <c r="K37"/>
  <c r="P37"/>
  <c r="T37"/>
  <c r="W37"/>
  <c r="D38"/>
  <c r="F38" s="1"/>
  <c r="E38"/>
  <c r="H38"/>
  <c r="I38"/>
  <c r="K38"/>
  <c r="T38"/>
  <c r="W38"/>
  <c r="D39"/>
  <c r="F39" s="1"/>
  <c r="E39"/>
  <c r="H39"/>
  <c r="I39"/>
  <c r="K39"/>
  <c r="M39"/>
  <c r="P39"/>
  <c r="T39"/>
  <c r="W39"/>
  <c r="D40"/>
  <c r="L40" s="1"/>
  <c r="E40"/>
  <c r="H40"/>
  <c r="I40"/>
  <c r="K40"/>
  <c r="O40"/>
  <c r="P40"/>
  <c r="T40"/>
  <c r="W40"/>
  <c r="D41"/>
  <c r="O41" s="1"/>
  <c r="E41"/>
  <c r="M41" s="1"/>
  <c r="H41"/>
  <c r="I41"/>
  <c r="J41" s="1"/>
  <c r="K41"/>
  <c r="P41"/>
  <c r="T41"/>
  <c r="W41"/>
  <c r="D42"/>
  <c r="F42" s="1"/>
  <c r="E42"/>
  <c r="M42" s="1"/>
  <c r="H42"/>
  <c r="P42" s="1"/>
  <c r="I42"/>
  <c r="K42"/>
  <c r="T42"/>
  <c r="W42"/>
  <c r="D43"/>
  <c r="F43" s="1"/>
  <c r="E43"/>
  <c r="H43"/>
  <c r="I43"/>
  <c r="M43" s="1"/>
  <c r="K43"/>
  <c r="P43"/>
  <c r="T43"/>
  <c r="W43"/>
  <c r="D44"/>
  <c r="L44" s="1"/>
  <c r="E44"/>
  <c r="M44" s="1"/>
  <c r="H44"/>
  <c r="I44"/>
  <c r="K44"/>
  <c r="O44"/>
  <c r="P44"/>
  <c r="T44"/>
  <c r="W44"/>
  <c r="D45"/>
  <c r="L45" s="1"/>
  <c r="E45"/>
  <c r="H45"/>
  <c r="I45"/>
  <c r="K45"/>
  <c r="P45"/>
  <c r="T45"/>
  <c r="W45"/>
  <c r="D46"/>
  <c r="F46" s="1"/>
  <c r="E46"/>
  <c r="H46"/>
  <c r="P46" s="1"/>
  <c r="I46"/>
  <c r="K46"/>
  <c r="T46"/>
  <c r="W46"/>
  <c r="D47"/>
  <c r="F47" s="1"/>
  <c r="E47"/>
  <c r="M47" s="1"/>
  <c r="H47"/>
  <c r="I47"/>
  <c r="K47"/>
  <c r="T47"/>
  <c r="W47"/>
  <c r="K16"/>
  <c r="K17"/>
  <c r="I8"/>
  <c r="M8" s="1"/>
  <c r="H8"/>
  <c r="L8" s="1"/>
  <c r="H16"/>
  <c r="I16"/>
  <c r="H17"/>
  <c r="I17"/>
  <c r="H9"/>
  <c r="D16"/>
  <c r="E16"/>
  <c r="D17"/>
  <c r="L17" s="1"/>
  <c r="E17"/>
  <c r="D9"/>
  <c r="U61"/>
  <c r="Q4"/>
  <c r="M4"/>
  <c r="N3"/>
  <c r="E3"/>
  <c r="B1"/>
  <c r="Q4" i="2"/>
  <c r="M4"/>
  <c r="N3"/>
  <c r="E3"/>
  <c r="AN25"/>
  <c r="AN24"/>
  <c r="AN22"/>
  <c r="AN21"/>
  <c r="AN19"/>
  <c r="AN18"/>
  <c r="AN16"/>
  <c r="AN9"/>
  <c r="AN10"/>
  <c r="AN14"/>
  <c r="AN13"/>
  <c r="BF82" l="1"/>
  <c r="BF81"/>
  <c r="O6"/>
  <c r="S54" i="10"/>
  <c r="R54"/>
  <c r="V54"/>
  <c r="E54"/>
  <c r="I54"/>
  <c r="M54"/>
  <c r="U54"/>
  <c r="K54"/>
  <c r="C54"/>
  <c r="D54"/>
  <c r="H54"/>
  <c r="T54"/>
  <c r="Y54"/>
  <c r="G54"/>
  <c r="W54"/>
  <c r="K51"/>
  <c r="L51"/>
  <c r="C52"/>
  <c r="M51"/>
  <c r="F50"/>
  <c r="N50" s="1"/>
  <c r="AA49"/>
  <c r="P51"/>
  <c r="G52"/>
  <c r="T52"/>
  <c r="R53"/>
  <c r="T53" s="1"/>
  <c r="O50"/>
  <c r="Q50" s="1"/>
  <c r="AP2" i="2"/>
  <c r="AR2" s="1"/>
  <c r="AR6" s="1"/>
  <c r="AP4"/>
  <c r="J45" i="10"/>
  <c r="J42"/>
  <c r="Q41"/>
  <c r="J39"/>
  <c r="J35"/>
  <c r="J22"/>
  <c r="Q21"/>
  <c r="J38"/>
  <c r="J31"/>
  <c r="J28"/>
  <c r="J47"/>
  <c r="J43"/>
  <c r="Q33"/>
  <c r="J30"/>
  <c r="J18"/>
  <c r="J21"/>
  <c r="O45"/>
  <c r="Q45" s="1"/>
  <c r="O37"/>
  <c r="Q37" s="1"/>
  <c r="O29"/>
  <c r="Q29" s="1"/>
  <c r="F29"/>
  <c r="O25"/>
  <c r="F25"/>
  <c r="L38"/>
  <c r="L30"/>
  <c r="L26"/>
  <c r="M23"/>
  <c r="F21"/>
  <c r="O19"/>
  <c r="L42"/>
  <c r="L34"/>
  <c r="F23"/>
  <c r="L16"/>
  <c r="P47"/>
  <c r="J46"/>
  <c r="N46" s="1"/>
  <c r="M16"/>
  <c r="M46"/>
  <c r="L41"/>
  <c r="Q40"/>
  <c r="J40"/>
  <c r="M38"/>
  <c r="L33"/>
  <c r="Q32"/>
  <c r="J32"/>
  <c r="M30"/>
  <c r="J25"/>
  <c r="Q24"/>
  <c r="L21"/>
  <c r="L20"/>
  <c r="M20"/>
  <c r="P19"/>
  <c r="N18"/>
  <c r="N42"/>
  <c r="N34"/>
  <c r="N22"/>
  <c r="M18"/>
  <c r="L46"/>
  <c r="M17"/>
  <c r="Q44"/>
  <c r="J44"/>
  <c r="P38"/>
  <c r="Q36"/>
  <c r="J36"/>
  <c r="P30"/>
  <c r="J27"/>
  <c r="N26"/>
  <c r="Q25"/>
  <c r="J24"/>
  <c r="M45"/>
  <c r="M40"/>
  <c r="N38"/>
  <c r="M37"/>
  <c r="M32"/>
  <c r="N30"/>
  <c r="M26"/>
  <c r="Q20"/>
  <c r="Q19"/>
  <c r="F45"/>
  <c r="N45" s="1"/>
  <c r="AA45" s="1"/>
  <c r="F41"/>
  <c r="F37"/>
  <c r="N37" s="1"/>
  <c r="AA37" s="1"/>
  <c r="F33"/>
  <c r="M29"/>
  <c r="M25"/>
  <c r="M21"/>
  <c r="L18"/>
  <c r="N47"/>
  <c r="N43"/>
  <c r="N39"/>
  <c r="N35"/>
  <c r="N31"/>
  <c r="N27"/>
  <c r="N23"/>
  <c r="N41"/>
  <c r="AA41" s="1"/>
  <c r="N33"/>
  <c r="AA33" s="1"/>
  <c r="N29"/>
  <c r="AA29" s="1"/>
  <c r="N25"/>
  <c r="AA25" s="1"/>
  <c r="N21"/>
  <c r="AA21" s="1"/>
  <c r="N19"/>
  <c r="AA19" s="1"/>
  <c r="L47"/>
  <c r="F44"/>
  <c r="N44" s="1"/>
  <c r="AA44" s="1"/>
  <c r="L43"/>
  <c r="F40"/>
  <c r="N40" s="1"/>
  <c r="AA40" s="1"/>
  <c r="L39"/>
  <c r="F36"/>
  <c r="N36" s="1"/>
  <c r="AA36" s="1"/>
  <c r="L35"/>
  <c r="F32"/>
  <c r="N32" s="1"/>
  <c r="AA32" s="1"/>
  <c r="L31"/>
  <c r="F28"/>
  <c r="N28" s="1"/>
  <c r="AA28" s="1"/>
  <c r="L27"/>
  <c r="F24"/>
  <c r="N24" s="1"/>
  <c r="AA24" s="1"/>
  <c r="L23"/>
  <c r="F20"/>
  <c r="N20" s="1"/>
  <c r="AA20" s="1"/>
  <c r="L19"/>
  <c r="O46"/>
  <c r="Q46" s="1"/>
  <c r="O42"/>
  <c r="Q42" s="1"/>
  <c r="AA42" s="1"/>
  <c r="O38"/>
  <c r="Q38" s="1"/>
  <c r="AA38" s="1"/>
  <c r="O34"/>
  <c r="Q34" s="1"/>
  <c r="AA34" s="1"/>
  <c r="O30"/>
  <c r="Q30" s="1"/>
  <c r="AA30" s="1"/>
  <c r="O26"/>
  <c r="Q26" s="1"/>
  <c r="AA26" s="1"/>
  <c r="O22"/>
  <c r="Q22" s="1"/>
  <c r="AA22" s="1"/>
  <c r="O18"/>
  <c r="Q18" s="1"/>
  <c r="AA18" s="1"/>
  <c r="O47"/>
  <c r="Q47" s="1"/>
  <c r="O43"/>
  <c r="Q43" s="1"/>
  <c r="O39"/>
  <c r="Q39" s="1"/>
  <c r="O35"/>
  <c r="Q35" s="1"/>
  <c r="O31"/>
  <c r="Q31" s="1"/>
  <c r="O27"/>
  <c r="Q27" s="1"/>
  <c r="O23"/>
  <c r="Q23" s="1"/>
  <c r="AB3" i="2"/>
  <c r="AK4" s="1"/>
  <c r="X6" s="1"/>
  <c r="E9" i="10"/>
  <c r="I9"/>
  <c r="K9"/>
  <c r="L9"/>
  <c r="AP6" i="2"/>
  <c r="U59" i="10"/>
  <c r="AB3"/>
  <c r="F60"/>
  <c r="AN7" i="2"/>
  <c r="AO6"/>
  <c r="AN6"/>
  <c r="AP3" s="1"/>
  <c r="AR3" l="1"/>
  <c r="AN12" s="1"/>
  <c r="J51" i="10"/>
  <c r="AA50"/>
  <c r="F51"/>
  <c r="P52"/>
  <c r="G53"/>
  <c r="M52"/>
  <c r="C53"/>
  <c r="K52"/>
  <c r="L52"/>
  <c r="O51"/>
  <c r="Q51" s="1"/>
  <c r="AA46"/>
  <c r="AA31"/>
  <c r="AA47"/>
  <c r="AA27"/>
  <c r="AA43"/>
  <c r="AA23"/>
  <c r="AA39"/>
  <c r="AA35"/>
  <c r="M9"/>
  <c r="E10"/>
  <c r="D10"/>
  <c r="I11"/>
  <c r="H11"/>
  <c r="I10"/>
  <c r="K10"/>
  <c r="H10"/>
  <c r="G13" i="9"/>
  <c r="AL4" i="2"/>
  <c r="AO9"/>
  <c r="N51" i="10" l="1"/>
  <c r="AO10" i="2"/>
  <c r="AP10" s="1"/>
  <c r="AP9"/>
  <c r="AR4"/>
  <c r="O52" i="10"/>
  <c r="Q52" s="1"/>
  <c r="F52"/>
  <c r="F54" s="1"/>
  <c r="J52"/>
  <c r="N52" s="1"/>
  <c r="M53"/>
  <c r="K53"/>
  <c r="L53"/>
  <c r="L54" s="1"/>
  <c r="F53"/>
  <c r="P53"/>
  <c r="P54" s="1"/>
  <c r="K12"/>
  <c r="E11"/>
  <c r="M11" s="1"/>
  <c r="D11"/>
  <c r="L11" s="1"/>
  <c r="K11"/>
  <c r="I12"/>
  <c r="H12"/>
  <c r="M10"/>
  <c r="L10"/>
  <c r="AN11" i="2"/>
  <c r="AA51" i="10" l="1"/>
  <c r="AA52"/>
  <c r="J53"/>
  <c r="O53"/>
  <c r="Q53" s="1"/>
  <c r="Z54" s="1"/>
  <c r="D12"/>
  <c r="L12" s="1"/>
  <c r="E12"/>
  <c r="M12" s="1"/>
  <c r="I13"/>
  <c r="K13"/>
  <c r="H13"/>
  <c r="T8"/>
  <c r="O8"/>
  <c r="AQ9" i="2"/>
  <c r="F8" i="10"/>
  <c r="N53" l="1"/>
  <c r="N54" s="1"/>
  <c r="J54"/>
  <c r="O54"/>
  <c r="Q54"/>
  <c r="AK9" i="2"/>
  <c r="BD9"/>
  <c r="AJ9"/>
  <c r="AA53" i="10"/>
  <c r="AR9" i="2"/>
  <c r="AV9"/>
  <c r="D13" i="10"/>
  <c r="L13" s="1"/>
  <c r="E13"/>
  <c r="M13" s="1"/>
  <c r="H14"/>
  <c r="K14"/>
  <c r="I14"/>
  <c r="W8"/>
  <c r="J8"/>
  <c r="N8" s="1"/>
  <c r="P8"/>
  <c r="B8" i="2"/>
  <c r="O9" i="10"/>
  <c r="AT9" i="2" l="1"/>
  <c r="AX9"/>
  <c r="I8" s="1"/>
  <c r="G8"/>
  <c r="AS9"/>
  <c r="AW9"/>
  <c r="H8" s="1"/>
  <c r="E8"/>
  <c r="C8"/>
  <c r="U8"/>
  <c r="V8"/>
  <c r="E14" i="10"/>
  <c r="M14" s="1"/>
  <c r="D14"/>
  <c r="I15"/>
  <c r="K15"/>
  <c r="H15"/>
  <c r="Q8"/>
  <c r="AA8" s="1"/>
  <c r="R8" i="2"/>
  <c r="S8"/>
  <c r="T9" i="10"/>
  <c r="F9"/>
  <c r="O10"/>
  <c r="J9"/>
  <c r="P9"/>
  <c r="W9"/>
  <c r="P8" i="2" l="1"/>
  <c r="K8"/>
  <c r="N9" i="10"/>
  <c r="D15"/>
  <c r="E15"/>
  <c r="L14"/>
  <c r="J8" i="2"/>
  <c r="F10" i="10"/>
  <c r="W10"/>
  <c r="J10"/>
  <c r="O11"/>
  <c r="Q9"/>
  <c r="P10"/>
  <c r="Q10" s="1"/>
  <c r="T10"/>
  <c r="L15" l="1"/>
  <c r="M15"/>
  <c r="N10"/>
  <c r="F11"/>
  <c r="P11"/>
  <c r="Q11" s="1"/>
  <c r="W11"/>
  <c r="T11"/>
  <c r="J11"/>
  <c r="O12"/>
  <c r="N11" l="1"/>
  <c r="AA10"/>
  <c r="W12"/>
  <c r="T12"/>
  <c r="J12"/>
  <c r="F12"/>
  <c r="AA9"/>
  <c r="P12"/>
  <c r="Q12" s="1"/>
  <c r="AA11" l="1"/>
  <c r="N12"/>
  <c r="W13"/>
  <c r="F13"/>
  <c r="O13"/>
  <c r="P13"/>
  <c r="O14"/>
  <c r="T13"/>
  <c r="J13"/>
  <c r="AL12" i="2"/>
  <c r="AA12" i="10" l="1"/>
  <c r="N13"/>
  <c r="T14"/>
  <c r="O15"/>
  <c r="F14"/>
  <c r="Q13"/>
  <c r="J14"/>
  <c r="P14"/>
  <c r="Q14" s="1"/>
  <c r="AL3" i="2"/>
  <c r="AO11"/>
  <c r="AP11" s="1"/>
  <c r="W14" i="10"/>
  <c r="T8" i="2"/>
  <c r="A8"/>
  <c r="AA13" i="10" l="1"/>
  <c r="N14"/>
  <c r="W15"/>
  <c r="F15"/>
  <c r="T15"/>
  <c r="P15"/>
  <c r="Q15" s="1"/>
  <c r="J15"/>
  <c r="AQ10" i="2"/>
  <c r="BD10" s="1"/>
  <c r="AQ11"/>
  <c r="BD11" s="1"/>
  <c r="O16" i="10"/>
  <c r="M8" i="2"/>
  <c r="AO12"/>
  <c r="AP12" s="1"/>
  <c r="AK10" l="1"/>
  <c r="AJ10"/>
  <c r="AJ11"/>
  <c r="AK11"/>
  <c r="AR10"/>
  <c r="N15" i="10"/>
  <c r="AA14"/>
  <c r="BA10" i="2"/>
  <c r="BA11" s="1"/>
  <c r="AZ10"/>
  <c r="P16" i="10"/>
  <c r="Q16" s="1"/>
  <c r="W17"/>
  <c r="W16"/>
  <c r="F16"/>
  <c r="T17"/>
  <c r="AL11" i="2"/>
  <c r="J16" i="10"/>
  <c r="T16"/>
  <c r="B9" i="2"/>
  <c r="A9" s="1"/>
  <c r="B10"/>
  <c r="AQ12"/>
  <c r="BD12" s="1"/>
  <c r="BE12" s="1"/>
  <c r="AO13"/>
  <c r="AP13" s="1"/>
  <c r="A10" l="1"/>
  <c r="AS10"/>
  <c r="D9" s="1"/>
  <c r="AT10"/>
  <c r="AJ12"/>
  <c r="AK12"/>
  <c r="AV10"/>
  <c r="AW10" s="1"/>
  <c r="H9" s="1"/>
  <c r="U9"/>
  <c r="V9"/>
  <c r="E9"/>
  <c r="N16" i="10"/>
  <c r="BC9" i="2"/>
  <c r="BC10" s="1"/>
  <c r="R9"/>
  <c r="R10" s="1"/>
  <c r="AR11"/>
  <c r="AZ11"/>
  <c r="S9"/>
  <c r="S10" s="1"/>
  <c r="C9"/>
  <c r="AA16" i="10"/>
  <c r="D8" i="2"/>
  <c r="B11"/>
  <c r="J17" i="10"/>
  <c r="P17"/>
  <c r="F17"/>
  <c r="O17"/>
  <c r="AA15"/>
  <c r="AQ13" i="2"/>
  <c r="BD13" s="1"/>
  <c r="BE13" s="1"/>
  <c r="AO14"/>
  <c r="AP14" s="1"/>
  <c r="A11" l="1"/>
  <c r="X11"/>
  <c r="AS11"/>
  <c r="AJ13"/>
  <c r="AK13"/>
  <c r="AR12"/>
  <c r="AT11"/>
  <c r="E10" s="1"/>
  <c r="AV11"/>
  <c r="AX10"/>
  <c r="I9" s="1"/>
  <c r="M9" s="1"/>
  <c r="G9"/>
  <c r="N17" i="10"/>
  <c r="BC11" i="2"/>
  <c r="R11"/>
  <c r="D10"/>
  <c r="L8"/>
  <c r="T10"/>
  <c r="S11"/>
  <c r="W9"/>
  <c r="T9"/>
  <c r="L9"/>
  <c r="C10"/>
  <c r="B12"/>
  <c r="X12" s="1"/>
  <c r="F8"/>
  <c r="Q17" i="10"/>
  <c r="AQ14" i="2"/>
  <c r="BD14" s="1"/>
  <c r="BE14" s="1"/>
  <c r="F9"/>
  <c r="W8"/>
  <c r="AO15"/>
  <c r="AP15" s="1"/>
  <c r="AR13" l="1"/>
  <c r="AS13" s="1"/>
  <c r="A12"/>
  <c r="G10"/>
  <c r="K10" s="1"/>
  <c r="AK14"/>
  <c r="AJ14"/>
  <c r="AT12"/>
  <c r="AS12"/>
  <c r="D11" s="1"/>
  <c r="J9"/>
  <c r="N9" s="1"/>
  <c r="AV12"/>
  <c r="AW11"/>
  <c r="H10" s="1"/>
  <c r="L10" s="1"/>
  <c r="AX11"/>
  <c r="I10" s="1"/>
  <c r="K9"/>
  <c r="P9"/>
  <c r="R12"/>
  <c r="BC12"/>
  <c r="S12"/>
  <c r="T11"/>
  <c r="C11"/>
  <c r="N8"/>
  <c r="E11"/>
  <c r="B13"/>
  <c r="X13" s="1"/>
  <c r="F10"/>
  <c r="U10" s="1"/>
  <c r="AQ15"/>
  <c r="BD15" s="1"/>
  <c r="BE15" s="1"/>
  <c r="AO16"/>
  <c r="AP16" s="1"/>
  <c r="AR14" l="1"/>
  <c r="AT14" s="1"/>
  <c r="AT13"/>
  <c r="Y9"/>
  <c r="BB10" s="1"/>
  <c r="AY10" s="1"/>
  <c r="O9" s="1"/>
  <c r="A13"/>
  <c r="P10"/>
  <c r="AJ15"/>
  <c r="AK15"/>
  <c r="J10"/>
  <c r="V10" s="1"/>
  <c r="M10"/>
  <c r="AX12"/>
  <c r="I11" s="1"/>
  <c r="M11" s="1"/>
  <c r="AW12"/>
  <c r="H11" s="1"/>
  <c r="L11" s="1"/>
  <c r="AV13"/>
  <c r="G11"/>
  <c r="K11" s="1"/>
  <c r="V13"/>
  <c r="U13"/>
  <c r="R13"/>
  <c r="BC13"/>
  <c r="AR15"/>
  <c r="S13"/>
  <c r="T12"/>
  <c r="E12"/>
  <c r="Y8"/>
  <c r="BB9" s="1"/>
  <c r="C12"/>
  <c r="F11"/>
  <c r="U11" s="1"/>
  <c r="U12" s="1"/>
  <c r="E13"/>
  <c r="B14"/>
  <c r="X14" s="1"/>
  <c r="AQ16"/>
  <c r="BD16" s="1"/>
  <c r="BE16" s="1"/>
  <c r="AO17"/>
  <c r="AP17" s="1"/>
  <c r="AS14" l="1"/>
  <c r="AT15"/>
  <c r="N10"/>
  <c r="A14"/>
  <c r="W10"/>
  <c r="AJ16"/>
  <c r="AK16"/>
  <c r="AS15"/>
  <c r="AX13"/>
  <c r="I12" s="1"/>
  <c r="M12" s="1"/>
  <c r="AW13"/>
  <c r="H12" s="1"/>
  <c r="G12"/>
  <c r="K12" s="1"/>
  <c r="AV14"/>
  <c r="J11"/>
  <c r="V11" s="1"/>
  <c r="W11" s="1"/>
  <c r="P11"/>
  <c r="V14"/>
  <c r="U14"/>
  <c r="BC14"/>
  <c r="AY9"/>
  <c r="O8" s="1"/>
  <c r="R14"/>
  <c r="Q9"/>
  <c r="BF10" s="1"/>
  <c r="BE10" s="1"/>
  <c r="AR16"/>
  <c r="C13"/>
  <c r="S14"/>
  <c r="T13"/>
  <c r="D12"/>
  <c r="E14"/>
  <c r="B15"/>
  <c r="X15" s="1"/>
  <c r="AA17" i="10"/>
  <c r="AO18" i="2"/>
  <c r="AP18" s="1"/>
  <c r="AT16" l="1"/>
  <c r="X9"/>
  <c r="Z9" s="1"/>
  <c r="AA9" s="1"/>
  <c r="Y10"/>
  <c r="BB11" s="1"/>
  <c r="AY11" s="1"/>
  <c r="O10" s="1"/>
  <c r="A15"/>
  <c r="L12"/>
  <c r="V12"/>
  <c r="AS16"/>
  <c r="N11"/>
  <c r="J12"/>
  <c r="P12"/>
  <c r="AX14"/>
  <c r="I13" s="1"/>
  <c r="M13" s="1"/>
  <c r="AV15"/>
  <c r="AW15" s="1"/>
  <c r="AW14"/>
  <c r="H13" s="1"/>
  <c r="G13"/>
  <c r="K13" s="1"/>
  <c r="V15"/>
  <c r="U15"/>
  <c r="BC15"/>
  <c r="R15"/>
  <c r="C14"/>
  <c r="D13"/>
  <c r="F13" s="1"/>
  <c r="S15"/>
  <c r="F12"/>
  <c r="T14"/>
  <c r="C15"/>
  <c r="D14"/>
  <c r="E15"/>
  <c r="AO19"/>
  <c r="AP19" s="1"/>
  <c r="AQ18"/>
  <c r="BD18" s="1"/>
  <c r="BE18" s="1"/>
  <c r="AQ17"/>
  <c r="BD17" s="1"/>
  <c r="BE17" s="1"/>
  <c r="Y11" l="1"/>
  <c r="BB12" s="1"/>
  <c r="AY12" s="1"/>
  <c r="O11" s="1"/>
  <c r="Q11" s="1"/>
  <c r="Q10"/>
  <c r="BF11" s="1"/>
  <c r="BE11" s="1"/>
  <c r="AJ17"/>
  <c r="AK17"/>
  <c r="AK18"/>
  <c r="AJ18"/>
  <c r="AR17"/>
  <c r="J13"/>
  <c r="N13" s="1"/>
  <c r="P13"/>
  <c r="AX15"/>
  <c r="I14" s="1"/>
  <c r="M14" s="1"/>
  <c r="G14"/>
  <c r="K14" s="1"/>
  <c r="AV16"/>
  <c r="H14"/>
  <c r="W13"/>
  <c r="N12"/>
  <c r="Y12" s="1"/>
  <c r="W12"/>
  <c r="L13"/>
  <c r="D15"/>
  <c r="T15"/>
  <c r="AV17"/>
  <c r="AX17" s="1"/>
  <c r="F14"/>
  <c r="B17"/>
  <c r="X17" s="1"/>
  <c r="B16"/>
  <c r="A16" s="1"/>
  <c r="AO20"/>
  <c r="AQ19"/>
  <c r="BD19" s="1"/>
  <c r="BE19" s="1"/>
  <c r="Z11" l="1"/>
  <c r="AA11" s="1"/>
  <c r="BF12"/>
  <c r="AT17"/>
  <c r="X10"/>
  <c r="Z10" s="1"/>
  <c r="AA10" s="1"/>
  <c r="AO21"/>
  <c r="AP21" s="1"/>
  <c r="AP20"/>
  <c r="AQ20" s="1"/>
  <c r="BD20" s="1"/>
  <c r="BE20" s="1"/>
  <c r="A17"/>
  <c r="Y13"/>
  <c r="AR18"/>
  <c r="AS17"/>
  <c r="D16" s="1"/>
  <c r="AJ19"/>
  <c r="AK19"/>
  <c r="J14"/>
  <c r="N14" s="1"/>
  <c r="P14"/>
  <c r="L14"/>
  <c r="AX16"/>
  <c r="I15" s="1"/>
  <c r="M15" s="1"/>
  <c r="G15"/>
  <c r="AW16"/>
  <c r="H15" s="1"/>
  <c r="L15" s="1"/>
  <c r="V16"/>
  <c r="V17" s="1"/>
  <c r="U16"/>
  <c r="U17" s="1"/>
  <c r="BC16"/>
  <c r="BC17" s="1"/>
  <c r="BB13"/>
  <c r="AY13" s="1"/>
  <c r="O12" s="1"/>
  <c r="Q12" s="1"/>
  <c r="R16"/>
  <c r="R17" s="1"/>
  <c r="W14"/>
  <c r="F15"/>
  <c r="W15" s="1"/>
  <c r="S16"/>
  <c r="S17" s="1"/>
  <c r="AW17"/>
  <c r="AV18"/>
  <c r="AX18" s="1"/>
  <c r="G16"/>
  <c r="C16"/>
  <c r="C17" s="1"/>
  <c r="E16"/>
  <c r="B18"/>
  <c r="X18" s="1"/>
  <c r="Z12" l="1"/>
  <c r="BF13"/>
  <c r="AT18"/>
  <c r="AO22"/>
  <c r="AP22" s="1"/>
  <c r="H16"/>
  <c r="I16"/>
  <c r="J16" s="1"/>
  <c r="E17"/>
  <c r="A18"/>
  <c r="AR19"/>
  <c r="AR20" s="1"/>
  <c r="AS18"/>
  <c r="D17" s="1"/>
  <c r="BB14"/>
  <c r="AY14" s="1"/>
  <c r="O13" s="1"/>
  <c r="Q13" s="1"/>
  <c r="Y14"/>
  <c r="AJ20"/>
  <c r="AK20"/>
  <c r="AS19"/>
  <c r="K15"/>
  <c r="J15"/>
  <c r="N15" s="1"/>
  <c r="P15"/>
  <c r="P16" s="1"/>
  <c r="V18"/>
  <c r="U18"/>
  <c r="BC18"/>
  <c r="AY18" s="1"/>
  <c r="R18"/>
  <c r="BB15"/>
  <c r="AY15" s="1"/>
  <c r="O14" s="1"/>
  <c r="Q14" s="1"/>
  <c r="BF15" s="1"/>
  <c r="G17"/>
  <c r="S18"/>
  <c r="T16"/>
  <c r="T17"/>
  <c r="I17"/>
  <c r="AW18"/>
  <c r="H17" s="1"/>
  <c r="AV19"/>
  <c r="AX19" s="1"/>
  <c r="K16"/>
  <c r="B19"/>
  <c r="F16"/>
  <c r="W17" s="1"/>
  <c r="M16"/>
  <c r="L16"/>
  <c r="AQ21"/>
  <c r="BD21" s="1"/>
  <c r="BE21" s="1"/>
  <c r="AO23"/>
  <c r="AP23" s="1"/>
  <c r="Z13" l="1"/>
  <c r="AA13" s="1"/>
  <c r="BF14"/>
  <c r="C18"/>
  <c r="A19"/>
  <c r="X19"/>
  <c r="AT20"/>
  <c r="E19" s="1"/>
  <c r="AT19"/>
  <c r="E18" s="1"/>
  <c r="D18"/>
  <c r="Z14"/>
  <c r="AA14" s="1"/>
  <c r="Y15"/>
  <c r="BB16" s="1"/>
  <c r="AY16" s="1"/>
  <c r="O15" s="1"/>
  <c r="Q15" s="1"/>
  <c r="BF16" s="1"/>
  <c r="AJ21"/>
  <c r="AK21"/>
  <c r="AS20"/>
  <c r="D19" s="1"/>
  <c r="V19"/>
  <c r="U19"/>
  <c r="BC19"/>
  <c r="AY19" s="1"/>
  <c r="R19"/>
  <c r="G18"/>
  <c r="AR21"/>
  <c r="W16"/>
  <c r="S19"/>
  <c r="T18"/>
  <c r="W18"/>
  <c r="C19"/>
  <c r="P17"/>
  <c r="J17"/>
  <c r="AW19"/>
  <c r="H18" s="1"/>
  <c r="I18"/>
  <c r="AV20"/>
  <c r="AX20" s="1"/>
  <c r="F17"/>
  <c r="K17"/>
  <c r="B20"/>
  <c r="M17"/>
  <c r="L17"/>
  <c r="N16"/>
  <c r="AQ22"/>
  <c r="BD22" s="1"/>
  <c r="BE22" s="1"/>
  <c r="AO24"/>
  <c r="AP24" s="1"/>
  <c r="F18" l="1"/>
  <c r="A20"/>
  <c r="X20"/>
  <c r="AT21"/>
  <c r="Y16"/>
  <c r="Z15"/>
  <c r="AA15" s="1"/>
  <c r="K18"/>
  <c r="P18"/>
  <c r="AK22"/>
  <c r="AJ22"/>
  <c r="AS21"/>
  <c r="D20" s="1"/>
  <c r="V20"/>
  <c r="U20"/>
  <c r="BC20"/>
  <c r="AY20" s="1"/>
  <c r="O19" s="1"/>
  <c r="E20"/>
  <c r="R20"/>
  <c r="AR22"/>
  <c r="W19"/>
  <c r="S20"/>
  <c r="T19"/>
  <c r="H19"/>
  <c r="L19" s="1"/>
  <c r="I19"/>
  <c r="J18"/>
  <c r="C20"/>
  <c r="G19"/>
  <c r="AV21"/>
  <c r="AX21" s="1"/>
  <c r="BB17"/>
  <c r="AY17" s="1"/>
  <c r="O16" s="1"/>
  <c r="O17" s="1"/>
  <c r="Q17" s="1"/>
  <c r="BF18" s="1"/>
  <c r="F19"/>
  <c r="M18"/>
  <c r="B21"/>
  <c r="L18"/>
  <c r="AQ23"/>
  <c r="BD23" s="1"/>
  <c r="BE23" s="1"/>
  <c r="AO25"/>
  <c r="AP25" s="1"/>
  <c r="A21" l="1"/>
  <c r="X21"/>
  <c r="AT22"/>
  <c r="O18"/>
  <c r="Q18" s="1"/>
  <c r="BF19" s="1"/>
  <c r="AS22"/>
  <c r="AJ23"/>
  <c r="AK23"/>
  <c r="V21"/>
  <c r="U21"/>
  <c r="BC21"/>
  <c r="AY21" s="1"/>
  <c r="O20" s="1"/>
  <c r="R21"/>
  <c r="J19"/>
  <c r="N19" s="1"/>
  <c r="Y19" s="1"/>
  <c r="AR23"/>
  <c r="G20"/>
  <c r="Q16"/>
  <c r="BF17" s="1"/>
  <c r="S21"/>
  <c r="W20"/>
  <c r="C21"/>
  <c r="T20"/>
  <c r="P19"/>
  <c r="Q19" s="1"/>
  <c r="Z19" s="1"/>
  <c r="K19"/>
  <c r="I20"/>
  <c r="AW21"/>
  <c r="H20" s="1"/>
  <c r="AV22"/>
  <c r="AX22" s="1"/>
  <c r="N17"/>
  <c r="Y17" s="1"/>
  <c r="E21"/>
  <c r="F20"/>
  <c r="B22"/>
  <c r="N18"/>
  <c r="Y18" s="1"/>
  <c r="AQ24"/>
  <c r="BD24" s="1"/>
  <c r="BE24" s="1"/>
  <c r="AO26"/>
  <c r="AP26" s="1"/>
  <c r="BF20" l="1"/>
  <c r="A22"/>
  <c r="X22"/>
  <c r="AT23"/>
  <c r="E22" s="1"/>
  <c r="AJ24"/>
  <c r="AK24"/>
  <c r="AS23"/>
  <c r="V22"/>
  <c r="U22"/>
  <c r="BC22"/>
  <c r="AY22" s="1"/>
  <c r="BB20"/>
  <c r="K20"/>
  <c r="R22"/>
  <c r="AV23"/>
  <c r="AR24"/>
  <c r="M19"/>
  <c r="M20"/>
  <c r="P20"/>
  <c r="Q20" s="1"/>
  <c r="BF21" s="1"/>
  <c r="S22"/>
  <c r="W21"/>
  <c r="T21"/>
  <c r="C22"/>
  <c r="AA19"/>
  <c r="G21"/>
  <c r="K21" s="1"/>
  <c r="L20"/>
  <c r="I21"/>
  <c r="AW22"/>
  <c r="H21" s="1"/>
  <c r="D21"/>
  <c r="O21" s="1"/>
  <c r="BB19"/>
  <c r="BB18"/>
  <c r="B23"/>
  <c r="AQ25"/>
  <c r="BD25" s="1"/>
  <c r="BE25" s="1"/>
  <c r="AO27"/>
  <c r="AQ26"/>
  <c r="BD26" s="1"/>
  <c r="BE26" s="1"/>
  <c r="A23" l="1"/>
  <c r="X23"/>
  <c r="AT24"/>
  <c r="AP27"/>
  <c r="AQ27" s="1"/>
  <c r="AK26"/>
  <c r="AJ26"/>
  <c r="AS24"/>
  <c r="AJ25"/>
  <c r="AK25"/>
  <c r="AW23"/>
  <c r="H22" s="1"/>
  <c r="AX23"/>
  <c r="I22" s="1"/>
  <c r="V23"/>
  <c r="U23"/>
  <c r="BC23"/>
  <c r="AY23" s="1"/>
  <c r="E23"/>
  <c r="J20"/>
  <c r="N20" s="1"/>
  <c r="R23"/>
  <c r="AV24"/>
  <c r="AX24" s="1"/>
  <c r="P21"/>
  <c r="G22"/>
  <c r="K22" s="1"/>
  <c r="AR25"/>
  <c r="M21"/>
  <c r="F21"/>
  <c r="S23"/>
  <c r="W22"/>
  <c r="L21"/>
  <c r="C23"/>
  <c r="T22"/>
  <c r="D22"/>
  <c r="B24"/>
  <c r="AO28"/>
  <c r="AV25" l="1"/>
  <c r="AX25" s="1"/>
  <c r="AW24"/>
  <c r="H23" s="1"/>
  <c r="A24"/>
  <c r="X24"/>
  <c r="AT25"/>
  <c r="BD27"/>
  <c r="BE27" s="1"/>
  <c r="AK27"/>
  <c r="AJ27"/>
  <c r="AP28"/>
  <c r="AQ28" s="1"/>
  <c r="O22"/>
  <c r="Y20"/>
  <c r="Z20" s="1"/>
  <c r="AS25"/>
  <c r="G23"/>
  <c r="G24" s="1"/>
  <c r="I23"/>
  <c r="V24"/>
  <c r="U24"/>
  <c r="BC24"/>
  <c r="AY24" s="1"/>
  <c r="I24"/>
  <c r="E24"/>
  <c r="R24"/>
  <c r="P22"/>
  <c r="Q21"/>
  <c r="BF22" s="1"/>
  <c r="J21"/>
  <c r="N21" s="1"/>
  <c r="Y21" s="1"/>
  <c r="J22"/>
  <c r="M22"/>
  <c r="AR26"/>
  <c r="F22"/>
  <c r="S24"/>
  <c r="T23"/>
  <c r="L22"/>
  <c r="W23"/>
  <c r="C24"/>
  <c r="D23"/>
  <c r="O23" s="1"/>
  <c r="AW25"/>
  <c r="H24" s="1"/>
  <c r="AV26"/>
  <c r="B25"/>
  <c r="AO29"/>
  <c r="A25" l="1"/>
  <c r="X25"/>
  <c r="BD28"/>
  <c r="BE28" s="1"/>
  <c r="AK28"/>
  <c r="AJ28"/>
  <c r="AP29"/>
  <c r="AQ29" s="1"/>
  <c r="Q22"/>
  <c r="BF23" s="1"/>
  <c r="BB21"/>
  <c r="AX26"/>
  <c r="AV27"/>
  <c r="AT26"/>
  <c r="E25" s="1"/>
  <c r="AR27"/>
  <c r="AS26"/>
  <c r="Z21"/>
  <c r="K23"/>
  <c r="M23"/>
  <c r="J23"/>
  <c r="P23"/>
  <c r="Q23" s="1"/>
  <c r="BF24" s="1"/>
  <c r="V25"/>
  <c r="U25"/>
  <c r="BC25"/>
  <c r="AY25" s="1"/>
  <c r="R25"/>
  <c r="BB22"/>
  <c r="M24"/>
  <c r="N22"/>
  <c r="Y22" s="1"/>
  <c r="P24"/>
  <c r="L23"/>
  <c r="K24"/>
  <c r="F23"/>
  <c r="S25"/>
  <c r="C25"/>
  <c r="T24"/>
  <c r="W24"/>
  <c r="J24"/>
  <c r="AW26"/>
  <c r="H25" s="1"/>
  <c r="D24"/>
  <c r="I25"/>
  <c r="G25"/>
  <c r="B26"/>
  <c r="X26" s="1"/>
  <c r="AO30"/>
  <c r="BD29" l="1"/>
  <c r="BE29" s="1"/>
  <c r="AJ29"/>
  <c r="AK29"/>
  <c r="AP30"/>
  <c r="AQ30" s="1"/>
  <c r="Z22"/>
  <c r="AA22" s="1"/>
  <c r="O24"/>
  <c r="AT27"/>
  <c r="AS27"/>
  <c r="AR28"/>
  <c r="AW27"/>
  <c r="H26" s="1"/>
  <c r="AX27"/>
  <c r="I26" s="1"/>
  <c r="AV28"/>
  <c r="A26"/>
  <c r="BC26"/>
  <c r="AY26" s="1"/>
  <c r="N23"/>
  <c r="Y23" s="1"/>
  <c r="Z23" s="1"/>
  <c r="V26"/>
  <c r="U26"/>
  <c r="R26"/>
  <c r="AA21"/>
  <c r="M25"/>
  <c r="F24"/>
  <c r="N24" s="1"/>
  <c r="Y24" s="1"/>
  <c r="D25"/>
  <c r="L24"/>
  <c r="P25"/>
  <c r="S26"/>
  <c r="T25"/>
  <c r="W25"/>
  <c r="J25"/>
  <c r="K25"/>
  <c r="G26"/>
  <c r="C26"/>
  <c r="E26"/>
  <c r="B27"/>
  <c r="X27" s="1"/>
  <c r="B28"/>
  <c r="X28" s="1"/>
  <c r="AO31"/>
  <c r="BD30" l="1"/>
  <c r="BE30" s="1"/>
  <c r="AK30"/>
  <c r="AJ30"/>
  <c r="AP31"/>
  <c r="AQ31" s="1"/>
  <c r="O25"/>
  <c r="Q25" s="1"/>
  <c r="BF26" s="1"/>
  <c r="AS28"/>
  <c r="AT28"/>
  <c r="AR29"/>
  <c r="A27"/>
  <c r="A28" s="1"/>
  <c r="BC27"/>
  <c r="AY27" s="1"/>
  <c r="AX28"/>
  <c r="AW28"/>
  <c r="H27" s="1"/>
  <c r="AV29"/>
  <c r="BB24"/>
  <c r="V27"/>
  <c r="U27"/>
  <c r="V28"/>
  <c r="U28"/>
  <c r="BB23"/>
  <c r="BB25"/>
  <c r="R27"/>
  <c r="R28" s="1"/>
  <c r="E27"/>
  <c r="F25"/>
  <c r="N25" s="1"/>
  <c r="L25"/>
  <c r="Q24"/>
  <c r="M26"/>
  <c r="S27"/>
  <c r="S28"/>
  <c r="K26"/>
  <c r="W26"/>
  <c r="P26"/>
  <c r="T26"/>
  <c r="G27"/>
  <c r="J26"/>
  <c r="I27"/>
  <c r="C27"/>
  <c r="D26"/>
  <c r="L26" s="1"/>
  <c r="B29"/>
  <c r="X29" s="1"/>
  <c r="AO32"/>
  <c r="Z24" l="1"/>
  <c r="BF25"/>
  <c r="C28"/>
  <c r="BD31"/>
  <c r="BE31" s="1"/>
  <c r="AK31"/>
  <c r="AJ31"/>
  <c r="AP32"/>
  <c r="AQ32" s="1"/>
  <c r="A29"/>
  <c r="AS29"/>
  <c r="AT29"/>
  <c r="AR30"/>
  <c r="BC28"/>
  <c r="AY28" s="1"/>
  <c r="Y25"/>
  <c r="BB26" s="1"/>
  <c r="AX29"/>
  <c r="I28" s="1"/>
  <c r="AW29"/>
  <c r="H28" s="1"/>
  <c r="AV30"/>
  <c r="G29" s="1"/>
  <c r="O26"/>
  <c r="Q26" s="1"/>
  <c r="BF27" s="1"/>
  <c r="V29"/>
  <c r="U29"/>
  <c r="R29"/>
  <c r="K27"/>
  <c r="S29"/>
  <c r="W27"/>
  <c r="G28"/>
  <c r="M27"/>
  <c r="T28"/>
  <c r="J27"/>
  <c r="W28"/>
  <c r="T27"/>
  <c r="F26"/>
  <c r="N26" s="1"/>
  <c r="P27"/>
  <c r="D27"/>
  <c r="E28"/>
  <c r="B30"/>
  <c r="X30" s="1"/>
  <c r="AO33"/>
  <c r="K28" l="1"/>
  <c r="BD32"/>
  <c r="BE32" s="1"/>
  <c r="AJ32"/>
  <c r="AK32"/>
  <c r="AP33"/>
  <c r="AQ33" s="1"/>
  <c r="Z25"/>
  <c r="AA25" s="1"/>
  <c r="O27"/>
  <c r="Q27" s="1"/>
  <c r="BF28" s="1"/>
  <c r="AX30"/>
  <c r="AW30"/>
  <c r="H29" s="1"/>
  <c r="P29" s="1"/>
  <c r="AV31"/>
  <c r="AS30"/>
  <c r="AT30"/>
  <c r="AR31"/>
  <c r="BC29"/>
  <c r="AY29" s="1"/>
  <c r="A30"/>
  <c r="Y26"/>
  <c r="Z26" s="1"/>
  <c r="AA26" s="1"/>
  <c r="V30"/>
  <c r="U30"/>
  <c r="R30"/>
  <c r="I29"/>
  <c r="L27"/>
  <c r="P28"/>
  <c r="M28"/>
  <c r="S30"/>
  <c r="W29"/>
  <c r="T29"/>
  <c r="F27"/>
  <c r="N27" s="1"/>
  <c r="C29"/>
  <c r="D28"/>
  <c r="J28"/>
  <c r="E29"/>
  <c r="B31"/>
  <c r="X31" s="1"/>
  <c r="AO34"/>
  <c r="C30" l="1"/>
  <c r="BD33"/>
  <c r="BE33" s="1"/>
  <c r="AK33"/>
  <c r="AJ33"/>
  <c r="AP34"/>
  <c r="AQ34" s="1"/>
  <c r="O28"/>
  <c r="Q28" s="1"/>
  <c r="BF29" s="1"/>
  <c r="Y27"/>
  <c r="BB28" s="1"/>
  <c r="AW31"/>
  <c r="H30" s="1"/>
  <c r="AX31"/>
  <c r="I30" s="1"/>
  <c r="AV32"/>
  <c r="BB27"/>
  <c r="A31"/>
  <c r="AT31"/>
  <c r="E30" s="1"/>
  <c r="AS31"/>
  <c r="AR32"/>
  <c r="BC30"/>
  <c r="AY30" s="1"/>
  <c r="V31"/>
  <c r="U31"/>
  <c r="G30"/>
  <c r="K30" s="1"/>
  <c r="R31"/>
  <c r="J29"/>
  <c r="K29"/>
  <c r="M29"/>
  <c r="F28"/>
  <c r="N28" s="1"/>
  <c r="L28"/>
  <c r="S31"/>
  <c r="W30"/>
  <c r="T30"/>
  <c r="D29"/>
  <c r="L29" s="1"/>
  <c r="D30"/>
  <c r="B32"/>
  <c r="X32" s="1"/>
  <c r="AO35"/>
  <c r="C31" l="1"/>
  <c r="M30"/>
  <c r="BD34"/>
  <c r="BE34" s="1"/>
  <c r="AK34"/>
  <c r="AJ34"/>
  <c r="AP35"/>
  <c r="AQ35" s="1"/>
  <c r="Z27"/>
  <c r="AA27" s="1"/>
  <c r="A32"/>
  <c r="AT32"/>
  <c r="E31" s="1"/>
  <c r="AS32"/>
  <c r="D31" s="1"/>
  <c r="AR33"/>
  <c r="C32" s="1"/>
  <c r="BC31"/>
  <c r="AY31" s="1"/>
  <c r="O30" s="1"/>
  <c r="AW32"/>
  <c r="H31" s="1"/>
  <c r="AX32"/>
  <c r="I31" s="1"/>
  <c r="AV33"/>
  <c r="G32" s="1"/>
  <c r="Y28"/>
  <c r="BB29" s="1"/>
  <c r="G31"/>
  <c r="O29"/>
  <c r="Q29" s="1"/>
  <c r="BF30" s="1"/>
  <c r="V32"/>
  <c r="U32"/>
  <c r="J30"/>
  <c r="P30"/>
  <c r="R32"/>
  <c r="F29"/>
  <c r="N29" s="1"/>
  <c r="L30"/>
  <c r="S32"/>
  <c r="T31"/>
  <c r="W31"/>
  <c r="F30"/>
  <c r="B33"/>
  <c r="X33" s="1"/>
  <c r="AO36"/>
  <c r="F31" l="1"/>
  <c r="L31"/>
  <c r="BD35"/>
  <c r="BE35" s="1"/>
  <c r="AK35"/>
  <c r="AJ35"/>
  <c r="AP36"/>
  <c r="AQ36" s="1"/>
  <c r="M31"/>
  <c r="A33"/>
  <c r="AX33"/>
  <c r="I32" s="1"/>
  <c r="AW33"/>
  <c r="H32" s="1"/>
  <c r="P32" s="1"/>
  <c r="AV34"/>
  <c r="G33" s="1"/>
  <c r="AS33"/>
  <c r="D32" s="1"/>
  <c r="AT33"/>
  <c r="E32" s="1"/>
  <c r="AR34"/>
  <c r="Z28"/>
  <c r="AA28" s="1"/>
  <c r="BC32"/>
  <c r="AY32" s="1"/>
  <c r="O31" s="1"/>
  <c r="Y29"/>
  <c r="Z29" s="1"/>
  <c r="Q30"/>
  <c r="BF31" s="1"/>
  <c r="J31"/>
  <c r="N31" s="1"/>
  <c r="K31"/>
  <c r="P31"/>
  <c r="V33"/>
  <c r="U33"/>
  <c r="N30"/>
  <c r="R33"/>
  <c r="S33"/>
  <c r="W32"/>
  <c r="T32"/>
  <c r="K32"/>
  <c r="B34"/>
  <c r="X34" s="1"/>
  <c r="AO37"/>
  <c r="Q31" l="1"/>
  <c r="BF32" s="1"/>
  <c r="M32"/>
  <c r="C33"/>
  <c r="K33" s="1"/>
  <c r="L32"/>
  <c r="BD36"/>
  <c r="BE36" s="1"/>
  <c r="AK36"/>
  <c r="AJ36"/>
  <c r="AP37"/>
  <c r="AQ37" s="1"/>
  <c r="F32"/>
  <c r="J32"/>
  <c r="BC33"/>
  <c r="AY33" s="1"/>
  <c r="O32" s="1"/>
  <c r="Q32" s="1"/>
  <c r="BF33" s="1"/>
  <c r="Y30"/>
  <c r="BB31" s="1"/>
  <c r="AS34"/>
  <c r="D33" s="1"/>
  <c r="AT34"/>
  <c r="E33" s="1"/>
  <c r="AR35"/>
  <c r="C34" s="1"/>
  <c r="Y31"/>
  <c r="BB32" s="1"/>
  <c r="A34"/>
  <c r="AW34"/>
  <c r="H33" s="1"/>
  <c r="P33" s="1"/>
  <c r="AX34"/>
  <c r="I33" s="1"/>
  <c r="AV35"/>
  <c r="G34" s="1"/>
  <c r="BB30"/>
  <c r="Z30"/>
  <c r="AA30" s="1"/>
  <c r="V34"/>
  <c r="U34"/>
  <c r="AA29"/>
  <c r="R34"/>
  <c r="S34"/>
  <c r="T33"/>
  <c r="W33"/>
  <c r="B35"/>
  <c r="X35" s="1"/>
  <c r="AO38"/>
  <c r="BD37" l="1"/>
  <c r="BE37" s="1"/>
  <c r="AK37"/>
  <c r="AJ37"/>
  <c r="AP38"/>
  <c r="AQ38" s="1"/>
  <c r="N32"/>
  <c r="BC34"/>
  <c r="AY34" s="1"/>
  <c r="O33" s="1"/>
  <c r="Q33" s="1"/>
  <c r="BF34" s="1"/>
  <c r="J33"/>
  <c r="Z31"/>
  <c r="AA31" s="1"/>
  <c r="M33"/>
  <c r="AS35"/>
  <c r="D34" s="1"/>
  <c r="AT35"/>
  <c r="E34" s="1"/>
  <c r="AR36"/>
  <c r="AW35"/>
  <c r="H34" s="1"/>
  <c r="P34" s="1"/>
  <c r="AX35"/>
  <c r="I34" s="1"/>
  <c r="AV36"/>
  <c r="G35" s="1"/>
  <c r="A35"/>
  <c r="Y32"/>
  <c r="Z32" s="1"/>
  <c r="AA32" s="1"/>
  <c r="V35"/>
  <c r="U35"/>
  <c r="K34"/>
  <c r="R35"/>
  <c r="L33"/>
  <c r="S35"/>
  <c r="T34"/>
  <c r="F33"/>
  <c r="N33" s="1"/>
  <c r="W34"/>
  <c r="B36"/>
  <c r="X36" s="1"/>
  <c r="AO39"/>
  <c r="F34" l="1"/>
  <c r="C35"/>
  <c r="BD38"/>
  <c r="BE38" s="1"/>
  <c r="AJ38"/>
  <c r="AK38"/>
  <c r="AP39"/>
  <c r="AQ39" s="1"/>
  <c r="L34"/>
  <c r="BC35"/>
  <c r="AY35" s="1"/>
  <c r="O34" s="1"/>
  <c r="Q34" s="1"/>
  <c r="BF35" s="1"/>
  <c r="J34"/>
  <c r="M34"/>
  <c r="BB33"/>
  <c r="A36"/>
  <c r="Y33"/>
  <c r="BB34" s="1"/>
  <c r="AT36"/>
  <c r="E35" s="1"/>
  <c r="AS36"/>
  <c r="D35" s="1"/>
  <c r="AR37"/>
  <c r="AW36"/>
  <c r="H35" s="1"/>
  <c r="L35" s="1"/>
  <c r="AX36"/>
  <c r="I35" s="1"/>
  <c r="AV37"/>
  <c r="G36" s="1"/>
  <c r="V36"/>
  <c r="U36"/>
  <c r="R36"/>
  <c r="T35"/>
  <c r="S36"/>
  <c r="K35"/>
  <c r="W35"/>
  <c r="N34"/>
  <c r="B37"/>
  <c r="X37" s="1"/>
  <c r="AO40"/>
  <c r="M35" l="1"/>
  <c r="P35"/>
  <c r="C36"/>
  <c r="BC36"/>
  <c r="AY36" s="1"/>
  <c r="O35" s="1"/>
  <c r="BD39"/>
  <c r="BE39" s="1"/>
  <c r="AK39"/>
  <c r="AJ39"/>
  <c r="AP40"/>
  <c r="AQ40" s="1"/>
  <c r="J35"/>
  <c r="F35"/>
  <c r="Z33"/>
  <c r="AA33" s="1"/>
  <c r="Y34"/>
  <c r="BB35" s="1"/>
  <c r="AX37"/>
  <c r="I36" s="1"/>
  <c r="AW37"/>
  <c r="H36" s="1"/>
  <c r="AV38"/>
  <c r="G37" s="1"/>
  <c r="A37"/>
  <c r="BC37"/>
  <c r="AY37" s="1"/>
  <c r="AS37"/>
  <c r="D36" s="1"/>
  <c r="L36" s="1"/>
  <c r="AT37"/>
  <c r="E36" s="1"/>
  <c r="AR38"/>
  <c r="C37" s="1"/>
  <c r="V37"/>
  <c r="U37"/>
  <c r="R37"/>
  <c r="S37"/>
  <c r="K36"/>
  <c r="P36"/>
  <c r="T36"/>
  <c r="W36"/>
  <c r="B38"/>
  <c r="X38" s="1"/>
  <c r="AO41"/>
  <c r="Q35" l="1"/>
  <c r="BF36" s="1"/>
  <c r="O36"/>
  <c r="Q36" s="1"/>
  <c r="BF37" s="1"/>
  <c r="F36"/>
  <c r="N36" s="1"/>
  <c r="N35"/>
  <c r="Y35" s="1"/>
  <c r="BB36" s="1"/>
  <c r="BD40"/>
  <c r="BE40" s="1"/>
  <c r="AK40"/>
  <c r="AJ40"/>
  <c r="AP41"/>
  <c r="AQ41" s="1"/>
  <c r="M36"/>
  <c r="J36"/>
  <c r="Z34"/>
  <c r="AA34" s="1"/>
  <c r="A38"/>
  <c r="BC38"/>
  <c r="AS38"/>
  <c r="D37" s="1"/>
  <c r="AT38"/>
  <c r="E37" s="1"/>
  <c r="AR39"/>
  <c r="AX38"/>
  <c r="I37" s="1"/>
  <c r="AW38"/>
  <c r="H37" s="1"/>
  <c r="P37" s="1"/>
  <c r="AY38"/>
  <c r="AV39"/>
  <c r="G38" s="1"/>
  <c r="V38"/>
  <c r="U38"/>
  <c r="R38"/>
  <c r="T37"/>
  <c r="S38"/>
  <c r="W37"/>
  <c r="K37"/>
  <c r="B39"/>
  <c r="X39" s="1"/>
  <c r="AO42"/>
  <c r="M37" l="1"/>
  <c r="O37"/>
  <c r="Q37" s="1"/>
  <c r="BF38" s="1"/>
  <c r="C38"/>
  <c r="L37"/>
  <c r="J37"/>
  <c r="BD41"/>
  <c r="BE41" s="1"/>
  <c r="AK41"/>
  <c r="AJ41"/>
  <c r="Z35"/>
  <c r="AA35" s="1"/>
  <c r="AP42"/>
  <c r="AQ42" s="1"/>
  <c r="F37"/>
  <c r="A39"/>
  <c r="BC39"/>
  <c r="AY39" s="1"/>
  <c r="O38" s="1"/>
  <c r="Y36"/>
  <c r="BB37" s="1"/>
  <c r="AS39"/>
  <c r="D38" s="1"/>
  <c r="AT39"/>
  <c r="E38" s="1"/>
  <c r="AR40"/>
  <c r="Z36"/>
  <c r="AA36" s="1"/>
  <c r="AX39"/>
  <c r="I38" s="1"/>
  <c r="M38" s="1"/>
  <c r="AW39"/>
  <c r="H38" s="1"/>
  <c r="P38" s="1"/>
  <c r="AV40"/>
  <c r="G39" s="1"/>
  <c r="V39"/>
  <c r="U39"/>
  <c r="K38"/>
  <c r="R39"/>
  <c r="N37"/>
  <c r="S39"/>
  <c r="W38"/>
  <c r="T38"/>
  <c r="F38"/>
  <c r="B40"/>
  <c r="X40" s="1"/>
  <c r="AO43"/>
  <c r="L38" l="1"/>
  <c r="C39"/>
  <c r="BD42"/>
  <c r="BE42" s="1"/>
  <c r="AK42"/>
  <c r="AJ42"/>
  <c r="AP43"/>
  <c r="AQ43" s="1"/>
  <c r="J38"/>
  <c r="A40"/>
  <c r="BC40"/>
  <c r="AY40" s="1"/>
  <c r="O39" s="1"/>
  <c r="AW40"/>
  <c r="H39" s="1"/>
  <c r="P39" s="1"/>
  <c r="AX40"/>
  <c r="I39" s="1"/>
  <c r="AV41"/>
  <c r="G40" s="1"/>
  <c r="Y37"/>
  <c r="Z37" s="1"/>
  <c r="AA37" s="1"/>
  <c r="AT40"/>
  <c r="E39" s="1"/>
  <c r="AS40"/>
  <c r="D39" s="1"/>
  <c r="AR41"/>
  <c r="V40"/>
  <c r="U40"/>
  <c r="R40"/>
  <c r="Q38"/>
  <c r="BF39" s="1"/>
  <c r="N38"/>
  <c r="K39"/>
  <c r="W39"/>
  <c r="S40"/>
  <c r="T39"/>
  <c r="B41"/>
  <c r="X41" s="1"/>
  <c r="AO44"/>
  <c r="M39" l="1"/>
  <c r="C40"/>
  <c r="L39"/>
  <c r="BD43"/>
  <c r="BE43" s="1"/>
  <c r="AK43"/>
  <c r="AJ43"/>
  <c r="AP44"/>
  <c r="AQ44" s="1"/>
  <c r="F39"/>
  <c r="BB38"/>
  <c r="J39"/>
  <c r="Y38"/>
  <c r="BB39" s="1"/>
  <c r="A41"/>
  <c r="BC41"/>
  <c r="AX41"/>
  <c r="I40" s="1"/>
  <c r="J40" s="1"/>
  <c r="AY41"/>
  <c r="AW41"/>
  <c r="H40" s="1"/>
  <c r="P40" s="1"/>
  <c r="AV42"/>
  <c r="G41" s="1"/>
  <c r="AS41"/>
  <c r="D40" s="1"/>
  <c r="AT41"/>
  <c r="E40" s="1"/>
  <c r="AR42"/>
  <c r="V41"/>
  <c r="U41"/>
  <c r="R41"/>
  <c r="Q39"/>
  <c r="BF40" s="1"/>
  <c r="T40"/>
  <c r="S41"/>
  <c r="W40"/>
  <c r="K40"/>
  <c r="C41"/>
  <c r="B42"/>
  <c r="X42" s="1"/>
  <c r="AO45"/>
  <c r="N39" l="1"/>
  <c r="L40"/>
  <c r="M40"/>
  <c r="O40"/>
  <c r="Q40" s="1"/>
  <c r="BF41" s="1"/>
  <c r="BD44"/>
  <c r="BE44" s="1"/>
  <c r="AK44"/>
  <c r="AJ44"/>
  <c r="AP45"/>
  <c r="AQ45" s="1"/>
  <c r="Z38"/>
  <c r="AA38" s="1"/>
  <c r="F40"/>
  <c r="N40" s="1"/>
  <c r="A42"/>
  <c r="BC42"/>
  <c r="AS42"/>
  <c r="D41" s="1"/>
  <c r="AT42"/>
  <c r="E41" s="1"/>
  <c r="AR43"/>
  <c r="AY42"/>
  <c r="AW42"/>
  <c r="H41" s="1"/>
  <c r="P41" s="1"/>
  <c r="AX42"/>
  <c r="I41" s="1"/>
  <c r="AV43"/>
  <c r="G42" s="1"/>
  <c r="Y39"/>
  <c r="BB40" s="1"/>
  <c r="V42"/>
  <c r="U42"/>
  <c r="R42"/>
  <c r="S42"/>
  <c r="W41"/>
  <c r="K41"/>
  <c r="T41"/>
  <c r="B43"/>
  <c r="X43" s="1"/>
  <c r="AO46"/>
  <c r="O41" l="1"/>
  <c r="C42"/>
  <c r="BD45"/>
  <c r="BE45" s="1"/>
  <c r="AK45"/>
  <c r="AJ45"/>
  <c r="L41"/>
  <c r="AP46"/>
  <c r="AQ46" s="1"/>
  <c r="J41"/>
  <c r="Z39"/>
  <c r="AA39" s="1"/>
  <c r="M41"/>
  <c r="F41"/>
  <c r="N41" s="1"/>
  <c r="AS43"/>
  <c r="AT43"/>
  <c r="E42" s="1"/>
  <c r="AR44"/>
  <c r="AW43"/>
  <c r="H42" s="1"/>
  <c r="P42" s="1"/>
  <c r="AX43"/>
  <c r="I42" s="1"/>
  <c r="AV44"/>
  <c r="G43" s="1"/>
  <c r="Y40"/>
  <c r="BB41" s="1"/>
  <c r="A43"/>
  <c r="BC43"/>
  <c r="AY43" s="1"/>
  <c r="Z40"/>
  <c r="AA40" s="1"/>
  <c r="V43"/>
  <c r="U43"/>
  <c r="R43"/>
  <c r="Q41"/>
  <c r="BF42" s="1"/>
  <c r="S43"/>
  <c r="T42"/>
  <c r="K42"/>
  <c r="W42"/>
  <c r="C43"/>
  <c r="D42"/>
  <c r="B44"/>
  <c r="X44" s="1"/>
  <c r="AO47"/>
  <c r="M42" l="1"/>
  <c r="BF43"/>
  <c r="BD46"/>
  <c r="BE46" s="1"/>
  <c r="AJ46"/>
  <c r="AK46"/>
  <c r="AP47"/>
  <c r="AQ47" s="1"/>
  <c r="J42"/>
  <c r="AT44"/>
  <c r="E43" s="1"/>
  <c r="AS44"/>
  <c r="D43" s="1"/>
  <c r="AR45"/>
  <c r="A44"/>
  <c r="BC44"/>
  <c r="AY44" s="1"/>
  <c r="O43" s="1"/>
  <c r="Y41"/>
  <c r="Z41" s="1"/>
  <c r="AA41" s="1"/>
  <c r="AW44"/>
  <c r="H43" s="1"/>
  <c r="P43" s="1"/>
  <c r="AX44"/>
  <c r="I43" s="1"/>
  <c r="AV45"/>
  <c r="G44" s="1"/>
  <c r="O42"/>
  <c r="Q42" s="1"/>
  <c r="V44"/>
  <c r="U44"/>
  <c r="R44"/>
  <c r="L42"/>
  <c r="F42"/>
  <c r="S44"/>
  <c r="T43"/>
  <c r="W43"/>
  <c r="K43"/>
  <c r="B45"/>
  <c r="X45" s="1"/>
  <c r="AO48"/>
  <c r="F43" l="1"/>
  <c r="C44"/>
  <c r="N42"/>
  <c r="J43"/>
  <c r="BD47"/>
  <c r="BE47" s="1"/>
  <c r="AK47"/>
  <c r="AJ47"/>
  <c r="AP48"/>
  <c r="AQ48" s="1"/>
  <c r="L43"/>
  <c r="M43"/>
  <c r="AX45"/>
  <c r="I44" s="1"/>
  <c r="AW45"/>
  <c r="H44" s="1"/>
  <c r="P44" s="1"/>
  <c r="AV46"/>
  <c r="G45" s="1"/>
  <c r="AS45"/>
  <c r="D44" s="1"/>
  <c r="AT45"/>
  <c r="E44" s="1"/>
  <c r="AR46"/>
  <c r="A45"/>
  <c r="BC45"/>
  <c r="AY45" s="1"/>
  <c r="O44" s="1"/>
  <c r="Y42"/>
  <c r="Z42" s="1"/>
  <c r="AA42" s="1"/>
  <c r="BB42"/>
  <c r="V45"/>
  <c r="U45"/>
  <c r="Q43"/>
  <c r="BF44" s="1"/>
  <c r="R45"/>
  <c r="K44"/>
  <c r="S45"/>
  <c r="T44"/>
  <c r="W44"/>
  <c r="N43"/>
  <c r="B46"/>
  <c r="X46" s="1"/>
  <c r="AO49"/>
  <c r="M44" l="1"/>
  <c r="F44"/>
  <c r="C45"/>
  <c r="L44"/>
  <c r="J44"/>
  <c r="N44" s="1"/>
  <c r="BD48"/>
  <c r="BE48" s="1"/>
  <c r="AK48"/>
  <c r="AJ48"/>
  <c r="AP49"/>
  <c r="AQ49" s="1"/>
  <c r="BB43"/>
  <c r="AS46"/>
  <c r="D45" s="1"/>
  <c r="AT46"/>
  <c r="E45" s="1"/>
  <c r="AR47"/>
  <c r="AX46"/>
  <c r="I45" s="1"/>
  <c r="AW46"/>
  <c r="H45" s="1"/>
  <c r="P45" s="1"/>
  <c r="AV47"/>
  <c r="G46" s="1"/>
  <c r="Y43"/>
  <c r="Z43" s="1"/>
  <c r="AA43" s="1"/>
  <c r="A46"/>
  <c r="BC46"/>
  <c r="AY46" s="1"/>
  <c r="O45" s="1"/>
  <c r="V46"/>
  <c r="U46"/>
  <c r="R46"/>
  <c r="Q44"/>
  <c r="BF45" s="1"/>
  <c r="S46"/>
  <c r="T45"/>
  <c r="W45"/>
  <c r="K45"/>
  <c r="B47"/>
  <c r="X47" s="1"/>
  <c r="AO50"/>
  <c r="F45" l="1"/>
  <c r="L45"/>
  <c r="C46"/>
  <c r="M45"/>
  <c r="BD49"/>
  <c r="BE49" s="1"/>
  <c r="AJ49"/>
  <c r="AK49"/>
  <c r="AP50"/>
  <c r="AQ50" s="1"/>
  <c r="J45"/>
  <c r="N45" s="1"/>
  <c r="BB44"/>
  <c r="A47"/>
  <c r="BC47"/>
  <c r="AY47" s="1"/>
  <c r="AS47"/>
  <c r="D46" s="1"/>
  <c r="AT47"/>
  <c r="E46" s="1"/>
  <c r="AR48"/>
  <c r="Y44"/>
  <c r="Z44" s="1"/>
  <c r="AA44" s="1"/>
  <c r="AW47"/>
  <c r="H46" s="1"/>
  <c r="P46" s="1"/>
  <c r="AX47"/>
  <c r="I46" s="1"/>
  <c r="AV48"/>
  <c r="G47" s="1"/>
  <c r="V47"/>
  <c r="U47"/>
  <c r="R47"/>
  <c r="Q45"/>
  <c r="BF46" s="1"/>
  <c r="K46"/>
  <c r="S47"/>
  <c r="W46"/>
  <c r="T46"/>
  <c r="B48"/>
  <c r="X48" s="1"/>
  <c r="AO51"/>
  <c r="J46" l="1"/>
  <c r="BD50"/>
  <c r="BE50" s="1"/>
  <c r="AJ50"/>
  <c r="AK50"/>
  <c r="BB45"/>
  <c r="AP51"/>
  <c r="AQ51" s="1"/>
  <c r="O46"/>
  <c r="Q46" s="1"/>
  <c r="BF47" s="1"/>
  <c r="M46"/>
  <c r="AT48"/>
  <c r="E47" s="1"/>
  <c r="AS48"/>
  <c r="D47" s="1"/>
  <c r="AR49"/>
  <c r="AX48"/>
  <c r="I47" s="1"/>
  <c r="AW48"/>
  <c r="H47" s="1"/>
  <c r="AV49"/>
  <c r="G48" s="1"/>
  <c r="A48"/>
  <c r="BC48"/>
  <c r="AY48" s="1"/>
  <c r="Y45"/>
  <c r="Z45" s="1"/>
  <c r="AA45" s="1"/>
  <c r="C47"/>
  <c r="K47" s="1"/>
  <c r="V48"/>
  <c r="U48"/>
  <c r="R48"/>
  <c r="L46"/>
  <c r="S48"/>
  <c r="F46"/>
  <c r="N46" s="1"/>
  <c r="W47"/>
  <c r="T47"/>
  <c r="B49"/>
  <c r="X49" s="1"/>
  <c r="AO52"/>
  <c r="C48" l="1"/>
  <c r="K48" s="1"/>
  <c r="J47"/>
  <c r="M47"/>
  <c r="P47"/>
  <c r="BD51"/>
  <c r="BE51" s="1"/>
  <c r="AJ51"/>
  <c r="AK51"/>
  <c r="AP52"/>
  <c r="AQ52" s="1"/>
  <c r="BB46"/>
  <c r="AX49"/>
  <c r="I48" s="1"/>
  <c r="AW49"/>
  <c r="H48" s="1"/>
  <c r="P48" s="1"/>
  <c r="AV50"/>
  <c r="G49" s="1"/>
  <c r="A49"/>
  <c r="BC49"/>
  <c r="AY49" s="1"/>
  <c r="AT49"/>
  <c r="E48" s="1"/>
  <c r="AS49"/>
  <c r="D48" s="1"/>
  <c r="AR50"/>
  <c r="Y46"/>
  <c r="Z46" s="1"/>
  <c r="O47"/>
  <c r="V49"/>
  <c r="U49"/>
  <c r="F47"/>
  <c r="N47" s="1"/>
  <c r="R49"/>
  <c r="L47"/>
  <c r="S49"/>
  <c r="W48"/>
  <c r="T48"/>
  <c r="B50"/>
  <c r="X50" s="1"/>
  <c r="AO53"/>
  <c r="J48" l="1"/>
  <c r="O48"/>
  <c r="Q48" s="1"/>
  <c r="BF49" s="1"/>
  <c r="C49"/>
  <c r="Q47"/>
  <c r="BF48" s="1"/>
  <c r="L48"/>
  <c r="F48"/>
  <c r="BD52"/>
  <c r="BE52" s="1"/>
  <c r="AK52"/>
  <c r="AJ52"/>
  <c r="AP53"/>
  <c r="AQ53" s="1"/>
  <c r="M48"/>
  <c r="BB47"/>
  <c r="Y47"/>
  <c r="BB48" s="1"/>
  <c r="AX50"/>
  <c r="I49" s="1"/>
  <c r="AW50"/>
  <c r="H49" s="1"/>
  <c r="P49" s="1"/>
  <c r="AV51"/>
  <c r="G50" s="1"/>
  <c r="A50"/>
  <c r="BC50"/>
  <c r="AY50" s="1"/>
  <c r="AT50"/>
  <c r="E49" s="1"/>
  <c r="AS50"/>
  <c r="D49" s="1"/>
  <c r="AR51"/>
  <c r="V50"/>
  <c r="U50"/>
  <c r="R50"/>
  <c r="W49"/>
  <c r="S50"/>
  <c r="T49"/>
  <c r="K49"/>
  <c r="N48"/>
  <c r="B51"/>
  <c r="X51" s="1"/>
  <c r="AO54"/>
  <c r="Z47" l="1"/>
  <c r="AA47" s="1"/>
  <c r="J49"/>
  <c r="O49"/>
  <c r="Q49" s="1"/>
  <c r="BF50" s="1"/>
  <c r="C50"/>
  <c r="F49"/>
  <c r="M49"/>
  <c r="BD53"/>
  <c r="BE53" s="1"/>
  <c r="AK53"/>
  <c r="AJ53"/>
  <c r="AP54"/>
  <c r="AQ54" s="1"/>
  <c r="L49"/>
  <c r="A51"/>
  <c r="BC51"/>
  <c r="AY51" s="1"/>
  <c r="AT51"/>
  <c r="E50" s="1"/>
  <c r="AS51"/>
  <c r="D50" s="1"/>
  <c r="AR52"/>
  <c r="C51" s="1"/>
  <c r="Y48"/>
  <c r="BB49" s="1"/>
  <c r="AW51"/>
  <c r="H50" s="1"/>
  <c r="AX51"/>
  <c r="I50" s="1"/>
  <c r="AV52"/>
  <c r="G51" s="1"/>
  <c r="R51"/>
  <c r="K50"/>
  <c r="N49"/>
  <c r="S51"/>
  <c r="T50"/>
  <c r="W50"/>
  <c r="B52"/>
  <c r="X52" s="1"/>
  <c r="AO55"/>
  <c r="J50" l="1"/>
  <c r="M50"/>
  <c r="BD54"/>
  <c r="BE54" s="1"/>
  <c r="AK54"/>
  <c r="AJ54"/>
  <c r="AP55"/>
  <c r="AQ55" s="1"/>
  <c r="P50"/>
  <c r="O50"/>
  <c r="Y49"/>
  <c r="BB50" s="1"/>
  <c r="AW52"/>
  <c r="H51" s="1"/>
  <c r="P51" s="1"/>
  <c r="AX52"/>
  <c r="I51" s="1"/>
  <c r="AV53"/>
  <c r="G52" s="1"/>
  <c r="AS52"/>
  <c r="D51" s="1"/>
  <c r="AT52"/>
  <c r="E51" s="1"/>
  <c r="AR53"/>
  <c r="Z48"/>
  <c r="AA48" s="1"/>
  <c r="A52"/>
  <c r="BC52"/>
  <c r="AY52" s="1"/>
  <c r="R52"/>
  <c r="L50"/>
  <c r="K51"/>
  <c r="S52"/>
  <c r="F50"/>
  <c r="N50" s="1"/>
  <c r="T51"/>
  <c r="B53"/>
  <c r="X53" s="1"/>
  <c r="AO56"/>
  <c r="Z49" l="1"/>
  <c r="AA49" s="1"/>
  <c r="O51"/>
  <c r="Q51" s="1"/>
  <c r="BF52" s="1"/>
  <c r="F51"/>
  <c r="U51" s="1"/>
  <c r="Q50"/>
  <c r="BF51" s="1"/>
  <c r="C52"/>
  <c r="K52" s="1"/>
  <c r="J51"/>
  <c r="V51" s="1"/>
  <c r="BD55"/>
  <c r="BE55" s="1"/>
  <c r="AJ55"/>
  <c r="AK55"/>
  <c r="AP56"/>
  <c r="AQ56" s="1"/>
  <c r="L51"/>
  <c r="M51"/>
  <c r="A53"/>
  <c r="BC53"/>
  <c r="AY53" s="1"/>
  <c r="Y50"/>
  <c r="AS53"/>
  <c r="D52" s="1"/>
  <c r="AT53"/>
  <c r="E52" s="1"/>
  <c r="AR54"/>
  <c r="AW53"/>
  <c r="H52" s="1"/>
  <c r="P52" s="1"/>
  <c r="AX53"/>
  <c r="I52" s="1"/>
  <c r="AV54"/>
  <c r="G53" s="1"/>
  <c r="R53"/>
  <c r="S53"/>
  <c r="T52"/>
  <c r="B54"/>
  <c r="X54" s="1"/>
  <c r="AO57"/>
  <c r="Z50" l="1"/>
  <c r="AA50" s="1"/>
  <c r="L52"/>
  <c r="O52"/>
  <c r="Q52" s="1"/>
  <c r="BF53" s="1"/>
  <c r="W51"/>
  <c r="N51"/>
  <c r="Y51" s="1"/>
  <c r="C53"/>
  <c r="F52"/>
  <c r="U52" s="1"/>
  <c r="BD56"/>
  <c r="BE56" s="1"/>
  <c r="AK56"/>
  <c r="AJ56"/>
  <c r="AP57"/>
  <c r="AQ57" s="1"/>
  <c r="J52"/>
  <c r="V52" s="1"/>
  <c r="M52"/>
  <c r="BB51"/>
  <c r="AX54"/>
  <c r="I53" s="1"/>
  <c r="AW54"/>
  <c r="H53" s="1"/>
  <c r="AV55"/>
  <c r="G54" s="1"/>
  <c r="A54"/>
  <c r="BC54"/>
  <c r="AY54" s="1"/>
  <c r="AS54"/>
  <c r="D53" s="1"/>
  <c r="AT54"/>
  <c r="E53" s="1"/>
  <c r="AR55"/>
  <c r="C54" s="1"/>
  <c r="V54"/>
  <c r="U54"/>
  <c r="R54"/>
  <c r="K53"/>
  <c r="S54"/>
  <c r="T53"/>
  <c r="B55"/>
  <c r="X55" s="1"/>
  <c r="AO58"/>
  <c r="M53" l="1"/>
  <c r="BB52"/>
  <c r="Z51"/>
  <c r="AA51" s="1"/>
  <c r="O53"/>
  <c r="L53"/>
  <c r="BD57"/>
  <c r="BE57" s="1"/>
  <c r="AK57"/>
  <c r="AJ57"/>
  <c r="AP58"/>
  <c r="AQ58" s="1"/>
  <c r="P53"/>
  <c r="Q53" s="1"/>
  <c r="BF54" s="1"/>
  <c r="N52"/>
  <c r="Y52" s="1"/>
  <c r="J53"/>
  <c r="V53" s="1"/>
  <c r="F53"/>
  <c r="U53" s="1"/>
  <c r="AW55"/>
  <c r="H54" s="1"/>
  <c r="P54" s="1"/>
  <c r="AX55"/>
  <c r="I54" s="1"/>
  <c r="AV56"/>
  <c r="G55" s="1"/>
  <c r="A55"/>
  <c r="BC55"/>
  <c r="AY55" s="1"/>
  <c r="AS55"/>
  <c r="AT55"/>
  <c r="E54" s="1"/>
  <c r="AR56"/>
  <c r="V55"/>
  <c r="U55"/>
  <c r="R55"/>
  <c r="S55"/>
  <c r="K54"/>
  <c r="T54"/>
  <c r="W52"/>
  <c r="B56"/>
  <c r="X56" s="1"/>
  <c r="AO59"/>
  <c r="J54" l="1"/>
  <c r="M54"/>
  <c r="W53"/>
  <c r="D54"/>
  <c r="F54" s="1"/>
  <c r="N54" s="1"/>
  <c r="C55"/>
  <c r="N53"/>
  <c r="Y53" s="1"/>
  <c r="BB54" s="1"/>
  <c r="BD58"/>
  <c r="BE58" s="1"/>
  <c r="AJ58"/>
  <c r="AK58"/>
  <c r="AP59"/>
  <c r="AQ59" s="1"/>
  <c r="BB53"/>
  <c r="AS56"/>
  <c r="D55" s="1"/>
  <c r="F55" s="1"/>
  <c r="AT56"/>
  <c r="E55" s="1"/>
  <c r="AR57"/>
  <c r="AW56"/>
  <c r="H55" s="1"/>
  <c r="P55" s="1"/>
  <c r="AX56"/>
  <c r="I55" s="1"/>
  <c r="AV57"/>
  <c r="G56" s="1"/>
  <c r="Z52"/>
  <c r="AA52" s="1"/>
  <c r="A56"/>
  <c r="BC56"/>
  <c r="AY56" s="1"/>
  <c r="V56"/>
  <c r="U56"/>
  <c r="K55"/>
  <c r="R56"/>
  <c r="S56"/>
  <c r="W54"/>
  <c r="T55"/>
  <c r="W55"/>
  <c r="B57"/>
  <c r="X57" s="1"/>
  <c r="AO60"/>
  <c r="L54" l="1"/>
  <c r="O54"/>
  <c r="Q54" s="1"/>
  <c r="BF55" s="1"/>
  <c r="L55"/>
  <c r="O55"/>
  <c r="Q55" s="1"/>
  <c r="BF56" s="1"/>
  <c r="C56"/>
  <c r="BD59"/>
  <c r="BE59" s="1"/>
  <c r="AJ59"/>
  <c r="AK59"/>
  <c r="AP60"/>
  <c r="AQ60" s="1"/>
  <c r="Z53"/>
  <c r="AA53" s="1"/>
  <c r="M55"/>
  <c r="J55"/>
  <c r="A57"/>
  <c r="BC57"/>
  <c r="AY57" s="1"/>
  <c r="Y54"/>
  <c r="AS57"/>
  <c r="AT57"/>
  <c r="E56" s="1"/>
  <c r="AR58"/>
  <c r="AX57"/>
  <c r="I56" s="1"/>
  <c r="AW57"/>
  <c r="H56" s="1"/>
  <c r="P56" s="1"/>
  <c r="AV58"/>
  <c r="G57" s="1"/>
  <c r="V57"/>
  <c r="U57"/>
  <c r="R57"/>
  <c r="N55"/>
  <c r="S57"/>
  <c r="T56"/>
  <c r="W56"/>
  <c r="K56"/>
  <c r="B58"/>
  <c r="X58" s="1"/>
  <c r="AO61"/>
  <c r="Z54" l="1"/>
  <c r="J56"/>
  <c r="D56"/>
  <c r="C57"/>
  <c r="BD60"/>
  <c r="BE60" s="1"/>
  <c r="AK60"/>
  <c r="AJ60"/>
  <c r="AP61"/>
  <c r="AQ61" s="1"/>
  <c r="M56"/>
  <c r="BB55"/>
  <c r="O56"/>
  <c r="Q56" s="1"/>
  <c r="BF57" s="1"/>
  <c r="AX58"/>
  <c r="I57" s="1"/>
  <c r="AW58"/>
  <c r="H57" s="1"/>
  <c r="AV59"/>
  <c r="A58"/>
  <c r="BC58"/>
  <c r="AY58" s="1"/>
  <c r="Y55"/>
  <c r="Z55" s="1"/>
  <c r="AA55" s="1"/>
  <c r="AS58"/>
  <c r="D57" s="1"/>
  <c r="AT58"/>
  <c r="E57" s="1"/>
  <c r="AR59"/>
  <c r="V58"/>
  <c r="U58"/>
  <c r="R58"/>
  <c r="K57"/>
  <c r="F56"/>
  <c r="N56" s="1"/>
  <c r="W57"/>
  <c r="L56"/>
  <c r="S58"/>
  <c r="T57"/>
  <c r="G58"/>
  <c r="B59"/>
  <c r="X59" s="1"/>
  <c r="AO62"/>
  <c r="C58" l="1"/>
  <c r="K58" s="1"/>
  <c r="J57"/>
  <c r="BD61"/>
  <c r="BE61" s="1"/>
  <c r="AK61"/>
  <c r="AJ61"/>
  <c r="P57"/>
  <c r="AP62"/>
  <c r="AQ62" s="1"/>
  <c r="M57"/>
  <c r="AS59"/>
  <c r="D58" s="1"/>
  <c r="AT59"/>
  <c r="E58" s="1"/>
  <c r="AR60"/>
  <c r="AW59"/>
  <c r="H58" s="1"/>
  <c r="P58" s="1"/>
  <c r="AX59"/>
  <c r="I58" s="1"/>
  <c r="J58" s="1"/>
  <c r="AV60"/>
  <c r="BB56"/>
  <c r="O57"/>
  <c r="Q57" s="1"/>
  <c r="BF58" s="1"/>
  <c r="A59"/>
  <c r="BC59"/>
  <c r="AY59" s="1"/>
  <c r="Y56"/>
  <c r="Z56" s="1"/>
  <c r="AA56" s="1"/>
  <c r="V59"/>
  <c r="U59"/>
  <c r="R59"/>
  <c r="T58"/>
  <c r="W58"/>
  <c r="L57"/>
  <c r="S59"/>
  <c r="F57"/>
  <c r="N57" s="1"/>
  <c r="G59"/>
  <c r="B60"/>
  <c r="X60" s="1"/>
  <c r="AO63"/>
  <c r="C59" l="1"/>
  <c r="M58"/>
  <c r="BD62"/>
  <c r="BE62" s="1"/>
  <c r="AK62"/>
  <c r="AJ62"/>
  <c r="AP63"/>
  <c r="AQ63" s="1"/>
  <c r="BB57"/>
  <c r="O58"/>
  <c r="Y57"/>
  <c r="BB58" s="1"/>
  <c r="A60"/>
  <c r="BC60"/>
  <c r="AS60"/>
  <c r="D59" s="1"/>
  <c r="AT60"/>
  <c r="E59" s="1"/>
  <c r="F59" s="1"/>
  <c r="AR61"/>
  <c r="AX60"/>
  <c r="I59" s="1"/>
  <c r="AW60"/>
  <c r="H59" s="1"/>
  <c r="L59" s="1"/>
  <c r="AY60"/>
  <c r="O59" s="1"/>
  <c r="AV61"/>
  <c r="G60" s="1"/>
  <c r="V60"/>
  <c r="U60"/>
  <c r="R60"/>
  <c r="T59"/>
  <c r="L58"/>
  <c r="Q58"/>
  <c r="BF59" s="1"/>
  <c r="K59"/>
  <c r="W59"/>
  <c r="S60"/>
  <c r="F58"/>
  <c r="N58" s="1"/>
  <c r="B61"/>
  <c r="X61" s="1"/>
  <c r="AO64"/>
  <c r="P59" l="1"/>
  <c r="BF60"/>
  <c r="C60"/>
  <c r="J59"/>
  <c r="Z57"/>
  <c r="AA57" s="1"/>
  <c r="M59"/>
  <c r="BD63"/>
  <c r="AJ63"/>
  <c r="AP64"/>
  <c r="AQ64" s="1"/>
  <c r="Y58"/>
  <c r="BB59" s="1"/>
  <c r="AW61"/>
  <c r="H60" s="1"/>
  <c r="P60" s="1"/>
  <c r="AX61"/>
  <c r="I60" s="1"/>
  <c r="AV62"/>
  <c r="G61" s="1"/>
  <c r="A61"/>
  <c r="BC61"/>
  <c r="AY61" s="1"/>
  <c r="AT61"/>
  <c r="E60" s="1"/>
  <c r="AS61"/>
  <c r="D60" s="1"/>
  <c r="L60" s="1"/>
  <c r="AR62"/>
  <c r="Z58"/>
  <c r="AA58" s="1"/>
  <c r="V61"/>
  <c r="U61"/>
  <c r="R61"/>
  <c r="Q59"/>
  <c r="K60"/>
  <c r="S61"/>
  <c r="T60"/>
  <c r="N59"/>
  <c r="W60"/>
  <c r="C61"/>
  <c r="B62"/>
  <c r="AO65"/>
  <c r="O60" l="1"/>
  <c r="Q60" s="1"/>
  <c r="BF61" s="1"/>
  <c r="M60"/>
  <c r="J60"/>
  <c r="F60"/>
  <c r="BD64"/>
  <c r="AJ64"/>
  <c r="AK64"/>
  <c r="AP65"/>
  <c r="AQ65" s="1"/>
  <c r="A62"/>
  <c r="BC62"/>
  <c r="AY62" s="1"/>
  <c r="AW62"/>
  <c r="H61" s="1"/>
  <c r="AX62"/>
  <c r="I61" s="1"/>
  <c r="AV63"/>
  <c r="G62" s="1"/>
  <c r="Y59"/>
  <c r="BB60" s="1"/>
  <c r="AS62"/>
  <c r="D61" s="1"/>
  <c r="L61" s="1"/>
  <c r="AT62"/>
  <c r="E61" s="1"/>
  <c r="AR63"/>
  <c r="V62"/>
  <c r="U62"/>
  <c r="R62"/>
  <c r="K61"/>
  <c r="P61"/>
  <c r="S62"/>
  <c r="T61"/>
  <c r="W61"/>
  <c r="B63"/>
  <c r="AO66"/>
  <c r="O61" l="1"/>
  <c r="N60"/>
  <c r="C62"/>
  <c r="BD65"/>
  <c r="AK65"/>
  <c r="AJ65"/>
  <c r="AP66"/>
  <c r="AQ66" s="1"/>
  <c r="BD66" s="1"/>
  <c r="BE66" s="1"/>
  <c r="M61"/>
  <c r="F61"/>
  <c r="J61"/>
  <c r="A63"/>
  <c r="BC63"/>
  <c r="Y60"/>
  <c r="BB61" s="1"/>
  <c r="Z59"/>
  <c r="AA59" s="1"/>
  <c r="AW63"/>
  <c r="H62" s="1"/>
  <c r="AY63"/>
  <c r="AX63"/>
  <c r="I62" s="1"/>
  <c r="AV64"/>
  <c r="AT63"/>
  <c r="E62" s="1"/>
  <c r="AS63"/>
  <c r="D62" s="1"/>
  <c r="AR64"/>
  <c r="V63"/>
  <c r="U63"/>
  <c r="R63"/>
  <c r="Q61"/>
  <c r="BF62" s="1"/>
  <c r="K62"/>
  <c r="S63"/>
  <c r="T62"/>
  <c r="W62"/>
  <c r="G63"/>
  <c r="AO67"/>
  <c r="B64"/>
  <c r="C63" l="1"/>
  <c r="M62"/>
  <c r="Z60"/>
  <c r="AA60" s="1"/>
  <c r="J62"/>
  <c r="P62"/>
  <c r="N61"/>
  <c r="AP67"/>
  <c r="AQ67" s="1"/>
  <c r="BD67" s="1"/>
  <c r="BE67" s="1"/>
  <c r="AJ66"/>
  <c r="AK66"/>
  <c r="L62"/>
  <c r="AS64"/>
  <c r="D63" s="1"/>
  <c r="AT64"/>
  <c r="E63" s="1"/>
  <c r="AR65"/>
  <c r="A64"/>
  <c r="BC64"/>
  <c r="AY64" s="1"/>
  <c r="O63" s="1"/>
  <c r="AW64"/>
  <c r="H63" s="1"/>
  <c r="P63" s="1"/>
  <c r="AX64"/>
  <c r="I63" s="1"/>
  <c r="AV65"/>
  <c r="G64" s="1"/>
  <c r="Y61"/>
  <c r="BB62" s="1"/>
  <c r="O62"/>
  <c r="V64"/>
  <c r="U64"/>
  <c r="F62"/>
  <c r="N62" s="1"/>
  <c r="R64"/>
  <c r="W63"/>
  <c r="K63"/>
  <c r="S64"/>
  <c r="T63"/>
  <c r="AO68"/>
  <c r="B65"/>
  <c r="X65" s="1"/>
  <c r="L63" l="1"/>
  <c r="C64"/>
  <c r="M63"/>
  <c r="F63"/>
  <c r="J63"/>
  <c r="AP68"/>
  <c r="AQ68" s="1"/>
  <c r="AK67"/>
  <c r="AJ67"/>
  <c r="Z61"/>
  <c r="A65"/>
  <c r="BC65"/>
  <c r="AY65" s="1"/>
  <c r="Y62"/>
  <c r="BB63" s="1"/>
  <c r="AX65"/>
  <c r="I64" s="1"/>
  <c r="AW65"/>
  <c r="H64" s="1"/>
  <c r="P64" s="1"/>
  <c r="AV66"/>
  <c r="AV67" s="1"/>
  <c r="AS65"/>
  <c r="AT65"/>
  <c r="E64" s="1"/>
  <c r="AR66"/>
  <c r="V65"/>
  <c r="U65"/>
  <c r="K64"/>
  <c r="R65"/>
  <c r="Q62"/>
  <c r="S65"/>
  <c r="T64"/>
  <c r="W64"/>
  <c r="B66"/>
  <c r="X66" s="1"/>
  <c r="D64"/>
  <c r="AO69"/>
  <c r="BF63" l="1"/>
  <c r="BE63" s="1"/>
  <c r="X62" s="1"/>
  <c r="Z62" s="1"/>
  <c r="AA62" s="1"/>
  <c r="N63"/>
  <c r="Y63" s="1"/>
  <c r="BB64" s="1"/>
  <c r="C65"/>
  <c r="M64"/>
  <c r="AJ68"/>
  <c r="AV68"/>
  <c r="AX68" s="1"/>
  <c r="J64"/>
  <c r="G65"/>
  <c r="F64"/>
  <c r="N64" s="1"/>
  <c r="AK68"/>
  <c r="AW68" s="1"/>
  <c r="B67"/>
  <c r="AP69"/>
  <c r="AQ69" s="1"/>
  <c r="BD69" s="1"/>
  <c r="BE69" s="1"/>
  <c r="BD68"/>
  <c r="BE68" s="1"/>
  <c r="AX67"/>
  <c r="I66" s="1"/>
  <c r="AW67"/>
  <c r="A66"/>
  <c r="BC66"/>
  <c r="AY66" s="1"/>
  <c r="AS66"/>
  <c r="D65" s="1"/>
  <c r="AT66"/>
  <c r="E65" s="1"/>
  <c r="AR67"/>
  <c r="AX66"/>
  <c r="I65" s="1"/>
  <c r="M65" s="1"/>
  <c r="AW66"/>
  <c r="H65" s="1"/>
  <c r="O64"/>
  <c r="Q64" s="1"/>
  <c r="BF65" s="1"/>
  <c r="BE65" s="1"/>
  <c r="X64" s="1"/>
  <c r="V66"/>
  <c r="U66"/>
  <c r="W65"/>
  <c r="R66"/>
  <c r="Q63"/>
  <c r="BF64" s="1"/>
  <c r="BE64" s="1"/>
  <c r="X63" s="1"/>
  <c r="S66"/>
  <c r="T65"/>
  <c r="L64"/>
  <c r="K65"/>
  <c r="H66"/>
  <c r="G66"/>
  <c r="F65"/>
  <c r="AO70"/>
  <c r="AP70" s="1"/>
  <c r="O65" l="1"/>
  <c r="L65"/>
  <c r="X67"/>
  <c r="C66"/>
  <c r="AV69"/>
  <c r="AX69" s="1"/>
  <c r="AK69"/>
  <c r="J65"/>
  <c r="P65"/>
  <c r="AJ69"/>
  <c r="AT67"/>
  <c r="E66" s="1"/>
  <c r="M66" s="1"/>
  <c r="AS67"/>
  <c r="AR68"/>
  <c r="C67" s="1"/>
  <c r="Y64"/>
  <c r="BB65" s="1"/>
  <c r="A67"/>
  <c r="BC67"/>
  <c r="AY67" s="1"/>
  <c r="Z63"/>
  <c r="AA63" s="1"/>
  <c r="AQ70"/>
  <c r="AO71"/>
  <c r="AP71" s="1"/>
  <c r="V67"/>
  <c r="U67"/>
  <c r="I67"/>
  <c r="R67"/>
  <c r="W66"/>
  <c r="N65"/>
  <c r="J66"/>
  <c r="S67"/>
  <c r="T66"/>
  <c r="P66"/>
  <c r="K66"/>
  <c r="H67"/>
  <c r="G67"/>
  <c r="B68"/>
  <c r="X68" s="1"/>
  <c r="Q65" l="1"/>
  <c r="BF66" s="1"/>
  <c r="D66"/>
  <c r="L66" s="1"/>
  <c r="AW69"/>
  <c r="H68" s="1"/>
  <c r="AR69"/>
  <c r="AS69" s="1"/>
  <c r="D68" s="1"/>
  <c r="BD70"/>
  <c r="BE70" s="1"/>
  <c r="B69"/>
  <c r="AS68"/>
  <c r="D67" s="1"/>
  <c r="AT68"/>
  <c r="E67" s="1"/>
  <c r="K67"/>
  <c r="A68"/>
  <c r="BC68"/>
  <c r="AY68" s="1"/>
  <c r="O67" s="1"/>
  <c r="Z64"/>
  <c r="AA64" s="1"/>
  <c r="Y65"/>
  <c r="AV70"/>
  <c r="AJ70"/>
  <c r="AK70"/>
  <c r="AR70"/>
  <c r="AQ71"/>
  <c r="AO72"/>
  <c r="AP72" s="1"/>
  <c r="BC69"/>
  <c r="O66"/>
  <c r="Q66" s="1"/>
  <c r="BF67" s="1"/>
  <c r="V68"/>
  <c r="U68"/>
  <c r="W67"/>
  <c r="P67"/>
  <c r="R68"/>
  <c r="S68"/>
  <c r="I68"/>
  <c r="J67"/>
  <c r="T67"/>
  <c r="F66"/>
  <c r="N66" s="1"/>
  <c r="C68"/>
  <c r="G68"/>
  <c r="X69" l="1"/>
  <c r="AT69"/>
  <c r="BD71"/>
  <c r="BE71" s="1"/>
  <c r="B70"/>
  <c r="AS70"/>
  <c r="D69" s="1"/>
  <c r="C69"/>
  <c r="G69"/>
  <c r="R69"/>
  <c r="V69"/>
  <c r="U69"/>
  <c r="S69"/>
  <c r="T69" s="1"/>
  <c r="A69"/>
  <c r="AT70"/>
  <c r="E69" s="1"/>
  <c r="AW70"/>
  <c r="H69" s="1"/>
  <c r="AX70"/>
  <c r="I69" s="1"/>
  <c r="AY69"/>
  <c r="O68" s="1"/>
  <c r="BB66"/>
  <c r="Z65"/>
  <c r="AA65" s="1"/>
  <c r="Y66"/>
  <c r="BB67" s="1"/>
  <c r="AJ71"/>
  <c r="AK71"/>
  <c r="AV71"/>
  <c r="AR71"/>
  <c r="AO73"/>
  <c r="AP73" s="1"/>
  <c r="AQ72"/>
  <c r="Q67"/>
  <c r="BF68" s="1"/>
  <c r="J68"/>
  <c r="T68"/>
  <c r="K68"/>
  <c r="P68"/>
  <c r="W68"/>
  <c r="L67"/>
  <c r="L68" s="1"/>
  <c r="M67"/>
  <c r="E68"/>
  <c r="F67"/>
  <c r="N67" s="1"/>
  <c r="Y67" s="1"/>
  <c r="BC70" l="1"/>
  <c r="AY70" s="1"/>
  <c r="O69" s="1"/>
  <c r="W69"/>
  <c r="K69"/>
  <c r="C70"/>
  <c r="M69"/>
  <c r="F69"/>
  <c r="J69"/>
  <c r="L69"/>
  <c r="P69"/>
  <c r="BD72"/>
  <c r="BE72" s="1"/>
  <c r="B71"/>
  <c r="G70"/>
  <c r="U70"/>
  <c r="S70"/>
  <c r="R70"/>
  <c r="A70"/>
  <c r="V70"/>
  <c r="AS71"/>
  <c r="D70" s="1"/>
  <c r="AT71"/>
  <c r="E70" s="1"/>
  <c r="AW71"/>
  <c r="H70" s="1"/>
  <c r="P70" s="1"/>
  <c r="AX71"/>
  <c r="I70" s="1"/>
  <c r="BB68"/>
  <c r="BB72"/>
  <c r="AJ72"/>
  <c r="BC73"/>
  <c r="AS72"/>
  <c r="AW72"/>
  <c r="AT72"/>
  <c r="AR72"/>
  <c r="AX72"/>
  <c r="AV72"/>
  <c r="AK72"/>
  <c r="AY72"/>
  <c r="AO74"/>
  <c r="AP74" s="1"/>
  <c r="AQ73"/>
  <c r="M68"/>
  <c r="F68"/>
  <c r="N68" s="1"/>
  <c r="Q69" l="1"/>
  <c r="BF70" s="1"/>
  <c r="X71"/>
  <c r="C71"/>
  <c r="T70"/>
  <c r="L70"/>
  <c r="F70"/>
  <c r="M70"/>
  <c r="D71"/>
  <c r="I71"/>
  <c r="N71"/>
  <c r="S71"/>
  <c r="Y71"/>
  <c r="G71"/>
  <c r="M71"/>
  <c r="R71"/>
  <c r="W71"/>
  <c r="A71"/>
  <c r="F71"/>
  <c r="K71"/>
  <c r="Q71"/>
  <c r="BF72" s="1"/>
  <c r="V71"/>
  <c r="AA71"/>
  <c r="E71"/>
  <c r="J71"/>
  <c r="O71"/>
  <c r="U71"/>
  <c r="Z71"/>
  <c r="L71"/>
  <c r="P71"/>
  <c r="T71"/>
  <c r="H71"/>
  <c r="N69"/>
  <c r="BD73"/>
  <c r="BE73" s="1"/>
  <c r="B72"/>
  <c r="J70"/>
  <c r="K70"/>
  <c r="BC71"/>
  <c r="AY71" s="1"/>
  <c r="O70" s="1"/>
  <c r="Q70" s="1"/>
  <c r="BF71" s="1"/>
  <c r="W70"/>
  <c r="Y68"/>
  <c r="BB69" s="1"/>
  <c r="BC74"/>
  <c r="AJ73"/>
  <c r="AS73"/>
  <c r="BB73"/>
  <c r="AY73"/>
  <c r="AK73"/>
  <c r="AT73"/>
  <c r="AX73"/>
  <c r="AV73"/>
  <c r="AW73"/>
  <c r="AR73"/>
  <c r="AO75"/>
  <c r="AP75" s="1"/>
  <c r="AQ74"/>
  <c r="BD74" s="1"/>
  <c r="X73" l="1"/>
  <c r="BE74"/>
  <c r="X72"/>
  <c r="G72"/>
  <c r="K72"/>
  <c r="O72"/>
  <c r="S72"/>
  <c r="W72"/>
  <c r="AA72"/>
  <c r="A72"/>
  <c r="F72"/>
  <c r="J72"/>
  <c r="N72"/>
  <c r="R72"/>
  <c r="V72"/>
  <c r="Z72"/>
  <c r="E72"/>
  <c r="I72"/>
  <c r="M72"/>
  <c r="Q72"/>
  <c r="BF73" s="1"/>
  <c r="U72"/>
  <c r="Y72"/>
  <c r="D72"/>
  <c r="H72"/>
  <c r="L72"/>
  <c r="P72"/>
  <c r="T72"/>
  <c r="BC72"/>
  <c r="C72"/>
  <c r="N70"/>
  <c r="Y69"/>
  <c r="Z69" s="1"/>
  <c r="AA69" s="1"/>
  <c r="AT74"/>
  <c r="AS74"/>
  <c r="BB74"/>
  <c r="BC75"/>
  <c r="AJ74"/>
  <c r="AV74"/>
  <c r="AR74"/>
  <c r="AK74"/>
  <c r="AW74"/>
  <c r="AX74"/>
  <c r="AY74"/>
  <c r="AO76"/>
  <c r="AP76" s="1"/>
  <c r="AQ75"/>
  <c r="BD75" s="1"/>
  <c r="Q68"/>
  <c r="Q8"/>
  <c r="Z68" l="1"/>
  <c r="BF69"/>
  <c r="X16"/>
  <c r="BF9"/>
  <c r="BE9" s="1"/>
  <c r="X8" s="1"/>
  <c r="X74"/>
  <c r="BE75"/>
  <c r="BF74"/>
  <c r="Y70"/>
  <c r="BB71"/>
  <c r="BB70"/>
  <c r="AO77"/>
  <c r="AP77" s="1"/>
  <c r="AQ76"/>
  <c r="BD76" s="1"/>
  <c r="BE76" s="1"/>
  <c r="BC76"/>
  <c r="AJ75"/>
  <c r="BB75"/>
  <c r="AS75"/>
  <c r="AR75"/>
  <c r="AY75"/>
  <c r="AV75"/>
  <c r="AT75"/>
  <c r="AK75"/>
  <c r="AX75"/>
  <c r="AW75"/>
  <c r="X70" l="1"/>
  <c r="BF75"/>
  <c r="AO78"/>
  <c r="AP78" s="1"/>
  <c r="AQ77"/>
  <c r="BD77" s="1"/>
  <c r="BE77" s="1"/>
  <c r="BB76"/>
  <c r="AJ76"/>
  <c r="BC77"/>
  <c r="AS76"/>
  <c r="AK76"/>
  <c r="AY76"/>
  <c r="AW76"/>
  <c r="AT76"/>
  <c r="AR76"/>
  <c r="AV76"/>
  <c r="AX76"/>
  <c r="AA61"/>
  <c r="AA54"/>
  <c r="AA20"/>
  <c r="AA46" s="1"/>
  <c r="BF76" l="1"/>
  <c r="AO79"/>
  <c r="AP79" s="1"/>
  <c r="AQ78"/>
  <c r="BD78" s="1"/>
  <c r="BE78" s="1"/>
  <c r="BC78"/>
  <c r="AJ77"/>
  <c r="AS77"/>
  <c r="BB77"/>
  <c r="AT77"/>
  <c r="AW77"/>
  <c r="AK77"/>
  <c r="AR77"/>
  <c r="AX77"/>
  <c r="AV77"/>
  <c r="AY77"/>
  <c r="AA23"/>
  <c r="AA24" s="1"/>
  <c r="AA68"/>
  <c r="BF77" l="1"/>
  <c r="AO80"/>
  <c r="AQ79"/>
  <c r="BD79" s="1"/>
  <c r="BE79" s="1"/>
  <c r="AT78"/>
  <c r="AS78"/>
  <c r="BB78"/>
  <c r="AV78"/>
  <c r="BC79"/>
  <c r="AJ78"/>
  <c r="AY78"/>
  <c r="AK78"/>
  <c r="AR78"/>
  <c r="AX78"/>
  <c r="AW78"/>
  <c r="BF78" l="1"/>
  <c r="AP80"/>
  <c r="AQ80" s="1"/>
  <c r="BC80"/>
  <c r="AJ79"/>
  <c r="BB79"/>
  <c r="AS79"/>
  <c r="AW79"/>
  <c r="AY79"/>
  <c r="AR79"/>
  <c r="AT79"/>
  <c r="AX79"/>
  <c r="AV79"/>
  <c r="AK79"/>
  <c r="Z8"/>
  <c r="Z16" s="1"/>
  <c r="BF79" l="1"/>
  <c r="BD80"/>
  <c r="BE80" s="1"/>
  <c r="AJ80"/>
  <c r="AV80"/>
  <c r="AX80"/>
  <c r="BB80"/>
  <c r="AT80"/>
  <c r="AW80"/>
  <c r="AR80"/>
  <c r="AS80"/>
  <c r="AY80"/>
  <c r="AK80"/>
  <c r="Z66"/>
  <c r="Z18"/>
  <c r="AA8"/>
  <c r="Z17"/>
  <c r="Z67" s="1"/>
  <c r="BF80" l="1"/>
  <c r="Z70"/>
  <c r="AA67"/>
  <c r="AA66"/>
  <c r="AA18"/>
  <c r="AA12"/>
  <c r="AA17" s="1"/>
  <c r="AA70" l="1"/>
  <c r="AA16"/>
</calcChain>
</file>

<file path=xl/sharedStrings.xml><?xml version="1.0" encoding="utf-8"?>
<sst xmlns="http://schemas.openxmlformats.org/spreadsheetml/2006/main" count="212" uniqueCount="138">
  <si>
    <t xml:space="preserve">    Post :  </t>
  </si>
  <si>
    <t>Month</t>
  </si>
  <si>
    <t>Pay Due</t>
  </si>
  <si>
    <t>Pay Drawn</t>
  </si>
  <si>
    <t>Pay Difference</t>
  </si>
  <si>
    <t>SI</t>
  </si>
  <si>
    <t>Income Tax</t>
  </si>
  <si>
    <t>Total Deduction</t>
  </si>
  <si>
    <t>Net Payment</t>
  </si>
  <si>
    <t>Bill No./Date</t>
  </si>
  <si>
    <t>Encashment Date</t>
  </si>
  <si>
    <t>Pay</t>
  </si>
  <si>
    <t>DA</t>
  </si>
  <si>
    <t>HRA</t>
  </si>
  <si>
    <t>Total</t>
  </si>
  <si>
    <t>Due</t>
  </si>
  <si>
    <t>Ded</t>
  </si>
  <si>
    <t>Diff.</t>
  </si>
  <si>
    <t>TOTAL</t>
  </si>
  <si>
    <t>.</t>
  </si>
  <si>
    <t>NPS</t>
  </si>
  <si>
    <t>Corona relief fund</t>
  </si>
  <si>
    <t>Sr. No.</t>
  </si>
  <si>
    <t>Difference Arrear Sheet</t>
  </si>
  <si>
    <t>Office Name :-</t>
  </si>
  <si>
    <t>DATA ENTRY</t>
  </si>
  <si>
    <t>Mahtma Gandhi Government School (English Medium) Bar, PALI</t>
  </si>
  <si>
    <t>USHA PALIYA</t>
  </si>
  <si>
    <t>Name Of Employee :</t>
  </si>
  <si>
    <t xml:space="preserve">    Pay Matrix Level : </t>
  </si>
  <si>
    <t>Arrear From Date :</t>
  </si>
  <si>
    <t>to</t>
  </si>
  <si>
    <t>Posting Place :</t>
  </si>
  <si>
    <t>%</t>
  </si>
  <si>
    <t>Drawing &amp; Despersal Officer</t>
  </si>
  <si>
    <t>S.R.</t>
  </si>
  <si>
    <t>Date :</t>
  </si>
  <si>
    <t>For Copying And Necessary Action</t>
  </si>
  <si>
    <t>Treasury Officer / Deputy treasury  Officer</t>
  </si>
  <si>
    <t>Related Employee Sh./Smt./Mis.</t>
  </si>
  <si>
    <t>File Register</t>
  </si>
  <si>
    <t>In Words:</t>
  </si>
  <si>
    <t xml:space="preserve">परम पूज्य गुरुदेव वासुदेवजी महाराज </t>
  </si>
  <si>
    <t>S.I. Deduction Premium Amount :-</t>
  </si>
  <si>
    <t>डीडीओ का नाम :-</t>
  </si>
  <si>
    <t>डीडीओ का पद  :-</t>
  </si>
  <si>
    <t>मकान किराया दर :-</t>
  </si>
  <si>
    <t>कार्मिक का नाम :-</t>
  </si>
  <si>
    <t>कार्मिक का पद :-</t>
  </si>
  <si>
    <t>निर्धारित पे मैट्रिक्स लेवल :-</t>
  </si>
  <si>
    <t>किस माह से एरियर बनाना है :-</t>
  </si>
  <si>
    <t>तथा किस माह तक एरियर बनाना है :-</t>
  </si>
  <si>
    <t>इन्कम टैक्स कटाना है तो % में लिखे :-</t>
  </si>
  <si>
    <t xml:space="preserve">वेतन का प्रकार सेलेक्ट करें :- </t>
  </si>
  <si>
    <t>पूर्व राजकीय सेवा का वेतन (बेसिक) यहाँ लिखे :-</t>
  </si>
  <si>
    <t>NO</t>
  </si>
  <si>
    <t>Post</t>
  </si>
  <si>
    <t>DEEO</t>
  </si>
  <si>
    <t>CDEO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</si>
  <si>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</si>
  <si>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</si>
  <si>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</si>
  <si>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</si>
  <si>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</si>
  <si>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</si>
  <si>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</si>
  <si>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</si>
  <si>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</si>
  <si>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</si>
  <si>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</si>
  <si>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</si>
  <si>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</si>
  <si>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</si>
  <si>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</si>
  <si>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</si>
  <si>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</si>
  <si>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</si>
  <si>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LDC</t>
  </si>
  <si>
    <t>UDC</t>
  </si>
  <si>
    <t>Peon</t>
  </si>
  <si>
    <t>OA</t>
  </si>
  <si>
    <t>Heeralal Jat</t>
  </si>
  <si>
    <t>Regular Pay</t>
  </si>
  <si>
    <r>
      <t xml:space="preserve">नवीन निर्धारित वेतन </t>
    </r>
    <r>
      <rPr>
        <b/>
        <sz val="13"/>
        <color rgb="FF0000CC"/>
        <rFont val="Calibri"/>
        <family val="2"/>
        <scheme val="minor"/>
      </rPr>
      <t>(New Basic Salary)</t>
    </r>
    <r>
      <rPr>
        <b/>
        <sz val="12"/>
        <color rgb="FF0000CC"/>
        <rFont val="Calibri"/>
        <family val="2"/>
        <scheme val="minor"/>
      </rPr>
      <t xml:space="preserve"> :- </t>
    </r>
  </si>
  <si>
    <t xml:space="preserve">यदि नियमित वेतन मिला हो तो यहाँ लिखें :- </t>
  </si>
  <si>
    <t xml:space="preserve"> फिक्स पे वेतन मिला हो तो यहाँ लिखें :-</t>
  </si>
  <si>
    <t>Fix Pay</t>
  </si>
  <si>
    <t>यदि कार्मिक के जीपीएफ कटौती है तो    YES सेलेक्ट करें :-</t>
  </si>
  <si>
    <t>YES</t>
  </si>
  <si>
    <r>
      <t xml:space="preserve">यदि आपके वेतन से राज्य बीमा कटोती हो रही है तो  </t>
    </r>
    <r>
      <rPr>
        <b/>
        <sz val="12"/>
        <color rgb="FFCC0099"/>
        <rFont val="Calibri"/>
        <family val="2"/>
        <scheme val="minor"/>
      </rPr>
      <t>YES</t>
    </r>
    <r>
      <rPr>
        <b/>
        <sz val="11.5"/>
        <color rgb="FFCC0099"/>
        <rFont val="Calibri"/>
        <family val="2"/>
        <scheme val="minor"/>
      </rPr>
      <t xml:space="preserve"> सेलेक्ट करें :-</t>
    </r>
  </si>
  <si>
    <t>GPF / NPS :-</t>
  </si>
  <si>
    <t xml:space="preserve">वर्तमान में यदि आप पूर्व राजकीय सेवा का वेतन आहरण किया है तो सामने कॉलम में YES सेलेक्ट करे :- </t>
  </si>
  <si>
    <t xml:space="preserve">किस तारीख से एरियर बनाना है :- 
(Date Format :- DD/MM/YYYY ).           </t>
  </si>
  <si>
    <r>
      <t xml:space="preserve">नया वेतन मिलने के दिनों की संख्या :- 
</t>
    </r>
    <r>
      <rPr>
        <b/>
        <sz val="11"/>
        <color rgb="FF0000CC"/>
        <rFont val="Calibri"/>
        <family val="2"/>
        <scheme val="minor"/>
      </rPr>
      <t>(आप सिर्फ़ चेक कर सकते है )</t>
    </r>
  </si>
  <si>
    <t>Lab Tec.</t>
  </si>
  <si>
    <t>यदि एरियर ड्रा के दौरान आपके वेतन में फिक्सेशन या एसीपी के कारण वेतन में बदलाव आया हो तो  YES सेलेक्ट करें :-</t>
  </si>
  <si>
    <t xml:space="preserve">जिस माह में वेतन में बदलाव आया है , वह माह सलेक्ट करें :- </t>
  </si>
  <si>
    <t xml:space="preserve">परिवर्तित वेतन यहाँ पर लिखें :- </t>
  </si>
  <si>
    <t>This Program Is Developed By :</t>
  </si>
  <si>
    <t>Mahatma Gandhi Government School Bar , PALI</t>
  </si>
  <si>
    <t>Senior Teacher</t>
  </si>
  <si>
    <t>V./P. :- Chandawal Nagar, Teh. - Sojat (Pali)</t>
  </si>
  <si>
    <t>heeralaljatchandawal@gmail.com</t>
  </si>
  <si>
    <t xml:space="preserve">यह एक्सेल प्रोग्राम इष्टदेव बजरंगबली व पाबूजी महाराज की असीम कृपा तथा गुरुदेव वासुदेवजी महाराज के आशीर्वाद और माता -पिता के शुभ आशीष से आप तक हाजिर किया जा रहा है </t>
  </si>
  <si>
    <t>Master Sheet :-</t>
  </si>
  <si>
    <t xml:space="preserve"> </t>
  </si>
  <si>
    <t>Arrear Sheet :-</t>
  </si>
  <si>
    <t>यहाँ पर मास्टर शीट पर जो एंट्री की गयी है उसका आउटपुट मिलेगा I यहाँ किसी भी प्रकार की एन्ट्री नहीं होगी I जो भी संशोधन करना है तो मास्टर शीट पर करना है I यह शीट fully ऑटोमेटेड है , यहाँ पर केवल प्रिंट निकलना है , जो A4 साइज़ में पेज सेट किया हुआ है I</t>
  </si>
  <si>
    <t>Unlock Arrear Sheet :-</t>
  </si>
  <si>
    <t>सूचना :-</t>
  </si>
  <si>
    <t xml:space="preserve">धन्यवाद </t>
  </si>
  <si>
    <t>हीरालाल जाट , वरिष्ठ अध्यापक (एक्सेल प्रोग्रामर )</t>
  </si>
  <si>
    <t xml:space="preserve">आपका दोस्त </t>
  </si>
  <si>
    <t>वैसे इस प्रोग्राम को तैयार करने में पूर्ण सावधानी बरती गयी है , फिर भी मानवीय त्रुटि होना संम्भव है I अतः आप अपने स्तर पर जरुर चेक कर लेवे I इस हेतु निर्माणकर्ता कतई जिम्मेदार नहीं होगा I यह आपकी सुविधा के लिए है I</t>
  </si>
  <si>
    <t>यह अनलॉक शीट इसलिए डाली गयी ताकि किसी भी अपवाद स्वरुप किसी कार्मिक का वेतन ड्रा (एरियर ) सही नहीं बैठ रहा है या फिर वेतन व कटोती में ज्यादा संशोधन है तो आप अनलॉक शीट काम में ले सकते है I कही पर त्रुटि रहने के समय काम ले सकते है I</t>
  </si>
  <si>
    <r>
      <rPr>
        <b/>
        <sz val="14"/>
        <color theme="1"/>
        <rFont val="Calibri"/>
        <family val="2"/>
        <scheme val="minor"/>
      </rPr>
      <t xml:space="preserve"> ::  </t>
    </r>
    <r>
      <rPr>
        <b/>
        <u val="double"/>
        <sz val="14"/>
        <color theme="1"/>
        <rFont val="Calibri"/>
        <family val="2"/>
        <scheme val="minor"/>
      </rPr>
      <t xml:space="preserve"> निर्देश </t>
    </r>
    <r>
      <rPr>
        <b/>
        <sz val="14"/>
        <color theme="1"/>
        <rFont val="Calibri"/>
        <family val="2"/>
        <scheme val="minor"/>
      </rPr>
      <t xml:space="preserve"> ::</t>
    </r>
  </si>
  <si>
    <t>नोट :-  आप को जो भी एन्ट्री करनी है वो सब मास्टर शीट पर ही करनी है , एरियर शीट पर कुछ नहीं करना है I यदि आपको ड्राप डाउन लिस्ट में आपका पद नहीं मिल रहा है तो मास्टर शीट पर गुरुदेव की फोटो के निचे टेबल दे रखी है , उसमे लिख लेवे , वह पद लिस्ट में ऐड हो जाएगा I</t>
  </si>
  <si>
    <t xml:space="preserve">कितने दिनों का वेतन काटा गया है , उन दिनों की संख्या को सलेक्ट करें :- </t>
  </si>
  <si>
    <r>
      <t xml:space="preserve">यदि आपके मार्च </t>
    </r>
    <r>
      <rPr>
        <b/>
        <sz val="14"/>
        <color rgb="FFCC0099"/>
        <rFont val="Calibri"/>
        <family val="2"/>
        <scheme val="minor"/>
      </rPr>
      <t>2020</t>
    </r>
    <r>
      <rPr>
        <b/>
        <sz val="11.5"/>
        <color rgb="FFCC0099"/>
        <rFont val="Calibri"/>
        <family val="2"/>
        <scheme val="minor"/>
      </rPr>
      <t xml:space="preserve"> के वेतन से कोरोना  कटोती हुई है तो  </t>
    </r>
    <r>
      <rPr>
        <b/>
        <sz val="12"/>
        <color rgb="FFCC0099"/>
        <rFont val="Calibri"/>
        <family val="2"/>
        <scheme val="minor"/>
      </rPr>
      <t>YES</t>
    </r>
    <r>
      <rPr>
        <b/>
        <sz val="11.5"/>
        <color rgb="FFCC0099"/>
        <rFont val="Calibri"/>
        <family val="2"/>
        <scheme val="minor"/>
      </rPr>
      <t xml:space="preserve"> सेलेक्ट करें :-</t>
    </r>
  </si>
  <si>
    <t>S.I. Deduction Due Premium Amount :-</t>
  </si>
  <si>
    <t>G.P.F. Deduction Due Premium Amount :-</t>
  </si>
  <si>
    <t>G.P.F. Deduction Premium Amount :-</t>
  </si>
  <si>
    <t xml:space="preserve">परिवर्तित प्रीमियम राशि यहाँ पर लिखें :- </t>
  </si>
  <si>
    <t>यदि एरियर बनाने की अवधि के दौरान राज्य बीमा कटोती में वृद्धि हुई है तो YES सेलेक्ट करें :-</t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</si>
  <si>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S.I. Premium</t>
    </r>
    <r>
      <rPr>
        <b/>
        <sz val="11.5"/>
        <color rgb="FF0000CC"/>
        <rFont val="Calibri"/>
        <family val="2"/>
        <scheme val="minor"/>
      </rPr>
      <t xml:space="preserve"> में बदलाव आया है , वह माह सलेक्ट करें :- </t>
    </r>
  </si>
  <si>
    <r>
      <t xml:space="preserve">यदि एरियर बनाने की अवधि के दौरान </t>
    </r>
    <r>
      <rPr>
        <b/>
        <sz val="12"/>
        <color rgb="FFCC0099"/>
        <rFont val="Calibri"/>
        <family val="2"/>
        <scheme val="minor"/>
      </rPr>
      <t>GPF</t>
    </r>
    <r>
      <rPr>
        <b/>
        <sz val="11"/>
        <color rgb="FFCC0099"/>
        <rFont val="Calibri"/>
        <family val="2"/>
        <scheme val="minor"/>
      </rPr>
      <t xml:space="preserve"> कटोती में वृद्धि हुई है तो YES सेलेक्ट करें :-</t>
    </r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</si>
  <si>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G.P.F. Ded.</t>
    </r>
    <r>
      <rPr>
        <b/>
        <sz val="11.5"/>
        <color rgb="FF0000CC"/>
        <rFont val="Calibri"/>
        <family val="2"/>
        <scheme val="minor"/>
      </rPr>
      <t xml:space="preserve"> में वृद्धि करवाई  है , वह माह सलेक्ट करें :- </t>
    </r>
  </si>
  <si>
    <t>इस शीट पर आप अपने से सम्बंधित सूचना की एंट्री कर सकते है I सबसे पहले आप अपने विद्यालय का नाम तथा उसके बाद अपने डीडीओ का नाम व पद , उसके बाद अपना स्वयं का नाम व पद इनपुट करें I उसके बाद आपको किस माह से एरियर बनाना है , उस माह को सलेक्ट बटन से सलेक्ट करे तथा अगले कॉलम में किस माह तक एरियर बनाना है उसे सलेक्ट करें I मकान किराया दर , पे मेट्रिक्स लेवल और इनकम टैक्स कटवाना है तो प्रतिशत में लिखे अन्यथा शुन्य ही रहने देवे I उसके बाद वेतन का प्रकार लिखें , इसमे आप रेगुलर पे और फिक्स पे में से चयन करें I यदि आप फिक्स वेतन को सलेक्ट करते है तो फ़िक्स पे के वेतन वाला कॉलम खुल जायेगा और रेगुलर वेतन वाला कॉलम फ्रीज़ हो जायेगा I और यदि आप रेगुलर पे का आप्शन सलेक्ट करते है तो रेगुलर पे वाला आप्शन अनफ्रीज़ हो जायेगा I उसके बाद आप जिस दिनांक से वेतन बनाना चाहते है उस दिनांक को DD/MM/YYYY के फॉर्मेट में लिखें I नवीन वेतन का बेसिक पे लिखें , जिसके द्वारा एरियर की कैलकुलेशन होगी I उसके बाद यदि आप किसी पूर्व राजकीय सेवा में रहने के कारण एरियर बनाना है तो इसमे YES सलेक्ट करें I जैसे ही YES सलेक्ट करेंगे तो वेतन लिखने के लिए कॉलम अनफ्रीज़ हो जायेगा , जिसमे वेतन लिख पायेंगे I उसके बाद यदि आपके S.I. कटौती हो रही है तो S.I. कटौती को इन्द्राज करें I उसके बाद यदि आपके G.P.F. कटौती हो रही है तो पहले YES सलेक्ट करें तथा उसके बाद आप G.P.F. कटौती को इन्द्राज करें I अन्त में यदि एरियर बनाने के पीरियड में आपके वेतन में जुलाई की वेतन वृद्धि के अलावा ओर किसी प्रकार की वेतन वृद्धि हुई है तो YES सलेक्ट करे , YES सलेक्ट करते ही वेतन लिखने के लिए आप्शन शो हो जायेंगे I नियमित वेतन वृद्धि स्वतः होगी I
   मार्च 2020 के वेतन से कोरोना की कटौती हुई हो तो yes सेलेक्ट करे I जैसे ही yes सलेक्ट करेंगे दिनों की संख्या भरने के आप्शन शो हो जायेगा I वहा दिनों की संख्या सलेक्ट कर लेवे I</t>
  </si>
  <si>
    <t>https://youtu.be/e9tzJ3zCZPk</t>
  </si>
  <si>
    <t>Video link :-</t>
  </si>
  <si>
    <t>You tube Video Link</t>
  </si>
  <si>
    <t>You tube Channal Link</t>
  </si>
  <si>
    <t>https://youtube.com/c/Heeralaljat</t>
  </si>
  <si>
    <r>
      <t xml:space="preserve"> जुलाई </t>
    </r>
    <r>
      <rPr>
        <b/>
        <sz val="14"/>
        <color rgb="FF0000CC"/>
        <rFont val="Calibri"/>
        <family val="2"/>
        <scheme val="minor"/>
      </rPr>
      <t>2021</t>
    </r>
    <r>
      <rPr>
        <b/>
        <sz val="12"/>
        <color rgb="FF0000CC"/>
        <rFont val="Calibri"/>
        <family val="2"/>
        <scheme val="minor"/>
      </rPr>
      <t xml:space="preserve"> से मकान किराया दर :-</t>
    </r>
  </si>
  <si>
    <t>HEERALAL JAT</t>
  </si>
  <si>
    <t>HRA पुराना ही लिखे 
नया ऑटो आयेगा</t>
  </si>
  <si>
    <t>Arrear inGPF-2004</t>
  </si>
  <si>
    <t>वैसे शीट पूरी मेहनत से तैयार की गयी है , फिर भी अगर कही पर त्रुटि रहती है तो जरुर अवगत करावे , इस हेतु जरुर संशोधित संस्करण निकाला जायेगा I</t>
  </si>
</sst>
</file>

<file path=xl/styles.xml><?xml version="1.0" encoding="utf-8"?>
<styleSheet xmlns="http://schemas.openxmlformats.org/spreadsheetml/2006/main">
  <numFmts count="4">
    <numFmt numFmtId="164" formatCode="[$-409]mmm/yy;@"/>
    <numFmt numFmtId="165" formatCode="dd/mm/yyyy"/>
    <numFmt numFmtId="166" formatCode="\L\-0"/>
    <numFmt numFmtId="167" formatCode="[$-409]mmmm/yy;@"/>
  </numFmts>
  <fonts count="8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8"/>
      <color indexed="8"/>
      <name val="Times New Roman"/>
      <charset val="1"/>
    </font>
    <font>
      <b/>
      <sz val="12"/>
      <name val="Times New Roman"/>
      <family val="1"/>
    </font>
    <font>
      <sz val="14"/>
      <color theme="1"/>
      <name val="Kruti Dev 010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i/>
      <sz val="14"/>
      <color theme="1"/>
      <name val="Cambria"/>
      <family val="1"/>
      <scheme val="major"/>
    </font>
    <font>
      <sz val="14"/>
      <name val="Times New Roman"/>
      <family val="1"/>
    </font>
    <font>
      <b/>
      <i/>
      <sz val="18"/>
      <name val="Cambria"/>
      <family val="1"/>
      <scheme val="major"/>
    </font>
    <font>
      <b/>
      <i/>
      <u/>
      <sz val="16"/>
      <name val="Times New Roman"/>
      <family val="1"/>
    </font>
    <font>
      <b/>
      <sz val="14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DevLys 010"/>
    </font>
    <font>
      <sz val="12"/>
      <color theme="1"/>
      <name val="DevLys 010"/>
    </font>
    <font>
      <i/>
      <sz val="14"/>
      <color theme="1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3"/>
      <name val="Times New Roman"/>
      <family val="1"/>
    </font>
    <font>
      <b/>
      <i/>
      <sz val="14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b/>
      <sz val="13"/>
      <color rgb="FF0000CC"/>
      <name val="Kruti Dev 010"/>
    </font>
    <font>
      <b/>
      <sz val="12"/>
      <color rgb="FF0000CC"/>
      <name val="Calibri"/>
      <family val="2"/>
      <scheme val="minor"/>
    </font>
    <font>
      <b/>
      <sz val="13"/>
      <color rgb="FF0000CC"/>
      <name val="Calibri"/>
      <family val="2"/>
      <scheme val="minor"/>
    </font>
    <font>
      <b/>
      <sz val="11.5"/>
      <color rgb="FF0000CC"/>
      <name val="Calibri"/>
      <family val="2"/>
      <scheme val="minor"/>
    </font>
    <font>
      <b/>
      <sz val="13"/>
      <color rgb="FFCC0099"/>
      <name val="Calibri"/>
      <family val="2"/>
      <scheme val="minor"/>
    </font>
    <font>
      <b/>
      <sz val="11.5"/>
      <color rgb="FFCC0099"/>
      <name val="Calibri"/>
      <family val="2"/>
      <scheme val="minor"/>
    </font>
    <font>
      <b/>
      <sz val="12"/>
      <color rgb="FFCC0099"/>
      <name val="Calibri"/>
      <family val="2"/>
      <scheme val="minor"/>
    </font>
    <font>
      <sz val="10"/>
      <color theme="2" tint="-0.249977111117893"/>
      <name val="Times New Roman"/>
      <family val="1"/>
    </font>
    <font>
      <sz val="14"/>
      <color theme="2" tint="-0.249977111117893"/>
      <name val="Times New Roman"/>
      <family val="1"/>
    </font>
    <font>
      <sz val="11"/>
      <color theme="2" tint="-0.249977111117893"/>
      <name val="Times New Roman"/>
      <family val="1"/>
    </font>
    <font>
      <sz val="8"/>
      <color theme="2" tint="-0.249977111117893"/>
      <name val="Times New Roman"/>
      <charset val="1"/>
    </font>
    <font>
      <sz val="11"/>
      <color theme="2" tint="-0.249977111117893"/>
      <name val="Calibri"/>
      <family val="2"/>
      <scheme val="minor"/>
    </font>
    <font>
      <b/>
      <u val="double"/>
      <sz val="20"/>
      <color rgb="FFFF0000"/>
      <name val="Cambria"/>
      <family val="1"/>
      <scheme val="major"/>
    </font>
    <font>
      <b/>
      <sz val="11"/>
      <color rgb="FFC00000"/>
      <name val="Calibri"/>
      <family val="2"/>
      <scheme val="minor"/>
    </font>
    <font>
      <b/>
      <i/>
      <sz val="16"/>
      <color rgb="FF0000CC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6"/>
      <color theme="10"/>
      <name val="Calibri"/>
      <family val="2"/>
    </font>
    <font>
      <b/>
      <i/>
      <sz val="16"/>
      <color rgb="FFCC0066"/>
      <name val="Calibri"/>
      <family val="2"/>
      <scheme val="minor"/>
    </font>
    <font>
      <b/>
      <sz val="14"/>
      <color rgb="FFCC00CC"/>
      <name val="Cambria"/>
      <family val="1"/>
      <scheme val="major"/>
    </font>
    <font>
      <b/>
      <i/>
      <sz val="16"/>
      <color rgb="FF000099"/>
      <name val="Cambria"/>
      <family val="1"/>
      <scheme val="major"/>
    </font>
    <font>
      <b/>
      <i/>
      <sz val="16"/>
      <color rgb="FF660033"/>
      <name val="Cambria"/>
      <family val="1"/>
      <scheme val="major"/>
    </font>
    <font>
      <b/>
      <sz val="1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rgb="FFCC0099"/>
      <name val="Calibri"/>
      <family val="2"/>
      <scheme val="minor"/>
    </font>
    <font>
      <b/>
      <sz val="12.5"/>
      <color rgb="FF0000CC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6"/>
      <color theme="1"/>
      <name val="Cambria"/>
      <family val="1"/>
      <scheme val="major"/>
    </font>
    <font>
      <b/>
      <u/>
      <sz val="16"/>
      <color theme="10"/>
      <name val="Calibri"/>
      <family val="2"/>
    </font>
    <font>
      <b/>
      <sz val="16"/>
      <color theme="1"/>
      <name val="Cambria"/>
      <family val="1"/>
      <scheme val="major"/>
    </font>
    <font>
      <b/>
      <u/>
      <sz val="16"/>
      <color rgb="FF0000CC"/>
      <name val="Calibri"/>
      <family val="2"/>
    </font>
    <font>
      <b/>
      <sz val="16"/>
      <color rgb="FF0000CC"/>
      <name val="Cambria"/>
      <family val="1"/>
      <scheme val="major"/>
    </font>
    <font>
      <b/>
      <u/>
      <sz val="14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sz val="1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BFFC7"/>
        <bgColor indexed="64"/>
      </patternFill>
    </fill>
    <fill>
      <patternFill patternType="solid">
        <fgColor rgb="FF97FFB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C0099"/>
      </left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/>
      <bottom/>
      <diagonal/>
    </border>
    <border>
      <left style="thin">
        <color rgb="FFCC0099"/>
      </left>
      <right/>
      <top style="thin">
        <color rgb="FFCC0099"/>
      </top>
      <bottom style="thin">
        <color rgb="FFCC0099"/>
      </bottom>
      <diagonal/>
    </border>
    <border>
      <left/>
      <right/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/>
      <top/>
      <bottom style="thin">
        <color rgb="FFCC0099"/>
      </bottom>
      <diagonal/>
    </border>
  </borders>
  <cellStyleXfs count="2">
    <xf numFmtId="0" fontId="0" fillId="0" borderId="0"/>
    <xf numFmtId="0" fontId="58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29" fillId="0" borderId="0" xfId="0" applyFont="1" applyBorder="1" applyAlignment="1" applyProtection="1">
      <alignment vertical="center"/>
      <protection hidden="1"/>
    </xf>
    <xf numFmtId="0" fontId="30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0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0" fontId="0" fillId="3" borderId="0" xfId="0" applyFill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164" fontId="1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6" xfId="0" applyFont="1" applyFill="1" applyBorder="1" applyAlignment="1" applyProtection="1">
      <alignment horizontal="center" vertical="center" shrinkToFit="1"/>
      <protection hidden="1"/>
    </xf>
    <xf numFmtId="0" fontId="1" fillId="2" borderId="2" xfId="0" applyFont="1" applyFill="1" applyBorder="1" applyAlignment="1" applyProtection="1">
      <alignment horizontal="center" vertical="center" shrinkToFit="1"/>
      <protection hidden="1"/>
    </xf>
    <xf numFmtId="0" fontId="1" fillId="2" borderId="3" xfId="0" applyFont="1" applyFill="1" applyBorder="1" applyAlignment="1" applyProtection="1">
      <alignment horizontal="center" vertical="center" shrinkToFit="1"/>
      <protection hidden="1"/>
    </xf>
    <xf numFmtId="0" fontId="1" fillId="2" borderId="1" xfId="0" applyFont="1" applyFill="1" applyBorder="1" applyAlignment="1" applyProtection="1">
      <alignment horizontal="center" vertical="center" shrinkToFit="1"/>
      <protection hidden="1"/>
    </xf>
    <xf numFmtId="1" fontId="12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7" fillId="0" borderId="0" xfId="0" applyFont="1" applyAlignment="1" applyProtection="1">
      <alignment vertical="top" wrapText="1" readingOrder="1"/>
      <protection hidden="1"/>
    </xf>
    <xf numFmtId="0" fontId="0" fillId="0" borderId="0" xfId="0" applyAlignment="1" applyProtection="1">
      <protection hidden="1"/>
    </xf>
    <xf numFmtId="1" fontId="1" fillId="0" borderId="1" xfId="0" quotePrefix="1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vertical="top" shrinkToFit="1"/>
      <protection hidden="1"/>
    </xf>
    <xf numFmtId="0" fontId="13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shrinkToFit="1"/>
      <protection hidden="1"/>
    </xf>
    <xf numFmtId="0" fontId="5" fillId="2" borderId="0" xfId="0" applyFont="1" applyFill="1" applyBorder="1" applyAlignment="1" applyProtection="1">
      <alignment horizontal="center" vertical="center" shrinkToFit="1"/>
      <protection hidden="1"/>
    </xf>
    <xf numFmtId="0" fontId="13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 textRotation="90" shrinkToFit="1"/>
      <protection hidden="1"/>
    </xf>
    <xf numFmtId="0" fontId="24" fillId="2" borderId="0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right" vertical="center" shrinkToFit="1"/>
      <protection hidden="1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 shrinkToFit="1"/>
      <protection locked="0"/>
    </xf>
    <xf numFmtId="0" fontId="37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37" fillId="3" borderId="0" xfId="0" applyFont="1" applyFill="1" applyAlignment="1" applyProtection="1">
      <alignment horizontal="right" vertical="center"/>
      <protection hidden="1"/>
    </xf>
    <xf numFmtId="0" fontId="38" fillId="3" borderId="0" xfId="0" applyFont="1" applyFill="1" applyAlignment="1" applyProtection="1">
      <alignment horizontal="right" vertical="center"/>
      <protection hidden="1"/>
    </xf>
    <xf numFmtId="0" fontId="37" fillId="3" borderId="0" xfId="0" applyFont="1" applyFill="1" applyAlignment="1" applyProtection="1">
      <alignment horizontal="right"/>
      <protection hidden="1"/>
    </xf>
    <xf numFmtId="0" fontId="37" fillId="3" borderId="0" xfId="0" applyFont="1" applyFill="1" applyAlignment="1" applyProtection="1">
      <alignment horizontal="right" vertical="center"/>
      <protection hidden="1"/>
    </xf>
    <xf numFmtId="0" fontId="37" fillId="3" borderId="0" xfId="0" applyFont="1" applyFill="1" applyBorder="1" applyAlignment="1" applyProtection="1">
      <alignment horizontal="right" vertical="center"/>
      <protection hidden="1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alignment vertical="center"/>
      <protection hidden="1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40" fillId="3" borderId="0" xfId="0" applyFont="1" applyFill="1" applyAlignment="1" applyProtection="1">
      <alignment vertical="top" wrapText="1"/>
      <protection hidden="1"/>
    </xf>
    <xf numFmtId="0" fontId="0" fillId="4" borderId="0" xfId="0" applyFill="1" applyProtection="1">
      <protection hidden="1"/>
    </xf>
    <xf numFmtId="0" fontId="42" fillId="4" borderId="0" xfId="0" applyFont="1" applyFill="1" applyAlignment="1" applyProtection="1">
      <alignment horizontal="right" vertical="center"/>
      <protection hidden="1"/>
    </xf>
    <xf numFmtId="0" fontId="39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Border="1" applyAlignment="1" applyProtection="1">
      <alignment horizontal="left" vertical="center"/>
      <protection hidden="1"/>
    </xf>
    <xf numFmtId="0" fontId="37" fillId="4" borderId="0" xfId="0" applyFont="1" applyFill="1" applyProtection="1"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44" fillId="4" borderId="0" xfId="0" applyFont="1" applyFill="1" applyAlignment="1" applyProtection="1">
      <alignment horizontal="right" vertical="center" wrapText="1"/>
      <protection hidden="1"/>
    </xf>
    <xf numFmtId="164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1" fontId="12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34" fillId="2" borderId="0" xfId="0" applyFont="1" applyFill="1" applyBorder="1" applyAlignment="1" applyProtection="1">
      <alignment vertical="center" shrinkToFit="1"/>
      <protection hidden="1"/>
    </xf>
    <xf numFmtId="1" fontId="28" fillId="0" borderId="9" xfId="0" applyNumberFormat="1" applyFont="1" applyBorder="1" applyAlignment="1" applyProtection="1">
      <alignment horizontal="center" vertical="center"/>
      <protection locked="0"/>
    </xf>
    <xf numFmtId="0" fontId="42" fillId="4" borderId="10" xfId="0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1" fillId="8" borderId="6" xfId="0" applyFont="1" applyFill="1" applyBorder="1" applyAlignment="1" applyProtection="1">
      <alignment horizontal="center" vertical="center" shrinkToFit="1"/>
      <protection hidden="1"/>
    </xf>
    <xf numFmtId="0" fontId="1" fillId="8" borderId="2" xfId="0" applyFont="1" applyFill="1" applyBorder="1" applyAlignment="1" applyProtection="1">
      <alignment horizontal="center" vertical="center" shrinkToFit="1"/>
      <protection hidden="1"/>
    </xf>
    <xf numFmtId="0" fontId="1" fillId="8" borderId="2" xfId="0" applyFont="1" applyFill="1" applyBorder="1" applyAlignment="1" applyProtection="1">
      <alignment horizontal="center" vertical="center" shrinkToFit="1"/>
      <protection locked="0"/>
    </xf>
    <xf numFmtId="166" fontId="17" fillId="0" borderId="9" xfId="0" applyNumberFormat="1" applyFont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 shrinkToFit="1"/>
      <protection hidden="1"/>
    </xf>
    <xf numFmtId="14" fontId="48" fillId="0" borderId="0" xfId="0" applyNumberFormat="1" applyFont="1" applyAlignment="1" applyProtection="1">
      <alignment vertical="center" shrinkToFit="1"/>
      <protection hidden="1"/>
    </xf>
    <xf numFmtId="0" fontId="49" fillId="0" borderId="0" xfId="0" applyFont="1" applyAlignment="1" applyProtection="1">
      <alignment vertical="center" shrinkToFit="1"/>
      <protection hidden="1"/>
    </xf>
    <xf numFmtId="0" fontId="50" fillId="0" borderId="0" xfId="0" applyFont="1" applyAlignment="1" applyProtection="1">
      <alignment vertical="center" shrinkToFit="1"/>
      <protection hidden="1"/>
    </xf>
    <xf numFmtId="14" fontId="49" fillId="0" borderId="0" xfId="0" applyNumberFormat="1" applyFont="1" applyAlignment="1" applyProtection="1">
      <alignment vertical="center" shrinkToFit="1"/>
      <protection hidden="1"/>
    </xf>
    <xf numFmtId="14" fontId="48" fillId="0" borderId="11" xfId="0" applyNumberFormat="1" applyFont="1" applyBorder="1" applyAlignment="1" applyProtection="1">
      <alignment vertical="center" shrinkToFit="1"/>
      <protection hidden="1"/>
    </xf>
    <xf numFmtId="14" fontId="48" fillId="0" borderId="12" xfId="0" applyNumberFormat="1" applyFont="1" applyBorder="1" applyAlignment="1" applyProtection="1">
      <alignment vertical="center" shrinkToFit="1"/>
      <protection hidden="1"/>
    </xf>
    <xf numFmtId="0" fontId="48" fillId="0" borderId="12" xfId="0" applyFont="1" applyBorder="1" applyAlignment="1" applyProtection="1">
      <alignment vertical="center" shrinkToFit="1"/>
      <protection hidden="1"/>
    </xf>
    <xf numFmtId="1" fontId="48" fillId="0" borderId="13" xfId="0" applyNumberFormat="1" applyFont="1" applyBorder="1" applyAlignment="1" applyProtection="1">
      <alignment vertical="center" shrinkToFit="1"/>
      <protection hidden="1"/>
    </xf>
    <xf numFmtId="0" fontId="48" fillId="0" borderId="11" xfId="0" applyFont="1" applyBorder="1" applyAlignment="1" applyProtection="1">
      <alignment vertical="center" shrinkToFit="1"/>
      <protection hidden="1"/>
    </xf>
    <xf numFmtId="0" fontId="48" fillId="0" borderId="13" xfId="0" applyFont="1" applyBorder="1" applyAlignment="1" applyProtection="1">
      <alignment vertical="center" shrinkToFit="1"/>
      <protection hidden="1"/>
    </xf>
    <xf numFmtId="0" fontId="51" fillId="0" borderId="0" xfId="0" applyFont="1" applyAlignment="1" applyProtection="1">
      <alignment vertical="top" wrapText="1" readingOrder="1"/>
      <protection hidden="1"/>
    </xf>
    <xf numFmtId="0" fontId="48" fillId="0" borderId="0" xfId="0" applyFont="1" applyAlignment="1" applyProtection="1">
      <alignment shrinkToFit="1"/>
      <protection hidden="1"/>
    </xf>
    <xf numFmtId="0" fontId="52" fillId="0" borderId="0" xfId="0" applyFont="1" applyProtection="1">
      <protection hidden="1"/>
    </xf>
    <xf numFmtId="0" fontId="48" fillId="0" borderId="0" xfId="0" applyFont="1" applyAlignment="1" applyProtection="1">
      <alignment vertical="top" shrinkToFit="1"/>
      <protection hidden="1"/>
    </xf>
    <xf numFmtId="14" fontId="48" fillId="0" borderId="0" xfId="0" applyNumberFormat="1" applyFont="1" applyAlignment="1" applyProtection="1">
      <alignment vertical="top" shrinkToFit="1"/>
      <protection hidden="1"/>
    </xf>
    <xf numFmtId="0" fontId="48" fillId="0" borderId="0" xfId="0" applyFont="1" applyAlignment="1" applyProtection="1">
      <alignment horizontal="center" vertical="center" shrinkToFit="1"/>
      <protection hidden="1"/>
    </xf>
    <xf numFmtId="0" fontId="48" fillId="6" borderId="0" xfId="0" applyFont="1" applyFill="1" applyAlignment="1" applyProtection="1">
      <alignment vertical="top" shrinkToFit="1"/>
      <protection hidden="1"/>
    </xf>
    <xf numFmtId="0" fontId="48" fillId="7" borderId="0" xfId="0" applyFont="1" applyFill="1" applyAlignment="1" applyProtection="1">
      <alignment vertical="top" shrinkToFit="1"/>
      <protection hidden="1"/>
    </xf>
    <xf numFmtId="0" fontId="28" fillId="0" borderId="9" xfId="0" applyFont="1" applyFill="1" applyBorder="1" applyAlignment="1" applyProtection="1">
      <alignment horizontal="left" vertical="center"/>
      <protection locked="0"/>
    </xf>
    <xf numFmtId="0" fontId="55" fillId="4" borderId="0" xfId="0" applyFont="1" applyFill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16" fillId="9" borderId="9" xfId="0" applyFont="1" applyFill="1" applyBorder="1" applyAlignment="1" applyProtection="1">
      <alignment horizontal="center" vertical="center"/>
      <protection hidden="1"/>
    </xf>
    <xf numFmtId="165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10" borderId="0" xfId="0" applyFill="1" applyProtection="1">
      <protection hidden="1"/>
    </xf>
    <xf numFmtId="0" fontId="0" fillId="11" borderId="0" xfId="0" applyFill="1" applyProtection="1">
      <protection hidden="1"/>
    </xf>
    <xf numFmtId="0" fontId="10" fillId="12" borderId="4" xfId="0" applyFont="1" applyFill="1" applyBorder="1" applyAlignment="1" applyProtection="1">
      <alignment horizontal="center" vertical="center"/>
      <protection hidden="1"/>
    </xf>
    <xf numFmtId="0" fontId="16" fillId="12" borderId="5" xfId="0" applyFont="1" applyFill="1" applyBorder="1" applyAlignment="1" applyProtection="1">
      <alignment horizontal="center" vertical="center"/>
      <protection hidden="1"/>
    </xf>
    <xf numFmtId="0" fontId="39" fillId="12" borderId="1" xfId="0" applyFont="1" applyFill="1" applyBorder="1" applyAlignment="1" applyProtection="1">
      <alignment vertical="justify" wrapText="1"/>
      <protection hidden="1"/>
    </xf>
    <xf numFmtId="0" fontId="0" fillId="13" borderId="0" xfId="0" applyFill="1" applyProtection="1">
      <protection hidden="1"/>
    </xf>
    <xf numFmtId="0" fontId="54" fillId="13" borderId="0" xfId="0" applyFont="1" applyFill="1" applyAlignment="1" applyProtection="1">
      <alignment wrapText="1"/>
      <protection hidden="1"/>
    </xf>
    <xf numFmtId="0" fontId="10" fillId="14" borderId="4" xfId="0" applyFont="1" applyFill="1" applyBorder="1" applyAlignment="1" applyProtection="1">
      <alignment horizontal="center" vertical="center"/>
      <protection hidden="1"/>
    </xf>
    <xf numFmtId="0" fontId="16" fillId="14" borderId="5" xfId="0" applyFont="1" applyFill="1" applyBorder="1" applyAlignment="1" applyProtection="1">
      <alignment horizontal="center" vertical="center"/>
      <protection hidden="1"/>
    </xf>
    <xf numFmtId="0" fontId="15" fillId="14" borderId="1" xfId="0" applyFont="1" applyFill="1" applyBorder="1" applyAlignment="1" applyProtection="1">
      <alignment vertical="center" wrapText="1"/>
      <protection hidden="1"/>
    </xf>
    <xf numFmtId="0" fontId="0" fillId="14" borderId="0" xfId="0" applyFill="1" applyProtection="1">
      <protection hidden="1"/>
    </xf>
    <xf numFmtId="0" fontId="10" fillId="15" borderId="4" xfId="0" applyFont="1" applyFill="1" applyBorder="1" applyAlignment="1" applyProtection="1">
      <alignment horizontal="center" vertical="center"/>
      <protection hidden="1"/>
    </xf>
    <xf numFmtId="0" fontId="16" fillId="15" borderId="5" xfId="0" applyFont="1" applyFill="1" applyBorder="1" applyAlignment="1" applyProtection="1">
      <alignment horizontal="center" vertical="center" wrapText="1"/>
      <protection hidden="1"/>
    </xf>
    <xf numFmtId="0" fontId="15" fillId="15" borderId="1" xfId="0" applyFont="1" applyFill="1" applyBorder="1" applyAlignment="1" applyProtection="1">
      <alignment vertical="center" wrapText="1"/>
      <protection hidden="1"/>
    </xf>
    <xf numFmtId="0" fontId="0" fillId="15" borderId="0" xfId="0" applyFill="1" applyProtection="1">
      <protection hidden="1"/>
    </xf>
    <xf numFmtId="0" fontId="0" fillId="16" borderId="4" xfId="0" applyFill="1" applyBorder="1" applyProtection="1">
      <protection hidden="1"/>
    </xf>
    <xf numFmtId="0" fontId="66" fillId="16" borderId="5" xfId="0" applyFont="1" applyFill="1" applyBorder="1" applyAlignment="1" applyProtection="1">
      <alignment horizontal="right" vertical="center"/>
      <protection hidden="1"/>
    </xf>
    <xf numFmtId="0" fontId="66" fillId="16" borderId="1" xfId="0" applyFont="1" applyFill="1" applyBorder="1" applyAlignment="1" applyProtection="1">
      <alignment vertical="center" wrapText="1"/>
      <protection hidden="1"/>
    </xf>
    <xf numFmtId="0" fontId="0" fillId="16" borderId="0" xfId="0" applyFill="1" applyProtection="1">
      <protection hidden="1"/>
    </xf>
    <xf numFmtId="0" fontId="0" fillId="18" borderId="0" xfId="0" applyFill="1" applyProtection="1">
      <protection hidden="1"/>
    </xf>
    <xf numFmtId="0" fontId="67" fillId="18" borderId="0" xfId="0" applyFont="1" applyFill="1" applyProtection="1">
      <protection hidden="1"/>
    </xf>
    <xf numFmtId="0" fontId="0" fillId="17" borderId="0" xfId="0" applyFill="1" applyProtection="1">
      <protection hidden="1"/>
    </xf>
    <xf numFmtId="0" fontId="0" fillId="0" borderId="0" xfId="0" applyProtection="1">
      <protection hidden="1"/>
    </xf>
    <xf numFmtId="0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48" fillId="19" borderId="0" xfId="0" applyFont="1" applyFill="1" applyAlignment="1" applyProtection="1">
      <alignment vertical="top" shrinkToFit="1"/>
      <protection hidden="1"/>
    </xf>
    <xf numFmtId="0" fontId="70" fillId="4" borderId="0" xfId="0" applyFont="1" applyFill="1" applyAlignment="1" applyProtection="1">
      <alignment horizontal="right" vertical="center"/>
      <protection hidden="1"/>
    </xf>
    <xf numFmtId="0" fontId="71" fillId="11" borderId="0" xfId="0" applyFont="1" applyFill="1" applyProtection="1">
      <protection hidden="1"/>
    </xf>
    <xf numFmtId="0" fontId="18" fillId="11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16" fillId="10" borderId="0" xfId="0" applyFont="1" applyFill="1" applyAlignment="1" applyProtection="1">
      <alignment horizontal="center" wrapText="1"/>
      <protection hidden="1"/>
    </xf>
    <xf numFmtId="0" fontId="65" fillId="11" borderId="0" xfId="0" applyFont="1" applyFill="1" applyAlignment="1" applyProtection="1">
      <alignment horizontal="center" vertical="center"/>
      <protection hidden="1"/>
    </xf>
    <xf numFmtId="0" fontId="56" fillId="4" borderId="0" xfId="0" applyFont="1" applyFill="1" applyAlignment="1" applyProtection="1">
      <alignment horizontal="right" vertical="top" wrapText="1"/>
      <protection hidden="1"/>
    </xf>
    <xf numFmtId="0" fontId="56" fillId="4" borderId="10" xfId="0" applyFont="1" applyFill="1" applyBorder="1" applyAlignment="1" applyProtection="1">
      <alignment horizontal="right" vertical="top" wrapText="1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10" xfId="0" applyFont="1" applyFill="1" applyBorder="1" applyAlignment="1" applyProtection="1">
      <alignment horizontal="right" vertical="center"/>
      <protection hidden="1"/>
    </xf>
    <xf numFmtId="0" fontId="60" fillId="4" borderId="0" xfId="0" applyFont="1" applyFill="1" applyAlignment="1" applyProtection="1">
      <alignment horizontal="center" vertical="center"/>
      <protection hidden="1"/>
    </xf>
    <xf numFmtId="0" fontId="46" fillId="4" borderId="0" xfId="0" applyFont="1" applyFill="1" applyAlignment="1" applyProtection="1">
      <alignment horizontal="right" vertical="top" wrapText="1"/>
      <protection hidden="1"/>
    </xf>
    <xf numFmtId="0" fontId="46" fillId="4" borderId="10" xfId="0" applyFont="1" applyFill="1" applyBorder="1" applyAlignment="1" applyProtection="1">
      <alignment horizontal="right" vertical="top" wrapText="1"/>
      <protection hidden="1"/>
    </xf>
    <xf numFmtId="0" fontId="47" fillId="4" borderId="0" xfId="0" applyFont="1" applyFill="1" applyAlignment="1" applyProtection="1">
      <alignment horizontal="right" vertical="top" wrapText="1"/>
      <protection hidden="1"/>
    </xf>
    <xf numFmtId="0" fontId="47" fillId="4" borderId="10" xfId="0" applyFont="1" applyFill="1" applyBorder="1" applyAlignment="1" applyProtection="1">
      <alignment horizontal="right" vertical="top" wrapText="1"/>
      <protection hidden="1"/>
    </xf>
    <xf numFmtId="0" fontId="70" fillId="4" borderId="0" xfId="0" applyFont="1" applyFill="1" applyBorder="1" applyAlignment="1" applyProtection="1">
      <alignment horizontal="right" vertical="center"/>
      <protection hidden="1"/>
    </xf>
    <xf numFmtId="0" fontId="70" fillId="4" borderId="10" xfId="0" applyFont="1" applyFill="1" applyBorder="1" applyAlignment="1" applyProtection="1">
      <alignment horizontal="right" vertical="center"/>
      <protection hidden="1"/>
    </xf>
    <xf numFmtId="0" fontId="72" fillId="4" borderId="0" xfId="0" applyFont="1" applyFill="1" applyAlignment="1" applyProtection="1">
      <alignment horizontal="center" vertical="center"/>
      <protection hidden="1"/>
    </xf>
    <xf numFmtId="0" fontId="75" fillId="4" borderId="0" xfId="1" applyFont="1" applyFill="1" applyAlignment="1" applyProtection="1">
      <alignment horizontal="center" vertical="center"/>
      <protection hidden="1"/>
    </xf>
    <xf numFmtId="0" fontId="76" fillId="4" borderId="0" xfId="0" applyFont="1" applyFill="1" applyAlignment="1" applyProtection="1">
      <alignment horizontal="center" vertical="center"/>
      <protection hidden="1"/>
    </xf>
    <xf numFmtId="0" fontId="73" fillId="4" borderId="0" xfId="1" applyFont="1" applyFill="1" applyAlignment="1" applyProtection="1">
      <alignment horizontal="center" vertical="center"/>
      <protection hidden="1"/>
    </xf>
    <xf numFmtId="0" fontId="74" fillId="4" borderId="0" xfId="0" applyFont="1" applyFill="1" applyAlignment="1" applyProtection="1">
      <alignment horizontal="center" vertical="center"/>
      <protection hidden="1"/>
    </xf>
    <xf numFmtId="0" fontId="59" fillId="4" borderId="0" xfId="1" applyFont="1" applyFill="1" applyAlignment="1" applyProtection="1">
      <alignment horizontal="center" vertical="center"/>
      <protection hidden="1"/>
    </xf>
    <xf numFmtId="0" fontId="57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64" fillId="4" borderId="0" xfId="0" applyFont="1" applyFill="1" applyAlignment="1" applyProtection="1">
      <alignment horizontal="center" vertical="top"/>
      <protection hidden="1"/>
    </xf>
    <xf numFmtId="0" fontId="63" fillId="4" borderId="0" xfId="0" applyFont="1" applyFill="1" applyAlignment="1" applyProtection="1">
      <alignment horizontal="center" vertical="center"/>
      <protection hidden="1"/>
    </xf>
    <xf numFmtId="0" fontId="62" fillId="4" borderId="0" xfId="0" applyFont="1" applyFill="1" applyAlignment="1" applyProtection="1">
      <alignment horizontal="center" vertical="center"/>
      <protection hidden="1"/>
    </xf>
    <xf numFmtId="0" fontId="61" fillId="4" borderId="0" xfId="0" applyFont="1" applyFill="1" applyAlignment="1" applyProtection="1">
      <alignment horizontal="center" vertical="center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19" fillId="0" borderId="13" xfId="0" applyFont="1" applyFill="1" applyBorder="1" applyAlignment="1" applyProtection="1">
      <alignment horizontal="left" vertical="center"/>
      <protection locked="0"/>
    </xf>
    <xf numFmtId="0" fontId="47" fillId="4" borderId="0" xfId="0" applyFont="1" applyFill="1" applyBorder="1" applyAlignment="1" applyProtection="1">
      <alignment horizontal="right" vertical="center"/>
      <protection hidden="1"/>
    </xf>
    <xf numFmtId="0" fontId="47" fillId="4" borderId="10" xfId="0" applyFont="1" applyFill="1" applyBorder="1" applyAlignment="1" applyProtection="1">
      <alignment horizontal="right" vertical="center"/>
      <protection hidden="1"/>
    </xf>
    <xf numFmtId="0" fontId="54" fillId="4" borderId="0" xfId="0" applyFont="1" applyFill="1" applyBorder="1" applyAlignment="1" applyProtection="1">
      <alignment horizontal="right" vertical="center"/>
      <protection hidden="1"/>
    </xf>
    <xf numFmtId="0" fontId="54" fillId="4" borderId="10" xfId="0" applyFont="1" applyFill="1" applyBorder="1" applyAlignment="1" applyProtection="1">
      <alignment horizontal="right" vertical="center"/>
      <protection hidden="1"/>
    </xf>
    <xf numFmtId="0" fontId="45" fillId="4" borderId="0" xfId="0" applyFont="1" applyFill="1" applyAlignment="1" applyProtection="1">
      <alignment horizontal="right" vertical="center" wrapText="1"/>
      <protection hidden="1"/>
    </xf>
    <xf numFmtId="0" fontId="45" fillId="4" borderId="10" xfId="0" applyFont="1" applyFill="1" applyBorder="1" applyAlignment="1" applyProtection="1">
      <alignment horizontal="right" vertical="center" wrapText="1"/>
      <protection hidden="1"/>
    </xf>
    <xf numFmtId="0" fontId="41" fillId="3" borderId="0" xfId="0" applyFont="1" applyFill="1" applyAlignment="1" applyProtection="1">
      <alignment horizontal="right" vertical="center" wrapText="1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77" fillId="3" borderId="14" xfId="0" applyFont="1" applyFill="1" applyBorder="1" applyAlignment="1" applyProtection="1">
      <alignment horizontal="center" vertical="center"/>
      <protection hidden="1"/>
    </xf>
    <xf numFmtId="0" fontId="46" fillId="4" borderId="0" xfId="0" applyFont="1" applyFill="1" applyBorder="1" applyAlignment="1" applyProtection="1">
      <alignment horizontal="right" vertical="center" wrapText="1"/>
      <protection hidden="1"/>
    </xf>
    <xf numFmtId="0" fontId="46" fillId="4" borderId="10" xfId="0" applyFont="1" applyFill="1" applyBorder="1" applyAlignment="1" applyProtection="1">
      <alignment horizontal="right" vertical="center" wrapText="1"/>
      <protection hidden="1"/>
    </xf>
    <xf numFmtId="0" fontId="53" fillId="4" borderId="0" xfId="0" applyFont="1" applyFill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165" fontId="3" fillId="2" borderId="0" xfId="0" applyNumberFormat="1" applyFont="1" applyFill="1" applyBorder="1" applyAlignment="1" applyProtection="1">
      <alignment horizontal="left" vertical="center"/>
      <protection hidden="1"/>
    </xf>
    <xf numFmtId="0" fontId="79" fillId="2" borderId="2" xfId="0" applyFont="1" applyFill="1" applyBorder="1" applyAlignment="1" applyProtection="1">
      <alignment horizontal="center" vertical="center" textRotation="90" wrapText="1" shrinkToFit="1"/>
      <protection hidden="1"/>
    </xf>
    <xf numFmtId="0" fontId="79" fillId="2" borderId="3" xfId="0" applyFont="1" applyFill="1" applyBorder="1" applyAlignment="1" applyProtection="1">
      <alignment horizontal="center" vertical="center" textRotation="90" wrapText="1" shrinkToFit="1"/>
      <protection hidden="1"/>
    </xf>
    <xf numFmtId="166" fontId="17" fillId="0" borderId="0" xfId="0" applyNumberFormat="1" applyFont="1" applyBorder="1" applyAlignment="1" applyProtection="1">
      <alignment horizontal="lef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7" fontId="3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 shrinkToFit="1"/>
      <protection hidden="1"/>
    </xf>
    <xf numFmtId="0" fontId="5" fillId="2" borderId="3" xfId="0" applyFont="1" applyFill="1" applyBorder="1" applyAlignment="1" applyProtection="1">
      <alignment horizontal="center" vertical="center" wrapText="1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5" fillId="2" borderId="5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top" wrapText="1" readingOrder="1"/>
      <protection hidden="1"/>
    </xf>
    <xf numFmtId="0" fontId="0" fillId="0" borderId="0" xfId="0" applyProtection="1">
      <protection hidden="1"/>
    </xf>
    <xf numFmtId="0" fontId="35" fillId="0" borderId="8" xfId="0" applyFont="1" applyBorder="1" applyAlignment="1" applyProtection="1">
      <alignment horizontal="center" vertical="center"/>
      <protection hidden="1"/>
    </xf>
    <xf numFmtId="0" fontId="34" fillId="2" borderId="8" xfId="0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5" fillId="2" borderId="2" xfId="0" applyFont="1" applyFill="1" applyBorder="1" applyAlignment="1" applyProtection="1">
      <alignment horizontal="center" vertical="center" textRotation="90" wrapText="1" shrinkToFit="1"/>
      <protection hidden="1"/>
    </xf>
    <xf numFmtId="0" fontId="5" fillId="2" borderId="3" xfId="0" applyFont="1" applyFill="1" applyBorder="1" applyAlignment="1" applyProtection="1">
      <alignment horizontal="center" vertical="center" textRotation="90" wrapText="1" shrinkToFit="1"/>
      <protection hidden="1"/>
    </xf>
  </cellXfs>
  <cellStyles count="2">
    <cellStyle name="Hyperlink" xfId="1" builtinId="8"/>
    <cellStyle name="Normal" xfId="0" builtinId="0"/>
  </cellStyles>
  <dxfs count="48">
    <dxf>
      <font>
        <color theme="0"/>
      </font>
    </dxf>
    <dxf>
      <font>
        <b/>
        <i val="0"/>
        <color rgb="FF0000CC"/>
      </font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rgb="FFCCFFCC"/>
        </patternFill>
      </fill>
      <alignment horizontal="center" vertical="center" textRotation="0" wrapText="0" indent="0" relativeIndent="0" justifyLastLine="0" shrinkToFit="0" mergeCell="0" readingOrder="0"/>
      <protection locked="1" hidden="1"/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97FFBA"/>
      </font>
      <fill>
        <patternFill>
          <bgColor rgb="FF98FAB9"/>
        </patternFill>
      </fill>
      <border>
        <left/>
        <right/>
        <top/>
        <bottom/>
        <vertical/>
        <horizontal/>
      </border>
    </dxf>
    <dxf>
      <font>
        <color rgb="FF90FAB3"/>
      </font>
      <fill>
        <patternFill>
          <bgColor rgb="FF9CFAC0"/>
        </patternFill>
      </fill>
      <border>
        <left/>
        <right/>
        <top/>
        <bottom/>
        <vertical/>
        <horizontal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9" defaultPivotStyle="PivotStyleLight16"/>
  <colors>
    <mruColors>
      <color rgb="FF0000CC"/>
      <color rgb="FF9CFAC0"/>
      <color rgb="FF98FAB9"/>
      <color rgb="FF8BF9B5"/>
      <color rgb="FF90FAB3"/>
      <color rgb="FF86FAAD"/>
      <color rgb="FF66FF99"/>
      <color rgb="FF99FF99"/>
      <color rgb="FF9DF5B2"/>
      <color rgb="FFAFF7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Unlock sheet'!A1"/><Relationship Id="rId2" Type="http://schemas.openxmlformats.org/officeDocument/2006/relationships/hyperlink" Target="#'Arrear Sheet'!A1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hyperlink" Target="#'How to Us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9115425</xdr:colOff>
      <xdr:row>2</xdr:row>
      <xdr:rowOff>19050</xdr:rowOff>
    </xdr:from>
    <xdr:to>
      <xdr:col>3</xdr:col>
      <xdr:colOff>1139112</xdr:colOff>
      <xdr:row>4</xdr:row>
      <xdr:rowOff>88252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0953750" y="6381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85725</xdr:rowOff>
    </xdr:from>
    <xdr:to>
      <xdr:col>13</xdr:col>
      <xdr:colOff>447675</xdr:colOff>
      <xdr:row>4</xdr:row>
      <xdr:rowOff>208578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85725"/>
          <a:ext cx="1485900" cy="13906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242985</xdr:colOff>
      <xdr:row>0</xdr:row>
      <xdr:rowOff>0</xdr:rowOff>
    </xdr:from>
    <xdr:to>
      <xdr:col>15</xdr:col>
      <xdr:colOff>913622</xdr:colOff>
      <xdr:row>5</xdr:row>
      <xdr:rowOff>204106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0" y="0"/>
          <a:ext cx="1875842" cy="1856402"/>
        </a:xfrm>
        <a:prstGeom prst="rect">
          <a:avLst/>
        </a:prstGeom>
        <a:noFill/>
      </xdr:spPr>
    </xdr:pic>
    <xdr:clientData/>
  </xdr:twoCellAnchor>
  <xdr:twoCellAnchor>
    <xdr:from>
      <xdr:col>2</xdr:col>
      <xdr:colOff>233266</xdr:colOff>
      <xdr:row>30</xdr:row>
      <xdr:rowOff>145791</xdr:rowOff>
    </xdr:from>
    <xdr:to>
      <xdr:col>3</xdr:col>
      <xdr:colOff>777551</xdr:colOff>
      <xdr:row>32</xdr:row>
      <xdr:rowOff>126352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088572" y="9865179"/>
          <a:ext cx="2565918" cy="60260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FFFF00"/>
              </a:solidFill>
            </a:rPr>
            <a:t>Go  to  Arrear Sheet</a:t>
          </a:r>
        </a:p>
      </xdr:txBody>
    </xdr:sp>
    <xdr:clientData/>
  </xdr:twoCellAnchor>
  <xdr:twoCellAnchor>
    <xdr:from>
      <xdr:col>5</xdr:col>
      <xdr:colOff>1836966</xdr:colOff>
      <xdr:row>30</xdr:row>
      <xdr:rowOff>126353</xdr:rowOff>
    </xdr:from>
    <xdr:to>
      <xdr:col>8</xdr:col>
      <xdr:colOff>262425</xdr:colOff>
      <xdr:row>32</xdr:row>
      <xdr:rowOff>106914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7056277" y="9845741"/>
          <a:ext cx="2565918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6CF082"/>
              </a:solidFill>
            </a:rPr>
            <a:t>Unlock Sheet</a:t>
          </a:r>
        </a:p>
      </xdr:txBody>
    </xdr:sp>
    <xdr:clientData/>
  </xdr:twoCellAnchor>
  <xdr:twoCellAnchor>
    <xdr:from>
      <xdr:col>3</xdr:col>
      <xdr:colOff>1176046</xdr:colOff>
      <xdr:row>30</xdr:row>
      <xdr:rowOff>116632</xdr:rowOff>
    </xdr:from>
    <xdr:to>
      <xdr:col>5</xdr:col>
      <xdr:colOff>1399592</xdr:colOff>
      <xdr:row>32</xdr:row>
      <xdr:rowOff>97193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4052985" y="9836020"/>
          <a:ext cx="2565918" cy="602602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/>
            <a:t>How  to</a:t>
          </a:r>
          <a:r>
            <a:rPr lang="en-US" sz="1800" b="1" baseline="0"/>
            <a:t> Use  Sheet</a:t>
          </a:r>
          <a:endParaRPr lang="en-US" sz="1800" b="1"/>
        </a:p>
      </xdr:txBody>
    </xdr:sp>
    <xdr:clientData/>
  </xdr:twoCellAnchor>
  <xdr:twoCellAnchor editAs="oneCell">
    <xdr:from>
      <xdr:col>8</xdr:col>
      <xdr:colOff>602602</xdr:colOff>
      <xdr:row>33</xdr:row>
      <xdr:rowOff>184670</xdr:rowOff>
    </xdr:from>
    <xdr:to>
      <xdr:col>9</xdr:col>
      <xdr:colOff>758112</xdr:colOff>
      <xdr:row>39</xdr:row>
      <xdr:rowOff>272145</xdr:rowOff>
    </xdr:to>
    <xdr:pic>
      <xdr:nvPicPr>
        <xdr:cNvPr id="9" name="Picture 8" descr="WhatsApp Image 2021-06-01 at 5.26.05 PM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62372" y="10496940"/>
          <a:ext cx="1613419" cy="1875842"/>
        </a:xfrm>
        <a:prstGeom prst="rect">
          <a:avLst/>
        </a:prstGeom>
      </xdr:spPr>
    </xdr:pic>
    <xdr:clientData/>
  </xdr:twoCellAnchor>
  <xdr:twoCellAnchor>
    <xdr:from>
      <xdr:col>12</xdr:col>
      <xdr:colOff>19440</xdr:colOff>
      <xdr:row>4</xdr:row>
      <xdr:rowOff>213828</xdr:rowOff>
    </xdr:from>
    <xdr:to>
      <xdr:col>12</xdr:col>
      <xdr:colOff>398495</xdr:colOff>
      <xdr:row>5</xdr:row>
      <xdr:rowOff>87475</xdr:rowOff>
    </xdr:to>
    <xdr:sp macro="" textlink="">
      <xdr:nvSpPr>
        <xdr:cNvPr id="8" name="Left Arrow 7"/>
        <xdr:cNvSpPr/>
      </xdr:nvSpPr>
      <xdr:spPr>
        <a:xfrm>
          <a:off x="13587705" y="1487068"/>
          <a:ext cx="379055" cy="252703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6</xdr:row>
      <xdr:rowOff>0</xdr:rowOff>
    </xdr:from>
    <xdr:to>
      <xdr:col>32</xdr:col>
      <xdr:colOff>539037</xdr:colOff>
      <xdr:row>7</xdr:row>
      <xdr:rowOff>21577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401925" y="15906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6</xdr:row>
      <xdr:rowOff>0</xdr:rowOff>
    </xdr:from>
    <xdr:to>
      <xdr:col>34</xdr:col>
      <xdr:colOff>539037</xdr:colOff>
      <xdr:row>8</xdr:row>
      <xdr:rowOff>97777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764000" y="141922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O10:O41" totalsRowShown="0" headerRowDxfId="8" dataDxfId="7">
  <autoFilter ref="O10:O41"/>
  <tableColumns count="1">
    <tableColumn id="1" name="Post" dataDxfId="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be.com/c/Heeralaljat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youtu.be/e9tzJ3zCZPk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youtu.be/e9tzJ3zCZP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FC21"/>
  <sheetViews>
    <sheetView showGridLines="0" showRowColHeaders="0" tabSelected="1" workbookViewId="0">
      <selection activeCell="C19" sqref="C18:C19"/>
    </sheetView>
  </sheetViews>
  <sheetFormatPr defaultColWidth="9" defaultRowHeight="15" zeroHeight="1"/>
  <cols>
    <col min="1" max="1" width="7.25" style="120" customWidth="1"/>
    <col min="2" max="2" width="16.875" style="120" customWidth="1"/>
    <col min="3" max="3" width="120.875" style="120" customWidth="1"/>
    <col min="4" max="4" width="16.75" style="120" customWidth="1"/>
    <col min="5" max="16382" width="9" style="120" hidden="1" customWidth="1"/>
    <col min="16383" max="16383" width="8.75" style="120" hidden="1" customWidth="1"/>
    <col min="16384" max="16384" width="3.75" style="120" hidden="1" customWidth="1"/>
  </cols>
  <sheetData>
    <row r="1" spans="1:6" ht="24" customHeight="1">
      <c r="A1" s="124"/>
      <c r="B1" s="155" t="s">
        <v>103</v>
      </c>
      <c r="C1" s="155"/>
    </row>
    <row r="2" spans="1:6" ht="24.75" customHeight="1">
      <c r="A2" s="124"/>
      <c r="B2" s="155"/>
      <c r="C2" s="155"/>
    </row>
    <row r="3" spans="1:6">
      <c r="A3" s="125"/>
      <c r="B3" s="125"/>
      <c r="C3" s="125"/>
    </row>
    <row r="4" spans="1:6" ht="27" customHeight="1">
      <c r="A4" s="125"/>
      <c r="B4" s="156" t="s">
        <v>115</v>
      </c>
      <c r="C4" s="156"/>
    </row>
    <row r="5" spans="1:6" ht="18.75">
      <c r="A5" s="125"/>
      <c r="B5" s="151" t="s">
        <v>129</v>
      </c>
      <c r="C5" s="150" t="s">
        <v>128</v>
      </c>
    </row>
    <row r="6" spans="1:6" ht="206.25" customHeight="1">
      <c r="A6" s="126">
        <v>1</v>
      </c>
      <c r="B6" s="127" t="s">
        <v>104</v>
      </c>
      <c r="C6" s="128" t="s">
        <v>127</v>
      </c>
      <c r="F6" s="120" t="s">
        <v>105</v>
      </c>
    </row>
    <row r="7" spans="1:6">
      <c r="A7" s="129"/>
      <c r="B7" s="129"/>
      <c r="C7" s="129"/>
    </row>
    <row r="8" spans="1:6" ht="30">
      <c r="A8" s="129"/>
      <c r="B8" s="129"/>
      <c r="C8" s="130" t="s">
        <v>116</v>
      </c>
    </row>
    <row r="9" spans="1:6">
      <c r="A9" s="129"/>
      <c r="B9" s="129"/>
      <c r="C9" s="129" t="s">
        <v>105</v>
      </c>
    </row>
    <row r="10" spans="1:6" ht="37.5" customHeight="1">
      <c r="A10" s="131">
        <v>2</v>
      </c>
      <c r="B10" s="132" t="s">
        <v>106</v>
      </c>
      <c r="C10" s="133" t="s">
        <v>107</v>
      </c>
    </row>
    <row r="11" spans="1:6">
      <c r="A11" s="134"/>
      <c r="B11" s="134"/>
      <c r="C11" s="134"/>
    </row>
    <row r="12" spans="1:6" ht="37.5">
      <c r="A12" s="135">
        <v>3</v>
      </c>
      <c r="B12" s="136" t="s">
        <v>108</v>
      </c>
      <c r="C12" s="137" t="s">
        <v>114</v>
      </c>
    </row>
    <row r="13" spans="1:6">
      <c r="A13" s="138"/>
      <c r="B13" s="138"/>
      <c r="C13" s="138"/>
    </row>
    <row r="14" spans="1:6" ht="30">
      <c r="A14" s="139"/>
      <c r="B14" s="140" t="s">
        <v>109</v>
      </c>
      <c r="C14" s="141" t="s">
        <v>113</v>
      </c>
    </row>
    <row r="15" spans="1:6">
      <c r="A15" s="142"/>
      <c r="B15" s="142"/>
      <c r="C15" s="142"/>
    </row>
    <row r="16" spans="1:6">
      <c r="A16" s="143"/>
      <c r="B16" s="143"/>
      <c r="C16" s="144" t="s">
        <v>137</v>
      </c>
    </row>
    <row r="17" spans="1:3">
      <c r="A17" s="143"/>
      <c r="B17" s="143"/>
      <c r="C17" s="143"/>
    </row>
    <row r="18" spans="1:3">
      <c r="A18" s="145"/>
      <c r="B18" s="145"/>
      <c r="C18" s="145" t="s">
        <v>110</v>
      </c>
    </row>
    <row r="19" spans="1:3">
      <c r="A19" s="145"/>
      <c r="B19" s="145"/>
      <c r="C19" s="145" t="s">
        <v>112</v>
      </c>
    </row>
    <row r="20" spans="1:3">
      <c r="A20" s="145"/>
      <c r="B20" s="145"/>
      <c r="C20" s="145" t="s">
        <v>111</v>
      </c>
    </row>
    <row r="21" spans="1:3"/>
  </sheetData>
  <sheetProtection password="C1FB" sheet="1" objects="1" scenarios="1" selectLockedCells="1"/>
  <mergeCells count="2">
    <mergeCell ref="B1:C2"/>
    <mergeCell ref="B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AG74"/>
  <sheetViews>
    <sheetView showGridLines="0" topLeftCell="A4" zoomScale="98" zoomScaleNormal="98" workbookViewId="0">
      <selection activeCell="D21" sqref="D21"/>
    </sheetView>
  </sheetViews>
  <sheetFormatPr defaultColWidth="0" defaultRowHeight="18" customHeight="1" zeroHeight="1"/>
  <cols>
    <col min="1" max="1" width="2.75" style="59" customWidth="1"/>
    <col min="2" max="2" width="8.375" style="51" customWidth="1"/>
    <col min="3" max="3" width="26.5" style="51" customWidth="1"/>
    <col min="4" max="4" width="27.75" style="51" customWidth="1"/>
    <col min="5" max="5" width="2.875" style="59" customWidth="1"/>
    <col min="6" max="6" width="33" style="51" customWidth="1"/>
    <col min="7" max="7" width="18.375" style="51" customWidth="1"/>
    <col min="8" max="8" width="2.875" style="59" customWidth="1"/>
    <col min="9" max="9" width="19.125" style="51" customWidth="1"/>
    <col min="10" max="10" width="18.125" style="51" customWidth="1"/>
    <col min="11" max="11" width="14" style="51" customWidth="1"/>
    <col min="12" max="12" width="4" style="51" customWidth="1"/>
    <col min="13" max="13" width="6" style="52" customWidth="1"/>
    <col min="14" max="14" width="15.375" style="51" customWidth="1"/>
    <col min="15" max="15" width="15.875" style="51" customWidth="1"/>
    <col min="16" max="16" width="14.625" style="51" customWidth="1"/>
    <col min="17" max="17" width="12.625" style="51" customWidth="1"/>
    <col min="18" max="32" width="9" style="51" hidden="1" customWidth="1"/>
    <col min="33" max="33" width="9" style="15" hidden="1" customWidth="1"/>
    <col min="34" max="16384" width="9" style="51" hidden="1"/>
  </cols>
  <sheetData>
    <row r="1" spans="1:33" ht="29.25" customHeight="1">
      <c r="A1" s="63"/>
      <c r="B1" s="63"/>
      <c r="C1" s="63"/>
      <c r="D1" s="195" t="s">
        <v>25</v>
      </c>
      <c r="E1" s="195"/>
      <c r="F1" s="195"/>
      <c r="G1" s="195"/>
      <c r="H1" s="195"/>
      <c r="I1" s="195"/>
      <c r="J1" s="172" t="s">
        <v>130</v>
      </c>
      <c r="K1" s="172"/>
      <c r="L1" s="63"/>
      <c r="M1" s="63"/>
      <c r="N1" s="63"/>
      <c r="O1" s="63"/>
      <c r="P1" s="63"/>
      <c r="Q1" s="63"/>
    </row>
    <row r="2" spans="1:33" ht="21.75" customHeight="1">
      <c r="A2" s="14"/>
      <c r="B2" s="14"/>
      <c r="C2" s="14"/>
      <c r="D2" s="14"/>
      <c r="E2" s="14"/>
      <c r="F2" s="14"/>
      <c r="G2" s="14"/>
      <c r="H2" s="14"/>
      <c r="I2" s="14"/>
      <c r="J2" s="192" t="s">
        <v>128</v>
      </c>
      <c r="K2" s="192"/>
      <c r="L2" s="14"/>
      <c r="M2" s="63"/>
      <c r="N2" s="63"/>
      <c r="O2" s="63"/>
      <c r="P2" s="63"/>
      <c r="Q2" s="63"/>
    </row>
    <row r="3" spans="1:33" ht="30.95" customHeight="1">
      <c r="A3" s="14"/>
      <c r="B3" s="63"/>
      <c r="C3" s="119" t="s">
        <v>24</v>
      </c>
      <c r="D3" s="181" t="s">
        <v>26</v>
      </c>
      <c r="E3" s="182"/>
      <c r="F3" s="182"/>
      <c r="G3" s="182"/>
      <c r="H3" s="182"/>
      <c r="I3" s="182"/>
      <c r="J3" s="182"/>
      <c r="K3" s="183"/>
      <c r="L3" s="14"/>
      <c r="M3" s="63"/>
      <c r="N3" s="63"/>
      <c r="O3" s="63"/>
      <c r="P3" s="63"/>
      <c r="Q3" s="63"/>
      <c r="AG3" s="15">
        <v>42736</v>
      </c>
    </row>
    <row r="4" spans="1:33" ht="18.75">
      <c r="A4" s="14"/>
      <c r="B4" s="14"/>
      <c r="C4" s="54"/>
      <c r="D4" s="55"/>
      <c r="E4" s="55"/>
      <c r="F4" s="14"/>
      <c r="G4" s="50"/>
      <c r="H4" s="50"/>
      <c r="I4" s="14"/>
      <c r="J4" s="14"/>
      <c r="K4" s="50"/>
      <c r="L4" s="14"/>
      <c r="M4" s="63"/>
      <c r="N4" s="63"/>
      <c r="O4" s="63"/>
      <c r="P4" s="63"/>
      <c r="Q4" s="63"/>
      <c r="AG4" s="15">
        <v>42767</v>
      </c>
    </row>
    <row r="5" spans="1:33" ht="30" customHeight="1">
      <c r="A5" s="14"/>
      <c r="B5" s="63"/>
      <c r="C5" s="64" t="s">
        <v>44</v>
      </c>
      <c r="D5" s="58" t="s">
        <v>27</v>
      </c>
      <c r="E5" s="55"/>
      <c r="F5" s="64" t="s">
        <v>45</v>
      </c>
      <c r="G5" s="75" t="s">
        <v>66</v>
      </c>
      <c r="H5" s="70"/>
      <c r="I5" s="159" t="s">
        <v>46</v>
      </c>
      <c r="J5" s="160"/>
      <c r="K5" s="90">
        <v>8</v>
      </c>
      <c r="L5" s="60" t="s">
        <v>33</v>
      </c>
      <c r="M5" s="67"/>
      <c r="N5" s="191" t="s">
        <v>135</v>
      </c>
      <c r="O5" s="66"/>
      <c r="P5" s="66"/>
      <c r="Q5" s="66"/>
      <c r="AG5" s="15">
        <v>42795</v>
      </c>
    </row>
    <row r="6" spans="1:33" ht="18.75">
      <c r="A6" s="14"/>
      <c r="B6" s="14"/>
      <c r="C6" s="56"/>
      <c r="D6" s="50"/>
      <c r="E6" s="50"/>
      <c r="F6" s="55"/>
      <c r="G6" s="50"/>
      <c r="H6" s="70"/>
      <c r="I6" s="55"/>
      <c r="J6" s="55"/>
      <c r="K6" s="50"/>
      <c r="L6" s="50"/>
      <c r="M6" s="68"/>
      <c r="N6" s="191"/>
      <c r="O6" s="65"/>
      <c r="P6" s="66"/>
      <c r="Q6" s="66"/>
      <c r="AG6" s="15">
        <v>42826</v>
      </c>
    </row>
    <row r="7" spans="1:33" ht="30" customHeight="1">
      <c r="A7" s="14"/>
      <c r="B7" s="63"/>
      <c r="C7" s="91" t="s">
        <v>47</v>
      </c>
      <c r="D7" s="118" t="s">
        <v>134</v>
      </c>
      <c r="E7" s="50"/>
      <c r="F7" s="64" t="s">
        <v>48</v>
      </c>
      <c r="G7" s="75" t="s">
        <v>69</v>
      </c>
      <c r="H7" s="70"/>
      <c r="I7" s="159" t="s">
        <v>49</v>
      </c>
      <c r="J7" s="160"/>
      <c r="K7" s="98">
        <v>11</v>
      </c>
      <c r="L7" s="50"/>
      <c r="M7" s="68"/>
      <c r="N7" s="65"/>
      <c r="O7" s="180" t="s">
        <v>42</v>
      </c>
      <c r="P7" s="180"/>
      <c r="Q7" s="66"/>
      <c r="AG7" s="15">
        <v>42856</v>
      </c>
    </row>
    <row r="8" spans="1:33" ht="18.75">
      <c r="A8" s="14"/>
      <c r="B8" s="14"/>
      <c r="C8" s="56"/>
      <c r="D8" s="50"/>
      <c r="E8" s="50"/>
      <c r="F8" s="55"/>
      <c r="G8" s="50"/>
      <c r="H8" s="70"/>
      <c r="I8" s="55"/>
      <c r="J8" s="55"/>
      <c r="K8" s="50"/>
      <c r="L8" s="50"/>
      <c r="M8" s="68"/>
      <c r="N8" s="65"/>
      <c r="O8" s="65"/>
      <c r="P8" s="66"/>
      <c r="Q8" s="66"/>
      <c r="AG8" s="15">
        <v>42887</v>
      </c>
    </row>
    <row r="9" spans="1:33" ht="30" customHeight="1">
      <c r="A9" s="70"/>
      <c r="B9" s="184" t="s">
        <v>50</v>
      </c>
      <c r="C9" s="185"/>
      <c r="D9" s="74">
        <v>42736</v>
      </c>
      <c r="E9" s="50"/>
      <c r="F9" s="64" t="s">
        <v>51</v>
      </c>
      <c r="G9" s="74">
        <v>44593</v>
      </c>
      <c r="H9" s="70"/>
      <c r="I9" s="159" t="s">
        <v>52</v>
      </c>
      <c r="J9" s="160"/>
      <c r="K9" s="61">
        <v>0</v>
      </c>
      <c r="L9" s="60" t="s">
        <v>33</v>
      </c>
      <c r="M9" s="69"/>
      <c r="N9" s="65"/>
      <c r="O9" s="65"/>
      <c r="P9" s="66"/>
      <c r="Q9" s="66"/>
      <c r="AG9" s="15">
        <v>42917</v>
      </c>
    </row>
    <row r="10" spans="1:33" ht="18.75" customHeight="1">
      <c r="A10" s="70"/>
      <c r="B10" s="14"/>
      <c r="C10" s="56"/>
      <c r="D10" s="53"/>
      <c r="E10" s="50"/>
      <c r="F10" s="56"/>
      <c r="G10" s="56"/>
      <c r="H10" s="70"/>
      <c r="I10" s="56"/>
      <c r="J10" s="56"/>
      <c r="K10" s="53"/>
      <c r="L10" s="60"/>
      <c r="M10" s="69"/>
      <c r="N10" s="65"/>
      <c r="O10" s="65" t="s">
        <v>56</v>
      </c>
      <c r="P10" s="66"/>
      <c r="Q10" s="66"/>
      <c r="AG10" s="15">
        <v>42948</v>
      </c>
    </row>
    <row r="11" spans="1:33" ht="30" customHeight="1">
      <c r="A11" s="70"/>
      <c r="B11" s="184" t="s">
        <v>53</v>
      </c>
      <c r="C11" s="185"/>
      <c r="D11" s="61" t="s">
        <v>82</v>
      </c>
      <c r="E11" s="50"/>
      <c r="F11" s="64" t="s">
        <v>85</v>
      </c>
      <c r="G11" s="61">
        <v>23700</v>
      </c>
      <c r="H11" s="70"/>
      <c r="I11" s="159" t="s">
        <v>84</v>
      </c>
      <c r="J11" s="160"/>
      <c r="K11" s="61">
        <v>45100</v>
      </c>
      <c r="L11" s="50"/>
      <c r="M11" s="68"/>
      <c r="N11" s="65"/>
      <c r="O11" s="71" t="s">
        <v>58</v>
      </c>
      <c r="P11" s="66"/>
      <c r="Q11" s="66"/>
      <c r="AG11" s="15">
        <v>42979</v>
      </c>
    </row>
    <row r="12" spans="1:33" ht="18.75">
      <c r="A12" s="70"/>
      <c r="B12" s="56"/>
      <c r="C12" s="57"/>
      <c r="D12" s="57"/>
      <c r="E12" s="50"/>
      <c r="F12" s="57"/>
      <c r="G12" s="57"/>
      <c r="H12" s="70"/>
      <c r="I12" s="57"/>
      <c r="J12" s="57"/>
      <c r="K12" s="57"/>
      <c r="L12" s="50"/>
      <c r="M12" s="68"/>
      <c r="N12" s="65"/>
      <c r="O12" s="72" t="s">
        <v>57</v>
      </c>
      <c r="P12" s="66"/>
      <c r="Q12" s="66"/>
      <c r="AE12" s="15"/>
      <c r="AG12" s="15">
        <v>43009</v>
      </c>
    </row>
    <row r="13" spans="1:33" ht="30" customHeight="1">
      <c r="A13" s="70"/>
      <c r="B13" s="193" t="s">
        <v>92</v>
      </c>
      <c r="C13" s="194"/>
      <c r="D13" s="122">
        <v>42736</v>
      </c>
      <c r="E13" s="50"/>
      <c r="F13" s="73" t="s">
        <v>93</v>
      </c>
      <c r="G13" s="121">
        <f>IFERROR(IF('Arrear Sheet'!AR6="","",'Arrear Sheet'!AR6),"")</f>
        <v>31</v>
      </c>
      <c r="H13" s="70"/>
      <c r="I13" s="159" t="s">
        <v>83</v>
      </c>
      <c r="J13" s="160"/>
      <c r="K13" s="61">
        <v>46500</v>
      </c>
      <c r="L13" s="50"/>
      <c r="M13" s="68"/>
      <c r="N13" s="65"/>
      <c r="O13" s="72" t="s">
        <v>59</v>
      </c>
      <c r="P13" s="66"/>
      <c r="Q13" s="66"/>
      <c r="AE13" s="15"/>
      <c r="AG13" s="15">
        <v>43040</v>
      </c>
    </row>
    <row r="14" spans="1:33" ht="18.75">
      <c r="A14" s="14"/>
      <c r="B14" s="14"/>
      <c r="C14" s="56"/>
      <c r="D14" s="57"/>
      <c r="E14" s="57"/>
      <c r="F14" s="56"/>
      <c r="G14" s="56"/>
      <c r="H14" s="70"/>
      <c r="I14" s="56"/>
      <c r="J14" s="56"/>
      <c r="K14" s="53"/>
      <c r="L14" s="50"/>
      <c r="M14" s="68"/>
      <c r="N14" s="65"/>
      <c r="O14" s="72" t="s">
        <v>60</v>
      </c>
      <c r="P14" s="66"/>
      <c r="Q14" s="66"/>
      <c r="AE14" s="15"/>
      <c r="AG14" s="15">
        <v>43070</v>
      </c>
    </row>
    <row r="15" spans="1:33" ht="30" customHeight="1">
      <c r="A15" s="14"/>
      <c r="B15" s="188" t="s">
        <v>91</v>
      </c>
      <c r="C15" s="188"/>
      <c r="D15" s="188"/>
      <c r="E15" s="188"/>
      <c r="F15" s="189"/>
      <c r="G15" s="61" t="s">
        <v>55</v>
      </c>
      <c r="H15" s="70"/>
      <c r="I15" s="186" t="s">
        <v>54</v>
      </c>
      <c r="J15" s="187"/>
      <c r="K15" s="61">
        <v>30500</v>
      </c>
      <c r="L15" s="50"/>
      <c r="M15" s="68"/>
      <c r="N15" s="65"/>
      <c r="O15" s="72" t="s">
        <v>61</v>
      </c>
      <c r="P15" s="66"/>
      <c r="Q15" s="66"/>
      <c r="AE15" s="15"/>
      <c r="AG15" s="15">
        <v>43101</v>
      </c>
    </row>
    <row r="16" spans="1:33" ht="18.75">
      <c r="A16" s="14"/>
      <c r="B16" s="190"/>
      <c r="C16" s="190"/>
      <c r="D16" s="53"/>
      <c r="E16" s="56"/>
      <c r="F16" s="56"/>
      <c r="G16" s="56"/>
      <c r="H16" s="70"/>
      <c r="I16" s="56"/>
      <c r="J16" s="56"/>
      <c r="K16" s="53"/>
      <c r="L16" s="50"/>
      <c r="M16" s="68"/>
      <c r="N16" s="65"/>
      <c r="O16" s="72" t="s">
        <v>62</v>
      </c>
      <c r="P16" s="66"/>
      <c r="Q16" s="66"/>
      <c r="AE16" s="15"/>
      <c r="AG16" s="15">
        <v>43132</v>
      </c>
    </row>
    <row r="17" spans="1:33" ht="31.5" customHeight="1">
      <c r="A17" s="14"/>
      <c r="B17" s="162" t="s">
        <v>89</v>
      </c>
      <c r="C17" s="163"/>
      <c r="D17" s="61" t="s">
        <v>55</v>
      </c>
      <c r="E17" s="56"/>
      <c r="F17" s="149" t="s">
        <v>43</v>
      </c>
      <c r="G17" s="61">
        <v>2100</v>
      </c>
      <c r="H17" s="70"/>
      <c r="I17" s="166" t="s">
        <v>119</v>
      </c>
      <c r="J17" s="167"/>
      <c r="K17" s="61">
        <v>2100</v>
      </c>
      <c r="L17" s="50"/>
      <c r="M17" s="68"/>
      <c r="N17" s="65"/>
      <c r="O17" s="72" t="s">
        <v>63</v>
      </c>
      <c r="P17" s="66"/>
      <c r="Q17" s="66"/>
      <c r="AE17" s="15"/>
      <c r="AG17" s="15">
        <v>43160</v>
      </c>
    </row>
    <row r="18" spans="1:33" ht="18.75">
      <c r="A18" s="14"/>
      <c r="B18" s="62"/>
      <c r="C18" s="62"/>
      <c r="D18" s="56"/>
      <c r="E18" s="56"/>
      <c r="F18" s="56"/>
      <c r="G18" s="56"/>
      <c r="H18" s="70"/>
      <c r="I18" s="56"/>
      <c r="J18" s="56"/>
      <c r="K18" s="53"/>
      <c r="L18" s="50"/>
      <c r="M18" s="68"/>
      <c r="N18" s="65"/>
      <c r="O18" s="72" t="s">
        <v>64</v>
      </c>
      <c r="P18" s="66"/>
      <c r="Q18" s="66"/>
      <c r="AG18" s="15">
        <v>43191</v>
      </c>
    </row>
    <row r="19" spans="1:33" s="146" customFormat="1" ht="33.75" customHeight="1">
      <c r="A19" s="14"/>
      <c r="B19" s="157" t="s">
        <v>123</v>
      </c>
      <c r="C19" s="158"/>
      <c r="D19" s="61" t="s">
        <v>55</v>
      </c>
      <c r="E19" s="56"/>
      <c r="F19" s="73" t="s">
        <v>124</v>
      </c>
      <c r="G19" s="74">
        <v>43435</v>
      </c>
      <c r="H19" s="70"/>
      <c r="I19" s="159" t="s">
        <v>122</v>
      </c>
      <c r="J19" s="160"/>
      <c r="K19" s="61">
        <v>3000</v>
      </c>
      <c r="L19" s="50"/>
      <c r="M19" s="68"/>
      <c r="N19" s="65"/>
      <c r="O19" s="72" t="s">
        <v>65</v>
      </c>
      <c r="P19" s="66"/>
      <c r="Q19" s="66"/>
      <c r="AG19" s="15">
        <v>43221</v>
      </c>
    </row>
    <row r="20" spans="1:33" s="146" customFormat="1" ht="18.75">
      <c r="A20" s="14"/>
      <c r="B20" s="62"/>
      <c r="C20" s="62"/>
      <c r="D20" s="56"/>
      <c r="E20" s="56"/>
      <c r="F20" s="56"/>
      <c r="G20" s="56"/>
      <c r="H20" s="70"/>
      <c r="I20" s="56"/>
      <c r="J20" s="56"/>
      <c r="K20" s="56"/>
      <c r="L20" s="50"/>
      <c r="M20" s="68"/>
      <c r="N20" s="65"/>
      <c r="O20" s="72" t="s">
        <v>66</v>
      </c>
      <c r="P20" s="66"/>
      <c r="Q20" s="66"/>
      <c r="AG20" s="15">
        <v>43252</v>
      </c>
    </row>
    <row r="21" spans="1:33" ht="30.95" customHeight="1">
      <c r="A21" s="14"/>
      <c r="B21" s="164" t="s">
        <v>87</v>
      </c>
      <c r="C21" s="165"/>
      <c r="D21" s="61" t="s">
        <v>55</v>
      </c>
      <c r="E21" s="56"/>
      <c r="F21" s="149" t="s">
        <v>121</v>
      </c>
      <c r="G21" s="61">
        <v>3675</v>
      </c>
      <c r="H21" s="70"/>
      <c r="I21" s="166" t="s">
        <v>120</v>
      </c>
      <c r="J21" s="167"/>
      <c r="K21" s="61">
        <v>3675</v>
      </c>
      <c r="L21" s="50"/>
      <c r="M21" s="68"/>
      <c r="N21" s="65"/>
      <c r="O21" s="72" t="s">
        <v>65</v>
      </c>
      <c r="P21" s="66"/>
      <c r="Q21" s="66"/>
      <c r="AG21" s="15">
        <v>43282</v>
      </c>
    </row>
    <row r="22" spans="1:33" ht="18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63"/>
      <c r="N22" s="63"/>
      <c r="O22" s="72" t="s">
        <v>66</v>
      </c>
      <c r="P22" s="63"/>
      <c r="Q22" s="63"/>
      <c r="AG22" s="15">
        <v>43313</v>
      </c>
    </row>
    <row r="23" spans="1:33" s="146" customFormat="1" ht="32.1" customHeight="1">
      <c r="A23" s="14"/>
      <c r="B23" s="157" t="s">
        <v>125</v>
      </c>
      <c r="C23" s="158"/>
      <c r="D23" s="61" t="s">
        <v>55</v>
      </c>
      <c r="E23" s="14"/>
      <c r="F23" s="73" t="s">
        <v>126</v>
      </c>
      <c r="G23" s="74">
        <v>44287</v>
      </c>
      <c r="H23" s="14"/>
      <c r="I23" s="159" t="s">
        <v>122</v>
      </c>
      <c r="J23" s="160"/>
      <c r="K23" s="61">
        <v>5000</v>
      </c>
      <c r="L23" s="14"/>
      <c r="M23" s="63"/>
      <c r="N23" s="63"/>
      <c r="O23" s="72" t="s">
        <v>67</v>
      </c>
      <c r="P23" s="63"/>
      <c r="Q23" s="63"/>
      <c r="AG23" s="15">
        <v>43344</v>
      </c>
    </row>
    <row r="24" spans="1:33" s="146" customFormat="1" ht="18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63"/>
      <c r="N24" s="63"/>
      <c r="O24" s="72" t="s">
        <v>68</v>
      </c>
      <c r="P24" s="63"/>
      <c r="Q24" s="63"/>
      <c r="AG24" s="15">
        <v>43374</v>
      </c>
    </row>
    <row r="25" spans="1:33" s="93" customFormat="1" ht="45" customHeight="1">
      <c r="A25" s="14"/>
      <c r="B25" s="157" t="s">
        <v>95</v>
      </c>
      <c r="C25" s="158"/>
      <c r="D25" s="61" t="s">
        <v>55</v>
      </c>
      <c r="E25" s="14"/>
      <c r="F25" s="73" t="s">
        <v>96</v>
      </c>
      <c r="G25" s="74">
        <v>44287</v>
      </c>
      <c r="H25" s="14"/>
      <c r="I25" s="159" t="s">
        <v>97</v>
      </c>
      <c r="J25" s="160"/>
      <c r="K25" s="61">
        <v>41100</v>
      </c>
      <c r="L25" s="14"/>
      <c r="M25" s="63"/>
      <c r="N25" s="63"/>
      <c r="O25" s="72" t="s">
        <v>69</v>
      </c>
      <c r="P25" s="63"/>
      <c r="Q25" s="63"/>
      <c r="AG25" s="15">
        <v>43405</v>
      </c>
    </row>
    <row r="26" spans="1:33" ht="18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63"/>
      <c r="N26" s="63"/>
      <c r="O26" s="72" t="s">
        <v>70</v>
      </c>
      <c r="P26" s="63"/>
      <c r="Q26" s="63"/>
      <c r="AG26" s="15">
        <v>43435</v>
      </c>
    </row>
    <row r="27" spans="1:33" s="123" customFormat="1" ht="36.75" customHeight="1">
      <c r="A27" s="14"/>
      <c r="B27" s="162" t="s">
        <v>118</v>
      </c>
      <c r="C27" s="163"/>
      <c r="D27" s="61" t="s">
        <v>55</v>
      </c>
      <c r="E27" s="14"/>
      <c r="F27" s="73" t="s">
        <v>117</v>
      </c>
      <c r="G27" s="147">
        <v>3</v>
      </c>
      <c r="H27" s="14"/>
      <c r="I27" s="14"/>
      <c r="J27" s="14"/>
      <c r="K27" s="14"/>
      <c r="L27" s="14"/>
      <c r="M27" s="63"/>
      <c r="N27" s="63"/>
      <c r="O27" s="72" t="s">
        <v>71</v>
      </c>
      <c r="P27" s="63"/>
      <c r="Q27" s="63"/>
      <c r="AG27" s="15">
        <v>43466</v>
      </c>
    </row>
    <row r="28" spans="1:33" s="123" customFormat="1" ht="18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63"/>
      <c r="N28" s="63"/>
      <c r="O28" s="72" t="s">
        <v>72</v>
      </c>
      <c r="P28" s="63"/>
      <c r="Q28" s="63"/>
      <c r="AG28" s="15">
        <v>43497</v>
      </c>
    </row>
    <row r="29" spans="1:33" s="52" customFormat="1" ht="24.75" customHeight="1">
      <c r="A29" s="14"/>
      <c r="B29" s="159" t="s">
        <v>133</v>
      </c>
      <c r="C29" s="160"/>
      <c r="D29" s="90">
        <f>IFERROR(IF(K5=8,9,16),"")</f>
        <v>9</v>
      </c>
      <c r="E29" s="60" t="s">
        <v>33</v>
      </c>
      <c r="F29" s="14"/>
      <c r="G29" s="14"/>
      <c r="H29" s="14"/>
      <c r="I29" s="14"/>
      <c r="J29" s="14"/>
      <c r="K29" s="14"/>
      <c r="L29" s="14"/>
      <c r="M29" s="63"/>
      <c r="N29" s="63"/>
      <c r="O29" s="72" t="s">
        <v>73</v>
      </c>
      <c r="P29" s="63"/>
      <c r="Q29" s="63"/>
      <c r="AG29" s="15">
        <v>43525</v>
      </c>
    </row>
    <row r="30" spans="1:33" s="52" customFormat="1" ht="24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63"/>
      <c r="N30" s="63"/>
      <c r="O30" s="72" t="s">
        <v>74</v>
      </c>
      <c r="P30" s="63"/>
      <c r="Q30" s="63"/>
      <c r="AG30" s="15">
        <v>43556</v>
      </c>
    </row>
    <row r="31" spans="1:33" s="52" customFormat="1" ht="24.7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72" t="s">
        <v>75</v>
      </c>
      <c r="P31" s="63"/>
      <c r="Q31" s="63"/>
      <c r="AG31" s="15">
        <v>43586</v>
      </c>
    </row>
    <row r="32" spans="1:33" s="52" customFormat="1" ht="24.7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72" t="s">
        <v>76</v>
      </c>
      <c r="P32" s="63"/>
      <c r="Q32" s="63"/>
      <c r="AG32" s="15">
        <v>43617</v>
      </c>
    </row>
    <row r="33" spans="1:33" s="52" customFormat="1" ht="24.75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72" t="s">
        <v>80</v>
      </c>
      <c r="P33" s="63"/>
      <c r="Q33" s="63"/>
      <c r="AG33" s="15">
        <v>43647</v>
      </c>
    </row>
    <row r="34" spans="1:33" s="52" customFormat="1" ht="24.7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72" t="s">
        <v>78</v>
      </c>
      <c r="P34" s="63"/>
      <c r="Q34" s="63"/>
      <c r="AG34" s="15">
        <v>43678</v>
      </c>
    </row>
    <row r="35" spans="1:33" s="52" customFormat="1" ht="24.75" customHeight="1">
      <c r="A35" s="63"/>
      <c r="B35" s="63"/>
      <c r="C35" s="168" t="s">
        <v>130</v>
      </c>
      <c r="D35" s="168"/>
      <c r="E35" s="176" t="s">
        <v>98</v>
      </c>
      <c r="F35" s="176"/>
      <c r="G35" s="176"/>
      <c r="H35" s="63"/>
      <c r="I35" s="63"/>
      <c r="J35" s="63"/>
      <c r="K35" s="63"/>
      <c r="L35" s="63"/>
      <c r="M35" s="63"/>
      <c r="N35" s="63"/>
      <c r="O35" s="72" t="s">
        <v>77</v>
      </c>
      <c r="P35" s="63"/>
      <c r="Q35" s="63"/>
      <c r="AG35" s="15">
        <v>43709</v>
      </c>
    </row>
    <row r="36" spans="1:33" ht="23.25" customHeight="1">
      <c r="A36" s="63"/>
      <c r="B36" s="63"/>
      <c r="C36" s="169" t="s">
        <v>128</v>
      </c>
      <c r="D36" s="170"/>
      <c r="E36" s="177" t="s">
        <v>81</v>
      </c>
      <c r="F36" s="177"/>
      <c r="G36" s="177"/>
      <c r="H36" s="63"/>
      <c r="I36" s="63"/>
      <c r="J36" s="63"/>
      <c r="K36" s="63"/>
      <c r="L36" s="63"/>
      <c r="M36" s="63"/>
      <c r="N36" s="63"/>
      <c r="O36" s="72" t="s">
        <v>94</v>
      </c>
      <c r="P36" s="63"/>
      <c r="Q36" s="63"/>
      <c r="AG36" s="15">
        <v>43739</v>
      </c>
    </row>
    <row r="37" spans="1:33" s="52" customFormat="1" ht="23.25" customHeight="1">
      <c r="A37" s="63"/>
      <c r="B37" s="63"/>
      <c r="C37" s="63"/>
      <c r="D37" s="63"/>
      <c r="E37" s="178" t="s">
        <v>100</v>
      </c>
      <c r="F37" s="178"/>
      <c r="G37" s="178"/>
      <c r="H37" s="63"/>
      <c r="I37" s="63"/>
      <c r="J37" s="63"/>
      <c r="K37" s="63"/>
      <c r="L37" s="63"/>
      <c r="M37" s="63"/>
      <c r="N37" s="63"/>
      <c r="O37" s="72" t="s">
        <v>79</v>
      </c>
      <c r="P37" s="63"/>
      <c r="Q37" s="63"/>
      <c r="AG37" s="15">
        <v>43770</v>
      </c>
    </row>
    <row r="38" spans="1:33" s="52" customFormat="1" ht="23.25" customHeight="1">
      <c r="A38" s="63"/>
      <c r="B38" s="63"/>
      <c r="C38" s="168" t="s">
        <v>131</v>
      </c>
      <c r="D38" s="168"/>
      <c r="E38" s="179" t="s">
        <v>99</v>
      </c>
      <c r="F38" s="179"/>
      <c r="G38" s="179"/>
      <c r="H38" s="63"/>
      <c r="I38" s="63"/>
      <c r="J38" s="63"/>
      <c r="K38" s="63"/>
      <c r="L38" s="63"/>
      <c r="M38" s="63"/>
      <c r="N38" s="63"/>
      <c r="O38" s="72"/>
      <c r="P38" s="63"/>
      <c r="Q38" s="63"/>
      <c r="AG38" s="15">
        <v>43800</v>
      </c>
    </row>
    <row r="39" spans="1:33" s="52" customFormat="1" ht="23.25" customHeight="1">
      <c r="A39" s="63"/>
      <c r="B39" s="63"/>
      <c r="C39" s="171" t="s">
        <v>132</v>
      </c>
      <c r="D39" s="172"/>
      <c r="E39" s="161" t="s">
        <v>101</v>
      </c>
      <c r="F39" s="161"/>
      <c r="G39" s="161"/>
      <c r="H39" s="63"/>
      <c r="I39" s="63"/>
      <c r="J39" s="63"/>
      <c r="K39" s="63"/>
      <c r="L39" s="63"/>
      <c r="M39" s="63"/>
      <c r="N39" s="63"/>
      <c r="O39" s="72"/>
      <c r="P39" s="63"/>
      <c r="Q39" s="63"/>
      <c r="AG39" s="15">
        <v>43831</v>
      </c>
    </row>
    <row r="40" spans="1:33" s="52" customFormat="1" ht="23.25" customHeight="1">
      <c r="A40" s="63"/>
      <c r="B40" s="63"/>
      <c r="C40" s="63"/>
      <c r="D40" s="63"/>
      <c r="E40" s="173" t="s">
        <v>102</v>
      </c>
      <c r="F40" s="174"/>
      <c r="G40" s="174"/>
      <c r="H40" s="63"/>
      <c r="I40" s="63"/>
      <c r="J40" s="63"/>
      <c r="K40" s="63"/>
      <c r="L40" s="63"/>
      <c r="M40" s="63"/>
      <c r="N40" s="63"/>
      <c r="O40" s="72"/>
      <c r="P40" s="63"/>
      <c r="Q40" s="63"/>
      <c r="AG40" s="15">
        <v>43862</v>
      </c>
    </row>
    <row r="41" spans="1:33" s="52" customFormat="1" ht="23.25" customHeight="1">
      <c r="A41" s="63"/>
      <c r="B41" s="63"/>
      <c r="C41" s="63"/>
      <c r="D41" s="63"/>
      <c r="E41" s="175"/>
      <c r="F41" s="175"/>
      <c r="G41" s="175"/>
      <c r="H41" s="63"/>
      <c r="I41" s="63"/>
      <c r="J41" s="63"/>
      <c r="K41" s="63"/>
      <c r="L41" s="63"/>
      <c r="M41" s="63"/>
      <c r="N41" s="63"/>
      <c r="O41" s="72"/>
      <c r="P41" s="63"/>
      <c r="Q41" s="63"/>
      <c r="AG41" s="15">
        <v>43891</v>
      </c>
    </row>
    <row r="42" spans="1:33" s="52" customFormat="1" ht="23.2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AG42" s="15">
        <v>43922</v>
      </c>
    </row>
    <row r="43" spans="1:33" s="52" customFormat="1" ht="23.2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AG43" s="15">
        <v>43952</v>
      </c>
    </row>
    <row r="44" spans="1:33" ht="18" hidden="1" customHeight="1">
      <c r="AG44" s="15">
        <v>43983</v>
      </c>
    </row>
    <row r="45" spans="1:33" ht="18" hidden="1" customHeight="1">
      <c r="AG45" s="15">
        <v>44013</v>
      </c>
    </row>
    <row r="46" spans="1:33" ht="18" hidden="1" customHeight="1">
      <c r="AG46" s="15">
        <v>44044</v>
      </c>
    </row>
    <row r="47" spans="1:33" ht="18" hidden="1" customHeight="1">
      <c r="AG47" s="15">
        <v>44075</v>
      </c>
    </row>
    <row r="48" spans="1:33" ht="18" hidden="1" customHeight="1">
      <c r="AG48" s="15">
        <v>44105</v>
      </c>
    </row>
    <row r="49" spans="33:33" ht="18" hidden="1" customHeight="1">
      <c r="AG49" s="15">
        <v>44136</v>
      </c>
    </row>
    <row r="50" spans="33:33" ht="18" hidden="1" customHeight="1">
      <c r="AG50" s="15">
        <v>44166</v>
      </c>
    </row>
    <row r="51" spans="33:33" ht="18" hidden="1" customHeight="1">
      <c r="AG51" s="15">
        <v>44197</v>
      </c>
    </row>
    <row r="52" spans="33:33" ht="18" hidden="1" customHeight="1">
      <c r="AG52" s="15">
        <v>44228</v>
      </c>
    </row>
    <row r="53" spans="33:33" ht="18" hidden="1" customHeight="1">
      <c r="AG53" s="15">
        <v>44256</v>
      </c>
    </row>
    <row r="54" spans="33:33" ht="18" hidden="1" customHeight="1">
      <c r="AG54" s="15">
        <v>44287</v>
      </c>
    </row>
    <row r="55" spans="33:33" ht="18" hidden="1" customHeight="1">
      <c r="AG55" s="15">
        <v>44317</v>
      </c>
    </row>
    <row r="56" spans="33:33" ht="18" hidden="1" customHeight="1">
      <c r="AG56" s="15">
        <v>44348</v>
      </c>
    </row>
    <row r="57" spans="33:33" ht="18" hidden="1" customHeight="1">
      <c r="AG57" s="15">
        <v>44378</v>
      </c>
    </row>
    <row r="58" spans="33:33" ht="18" hidden="1" customHeight="1">
      <c r="AG58" s="15">
        <v>44409</v>
      </c>
    </row>
    <row r="59" spans="33:33" ht="18" hidden="1" customHeight="1">
      <c r="AG59" s="15">
        <v>44440</v>
      </c>
    </row>
    <row r="60" spans="33:33" ht="18" hidden="1" customHeight="1">
      <c r="AG60" s="15">
        <v>44470</v>
      </c>
    </row>
    <row r="61" spans="33:33" ht="18" hidden="1" customHeight="1">
      <c r="AG61" s="15">
        <v>44501</v>
      </c>
    </row>
    <row r="62" spans="33:33" ht="18" hidden="1" customHeight="1">
      <c r="AG62" s="15">
        <v>44531</v>
      </c>
    </row>
    <row r="63" spans="33:33" ht="18" hidden="1" customHeight="1">
      <c r="AG63" s="15">
        <v>44562</v>
      </c>
    </row>
    <row r="64" spans="33:33" ht="18" hidden="1" customHeight="1">
      <c r="AG64" s="15">
        <v>44593</v>
      </c>
    </row>
    <row r="65" spans="33:33" ht="18" hidden="1" customHeight="1">
      <c r="AG65" s="15">
        <v>44621</v>
      </c>
    </row>
    <row r="66" spans="33:33" ht="18" hidden="1" customHeight="1">
      <c r="AG66" s="15">
        <v>44652</v>
      </c>
    </row>
    <row r="67" spans="33:33" ht="18" hidden="1" customHeight="1">
      <c r="AG67" s="15">
        <v>44682</v>
      </c>
    </row>
    <row r="68" spans="33:33" ht="18" hidden="1" customHeight="1">
      <c r="AG68" s="15">
        <v>44713</v>
      </c>
    </row>
    <row r="69" spans="33:33" ht="18" hidden="1" customHeight="1">
      <c r="AG69" s="15">
        <v>44743</v>
      </c>
    </row>
    <row r="70" spans="33:33" ht="18" hidden="1" customHeight="1">
      <c r="AG70" s="15">
        <v>44774</v>
      </c>
    </row>
    <row r="71" spans="33:33" ht="18" hidden="1" customHeight="1">
      <c r="AG71" s="15">
        <v>44805</v>
      </c>
    </row>
    <row r="72" spans="33:33" ht="18" hidden="1" customHeight="1">
      <c r="AG72" s="15">
        <v>44835</v>
      </c>
    </row>
    <row r="73" spans="33:33" ht="18" hidden="1" customHeight="1">
      <c r="AG73" s="15">
        <v>44866</v>
      </c>
    </row>
    <row r="74" spans="33:33" ht="18" hidden="1" customHeight="1">
      <c r="AG74" s="15">
        <v>44896</v>
      </c>
    </row>
  </sheetData>
  <sheetProtection password="C1FB" sheet="1" objects="1" scenarios="1" selectLockedCells="1"/>
  <mergeCells count="40">
    <mergeCell ref="J1:K1"/>
    <mergeCell ref="J2:K2"/>
    <mergeCell ref="I13:J13"/>
    <mergeCell ref="B13:C13"/>
    <mergeCell ref="I17:J17"/>
    <mergeCell ref="D1:I1"/>
    <mergeCell ref="O7:P7"/>
    <mergeCell ref="B17:C17"/>
    <mergeCell ref="D3:K3"/>
    <mergeCell ref="B11:C11"/>
    <mergeCell ref="I11:J11"/>
    <mergeCell ref="I15:J15"/>
    <mergeCell ref="B15:F15"/>
    <mergeCell ref="B16:C16"/>
    <mergeCell ref="I5:J5"/>
    <mergeCell ref="B9:C9"/>
    <mergeCell ref="I7:J7"/>
    <mergeCell ref="I9:J9"/>
    <mergeCell ref="N5:N6"/>
    <mergeCell ref="E40:G40"/>
    <mergeCell ref="E41:G41"/>
    <mergeCell ref="E35:G35"/>
    <mergeCell ref="E36:G36"/>
    <mergeCell ref="E37:G37"/>
    <mergeCell ref="E38:G38"/>
    <mergeCell ref="B19:C19"/>
    <mergeCell ref="I19:J19"/>
    <mergeCell ref="B23:C23"/>
    <mergeCell ref="I23:J23"/>
    <mergeCell ref="E39:G39"/>
    <mergeCell ref="B27:C27"/>
    <mergeCell ref="B25:C25"/>
    <mergeCell ref="I25:J25"/>
    <mergeCell ref="B21:C21"/>
    <mergeCell ref="I21:J21"/>
    <mergeCell ref="C35:D35"/>
    <mergeCell ref="C36:D36"/>
    <mergeCell ref="C38:D38"/>
    <mergeCell ref="C39:D39"/>
    <mergeCell ref="B29:C29"/>
  </mergeCells>
  <conditionalFormatting sqref="G21">
    <cfRule type="expression" dxfId="47" priority="118" stopIfTrue="1">
      <formula>$D21=""</formula>
    </cfRule>
    <cfRule type="expression" dxfId="46" priority="119" stopIfTrue="1">
      <formula>$D21="NO"</formula>
    </cfRule>
  </conditionalFormatting>
  <conditionalFormatting sqref="K21">
    <cfRule type="expression" dxfId="45" priority="116" stopIfTrue="1">
      <formula>$D21=""</formula>
    </cfRule>
    <cfRule type="expression" dxfId="44" priority="117" stopIfTrue="1">
      <formula>$D21="NO"</formula>
    </cfRule>
  </conditionalFormatting>
  <conditionalFormatting sqref="G17">
    <cfRule type="expression" dxfId="43" priority="112" stopIfTrue="1">
      <formula>$D17=""</formula>
    </cfRule>
    <cfRule type="expression" dxfId="42" priority="113" stopIfTrue="1">
      <formula>$D17="NO"</formula>
    </cfRule>
  </conditionalFormatting>
  <conditionalFormatting sqref="K17">
    <cfRule type="expression" dxfId="41" priority="108" stopIfTrue="1">
      <formula>$D17=""</formula>
    </cfRule>
    <cfRule type="expression" dxfId="40" priority="109" stopIfTrue="1">
      <formula>$D17="NO"</formula>
    </cfRule>
  </conditionalFormatting>
  <conditionalFormatting sqref="K15">
    <cfRule type="expression" dxfId="39" priority="32" stopIfTrue="1">
      <formula>$G15=""</formula>
    </cfRule>
    <cfRule type="expression" dxfId="38" priority="33" stopIfTrue="1">
      <formula>$G15="NO"</formula>
    </cfRule>
  </conditionalFormatting>
  <conditionalFormatting sqref="G11">
    <cfRule type="expression" dxfId="37" priority="30" stopIfTrue="1">
      <formula>$D11=""</formula>
    </cfRule>
    <cfRule type="expression" dxfId="36" priority="31" stopIfTrue="1">
      <formula>$D11="Regular Pay"</formula>
    </cfRule>
  </conditionalFormatting>
  <conditionalFormatting sqref="K11">
    <cfRule type="expression" dxfId="35" priority="28" stopIfTrue="1">
      <formula>$D11=""</formula>
    </cfRule>
    <cfRule type="expression" dxfId="34" priority="29" stopIfTrue="1">
      <formula>$D11="Fix Pay"</formula>
    </cfRule>
  </conditionalFormatting>
  <conditionalFormatting sqref="G13">
    <cfRule type="expression" dxfId="33" priority="25" stopIfTrue="1">
      <formula>$D$13=""</formula>
    </cfRule>
  </conditionalFormatting>
  <conditionalFormatting sqref="E25:L25">
    <cfRule type="expression" dxfId="32" priority="23" stopIfTrue="1">
      <formula>$D25=""</formula>
    </cfRule>
    <cfRule type="expression" dxfId="31" priority="24" stopIfTrue="1">
      <formula>$D25="NO"</formula>
    </cfRule>
  </conditionalFormatting>
  <conditionalFormatting sqref="E27:F27 H27:L27">
    <cfRule type="expression" dxfId="30" priority="21" stopIfTrue="1">
      <formula>$D27=""</formula>
    </cfRule>
    <cfRule type="expression" dxfId="29" priority="22" stopIfTrue="1">
      <formula>$D27="NO"</formula>
    </cfRule>
  </conditionalFormatting>
  <conditionalFormatting sqref="F27">
    <cfRule type="expression" dxfId="28" priority="19" stopIfTrue="1">
      <formula>$D27=""</formula>
    </cfRule>
    <cfRule type="expression" dxfId="27" priority="20" stopIfTrue="1">
      <formula>$D27="NO"</formula>
    </cfRule>
  </conditionalFormatting>
  <conditionalFormatting sqref="G27">
    <cfRule type="expression" dxfId="26" priority="17" stopIfTrue="1">
      <formula>$D27=""</formula>
    </cfRule>
    <cfRule type="expression" dxfId="25" priority="18" stopIfTrue="1">
      <formula>$D27="NO"</formula>
    </cfRule>
  </conditionalFormatting>
  <conditionalFormatting sqref="F19">
    <cfRule type="expression" dxfId="24" priority="15" stopIfTrue="1">
      <formula>$D19=""</formula>
    </cfRule>
    <cfRule type="expression" dxfId="23" priority="16" stopIfTrue="1">
      <formula>$D19="NO"</formula>
    </cfRule>
  </conditionalFormatting>
  <conditionalFormatting sqref="G19">
    <cfRule type="expression" dxfId="22" priority="13" stopIfTrue="1">
      <formula>$D19=""</formula>
    </cfRule>
    <cfRule type="expression" dxfId="21" priority="14" stopIfTrue="1">
      <formula>$D19="NO"</formula>
    </cfRule>
  </conditionalFormatting>
  <conditionalFormatting sqref="I19:J19">
    <cfRule type="expression" dxfId="20" priority="11" stopIfTrue="1">
      <formula>$D19=""</formula>
    </cfRule>
    <cfRule type="expression" dxfId="19" priority="12" stopIfTrue="1">
      <formula>$D19="NO"</formula>
    </cfRule>
  </conditionalFormatting>
  <conditionalFormatting sqref="K19">
    <cfRule type="expression" dxfId="18" priority="9" stopIfTrue="1">
      <formula>$D19=""</formula>
    </cfRule>
    <cfRule type="expression" dxfId="17" priority="10" stopIfTrue="1">
      <formula>$D19="NO"</formula>
    </cfRule>
  </conditionalFormatting>
  <conditionalFormatting sqref="F23">
    <cfRule type="expression" dxfId="16" priority="7" stopIfTrue="1">
      <formula>$D23=""</formula>
    </cfRule>
    <cfRule type="expression" dxfId="15" priority="8" stopIfTrue="1">
      <formula>$D23="NO"</formula>
    </cfRule>
  </conditionalFormatting>
  <conditionalFormatting sqref="G23">
    <cfRule type="expression" dxfId="14" priority="5" stopIfTrue="1">
      <formula>$D23=""</formula>
    </cfRule>
    <cfRule type="expression" dxfId="13" priority="6" stopIfTrue="1">
      <formula>$D23="NO"</formula>
    </cfRule>
  </conditionalFormatting>
  <conditionalFormatting sqref="I23:J23">
    <cfRule type="expression" dxfId="12" priority="3" stopIfTrue="1">
      <formula>$D23=""</formula>
    </cfRule>
    <cfRule type="expression" dxfId="11" priority="4" stopIfTrue="1">
      <formula>$D23="NO"</formula>
    </cfRule>
  </conditionalFormatting>
  <conditionalFormatting sqref="K23">
    <cfRule type="expression" dxfId="10" priority="1" stopIfTrue="1">
      <formula>$D23=""</formula>
    </cfRule>
    <cfRule type="expression" dxfId="9" priority="2" stopIfTrue="1">
      <formula>$D23="NO"</formula>
    </cfRule>
  </conditionalFormatting>
  <dataValidations count="16">
    <dataValidation type="custom" allowBlank="1" showInputMessage="1" showErrorMessage="1" errorTitle="Select SI Ded. &quot;YES&quot;" error="पहले राज्य बीमा की कटोती में yes सेलेक्ट करे " sqref="K17 G17">
      <formula1>$D17="YES"</formula1>
    </dataValidation>
    <dataValidation type="custom" allowBlank="1" showInputMessage="1" showErrorMessage="1" errorTitle="Select GPF Ded. &quot;YES&quot;" error="पहले जीपीएफ की कटोती में yes सेलेक्ट करे " sqref="K21 G21">
      <formula1>$D21="YES"</formula1>
    </dataValidation>
    <dataValidation type="custom" allowBlank="1" showInputMessage="1" showErrorMessage="1" errorTitle="Select प्रीवियस service &quot;YES&quot;" error="पहले पूर्व राजकीय सेवा वाले कॉलम में yes सेलेक्ट करे " sqref="K15">
      <formula1>$G15="YES"</formula1>
    </dataValidation>
    <dataValidation type="custom" allowBlank="1" showInputMessage="1" showErrorMessage="1" errorTitle="Select Fix Pay" error="कार्मिक का वेतन नियमित है, इसलिए यहाँ राशि नहीं लिखी जाएगी  " sqref="G11">
      <formula1>$D11="Fix Pay"</formula1>
    </dataValidation>
    <dataValidation type="custom" allowBlank="1" showInputMessage="1" showErrorMessage="1" errorTitle="Select Regular Pay" error="कार्मिक फिक्स वेतन पर  है, इसलिए यहाँ राशि नहीं लिखी जाएगी  " sqref="K11">
      <formula1>$D11="Regular Pay"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K25 K19 K23">
      <formula1>$D19="YES"</formula1>
    </dataValidation>
    <dataValidation type="list" allowBlank="1" showInputMessage="1" showErrorMessage="1" sqref="D25 D27 D21 G15 D17 D19 D23">
      <formula1>"YES,NO"</formula1>
    </dataValidation>
    <dataValidation type="list" allowBlank="1" showInputMessage="1" showErrorMessage="1" sqref="G25 D9 G9 G19 G23">
      <formula1>month</formula1>
    </dataValidation>
    <dataValidation type="list" allowBlank="1" showInputMessage="1" showErrorMessage="1" sqref="G27">
      <formula1>"1,2,3,4,5"</formula1>
    </dataValidation>
    <dataValidation type="custom" allowBlank="1" showInputMessage="1" showErrorMessage="1" errorTitle="भाई साहब वेतन अंको में लिखना है" error="salary should be written in numbers" sqref="K9 K13">
      <formula1>ISNUMBER(K9)=TRUE</formula1>
    </dataValidation>
    <dataValidation type="list" allowBlank="1" showInputMessage="1" showErrorMessage="1" errorTitle="Select Pay" error="यहाँ पर नियमित या फिक्स वेतन में से सेलेक्ट करें " sqref="D11">
      <formula1>"Fix Pay,Regular Pay"</formula1>
    </dataValidation>
    <dataValidation type="date" allowBlank="1" showInputMessage="1" showErrorMessage="1" errorTitle="write Date format" error="आप इस शीट में 1-1-2017 व 31-12-2021 के मध्य किसी भी माह व दिनांक का arrear बना सकते हैं " sqref="D13">
      <formula1>42736</formula1>
      <formula2>44561</formula2>
    </dataValidation>
    <dataValidation type="list" allowBlank="1" showInputMessage="1" showErrorMessage="1" sqref="G7 G5">
      <formula1>post</formula1>
    </dataValidation>
    <dataValidation type="custom" allowBlank="1" showInputMessage="1" showErrorMessage="1" sqref="D7 D5">
      <formula1>ISTEXT(D5)=TRUE</formula1>
    </dataValidation>
    <dataValidation type="whole" allowBlank="1" showInputMessage="1" showErrorMessage="1" errorTitle="पे मैट्रिक्स लेवल " error="पे मैट्रिक्स लेवल 1 से 24 के मध्य ही है" sqref="K7">
      <formula1>1</formula1>
      <formula2>24</formula2>
    </dataValidation>
    <dataValidation type="custom" allowBlank="1" showInputMessage="1" showErrorMessage="1" sqref="K5 D29">
      <formula1>ISNUMBER(D5)=TRUE</formula1>
    </dataValidation>
  </dataValidations>
  <hyperlinks>
    <hyperlink ref="E40" r:id="rId1"/>
    <hyperlink ref="C36" r:id="rId2"/>
    <hyperlink ref="C39" r:id="rId3"/>
    <hyperlink ref="J2" r:id="rId4"/>
  </hyperlinks>
  <pageMargins left="0.7" right="0.7" top="0.75" bottom="0.75" header="0.3" footer="0.3"/>
  <pageSetup orientation="portrait" r:id="rId5"/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G89"/>
  <sheetViews>
    <sheetView showGridLines="0" view="pageBreakPreview" zoomScaleSheetLayoutView="100" workbookViewId="0">
      <selection activeCell="AD2" sqref="AD1:AD2"/>
    </sheetView>
  </sheetViews>
  <sheetFormatPr defaultColWidth="0" defaultRowHeight="12.75" zeroHeight="1"/>
  <cols>
    <col min="1" max="1" width="4.75" style="16" customWidth="1"/>
    <col min="2" max="2" width="8.5" style="45" customWidth="1"/>
    <col min="3" max="3" width="8.5" style="46" customWidth="1"/>
    <col min="4" max="4" width="6.5" style="46" customWidth="1"/>
    <col min="5" max="6" width="6.625" style="46" customWidth="1"/>
    <col min="7" max="7" width="6.875" style="46" customWidth="1"/>
    <col min="8" max="8" width="7.125" style="46" customWidth="1"/>
    <col min="9" max="10" width="6.625" style="46" customWidth="1"/>
    <col min="11" max="11" width="7.125" style="46" customWidth="1"/>
    <col min="12" max="12" width="6.625" style="46" customWidth="1"/>
    <col min="13" max="13" width="6.125" style="46" customWidth="1"/>
    <col min="14" max="14" width="6.625" style="46" customWidth="1"/>
    <col min="15" max="16" width="5.625" style="46" customWidth="1"/>
    <col min="17" max="17" width="5.75" style="46" customWidth="1"/>
    <col min="18" max="22" width="5.625" style="46" customWidth="1"/>
    <col min="23" max="23" width="6.875" style="46" customWidth="1"/>
    <col min="24" max="24" width="6.25" style="46" customWidth="1"/>
    <col min="25" max="25" width="5.625" style="46" customWidth="1"/>
    <col min="26" max="26" width="8.5" style="16" customWidth="1"/>
    <col min="27" max="27" width="8.75" style="16" customWidth="1"/>
    <col min="28" max="28" width="10.25" style="16" customWidth="1"/>
    <col min="29" max="29" width="10.625" style="16" customWidth="1"/>
    <col min="30" max="33" width="9.125" style="16" customWidth="1"/>
    <col min="34" max="36" width="9.125" style="16" hidden="1"/>
    <col min="37" max="53" width="9.125" style="99" hidden="1"/>
    <col min="54" max="59" width="0" style="16" hidden="1"/>
    <col min="60" max="16384" width="9.125" style="16" hidden="1"/>
  </cols>
  <sheetData>
    <row r="1" spans="1:58" ht="22.5">
      <c r="B1" s="196" t="str">
        <f>IF('Master Sheet'!D3="","",CONCATENATE("Office ",'Master Sheet'!D3,))</f>
        <v>Office Mahtma Gandhi Government School (English Medium) Bar, PALI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N1" s="100">
        <v>43891</v>
      </c>
    </row>
    <row r="2" spans="1:58" ht="20.25">
      <c r="B2" s="197" t="s">
        <v>23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N2" s="99" t="str">
        <f>'Master Sheet'!D27</f>
        <v>NO</v>
      </c>
      <c r="AO2" s="99">
        <f>'Master Sheet'!G27</f>
        <v>3</v>
      </c>
      <c r="AP2" s="99">
        <f>IFERROR(IF(AO4="",0,MONTH(AO4)),"")</f>
        <v>1</v>
      </c>
      <c r="AR2" s="99">
        <f>IF(AN4=AN3,29,IF(AP2=1,31,IF(AP2=2,28,IF(AP2=3,31,IF(AP2=4,30,IF(AP2=5,31,IF(AP2=6,30,IF(AP2=7,31,IF(AP2=8,31,IF(AP2=9,30,IF(AP2=10,31,IF(AP2=11,30,IF(AP2=12,31,0)))))))))))))</f>
        <v>31</v>
      </c>
      <c r="AT2" s="100">
        <v>42917</v>
      </c>
    </row>
    <row r="3" spans="1:58" s="17" customFormat="1" ht="24" customHeight="1">
      <c r="B3" s="200" t="s">
        <v>28</v>
      </c>
      <c r="C3" s="200"/>
      <c r="D3" s="200"/>
      <c r="E3" s="201" t="str">
        <f>IFERROR(UPPER('Master Sheet'!D7),"")</f>
        <v>HEERALAL JAT</v>
      </c>
      <c r="F3" s="201"/>
      <c r="G3" s="201"/>
      <c r="H3" s="201"/>
      <c r="I3" s="201"/>
      <c r="J3" s="201"/>
      <c r="K3" s="201"/>
      <c r="L3" s="203" t="s">
        <v>0</v>
      </c>
      <c r="M3" s="203"/>
      <c r="N3" s="202" t="str">
        <f>IFERROR(UPPER('Master Sheet'!G7),"")</f>
        <v>SR. TEACHER</v>
      </c>
      <c r="O3" s="202"/>
      <c r="P3" s="202"/>
      <c r="Q3" s="202"/>
      <c r="R3" s="202"/>
      <c r="S3" s="204" t="s">
        <v>29</v>
      </c>
      <c r="T3" s="204"/>
      <c r="U3" s="204"/>
      <c r="V3" s="209" t="str">
        <f>IFERROR(CONCATENATE("L - ",'Master Sheet'!K7),"")</f>
        <v>L - 11</v>
      </c>
      <c r="W3" s="209"/>
      <c r="X3" s="153"/>
      <c r="Y3" s="204" t="s">
        <v>90</v>
      </c>
      <c r="Z3" s="204"/>
      <c r="AA3" s="204"/>
      <c r="AB3" s="205" t="str">
        <f>IF($AN$18=$AN$20,"GPF","NPS")</f>
        <v>NPS</v>
      </c>
      <c r="AC3" s="205"/>
      <c r="AK3" s="101"/>
      <c r="AL3" s="101">
        <f>MONTH(AP10)</f>
        <v>2</v>
      </c>
      <c r="AM3" s="101"/>
      <c r="AN3" s="103">
        <f>'Master Sheet'!D9</f>
        <v>42736</v>
      </c>
      <c r="AO3" s="101"/>
      <c r="AP3" s="101">
        <f>IFERROR(IF(AN6="",0,MONTH(AN6)),"")</f>
        <v>1</v>
      </c>
      <c r="AQ3" s="101"/>
      <c r="AR3" s="102">
        <f>IF(AN4=AN3,29,IF(AP2=1,31,IF(AP2=2,28,IF(AP2=3,31,IF(AP2=4,30,IF(AP2=5,31,IF(AP2=6,30,IF(AP2=7,31,IF(AP2=8,31,IF(AP2=9,30,IF(AP2=10,31,IF(AP2=11,30,IF(AP2=12,31,0)))))))))))))</f>
        <v>31</v>
      </c>
      <c r="AS3" s="101"/>
      <c r="AT3" s="100">
        <v>43282</v>
      </c>
      <c r="AU3" s="101"/>
      <c r="AV3" s="101"/>
      <c r="AW3" s="101"/>
      <c r="AX3" s="101"/>
      <c r="AY3" s="101"/>
      <c r="AZ3" s="101"/>
      <c r="BA3" s="101"/>
    </row>
    <row r="4" spans="1:58" s="17" customFormat="1" ht="24" customHeight="1">
      <c r="B4" s="200"/>
      <c r="C4" s="200"/>
      <c r="D4" s="200"/>
      <c r="E4" s="94"/>
      <c r="F4" s="18"/>
      <c r="G4" s="200" t="s">
        <v>30</v>
      </c>
      <c r="H4" s="200"/>
      <c r="I4" s="200"/>
      <c r="J4" s="200"/>
      <c r="K4" s="200"/>
      <c r="L4" s="200"/>
      <c r="M4" s="210">
        <f>IFERROR('Master Sheet'!D9,"")</f>
        <v>42736</v>
      </c>
      <c r="N4" s="210"/>
      <c r="O4" s="210"/>
      <c r="P4" s="19" t="s">
        <v>31</v>
      </c>
      <c r="Q4" s="210">
        <f>IFERROR('Master Sheet'!G9,"")</f>
        <v>44593</v>
      </c>
      <c r="R4" s="210"/>
      <c r="S4" s="210"/>
      <c r="T4" s="203" t="s">
        <v>32</v>
      </c>
      <c r="U4" s="203"/>
      <c r="V4" s="203"/>
      <c r="W4" s="208"/>
      <c r="X4" s="208"/>
      <c r="Y4" s="208"/>
      <c r="Z4" s="208"/>
      <c r="AA4" s="208"/>
      <c r="AB4" s="208"/>
      <c r="AC4" s="208"/>
      <c r="AK4" s="101" t="str">
        <f>IF(AB3="GPF"," GPF","GPF-2004")</f>
        <v>GPF-2004</v>
      </c>
      <c r="AL4" s="101">
        <f>MONTH(AO6)</f>
        <v>2</v>
      </c>
      <c r="AM4" s="101"/>
      <c r="AN4" s="103">
        <v>43862</v>
      </c>
      <c r="AO4" s="103">
        <f>'Master Sheet'!D13</f>
        <v>42736</v>
      </c>
      <c r="AP4" s="101">
        <f>IFERROR(IF(AO4="",0,DAY(AO4)-1),"")</f>
        <v>0</v>
      </c>
      <c r="AQ4" s="101"/>
      <c r="AR4" s="101">
        <f>IFERROR(SUM(AR3-AP4),"")</f>
        <v>31</v>
      </c>
      <c r="AS4" s="101"/>
      <c r="AT4" s="100">
        <v>43647</v>
      </c>
      <c r="AU4" s="101"/>
      <c r="AV4" s="101"/>
      <c r="AW4" s="101"/>
      <c r="AX4" s="101"/>
      <c r="AY4" s="101"/>
      <c r="AZ4" s="101"/>
      <c r="BA4" s="101"/>
    </row>
    <row r="5" spans="1:58" ht="9.75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1"/>
      <c r="N5" s="21"/>
      <c r="O5" s="22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T5" s="100">
        <v>44013</v>
      </c>
    </row>
    <row r="6" spans="1:58" ht="24.75" customHeight="1">
      <c r="A6" s="199" t="s">
        <v>22</v>
      </c>
      <c r="B6" s="198" t="s">
        <v>1</v>
      </c>
      <c r="C6" s="198" t="s">
        <v>2</v>
      </c>
      <c r="D6" s="198"/>
      <c r="E6" s="198"/>
      <c r="F6" s="198"/>
      <c r="G6" s="198" t="s">
        <v>3</v>
      </c>
      <c r="H6" s="198"/>
      <c r="I6" s="198"/>
      <c r="J6" s="198"/>
      <c r="K6" s="198" t="s">
        <v>4</v>
      </c>
      <c r="L6" s="198"/>
      <c r="M6" s="198"/>
      <c r="N6" s="198"/>
      <c r="O6" s="198" t="str">
        <f>IF($AN$18=$AN$20,"GPF","NPS")</f>
        <v>NPS</v>
      </c>
      <c r="P6" s="198"/>
      <c r="Q6" s="198"/>
      <c r="R6" s="198" t="s">
        <v>5</v>
      </c>
      <c r="S6" s="198"/>
      <c r="T6" s="198"/>
      <c r="U6" s="198" t="s">
        <v>21</v>
      </c>
      <c r="V6" s="198"/>
      <c r="W6" s="198"/>
      <c r="X6" s="206" t="str">
        <f>CONCATENATE("Arrear in",AK4)</f>
        <v>Arrear inGPF-2004</v>
      </c>
      <c r="Y6" s="199" t="s">
        <v>6</v>
      </c>
      <c r="Z6" s="199" t="s">
        <v>7</v>
      </c>
      <c r="AA6" s="199" t="s">
        <v>8</v>
      </c>
      <c r="AB6" s="199" t="s">
        <v>9</v>
      </c>
      <c r="AC6" s="199" t="s">
        <v>10</v>
      </c>
      <c r="AL6" s="100">
        <v>44075</v>
      </c>
      <c r="AM6" s="100">
        <v>44105</v>
      </c>
      <c r="AN6" s="104">
        <f>IF('Master Sheet'!D9="","",'Master Sheet'!D9)</f>
        <v>42736</v>
      </c>
      <c r="AO6" s="105">
        <f>IF('Master Sheet'!G9="","",'Master Sheet'!G9)</f>
        <v>44593</v>
      </c>
      <c r="AP6" s="106">
        <f>IFERROR(IF(AO4="",0,DAY(AO4)-1),"")</f>
        <v>0</v>
      </c>
      <c r="AQ6" s="106"/>
      <c r="AR6" s="107">
        <f>IFERROR(SUM(AR2-AP4),"")</f>
        <v>31</v>
      </c>
      <c r="AT6" s="100">
        <v>44378</v>
      </c>
    </row>
    <row r="7" spans="1:58" ht="45.75" customHeight="1">
      <c r="A7" s="199"/>
      <c r="B7" s="198"/>
      <c r="C7" s="79" t="s">
        <v>11</v>
      </c>
      <c r="D7" s="79" t="s">
        <v>12</v>
      </c>
      <c r="E7" s="79" t="s">
        <v>13</v>
      </c>
      <c r="F7" s="79" t="s">
        <v>14</v>
      </c>
      <c r="G7" s="79" t="s">
        <v>11</v>
      </c>
      <c r="H7" s="79" t="s">
        <v>12</v>
      </c>
      <c r="I7" s="79" t="s">
        <v>13</v>
      </c>
      <c r="J7" s="79" t="s">
        <v>14</v>
      </c>
      <c r="K7" s="79" t="s">
        <v>11</v>
      </c>
      <c r="L7" s="79" t="s">
        <v>12</v>
      </c>
      <c r="M7" s="79" t="s">
        <v>13</v>
      </c>
      <c r="N7" s="79" t="s">
        <v>14</v>
      </c>
      <c r="O7" s="79" t="s">
        <v>15</v>
      </c>
      <c r="P7" s="79" t="s">
        <v>16</v>
      </c>
      <c r="Q7" s="79" t="s">
        <v>17</v>
      </c>
      <c r="R7" s="79" t="s">
        <v>15</v>
      </c>
      <c r="S7" s="79" t="s">
        <v>16</v>
      </c>
      <c r="T7" s="79" t="s">
        <v>17</v>
      </c>
      <c r="U7" s="79" t="s">
        <v>15</v>
      </c>
      <c r="V7" s="79" t="s">
        <v>16</v>
      </c>
      <c r="W7" s="79" t="s">
        <v>17</v>
      </c>
      <c r="X7" s="207"/>
      <c r="Y7" s="199"/>
      <c r="Z7" s="199"/>
      <c r="AA7" s="199"/>
      <c r="AB7" s="199"/>
      <c r="AC7" s="199"/>
      <c r="AM7" s="100"/>
      <c r="AN7" s="108">
        <f>IF('Master Sheet'!K9="","",'Master Sheet'!K9)</f>
        <v>0</v>
      </c>
      <c r="AO7" s="106"/>
      <c r="AP7" s="109">
        <f>IF('Master Sheet'!K5="","",'Master Sheet'!K5)</f>
        <v>8</v>
      </c>
      <c r="AR7" s="99">
        <f>IF('Master Sheet'!D29="","",'Master Sheet'!D29)</f>
        <v>9</v>
      </c>
      <c r="AS7" s="100">
        <v>44378</v>
      </c>
    </row>
    <row r="8" spans="1:58" s="31" customFormat="1" ht="21" customHeight="1">
      <c r="A8" s="82">
        <f>IF(LEN(B8)&gt;=2,1,0)</f>
        <v>1</v>
      </c>
      <c r="B8" s="83">
        <f>IFERROR(IF(AQ9="","",AQ9),"")</f>
        <v>42736</v>
      </c>
      <c r="C8" s="84">
        <f>IFERROR(IF(AR9="","",AR9),"")</f>
        <v>46500</v>
      </c>
      <c r="D8" s="84">
        <f>IFERROR(IF(AS9="","",AS9),"")</f>
        <v>1860</v>
      </c>
      <c r="E8" s="84">
        <f>IFERROR(IF(OR(B8=$AL$16,B8=$AL$17,B8=$AL$18,B8=$AL$19,B8=$AL$20,B8=$AL$21,B8=$AL$22,B8=$AL$23,B8=$AL$24),0,IF(AT9="","",AT9)),"")</f>
        <v>0</v>
      </c>
      <c r="F8" s="84">
        <f>IF(B8="","",SUM(C8:E8))</f>
        <v>48360</v>
      </c>
      <c r="G8" s="84">
        <f>IFERROR(IF(AV9="","",AV9),"")</f>
        <v>45100</v>
      </c>
      <c r="H8" s="84">
        <f>IFERROR(IF(AW9="","",AW9),"")</f>
        <v>1804</v>
      </c>
      <c r="I8" s="84">
        <f>IFERROR(IF(OR(B8=$AL$16,B8=$AL$17,B8=$AL$18,B8=$AL$19,B8=$AL$20,B8=$AL$21,B8=$AL$22,B8=$AL$23,B8=$AL$24),0,IF(AX9="","",AX9)),"")</f>
        <v>0</v>
      </c>
      <c r="J8" s="84">
        <f>IF(B8="","",SUM(G8:I8))</f>
        <v>46904</v>
      </c>
      <c r="K8" s="84">
        <f>IFERROR(IF(B8="","",IF(C8="","",IF(G8="","",SUM(C8-G8)))),"")</f>
        <v>1400</v>
      </c>
      <c r="L8" s="84">
        <f>IFERROR(IF(B8="","",IF(D8="","",IF(H8="","",SUM(D8-H8)))),"")</f>
        <v>56</v>
      </c>
      <c r="M8" s="84">
        <f>IFERROR(IF(B8="","",IF(E8="","",IF(I8="","",SUM(E8-I8)))),"")</f>
        <v>0</v>
      </c>
      <c r="N8" s="84">
        <f>IFERROR(IF(B8="","",IF(F8="","",IF(J8="","",SUM(F8-J8)))),"")</f>
        <v>1456</v>
      </c>
      <c r="O8" s="84">
        <f>IFERROR(IF(B8="","",IF($AN$18=$AN$20,AY9,ROUND((C8+D8)*10%,0))),"")</f>
        <v>4836</v>
      </c>
      <c r="P8" s="84">
        <f>IFERROR(IF(B8="","",IF(G8="","",IF(H8="","",IF($AN$18=$AN$20,$AN$21,ROUND((G8+H8)*10%,0))))),"")</f>
        <v>4690</v>
      </c>
      <c r="Q8" s="84">
        <f>IFERROR(IF(B8="","",SUM(O8-P8)),"")</f>
        <v>146</v>
      </c>
      <c r="R8" s="85">
        <f>IFERROR(IF(B8="","",IF($AN$16=$AN$17,0,IF($AN$19=$AN$20,$AN$25,0))),"")</f>
        <v>0</v>
      </c>
      <c r="S8" s="85">
        <f>IFERROR(IF(B8="","",IF($AN$16=$AN$17,0,IF($AN$19=$AN$20,$AN$24,0))),"")</f>
        <v>0</v>
      </c>
      <c r="T8" s="84">
        <f>IFERROR(IF(B8="","",SUM(R8-S8)),"")</f>
        <v>0</v>
      </c>
      <c r="U8" s="84" t="str">
        <f>IF(B8="","",IF(AND($AN$2=$AN$20,B8=$AN$1),ROUND(C8/31*$AO$2,0),IF(B8=$AL$6,ROUND((F8)*1/30,0),IF(B8=$AM$6,ROUND((F8)*1/31,0),""))))</f>
        <v/>
      </c>
      <c r="V8" s="84" t="str">
        <f>IF(B8="","",IF(AND($AN$2=$AN$20,B8=$AN$1),ROUND(G8/31*$AO$2,0),IF(B8=$AL$6,ROUND((J8)*1/30,0),IF(B8=$AM$6,ROUND((J8)*1/31,0),""))))</f>
        <v/>
      </c>
      <c r="W8" s="84" t="str">
        <f>IFERROR(IF(B8="","",SUM(U8-V8)),"")</f>
        <v/>
      </c>
      <c r="X8" s="84" t="str">
        <f>IFERROR(IF(BD9="","",IF(BD9="YES",BE9,"")),"")</f>
        <v/>
      </c>
      <c r="Y8" s="84">
        <f>IFERROR(IF(B8="","",ROUND(N8*$AN$7%,0)),"")</f>
        <v>0</v>
      </c>
      <c r="Z8" s="84">
        <f>IFERROR(IF(B8="","",SUM(Q8,T8,W8,X8,Y8)),"")</f>
        <v>146</v>
      </c>
      <c r="AA8" s="86">
        <f>IFERROR(IF(B8="","",SUM(N8-Z8)),"")</f>
        <v>1310</v>
      </c>
      <c r="AB8" s="87"/>
      <c r="AC8" s="88"/>
      <c r="AE8" s="32"/>
      <c r="AF8" s="33"/>
      <c r="AG8" s="33"/>
      <c r="AH8" s="33"/>
      <c r="AI8" s="33"/>
      <c r="AJ8" s="32"/>
      <c r="AK8" s="110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</row>
    <row r="9" spans="1:58" s="35" customFormat="1" ht="21" customHeight="1">
      <c r="A9" s="82">
        <f>IF(B9="TOTAL","",IF(LEN(B9)&gt;=2,A8+1,0))</f>
        <v>2</v>
      </c>
      <c r="B9" s="83">
        <f t="shared" ref="B9:B10" si="0">IFERROR(IF(AQ10="","",AQ10),"")</f>
        <v>42767</v>
      </c>
      <c r="C9" s="84">
        <f>IFERROR(IF($B9="TOTAL",SUM($C$8:C8),IF(AR10="","",AR10)),"")</f>
        <v>46500</v>
      </c>
      <c r="D9" s="84">
        <f>IFERROR(IF($B9="TOTAL",SUM($D$8:D8),IF(AS10="","",AS10)),"")</f>
        <v>1860</v>
      </c>
      <c r="E9" s="84">
        <f>IFERROR(IF($B9="TOTAL",SUM($E$8:E8),IF(OR(B9=$AL$16,B9=$AL$17,B9=$AL$18,B9=$AL$19,B9=$AL$20,B9=$AL$21,B9=$AL$22,B9=$AL$23,B9=$AL$24),0,IF(AT10="","",AT10))),"")</f>
        <v>0</v>
      </c>
      <c r="F9" s="84">
        <f t="shared" ref="F9" si="1">IF(B9="","",SUM(C9:E9))</f>
        <v>48360</v>
      </c>
      <c r="G9" s="84">
        <f>IFERROR(IF($B9="TOTAL",SUM($G$8:G8),IF(AV10="","",AV10)),"")</f>
        <v>45100</v>
      </c>
      <c r="H9" s="84">
        <f>IFERROR(IF($B9="TOTAL",SUM($H$8:H8),IF(AW10="","",AW10)),"")</f>
        <v>1804</v>
      </c>
      <c r="I9" s="84">
        <f>IFERROR(IF($B9="TOTAL",SUM($I$8:I8),IF(OR(B9=$AL$16,B9=$AL$17,B9=$AL$18,B9=$AL$19,B9=$AL$20,B9=$AL$21,B9=$AL$22,B9=$AL$23,B9=$AL$24),0,IF(AX10="","",AX10))),"")</f>
        <v>0</v>
      </c>
      <c r="J9" s="84">
        <f t="shared" ref="J9" si="2">IF(B9="","",SUM(G9:I9))</f>
        <v>46904</v>
      </c>
      <c r="K9" s="84">
        <f>IFERROR(IF(B9="","",IF(C9="","",IF(G9="","",IF($B9="TOTAL",SUM($K$8:K8),SUM(C9-G9))))),"")</f>
        <v>1400</v>
      </c>
      <c r="L9" s="84">
        <f>IFERROR(IF(B9="","",IF(D9="","",IF(H9="","",IF($B9="TOTAL",SUM($L$8:L8),SUM(D9-H9))))),"")</f>
        <v>56</v>
      </c>
      <c r="M9" s="84">
        <f>IFERROR(IF(B9="","",IF(E9="","",IF(I9="","",IF($B9="TOTAL",SUM($M$8:M8),SUM(E9-I9))))),"")</f>
        <v>0</v>
      </c>
      <c r="N9" s="84">
        <f t="shared" ref="N9" si="3">IFERROR(IF(B9="","",IF(F9="","",IF(J9="","",SUM(F9-J9)))),"")</f>
        <v>1456</v>
      </c>
      <c r="O9" s="84">
        <f>IFERROR(IF(B9="","",IF($B9="TOTAL",SUM($O$8:O8),IF($AN$18=$AN$20,AY10,ROUND((C9+D9)*10%,0)))),"")</f>
        <v>4836</v>
      </c>
      <c r="P9" s="84">
        <f>IFERROR(IF(B9="","",IF(G9="","",IF(H9="","",IF($B9="TOTAL",SUM($P$8:P8),IF($AN$18=$AN$20,$AN$21,ROUND((G9+H9)*10%,0)))))),"")</f>
        <v>4690</v>
      </c>
      <c r="Q9" s="84">
        <f t="shared" ref="Q9" si="4">IFERROR(IF(B9="","",SUM(O9-P9)),"")</f>
        <v>146</v>
      </c>
      <c r="R9" s="85">
        <f>IFERROR(IF(B9="","",IF($AN$16=$AN$17,0,IF($B9="TOTAL",SUM($R$8:R8),IF($AN$19=$AN$31,0,IF(AND($AN$32=$AN$20,B9=$AN$33),$AN$34,R8))))),"")</f>
        <v>0</v>
      </c>
      <c r="S9" s="85">
        <f>IFERROR(IF(B9="","",IF($AN$16=$AN$17,0,IF($B9="TOTAL",SUM($S$8:S8),IF($AN$19=$AN$20,$AN$24,0)))),"")</f>
        <v>0</v>
      </c>
      <c r="T9" s="84">
        <f>IFERROR(IF(B9="","",SUM(R9-S9)),"")</f>
        <v>0</v>
      </c>
      <c r="U9" s="84" t="str">
        <f>IF(B9="","",IF($B9="TOTAL",SUM($U$8:U8),IF(AND($AN$2=$AN$20,B9=$AN$1),ROUND(C9/31*$AO$2,0),IF(B9=$AL$6,ROUND((F9)*1/30,0),IF(B9=$AM$6,ROUND((F9)*1/31,0),"")))))</f>
        <v/>
      </c>
      <c r="V9" s="84" t="str">
        <f>IF(B9="","",IF($B9="TOTAL",SUM($V$8:V8),IF(AND($AN$2=$AN$20,B9=$AN$1),ROUND(G9/31*$AO$2,0),IF(B9=$AL$6,ROUND((J9)*1/30,0),IF(B9=$AM$6,ROUND((J9)*1/31,0),"")))))</f>
        <v/>
      </c>
      <c r="W9" s="84" t="str">
        <f t="shared" ref="W9" si="5">IFERROR(IF(B9="","",SUM(U9-V9)),"")</f>
        <v/>
      </c>
      <c r="X9" s="84" t="str">
        <f>IFERROR(IF($B9="TOTAL",SUM($X$8:X8),IF(BD10="YES",BE10,"")),"")</f>
        <v/>
      </c>
      <c r="Y9" s="84">
        <f>IFERROR(IF(B9="","",IF($B9="TOTAL",SUM($Y$8:Y8),ROUND(N9*$AN$7%,0))),"")</f>
        <v>0</v>
      </c>
      <c r="Z9" s="84">
        <f>IFERROR(IF(B9="","",IF($B9="TOTAL",SUM($Z$8:Z8),SUM(Q9,T9,W9,X9,Y9))),"")</f>
        <v>146</v>
      </c>
      <c r="AA9" s="86">
        <f>IFERROR(IF(B9="","",IF($B9="TOTAL",SUM($AA$8:AA8),SUM(N9-Z9))),"")</f>
        <v>1310</v>
      </c>
      <c r="AB9" s="87"/>
      <c r="AC9" s="87"/>
      <c r="AE9" s="6"/>
      <c r="AF9" s="6"/>
      <c r="AG9" s="6"/>
      <c r="AH9" s="6"/>
      <c r="AI9" s="6"/>
      <c r="AJ9" s="112">
        <f>IF(OR(AQ9=$AM$9,AQ9=$AM$10,AQ9=$AM$11,AQ9=$AM$12,AQ9=$AM$13,AQ9=$AM$14),4,IF(OR(AQ9=$AM$15,AQ9=$AM$16,AQ9=$AM$17,AQ9=$AM$18,AQ9=$AM$19,AQ9=$AM$20),5,IF(OR(AQ9=$AM$21,AQ9=$AM$22,AQ9=$AM$23,AQ9=$AM$24,AQ9=$AM$25,AQ9=$AM$26),7,IF(OR(AQ9=$AM$27,AQ9=$AM$28,AQ9=$AM$29,AQ9=$AM$30,AQ9=$AM$31,AQ9=$AM$32),9,IF(OR(AQ9=$AM$33,AQ9=$AM$34,AQ9=$AM$35,AQ9=$AM$36,AQ9=$AM$37,AQ9=$AM$38),12,IF(OR(AQ9=$AM$39,AQ9=$AM$40,AQ9=$AM$41,AQ9=$AM$42,AQ9=$AM$43,AQ9=$AM$44,AQ9=$AM$45,AQ9=$AM$46,AQ9=$AM$47,AQ9=$AM$48,AQ9=$AM$49,AQ9=$AM$50,AQ9=$AM$51,AQ9=$AM$52,AQ9=$AM$53,AQ9=$AM$54,AQ9=$AM$55,AQ9=$AM$56,AQ9=$AM$57,AQ9=$AM$58,AQ9=$AM$59,AQ9=$AM$60,AQ9=$AM$61,AQ9=$AM$62),17,31))))))</f>
        <v>4</v>
      </c>
      <c r="AK9" s="112">
        <f>IF(OR(AQ9=$AM$9,AQ9=$AM$10,AQ9=$AM$11,AQ9=$AM$12,AQ9=$AM$13,AQ9=$AM$14),4,IF(OR(AQ9=$AM$15,AQ9=$AM$16,AQ9=$AM$17,AQ9=$AM$18,AQ9=$AM$19,AQ9=$AM$20),5,IF(OR(AQ9=$AM$21,AQ9=$AM$22,AQ9=$AM$23,AQ9=$AM$24,AQ9=$AM$25,AQ9=$AM$26),7,IF(OR(AQ9=$AM$27,AQ9=$AM$28,AQ9=$AM$29,AQ9=$AM$30,AQ9=$AM$31,AQ9=$AM$32),9,IF(OR(AQ9=$AM$33,AQ9=$AM$34,AQ9=$AM$35,AQ9=$AM$36,AQ9=$AM$37,AQ9=$AM$38),12,IF(OR(AQ9=$AM$39,AQ9=$AM$40,AQ9=$AM$41,AQ9=$AM$42,AQ9=$AM$43,AQ9=$AM$44,AQ9=$AM$45,AQ9=$AM$46,AQ9=$AM$47,AQ9=$AM$48,AQ9=$AM$49,AQ9=$AM$50,AQ9=$AM$51,AQ9=$AM$52,AQ9=$AM$53,AQ9=$AM$54,AQ9=$AM$55,AQ9=$AM$56,AQ9=$AM$57,AQ9=$AM$58,AQ9=$AM$59,AQ9=$AM$60,AQ9=$AM$61,AQ9=$AM$62),17,IF(OR(AQ9=$AM$63,AQ9=$AM$64,AQ9=$AM$65),28,31)))))))</f>
        <v>4</v>
      </c>
      <c r="AL9" s="113"/>
      <c r="AM9" s="114">
        <v>42736</v>
      </c>
      <c r="AN9" s="113">
        <f>'Master Sheet'!K13</f>
        <v>46500</v>
      </c>
      <c r="AO9" s="114">
        <f>IF(AND($AN$6&gt;$AO$6),"",DATE(YEAR(AN6),MONTH(AN6),DAY(AN6)))</f>
        <v>42736</v>
      </c>
      <c r="AP9" s="114">
        <f>IF(AND(AO9=""),"",IF(AND(AO9=$AM$9),$AM$9,IF(AND(AO9=$AM$10),$AM$10,IF(AND(AO9=$AM$11),$AM$11,IF(AND(AO9=$AM$12),$AM$12,IF(AND(AO9=$AM$13),$AM$13,IF(AND(AO9=$AM$14),$AM$14,IF(AND(AO9=$AM$15),$AM$15,IF(AND(AO9=$AM$16),$AM$16,IF(AND(AO9=$AM$17),$AM$17,IF(AND(AO9=$AM$18),$AM$18,IF(AND(AO9=$AM$19),$AM$19,IF(AND(AO9=$AM$20),$AM$20,IF(AND(AO9=$AM$21),$AM$21,IF(AND(AO9=$AM$22),$AM$22,IF(AND(AO9=$AM$23),$AM$23,IF(AND(AO9=$AM$24),$AM$24,IF(AND(AO9=$AM$25),$AM$25,IF(AND(AO9=$AM$26),$AM$26,IF(AND(AO9=$AM$27),$AM$27,IF(AND(AO9=$AM$28),$AM$28,IF(AND(AO9=$AM$29),$AM$29,IF(AND(AO9=$AM$30),$AM$30,IF(AND(AO9=$AM$31),$AM$31,IF(AND(AO9=$AM$32),$AM$32,IF(AND(AO9=$AM$33),$AM$33,IF(AND(AO9=$AM$34),$AM$34,IF(AND(AO9=$AM$35),$AM$35,IF(AND(AO9=$AM$36),$AM$36,IF(AND(AO9=$AM$37),$AM$37,IF(AND(AO9=$AM$38),$AM$38,IF(AND(AO9=$AM$39),$AM$39,IF(AND(AO9=$AM$40),$AM$40,IF(AND(AO9=$AM$41),$AM$41,IF(AND(AO9=$AM$42),$AM$42,IF(AND(AO9=$AM$43),$AM$43,IF(AND(AO9=$AM$44),$AM$44,IF(AND(AO9=$AM$45),$AM$45,IF(AND(AO9=$AM$46),$AM$46,IF(AND(AO9=$AM$47),$AM$47,IF(AND(AO9=$AM$48),$AM$48,IF(AND(AO9=$AM$49),$AM$49,IF(AND(AO9=$AM$50),$AM$50,IF(AND(AO9=$AM$51),$AM$51,IF(AND(AO9=$AM$52),$AM$52,IF(AND(AO9=$AM$53),$AM$53,IF(AND(AO9=$AM$54),$AM$54,IF(AND(AO9=$AM$55),$AM$55,IF(AND(AO9=$AM$56),$AM$56,IF(AND(AO9=$AM$57),$AM$57,IF(AND(AO9=$AM$58),$AM$58,IF(AND(AO9=$AM$59),$AM$59,IF(AND(AO9=$AM$60),$AM$60,IF(AND(AO9=$AM$61),$AM$61,IF(AND(AO9=$AM$62),$AM$62,IF(AND(AO9=$AM$63),$AM$63,IF(AND(AO9=$AM$64),$AM$64,IF(AND(AO9=$AM$65),$AM$65,IF(AND(AO9=$AM$66),$AM$66,IF(AND(AO9=$AM$67),$AM$67,IF(AND(AO9=$AM$68),$AM$68,IF(AND(AO9=$AM$69),$AM$69,IF(AND(AO9=$AM$70),$AM$70,IF(AND(AO9=$AM$71),$AM$71,""))))))))))))))))))))))))))))))))))))))))))))))))))))))))))))))))</f>
        <v>42736</v>
      </c>
      <c r="AQ9" s="114">
        <f>IFERROR(IF(AP9="","",IF(AP9&gt;$AO$6,"",AP9)),"")</f>
        <v>42736</v>
      </c>
      <c r="AR9" s="113">
        <f>IF(AQ9="","",ROUND((AN9/AR3)*AR6,0))</f>
        <v>46500</v>
      </c>
      <c r="AS9" s="113">
        <f>IF(AQ9="","",IF(AQ9="TOTAL","",ROUND(AR9*AJ9%,0)))</f>
        <v>1860</v>
      </c>
      <c r="AT9" s="113">
        <f t="shared" ref="AT9:AT26" si="6">IF(AQ9="","",IF(AQ9="TOTAL","",IF(AQ9&gt;=$AS$7,ROUND(AR9*$AR$7%,0),ROUND(AR9*$AP$7%,0))))</f>
        <v>3720</v>
      </c>
      <c r="AU9" s="113"/>
      <c r="AV9" s="113">
        <f>IF(AQ9="","",IF(AND($AN$10="",$AN$14=""),"",IF(AN26=AN20,ROUND((AN27/AR3)*AR6,0),IF($AN$13=$AN$15,ROUND(($AN$14/AR3)*AR6,0),ROUND(($AN$10/AR3)*AR6,0)))))</f>
        <v>45100</v>
      </c>
      <c r="AW9" s="113">
        <f>IF(AQ9="","",IF(AV9="","",IF($AN$16=$AN$17,0,ROUND(AV9*AK9%,0))))</f>
        <v>1804</v>
      </c>
      <c r="AX9" s="113">
        <f>IF(AQ9="","",IF(AV9="","",IF($AN$16=$AN$17,0,IF(AQ9&gt;=$AS$7,ROUND(AV9*$AR$7%,0),ROUND(AV9*$AP$7%,0)))))</f>
        <v>3608</v>
      </c>
      <c r="AY9" s="113">
        <f>IF(AQ9="","",IF(AQ9="TOTAL","",IF(AV9="","",IF($AN$16=$AN$17,0,IF(OR(B8=$AL$16,B8=$AL$17,B8=$AL$18,B8=$AL$19,B8=$AL$20,B8=$AL$21,B8=$AL$22,B8=$AL$23,B8=$AL$24),SUM(BB9+$AN$22),$AN$22)))))</f>
        <v>5131</v>
      </c>
      <c r="AZ9" s="113"/>
      <c r="BA9" s="113"/>
      <c r="BB9" s="148">
        <f>IF(AQ9="","",IF(AQ9="TOTAL","",IF(AV9="","",SUM(N8)-SUM(($AN$22-$AN$21)+SUM(T8,W8,Y8)))))</f>
        <v>1456</v>
      </c>
      <c r="BC9" s="113">
        <f>IF(AQ9="","",IF(AQ9="TOTAL","",IF(AND($AN$20=$AN$36,B9=$AN$37),$AN$38,$AN$22)))</f>
        <v>3675</v>
      </c>
      <c r="BD9" s="113" t="str">
        <f>IF(OR(AQ9=$AM$63,AQ9=$AM$64,AQ9=$AM$65),"YES","")</f>
        <v/>
      </c>
      <c r="BE9" s="113" t="str">
        <f>IFERROR(IF(BD9="yes",SUM(ROUND(AR9*3%,0)-BF9),""),"")</f>
        <v/>
      </c>
      <c r="BF9" s="113">
        <f>IFERROR(IF($AN$18=$AN$20,Q8,ROUND((AR9+AS9)*10%,0)-ROUND((AV9+AW9)*10%,0)),"")</f>
        <v>146</v>
      </c>
    </row>
    <row r="10" spans="1:58" s="35" customFormat="1" ht="21" customHeight="1">
      <c r="A10" s="82">
        <f>IF(B10="TOTAL","",IF(A9="","",IF(LEN(B10)&gt;=2,A9+1,0)))</f>
        <v>3</v>
      </c>
      <c r="B10" s="83">
        <f t="shared" si="0"/>
        <v>42795</v>
      </c>
      <c r="C10" s="84">
        <f>IFERROR(IF($B9="TOTAL","अक्षरें राशि :-",IF($B10="TOTAL",SUM($C$8:C9),IF(AR11="","",AR11))),"")</f>
        <v>46500</v>
      </c>
      <c r="D10" s="84">
        <f>IFERROR(IF($B10="TOTAL",SUM($D$8:D9),IF(AS11="","",AS11)),"")</f>
        <v>1860</v>
      </c>
      <c r="E10" s="84">
        <f>IFERROR(IF($B10="TOTAL",SUM($E$8:E9),IF(OR(B10=$AL$16,B10=$AL$17,B10=$AL$18,B10=$AL$19,B10=$AL$20,B10=$AL$21,B10=$AL$22,B10=$AL$23,B10=$AL$24),0,IF(AT11="","",AT11))),"")</f>
        <v>0</v>
      </c>
      <c r="F10" s="84">
        <f t="shared" ref="F10" si="7">IF(B10="","",SUM(C10:E10))</f>
        <v>48360</v>
      </c>
      <c r="G10" s="84">
        <f>IFERROR(IF($B10="TOTAL",SUM($G$8:G9),IF(AV11="","",AV11)),"")</f>
        <v>45100</v>
      </c>
      <c r="H10" s="84">
        <f>IFERROR(IF($B10="TOTAL",SUM($H$8:H9),IF(AW11="","",AW11)),"")</f>
        <v>1804</v>
      </c>
      <c r="I10" s="84">
        <f>IFERROR(IF($B10="TOTAL",SUM($I$8:I9),IF(OR(B10=$AL$16,B10=$AL$17,B10=$AL$18,B10=$AL$19,B10=$AL$20,B10=$AL$21,B10=$AL$22,B10=$AL$23,B10=$AL$24),0,IF(AX11="","",AX11))),"")</f>
        <v>0</v>
      </c>
      <c r="J10" s="84">
        <f t="shared" ref="J10:J68" si="8">IF(B10="","",SUM(G10:I10))</f>
        <v>46904</v>
      </c>
      <c r="K10" s="84">
        <f>IFERROR(IF(B10="","",IF(C10="","",IF(G10="","",IF($B10="TOTAL",SUM($K$8:K9),SUM(C10-G10))))),"")</f>
        <v>1400</v>
      </c>
      <c r="L10" s="84">
        <f>IFERROR(IF(B10="","",IF(D10="","",IF(H10="","",IF($B10="TOTAL",SUM($L$8:L9),SUM(D10-H10))))),"")</f>
        <v>56</v>
      </c>
      <c r="M10" s="84">
        <f>IFERROR(IF(B10="","",IF(E10="","",IF(I10="","",IF($B10="TOTAL",SUM($M$8:M9),SUM(E10-I10))))),"")</f>
        <v>0</v>
      </c>
      <c r="N10" s="84">
        <f t="shared" ref="N10:N68" si="9">IFERROR(IF(B10="","",IF(F10="","",IF(J10="","",SUM(F10-J10)))),"")</f>
        <v>1456</v>
      </c>
      <c r="O10" s="84">
        <f>IFERROR(IF(B10="","",IF($B10="TOTAL",SUM($O$8:O9),IF($AN$18=$AN$20,AY11,ROUND((C10+D10)*10%,0)))),"")</f>
        <v>4836</v>
      </c>
      <c r="P10" s="84">
        <f>IFERROR(IF(B10="","",IF(G10="","",IF(H10="","",IF($B10="TOTAL",SUM($P$8:P9),IF($AN$18=$AN$20,$AN$21,ROUND((G10+H10)*10%,0)))))),"")</f>
        <v>4690</v>
      </c>
      <c r="Q10" s="84">
        <f t="shared" ref="Q10:Q68" si="10">IFERROR(IF(B10="","",SUM(O10-P10)),"")</f>
        <v>146</v>
      </c>
      <c r="R10" s="85">
        <f>IFERROR(IF(B10="","",IF($AN$16=$AN$17,0,IF($B10="TOTAL",SUM($R$8:R9),IF($AN$19=$AN$31,0,IF(AND($AN$32=$AN$20,B10=$AN$33),$AN$34,R9))))),"")</f>
        <v>0</v>
      </c>
      <c r="S10" s="85">
        <f>IFERROR(IF(B10="","",IF($AN$16=$AN$17,0,IF($B10="TOTAL",SUM($S$8:S9),IF($AN$19=$AN$20,$AN$24,0)))),"")</f>
        <v>0</v>
      </c>
      <c r="T10" s="84">
        <f t="shared" ref="T10:T68" si="11">IFERROR(IF(B10="","",SUM(R10-S10)),"")</f>
        <v>0</v>
      </c>
      <c r="U10" s="84" t="str">
        <f>IF(B10="","",IF($B10="TOTAL",SUM($U$8:U9),IF(AND($AN$2=$AN$20,B10=$AN$1),ROUND(C10/31*$AO$2,0),IF(B10=$AL$6,ROUND((F10)*1/30,0),IF(B10=$AM$6,ROUND((F10)*1/31,0),"")))))</f>
        <v/>
      </c>
      <c r="V10" s="84" t="str">
        <f>IF(B10="","",IF($B10="TOTAL",SUM($V$8:V9),IF(AND($AN$2=$AN$20,B10=$AN$1),ROUND(G10/31*$AO$2,0),IF(B10=$AL$6,ROUND((J10)*1/30,0),IF(B10=$AM$6,ROUND((J10)*1/31,0),"")))))</f>
        <v/>
      </c>
      <c r="W10" s="84" t="str">
        <f t="shared" ref="W10:W68" si="12">IFERROR(IF(B10="","",SUM(U10-V10)),"")</f>
        <v/>
      </c>
      <c r="X10" s="84" t="str">
        <f>IFERROR(IF($B10="TOTAL",SUM($X$8:X9),IF(BD11="YES",BE11,"")),"")</f>
        <v/>
      </c>
      <c r="Y10" s="84">
        <f>IFERROR(IF(B10="","",IF($B10="TOTAL",SUM($Y$8:Y9),ROUND(N10*$AN$7%,0))),"")</f>
        <v>0</v>
      </c>
      <c r="Z10" s="84">
        <f>IFERROR(IF(B10="","",IF($B10="TOTAL",SUM($Z$8:Z9),SUM(Q10,T10,W10,X10,Y10))),"")</f>
        <v>146</v>
      </c>
      <c r="AA10" s="86">
        <f>IFERROR(IF(B10="","",IF($B10="TOTAL",SUM($AA$8:AA9),SUM(N10-Z10))),"")</f>
        <v>1310</v>
      </c>
      <c r="AB10" s="87"/>
      <c r="AC10" s="87"/>
      <c r="AE10" s="6"/>
      <c r="AF10" s="6"/>
      <c r="AG10" s="6"/>
      <c r="AH10" s="6"/>
      <c r="AI10" s="6"/>
      <c r="AJ10" s="112">
        <f t="shared" ref="AJ10:AJ73" si="13">IF(OR(AQ10=$AM$9,AQ10=$AM$10,AQ10=$AM$11,AQ10=$AM$12,AQ10=$AM$13,AQ10=$AM$14),4,IF(OR(AQ10=$AM$15,AQ10=$AM$16,AQ10=$AM$17,AQ10=$AM$18,AQ10=$AM$19,AQ10=$AM$20),5,IF(OR(AQ10=$AM$21,AQ10=$AM$22,AQ10=$AM$23,AQ10=$AM$24,AQ10=$AM$25,AQ10=$AM$26),7,IF(OR(AQ10=$AM$27,AQ10=$AM$28,AQ10=$AM$29,AQ10=$AM$30,AQ10=$AM$31,AQ10=$AM$32),9,IF(OR(AQ10=$AM$33,AQ10=$AM$34,AQ10=$AM$35,AQ10=$AM$36,AQ10=$AM$37,AQ10=$AM$38),12,IF(OR(AQ10=$AM$39,AQ10=$AM$40,AQ10=$AM$41,AQ10=$AM$42,AQ10=$AM$43,AQ10=$AM$44,AQ10=$AM$45,AQ10=$AM$46,AQ10=$AM$47,AQ10=$AM$48,AQ10=$AM$49,AQ10=$AM$50,AQ10=$AM$51,AQ10=$AM$52,AQ10=$AM$53,AQ10=$AM$54,AQ10=$AM$55,AQ10=$AM$56,AQ10=$AM$57,AQ10=$AM$58,AQ10=$AM$59,AQ10=$AM$60,AQ10=$AM$61,AQ10=$AM$62),17,31))))))</f>
        <v>4</v>
      </c>
      <c r="AK10" s="112">
        <f t="shared" ref="AK10:AK73" si="14">IF(OR(AQ10=$AM$9,AQ10=$AM$10,AQ10=$AM$11,AQ10=$AM$12,AQ10=$AM$13,AQ10=$AM$14),4,IF(OR(AQ10=$AM$15,AQ10=$AM$16,AQ10=$AM$17,AQ10=$AM$18,AQ10=$AM$19,AQ10=$AM$20),5,IF(OR(AQ10=$AM$21,AQ10=$AM$22,AQ10=$AM$23,AQ10=$AM$24,AQ10=$AM$25,AQ10=$AM$26),7,IF(OR(AQ10=$AM$27,AQ10=$AM$28,AQ10=$AM$29,AQ10=$AM$30,AQ10=$AM$31,AQ10=$AM$32),9,IF(OR(AQ10=$AM$33,AQ10=$AM$34,AQ10=$AM$35,AQ10=$AM$36,AQ10=$AM$37,AQ10=$AM$38),12,IF(OR(AQ10=$AM$39,AQ10=$AM$40,AQ10=$AM$41,AQ10=$AM$42,AQ10=$AM$43,AQ10=$AM$44,AQ10=$AM$45,AQ10=$AM$46,AQ10=$AM$47,AQ10=$AM$48,AQ10=$AM$49,AQ10=$AM$50,AQ10=$AM$51,AQ10=$AM$52,AQ10=$AM$53,AQ10=$AM$54,AQ10=$AM$55,AQ10=$AM$56,AQ10=$AM$57,AQ10=$AM$58,AQ10=$AM$59,AQ10=$AM$60,AQ10=$AM$61,AQ10=$AM$62),17,IF(OR(AQ10=$AM$63,AQ10=$AM$64,AQ10=$AM$65),28,31)))))))</f>
        <v>4</v>
      </c>
      <c r="AL10" s="113"/>
      <c r="AM10" s="114">
        <v>42767</v>
      </c>
      <c r="AN10" s="113">
        <f>'Master Sheet'!G11</f>
        <v>23700</v>
      </c>
      <c r="AO10" s="114">
        <f t="shared" ref="AO10:AO19" si="15">IF(AND($AN$6&gt;$AO$6),"",DATE(YEAR(AO9),MONTH(AO9)+1,DAY(AO9)))</f>
        <v>42767</v>
      </c>
      <c r="AP10" s="114">
        <f t="shared" ref="AP10:AP73" si="16">IF(AND(AO10=""),"",IF(AND(AO10=$AM$9),$AM$9,IF(AND(AO10=$AM$10),$AM$10,IF(AND(AO10=$AM$11),$AM$11,IF(AND(AO10=$AM$12),$AM$12,IF(AND(AO10=$AM$13),$AM$13,IF(AND(AO10=$AM$14),$AM$14,IF(AND(AO10=$AM$15),$AM$15,IF(AND(AO10=$AM$16),$AM$16,IF(AND(AO10=$AM$17),$AM$17,IF(AND(AO10=$AM$18),$AM$18,IF(AND(AO10=$AM$19),$AM$19,IF(AND(AO10=$AM$20),$AM$20,IF(AND(AO10=$AM$21),$AM$21,IF(AND(AO10=$AM$22),$AM$22,IF(AND(AO10=$AM$23),$AM$23,IF(AND(AO10=$AM$24),$AM$24,IF(AND(AO10=$AM$25),$AM$25,IF(AND(AO10=$AM$26),$AM$26,IF(AND(AO10=$AM$27),$AM$27,IF(AND(AO10=$AM$28),$AM$28,IF(AND(AO10=$AM$29),$AM$29,IF(AND(AO10=$AM$30),$AM$30,IF(AND(AO10=$AM$31),$AM$31,IF(AND(AO10=$AM$32),$AM$32,IF(AND(AO10=$AM$33),$AM$33,IF(AND(AO10=$AM$34),$AM$34,IF(AND(AO10=$AM$35),$AM$35,IF(AND(AO10=$AM$36),$AM$36,IF(AND(AO10=$AM$37),$AM$37,IF(AND(AO10=$AM$38),$AM$38,IF(AND(AO10=$AM$39),$AM$39,IF(AND(AO10=$AM$40),$AM$40,IF(AND(AO10=$AM$41),$AM$41,IF(AND(AO10=$AM$42),$AM$42,IF(AND(AO10=$AM$43),$AM$43,IF(AND(AO10=$AM$44),$AM$44,IF(AND(AO10=$AM$45),$AM$45,IF(AND(AO10=$AM$46),$AM$46,IF(AND(AO10=$AM$47),$AM$47,IF(AND(AO10=$AM$48),$AM$48,IF(AND(AO10=$AM$49),$AM$49,IF(AND(AO10=$AM$50),$AM$50,IF(AND(AO10=$AM$51),$AM$51,IF(AND(AO10=$AM$52),$AM$52,IF(AND(AO10=$AM$53),$AM$53,IF(AND(AO10=$AM$54),$AM$54,IF(AND(AO10=$AM$55),$AM$55,IF(AND(AO10=$AM$56),$AM$56,IF(AND(AO10=$AM$57),$AM$57,IF(AND(AO10=$AM$58),$AM$58,IF(AND(AO10=$AM$59),$AM$59,IF(AND(AO10=$AM$60),$AM$60,IF(AND(AO10=$AM$61),$AM$61,IF(AND(AO10=$AM$62),$AM$62,IF(AND(AO10=$AM$63),$AM$63,IF(AND(AO10=$AM$64),$AM$64,IF(AND(AO10=$AM$65),$AM$65,IF(AND(AO10=$AM$66),$AM$66,IF(AND(AO10=$AM$67),$AM$67,IF(AND(AO10=$AM$68),$AM$68,IF(AND(AO10=$AM$69),$AM$69,IF(AND(AO10=$AM$70),$AM$70,IF(AND(AO10=$AM$71),$AM$71,""))))))))))))))))))))))))))))))))))))))))))))))))))))))))))))))))</f>
        <v>42767</v>
      </c>
      <c r="AQ10" s="114">
        <f t="shared" ref="AQ10:AQ41" si="17">IFERROR(IF(AP10="","",IF(DATE(YEAR(AP10),MONTH(AP10),DAY(AP10))=DATE(YEAR($AO$6),MONTH($AO$6)+1,DAY($AO$6)),"TOTAL",IF(AP10&gt;$AO$6,"",AP10))),"")</f>
        <v>42767</v>
      </c>
      <c r="AR10" s="113">
        <f>IFERROR(IF(AQ10="","",IF(AND($AN$20=$AN$28,$AN$30=AQ10),$AN$29,IF(OR(AQ10=$AT$2,AQ10=$AT$3,AQ10=$AT$4,AQ10=$AT$5,AQ10=$AT$6),MROUND(AN9*1.03,100),AN9))),"")</f>
        <v>46500</v>
      </c>
      <c r="AS10" s="113">
        <f>IF(AQ10="","",IF(AQ10="TOTAL","",ROUND(AR10*AJ10%,0)))</f>
        <v>1860</v>
      </c>
      <c r="AT10" s="113">
        <f t="shared" si="6"/>
        <v>3720</v>
      </c>
      <c r="AU10" s="113"/>
      <c r="AV10" s="113">
        <f>IFERROR(IF(AQ10="","",IF(AQ10="TOTAL","",IF($AN$16=$AN$17,$AN$10,IF($AN$20=$AN$26,AZ10,BA10)))),"")</f>
        <v>45100</v>
      </c>
      <c r="AW10" s="113">
        <f t="shared" ref="AW10:AW26" si="18">IF(AQ10="","",IF(AQ10="TOTAL","",IF(AV10="","",IF($AN$16=$AN$17,0,ROUND(AV10*AK10%,0)))))</f>
        <v>1804</v>
      </c>
      <c r="AX10" s="113">
        <f t="shared" ref="AX10:AX26" si="19">IF(AQ10="","",IF(AQ10="TOTAL","",IF(AV10="","",IF($AN$16=$AN$17,0,IF(AQ10&gt;=$AS$7,ROUND(AV10*$AR$7%,0),ROUND(AV10*$AP$7%,0))))))</f>
        <v>3608</v>
      </c>
      <c r="AY10" s="113">
        <f t="shared" ref="AY10:AY26" si="20">IF(AQ10="","",IF(AQ10="TOTAL","",IF(AV10="","",IF($AN$16=$AN$17,0,IF(OR(B9=$AL$16,B9=$AL$17,B9=$AL$18,B9=$AL$19,B9=$AL$20,B9=$AL$21,B9=$AL$22,B9=$AL$23,B9=$AL$24),SUM(BB10+BC10),BC10)))))</f>
        <v>5131</v>
      </c>
      <c r="AZ10" s="113">
        <f>IF(OR(AQ10=$AT$2,AQ10=$AT$3,AQ10=$AT$4,AQ10=$AT$5,AQ10=$AT$6),MROUND(AN27*1.03,100),AN27)</f>
        <v>30500</v>
      </c>
      <c r="BA10" s="113">
        <f>IF(OR(AQ10=$AT$2,AQ10=$AT$3,AQ10=$AT$4,AQ10=$AT$5,AQ10=$AT$6),MROUND(AN14*1.03,100),AN14)</f>
        <v>45100</v>
      </c>
      <c r="BB10" s="148">
        <f t="shared" ref="BB10:BB26" si="21">IF(AQ10="","",IF(AQ10="TOTAL","",IF(AV10="","",SUM(N9)-SUM((BC10-$AN$21)+SUM(T9,W9,Y9)))))</f>
        <v>1456</v>
      </c>
      <c r="BC10" s="113">
        <f t="shared" ref="BC10:BC26" si="22">IF(AQ9="","",IF(AQ9="TOTAL","",IF(AND($AN$20=$AN$36,B10=$AN$37),$AN$38,BC9)))</f>
        <v>3675</v>
      </c>
      <c r="BD10" s="113" t="str">
        <f t="shared" ref="BD10:BD73" si="23">IF(OR(AQ10=$AM$63,AQ10=$AM$64,AQ10=$AM$65),"YES","")</f>
        <v/>
      </c>
      <c r="BE10" s="113" t="str">
        <f t="shared" ref="BE10:BE73" si="24">IFERROR(IF(BD10="yes",SUM(ROUND(AR10*3%,0)-BF10),""),"")</f>
        <v/>
      </c>
      <c r="BF10" s="113">
        <f t="shared" ref="BF10:BF73" si="25">IFERROR(IF($AN$18=$AN$20,Q9,ROUND((AR10+AS10)*10%,0)-ROUND((AV10+AW10)*10%,0)),"")</f>
        <v>146</v>
      </c>
    </row>
    <row r="11" spans="1:58" s="35" customFormat="1" ht="21" customHeight="1">
      <c r="A11" s="82">
        <f t="shared" ref="A11:A74" si="26">IF(B11="TOTAL","",IF(LEN(B11)&gt;=2,A10+1,0))</f>
        <v>4</v>
      </c>
      <c r="B11" s="83">
        <f t="shared" ref="B11:B65" si="27">IFERROR(IF(AQ12="","",AQ12),"")</f>
        <v>42826</v>
      </c>
      <c r="C11" s="84">
        <f>IFERROR(IF($B10="TOTAL","अक्षरें राशि :-",IF($B11="TOTAL",SUM($C$8:C10),IF(AR12="","",AR12))),"")</f>
        <v>46500</v>
      </c>
      <c r="D11" s="84">
        <f>IFERROR(IF($B11="TOTAL",SUM($D$8:D10),IF(AS12="","",AS12)),"")</f>
        <v>1860</v>
      </c>
      <c r="E11" s="84">
        <f>IFERROR(IF($B11="TOTAL",SUM($E$8:E10),IF(OR(B11=$AL$16,B11=$AL$17,B11=$AL$18,B11=$AL$19,B11=$AL$20,B11=$AL$21,B11=$AL$22,B11=$AL$23,B11=$AL$24),0,IF(AT12="","",AT12))),"")</f>
        <v>0</v>
      </c>
      <c r="F11" s="84">
        <f t="shared" ref="F11:F65" si="28">IF(B11="","",SUM(C11:E11))</f>
        <v>48360</v>
      </c>
      <c r="G11" s="84">
        <f>IFERROR(IF($B11="TOTAL",SUM($G$8:G10),IF(AV12="","",AV12)),"")</f>
        <v>45100</v>
      </c>
      <c r="H11" s="84">
        <f>IFERROR(IF($B11="TOTAL",SUM($H$8:H10),IF(AW12="","",AW12)),"")</f>
        <v>1804</v>
      </c>
      <c r="I11" s="84">
        <f>IFERROR(IF($B11="TOTAL",SUM($I$8:I10),IF(OR(B11=$AL$16,B11=$AL$17,B11=$AL$18,B11=$AL$19,B11=$AL$20,B11=$AL$21,B11=$AL$22,B11=$AL$23,B11=$AL$24),0,IF(AX12="","",AX12))),"")</f>
        <v>0</v>
      </c>
      <c r="J11" s="84">
        <f t="shared" si="8"/>
        <v>46904</v>
      </c>
      <c r="K11" s="84">
        <f>IFERROR(IF(B11="","",IF(C11="","",IF(G11="","",IF($B11="TOTAL",SUM($K$8:K10),SUM(C11-G11))))),"")</f>
        <v>1400</v>
      </c>
      <c r="L11" s="84">
        <f>IFERROR(IF(B11="","",IF(D11="","",IF(H11="","",IF($B11="TOTAL",SUM($L$8:L10),SUM(D11-H11))))),"")</f>
        <v>56</v>
      </c>
      <c r="M11" s="84">
        <f>IFERROR(IF(B11="","",IF(E11="","",IF(I11="","",IF($B11="TOTAL",SUM($M$8:M10),SUM(E11-I11))))),"")</f>
        <v>0</v>
      </c>
      <c r="N11" s="84">
        <f t="shared" si="9"/>
        <v>1456</v>
      </c>
      <c r="O11" s="84">
        <f>IFERROR(IF(B11="","",IF($B11="TOTAL",SUM($O$8:O10),IF($AN$18=$AN$20,AY12,ROUND((C11+D11)*10%,0)))),"")</f>
        <v>4836</v>
      </c>
      <c r="P11" s="84">
        <f>IFERROR(IF(B11="","",IF(G11="","",IF(H11="","",IF($B11="TOTAL",SUM($P$8:P10),IF($AN$18=$AN$20,$AN$21,ROUND((G11+H11)*10%,0)))))),"")</f>
        <v>4690</v>
      </c>
      <c r="Q11" s="84">
        <f t="shared" si="10"/>
        <v>146</v>
      </c>
      <c r="R11" s="85">
        <f>IFERROR(IF(B11="","",IF($AN$16=$AN$17,0,IF($B11="TOTAL",SUM($R$8:R10),IF($AN$19=$AN$31,0,IF(AND($AN$32=$AN$20,B11=$AN$33),$AN$34,R10))))),"")</f>
        <v>0</v>
      </c>
      <c r="S11" s="85">
        <f>IFERROR(IF(B11="","",IF($AN$16=$AN$17,0,IF($B11="TOTAL",SUM($S$8:S10),IF($AN$19=$AN$20,$AN$24,0)))),"")</f>
        <v>0</v>
      </c>
      <c r="T11" s="84">
        <f t="shared" si="11"/>
        <v>0</v>
      </c>
      <c r="U11" s="84" t="str">
        <f>IF(B11="","",IF($B11="TOTAL",SUM($U$8:U10),IF(AND($AN$2=$AN$20,B11=$AN$1),ROUND(C11/31*$AO$2,0),IF(B11=$AL$6,ROUND((F11)*1/30,0),IF(B11=$AM$6,ROUND((F11)*1/31,0),"")))))</f>
        <v/>
      </c>
      <c r="V11" s="84" t="str">
        <f>IF(B11="","",IF($B11="TOTAL",SUM($V$8:V10),IF(AND($AN$2=$AN$20,B11=$AN$1),ROUND(G11/31*$AO$2,0),IF(B11=$AL$6,ROUND((J11)*1/30,0),IF(B11=$AM$6,ROUND((J11)*1/31,0),"")))))</f>
        <v/>
      </c>
      <c r="W11" s="84" t="str">
        <f t="shared" si="12"/>
        <v/>
      </c>
      <c r="X11" s="84" t="str">
        <f>IFERROR(IF($B11="TOTAL",SUM($X$8:X10),IF(BD12="YES",BE12,"")),"")</f>
        <v/>
      </c>
      <c r="Y11" s="84">
        <f>IFERROR(IF(B11="","",IF($B11="TOTAL",SUM($Y$8:Y10),ROUND(N11*$AN$7%,0))),"")</f>
        <v>0</v>
      </c>
      <c r="Z11" s="84">
        <f>IFERROR(IF(B11="","",IF($B11="TOTAL",SUM($Z$8:Z10),SUM(Q11,T11,W11,X11,Y11))),"")</f>
        <v>146</v>
      </c>
      <c r="AA11" s="86">
        <f>IFERROR(IF(B11="","",IF($B11="TOTAL",SUM($AA$8:AA10),SUM(N11-Z11))),"")</f>
        <v>1310</v>
      </c>
      <c r="AB11" s="87"/>
      <c r="AC11" s="87"/>
      <c r="AE11" s="6"/>
      <c r="AF11" s="6"/>
      <c r="AG11" s="6"/>
      <c r="AH11" s="6"/>
      <c r="AI11" s="6"/>
      <c r="AJ11" s="112">
        <f t="shared" si="13"/>
        <v>4</v>
      </c>
      <c r="AK11" s="112">
        <f t="shared" si="14"/>
        <v>4</v>
      </c>
      <c r="AL11" s="113">
        <f>IF(AS9="","",ROUND((AN11+AS9)*10%,0))</f>
        <v>4836</v>
      </c>
      <c r="AM11" s="114">
        <v>42795</v>
      </c>
      <c r="AN11" s="113">
        <f>IFERROR(ROUND((AN9/AR3)*AR6,0),"")</f>
        <v>46500</v>
      </c>
      <c r="AO11" s="114">
        <f t="shared" si="15"/>
        <v>42795</v>
      </c>
      <c r="AP11" s="114">
        <f t="shared" si="16"/>
        <v>42795</v>
      </c>
      <c r="AQ11" s="114">
        <f t="shared" si="17"/>
        <v>42795</v>
      </c>
      <c r="AR11" s="113">
        <f t="shared" ref="AR11:AR26" si="29">IFERROR(IF(AQ11="","",IF(AND($AN$20=$AN$28,$AN$30=AQ11),$AN$29,IF(OR(AQ11=$AT$2,AQ11=$AT$3,AQ11=$AT$4,AQ11=$AT$5,AQ11=$AT$6),MROUND(AR10*1.03,100),AR10))),"")</f>
        <v>46500</v>
      </c>
      <c r="AS11" s="113">
        <f t="shared" ref="AS11:AS74" si="30">IF(AQ11="","",IF(AQ11="TOTAL","",ROUND(AR11*AJ11%,0)))</f>
        <v>1860</v>
      </c>
      <c r="AT11" s="113">
        <f t="shared" si="6"/>
        <v>3720</v>
      </c>
      <c r="AU11" s="113"/>
      <c r="AV11" s="113">
        <f t="shared" ref="AV11:AV26" si="31">IFERROR(IF(AQ11="","",IF(AQ11="TOTAL","",IF($AN$16=$AN$17,$AN$10,IF(OR(AQ11=$AT$2,AQ11=$AT$3,AQ11=$AT$4,AQ11=$AT$5,AQ11=$AT$6),MROUND(AV10*1.03,100),AV10)))),"")</f>
        <v>45100</v>
      </c>
      <c r="AW11" s="113">
        <f t="shared" si="18"/>
        <v>1804</v>
      </c>
      <c r="AX11" s="113">
        <f t="shared" si="19"/>
        <v>3608</v>
      </c>
      <c r="AY11" s="113">
        <f t="shared" si="20"/>
        <v>5131</v>
      </c>
      <c r="AZ11" s="113">
        <f>IF(OR(AQ11=$AT$2,AQ11=$AT$3,AQ11=$AT$4,AQ11=$AT$5,AQ11=$AT$6),MROUND(AZ10*1.03,100),AZ10)</f>
        <v>30500</v>
      </c>
      <c r="BA11" s="113">
        <f>IF(OR(AQ11=$AT$2,AQ11=$AT$3,AQ11=$AT$4,AQ11=$AT$5,AQ11=$AT$6),MROUND(BA10*1.03,100),BA10)</f>
        <v>45100</v>
      </c>
      <c r="BB11" s="148">
        <f t="shared" si="21"/>
        <v>1456</v>
      </c>
      <c r="BC11" s="113">
        <f t="shared" si="22"/>
        <v>3675</v>
      </c>
      <c r="BD11" s="113" t="str">
        <f t="shared" si="23"/>
        <v/>
      </c>
      <c r="BE11" s="113" t="str">
        <f t="shared" si="24"/>
        <v/>
      </c>
      <c r="BF11" s="113">
        <f t="shared" si="25"/>
        <v>146</v>
      </c>
    </row>
    <row r="12" spans="1:58" s="35" customFormat="1" ht="21" customHeight="1">
      <c r="A12" s="82">
        <f t="shared" si="26"/>
        <v>5</v>
      </c>
      <c r="B12" s="83">
        <f t="shared" si="27"/>
        <v>42856</v>
      </c>
      <c r="C12" s="84">
        <f>IFERROR(IF($B11="TOTAL","अक्षरें राशि :-",IF($B12="TOTAL",SUM($C$8:C11),IF(AR13="","",AR13))),"")</f>
        <v>46500</v>
      </c>
      <c r="D12" s="84">
        <f>IFERROR(IF($B12="TOTAL",SUM($D$8:D11),IF(AS13="","",AS13)),"")</f>
        <v>1860</v>
      </c>
      <c r="E12" s="84">
        <f>IFERROR(IF($B12="TOTAL",SUM($E$8:E11),IF(OR(B12=$AL$16,B12=$AL$17,B12=$AL$18,B12=$AL$19,B12=$AL$20,B12=$AL$21,B12=$AL$22,B12=$AL$23,B12=$AL$24),0,IF(AT13="","",AT13))),"")</f>
        <v>0</v>
      </c>
      <c r="F12" s="84">
        <f t="shared" si="28"/>
        <v>48360</v>
      </c>
      <c r="G12" s="84">
        <f>IFERROR(IF($B12="TOTAL",SUM($G$8:G11),IF(AV13="","",AV13)),"")</f>
        <v>45100</v>
      </c>
      <c r="H12" s="84">
        <f>IFERROR(IF($B12="TOTAL",SUM($H$8:H11),IF(AW13="","",AW13)),"")</f>
        <v>1804</v>
      </c>
      <c r="I12" s="84">
        <f>IFERROR(IF($B12="TOTAL",SUM($I$8:I11),IF(OR(B12=$AL$16,B12=$AL$17,B12=$AL$18,B12=$AL$19,B12=$AL$20,B12=$AL$21,B12=$AL$22,B12=$AL$23,B12=$AL$24),0,IF(AX13="","",AX13))),"")</f>
        <v>0</v>
      </c>
      <c r="J12" s="84">
        <f t="shared" si="8"/>
        <v>46904</v>
      </c>
      <c r="K12" s="84">
        <f>IFERROR(IF(B12="","",IF(C12="","",IF(G12="","",IF($B12="TOTAL",SUM($K$8:K11),SUM(C12-G12))))),"")</f>
        <v>1400</v>
      </c>
      <c r="L12" s="84">
        <f>IFERROR(IF(B12="","",IF(D12="","",IF(H12="","",IF($B12="TOTAL",SUM($L$8:L11),SUM(D12-H12))))),"")</f>
        <v>56</v>
      </c>
      <c r="M12" s="84">
        <f>IFERROR(IF(B12="","",IF(E12="","",IF(I12="","",IF($B12="TOTAL",SUM($M$8:M11),SUM(E12-I12))))),"")</f>
        <v>0</v>
      </c>
      <c r="N12" s="84">
        <f t="shared" si="9"/>
        <v>1456</v>
      </c>
      <c r="O12" s="84">
        <f>IFERROR(IF(B12="","",IF($B12="TOTAL",SUM($O$8:O11),IF($AN$18=$AN$20,AY13,ROUND((C12+D12)*10%,0)))),"")</f>
        <v>4836</v>
      </c>
      <c r="P12" s="84">
        <f>IFERROR(IF(B12="","",IF(G12="","",IF(H12="","",IF($B12="TOTAL",SUM($P$8:P11),IF($AN$18=$AN$20,$AN$21,ROUND((G12+H12)*10%,0)))))),"")</f>
        <v>4690</v>
      </c>
      <c r="Q12" s="84">
        <f t="shared" si="10"/>
        <v>146</v>
      </c>
      <c r="R12" s="85">
        <f>IFERROR(IF(B12="","",IF($AN$16=$AN$17,0,IF($B12="TOTAL",SUM($R$8:R11),IF($AN$19=$AN$31,0,IF(AND($AN$32=$AN$20,B12=$AN$33),$AN$34,R11))))),"")</f>
        <v>0</v>
      </c>
      <c r="S12" s="85">
        <f>IFERROR(IF(B12="","",IF($AN$16=$AN$17,0,IF($B12="TOTAL",SUM($S$8:S11),IF($AN$19=$AN$20,$AN$24,0)))),"")</f>
        <v>0</v>
      </c>
      <c r="T12" s="84">
        <f t="shared" si="11"/>
        <v>0</v>
      </c>
      <c r="U12" s="84" t="str">
        <f>IF(B12="","",IF($B12="TOTAL",SUM($U$8:U11),IF(AND($AN$2=$AN$20,B12=$AN$1),ROUND(C12/31*$AO$2,0),IF(B12=$AL$6,ROUND((F12)*1/30,0),IF(B12=$AM$6,ROUND((F12)*1/31,0),"")))))</f>
        <v/>
      </c>
      <c r="V12" s="84" t="str">
        <f>IF(B12="","",IF($B12="TOTAL",SUM($V$8:V11),IF(AND($AN$2=$AN$20,B12=$AN$1),ROUND(G12/31*$AO$2,0),IF(B12=$AL$6,ROUND((J12)*1/30,0),IF(B12=$AM$6,ROUND((J12)*1/31,0),"")))))</f>
        <v/>
      </c>
      <c r="W12" s="84" t="str">
        <f t="shared" si="12"/>
        <v/>
      </c>
      <c r="X12" s="84" t="str">
        <f>IFERROR(IF($B12="TOTAL",SUM($X$8:X11),IF(BD13="YES",BE13,"")),"")</f>
        <v/>
      </c>
      <c r="Y12" s="84">
        <f>IFERROR(IF(B12="","",IF($B12="TOTAL",SUM($Y$8:Y11),ROUND(N12*$AN$7%,0))),"")</f>
        <v>0</v>
      </c>
      <c r="Z12" s="84">
        <f>IFERROR(IF(B12="","",IF($B12="TOTAL",SUM($Z$8:Z11),SUM(Q12,T12,W12,X12,Y12))),"")</f>
        <v>146</v>
      </c>
      <c r="AA12" s="86">
        <f>IFERROR(IF(B12="","",IF($B12="TOTAL",SUM($AA$8:AA11),SUM(N12-Z12))),"")</f>
        <v>1310</v>
      </c>
      <c r="AB12" s="87"/>
      <c r="AC12" s="87"/>
      <c r="AE12" s="6"/>
      <c r="AF12" s="6"/>
      <c r="AG12" s="6"/>
      <c r="AH12" s="6"/>
      <c r="AI12" s="6"/>
      <c r="AJ12" s="112">
        <f t="shared" si="13"/>
        <v>4</v>
      </c>
      <c r="AK12" s="112">
        <f t="shared" si="14"/>
        <v>4</v>
      </c>
      <c r="AL12" s="113">
        <f>ROUND((AN12)*10%,0)</f>
        <v>0</v>
      </c>
      <c r="AM12" s="114">
        <v>42826</v>
      </c>
      <c r="AN12" s="113">
        <f>IFERROR(IF($AN$13=$AN$15,ROUND((AN14/AR3)*AP6,0),ROUND((AN10/AR3)*AP6,0)),"")</f>
        <v>0</v>
      </c>
      <c r="AO12" s="114">
        <f t="shared" si="15"/>
        <v>42826</v>
      </c>
      <c r="AP12" s="114">
        <f t="shared" si="16"/>
        <v>42826</v>
      </c>
      <c r="AQ12" s="114">
        <f t="shared" si="17"/>
        <v>42826</v>
      </c>
      <c r="AR12" s="113">
        <f t="shared" si="29"/>
        <v>46500</v>
      </c>
      <c r="AS12" s="113">
        <f t="shared" si="30"/>
        <v>1860</v>
      </c>
      <c r="AT12" s="113">
        <f t="shared" si="6"/>
        <v>3720</v>
      </c>
      <c r="AU12" s="113"/>
      <c r="AV12" s="113">
        <f t="shared" si="31"/>
        <v>45100</v>
      </c>
      <c r="AW12" s="113">
        <f t="shared" si="18"/>
        <v>1804</v>
      </c>
      <c r="AX12" s="113">
        <f t="shared" si="19"/>
        <v>3608</v>
      </c>
      <c r="AY12" s="113">
        <f t="shared" si="20"/>
        <v>5131</v>
      </c>
      <c r="AZ12" s="113"/>
      <c r="BA12" s="113"/>
      <c r="BB12" s="148">
        <f t="shared" si="21"/>
        <v>1456</v>
      </c>
      <c r="BC12" s="113">
        <f t="shared" si="22"/>
        <v>3675</v>
      </c>
      <c r="BD12" s="113" t="str">
        <f t="shared" si="23"/>
        <v/>
      </c>
      <c r="BE12" s="113" t="str">
        <f t="shared" si="24"/>
        <v/>
      </c>
      <c r="BF12" s="113">
        <f t="shared" si="25"/>
        <v>146</v>
      </c>
    </row>
    <row r="13" spans="1:58" s="35" customFormat="1" ht="21" customHeight="1">
      <c r="A13" s="82">
        <f t="shared" si="26"/>
        <v>6</v>
      </c>
      <c r="B13" s="83">
        <f t="shared" si="27"/>
        <v>42887</v>
      </c>
      <c r="C13" s="84">
        <f>IFERROR(IF($B12="TOTAL","अक्षरें राशि :-",IF($B13="TOTAL",SUM($C$8:C12),IF(AR14="","",AR14))),"")</f>
        <v>46500</v>
      </c>
      <c r="D13" s="84">
        <f>IFERROR(IF($B13="TOTAL",SUM($D$8:D12),IF(AS14="","",AS14)),"")</f>
        <v>1860</v>
      </c>
      <c r="E13" s="84">
        <f>IFERROR(IF($B13="TOTAL",SUM($E$8:E12),IF(OR(B13=$AL$16,B13=$AL$17,B13=$AL$18,B13=$AL$19,B13=$AL$20,B13=$AL$21,B13=$AL$22,B13=$AL$23,B13=$AL$24),0,IF(AT14="","",AT14))),"")</f>
        <v>0</v>
      </c>
      <c r="F13" s="84">
        <f t="shared" si="28"/>
        <v>48360</v>
      </c>
      <c r="G13" s="84">
        <f>IFERROR(IF($B13="TOTAL",SUM($G$8:G12),IF(AV14="","",AV14)),"")</f>
        <v>45100</v>
      </c>
      <c r="H13" s="84">
        <f>IFERROR(IF($B13="TOTAL",SUM($H$8:H12),IF(AW14="","",AW14)),"")</f>
        <v>1804</v>
      </c>
      <c r="I13" s="84">
        <f>IFERROR(IF($B13="TOTAL",SUM($I$8:I12),IF(OR(B13=$AL$16,B13=$AL$17,B13=$AL$18,B13=$AL$19,B13=$AL$20,B13=$AL$21,B13=$AL$22,B13=$AL$23,B13=$AL$24),0,IF(AX14="","",AX14))),"")</f>
        <v>0</v>
      </c>
      <c r="J13" s="84">
        <f t="shared" si="8"/>
        <v>46904</v>
      </c>
      <c r="K13" s="84">
        <f>IFERROR(IF(B13="","",IF(C13="","",IF(G13="","",IF($B13="TOTAL",SUM($K$8:K12),SUM(C13-G13))))),"")</f>
        <v>1400</v>
      </c>
      <c r="L13" s="84">
        <f>IFERROR(IF(B13="","",IF(D13="","",IF(H13="","",IF($B13="TOTAL",SUM($L$8:L12),SUM(D13-H13))))),"")</f>
        <v>56</v>
      </c>
      <c r="M13" s="84">
        <f>IFERROR(IF(B13="","",IF(E13="","",IF(I13="","",IF($B13="TOTAL",SUM($M$8:M12),SUM(E13-I13))))),"")</f>
        <v>0</v>
      </c>
      <c r="N13" s="84">
        <f t="shared" si="9"/>
        <v>1456</v>
      </c>
      <c r="O13" s="84">
        <f>IFERROR(IF(B13="","",IF($B13="TOTAL",SUM($O$8:O12),IF($AN$18=$AN$20,AY14,ROUND((C13+D13)*10%,0)))),"")</f>
        <v>4836</v>
      </c>
      <c r="P13" s="84">
        <f>IFERROR(IF(B13="","",IF(G13="","",IF(H13="","",IF($B13="TOTAL",SUM($P$8:P12),IF($AN$18=$AN$20,$AN$21,ROUND((G13+H13)*10%,0)))))),"")</f>
        <v>4690</v>
      </c>
      <c r="Q13" s="84">
        <f t="shared" si="10"/>
        <v>146</v>
      </c>
      <c r="R13" s="85">
        <f>IFERROR(IF(B13="","",IF($AN$16=$AN$17,0,IF($B13="TOTAL",SUM($R$8:R12),IF($AN$19=$AN$31,0,IF(AND($AN$32=$AN$20,B13=$AN$33),$AN$34,R12))))),"")</f>
        <v>0</v>
      </c>
      <c r="S13" s="85">
        <f>IFERROR(IF(B13="","",IF($AN$16=$AN$17,0,IF($B13="TOTAL",SUM($S$8:S12),IF($AN$19=$AN$20,$AN$24,0)))),"")</f>
        <v>0</v>
      </c>
      <c r="T13" s="84">
        <f t="shared" si="11"/>
        <v>0</v>
      </c>
      <c r="U13" s="84" t="str">
        <f>IF(B13="","",IF($B13="TOTAL",SUM($U$8:U12),IF(AND($AN$2=$AN$20,B13=$AN$1),ROUND(C13/31*$AO$2,0),IF(B13=$AL$6,ROUND((F13)*1/30,0),IF(B13=$AM$6,ROUND((F13)*1/31,0),"")))))</f>
        <v/>
      </c>
      <c r="V13" s="84" t="str">
        <f>IF(B13="","",IF($B13="TOTAL",SUM($V$8:V12),IF(AND($AN$2=$AN$20,B13=$AN$1),ROUND(G13/31*$AO$2,0),IF(B13=$AL$6,ROUND((J13)*1/30,0),IF(B13=$AM$6,ROUND((J13)*1/31,0),"")))))</f>
        <v/>
      </c>
      <c r="W13" s="84" t="str">
        <f t="shared" si="12"/>
        <v/>
      </c>
      <c r="X13" s="84" t="str">
        <f>IFERROR(IF($B13="TOTAL",SUM($X$8:X12),IF(BD14="YES",BE14,"")),"")</f>
        <v/>
      </c>
      <c r="Y13" s="84">
        <f>IFERROR(IF(B13="","",IF($B13="TOTAL",SUM($Y$8:Y12),ROUND(N13*$AN$7%,0))),"")</f>
        <v>0</v>
      </c>
      <c r="Z13" s="84">
        <f>IFERROR(IF(B13="","",IF($B13="TOTAL",SUM($Z$8:Z12),SUM(Q13,T13,W13,X13,Y13))),"")</f>
        <v>146</v>
      </c>
      <c r="AA13" s="86">
        <f>IFERROR(IF(B13="","",IF($B13="TOTAL",SUM($AA$8:AA12),SUM(N13-Z13))),"")</f>
        <v>1310</v>
      </c>
      <c r="AB13" s="87"/>
      <c r="AC13" s="87"/>
      <c r="AE13" s="6"/>
      <c r="AF13" s="6"/>
      <c r="AG13" s="6"/>
      <c r="AH13" s="6"/>
      <c r="AI13" s="6"/>
      <c r="AJ13" s="112">
        <f t="shared" si="13"/>
        <v>4</v>
      </c>
      <c r="AK13" s="112">
        <f t="shared" si="14"/>
        <v>4</v>
      </c>
      <c r="AL13" s="113"/>
      <c r="AM13" s="114">
        <v>42856</v>
      </c>
      <c r="AN13" s="115" t="str">
        <f>'Master Sheet'!D11</f>
        <v>Regular Pay</v>
      </c>
      <c r="AO13" s="114">
        <f t="shared" si="15"/>
        <v>42856</v>
      </c>
      <c r="AP13" s="114">
        <f t="shared" si="16"/>
        <v>42856</v>
      </c>
      <c r="AQ13" s="114">
        <f t="shared" si="17"/>
        <v>42856</v>
      </c>
      <c r="AR13" s="113">
        <f t="shared" si="29"/>
        <v>46500</v>
      </c>
      <c r="AS13" s="113">
        <f t="shared" si="30"/>
        <v>1860</v>
      </c>
      <c r="AT13" s="113">
        <f t="shared" si="6"/>
        <v>3720</v>
      </c>
      <c r="AU13" s="113"/>
      <c r="AV13" s="113">
        <f t="shared" si="31"/>
        <v>45100</v>
      </c>
      <c r="AW13" s="113">
        <f t="shared" si="18"/>
        <v>1804</v>
      </c>
      <c r="AX13" s="113">
        <f t="shared" si="19"/>
        <v>3608</v>
      </c>
      <c r="AY13" s="113">
        <f t="shared" si="20"/>
        <v>5131</v>
      </c>
      <c r="AZ13" s="113"/>
      <c r="BA13" s="113"/>
      <c r="BB13" s="148">
        <f t="shared" si="21"/>
        <v>1456</v>
      </c>
      <c r="BC13" s="113">
        <f t="shared" si="22"/>
        <v>3675</v>
      </c>
      <c r="BD13" s="113" t="str">
        <f t="shared" si="23"/>
        <v/>
      </c>
      <c r="BE13" s="113" t="str">
        <f t="shared" si="24"/>
        <v/>
      </c>
      <c r="BF13" s="113">
        <f t="shared" si="25"/>
        <v>146</v>
      </c>
    </row>
    <row r="14" spans="1:58" s="35" customFormat="1" ht="21" customHeight="1">
      <c r="A14" s="82">
        <f t="shared" si="26"/>
        <v>7</v>
      </c>
      <c r="B14" s="83">
        <f t="shared" si="27"/>
        <v>42917</v>
      </c>
      <c r="C14" s="84">
        <f>IFERROR(IF($B13="TOTAL","अक्षरें राशि :-",IF($B14="TOTAL",SUM($C$8:C13),IF(AR15="","",AR15))),"")</f>
        <v>47900</v>
      </c>
      <c r="D14" s="84">
        <f>IFERROR(IF($B14="TOTAL",SUM($D$8:D13),IF(AS15="","",AS15)),"")</f>
        <v>2395</v>
      </c>
      <c r="E14" s="84">
        <f>IFERROR(IF($B14="TOTAL",SUM($E$8:E13),IF(OR(B14=$AL$16,B14=$AL$17,B14=$AL$18,B14=$AL$19,B14=$AL$20,B14=$AL$21,B14=$AL$22,B14=$AL$23,B14=$AL$24),0,IF(AT15="","",AT15))),"")</f>
        <v>0</v>
      </c>
      <c r="F14" s="84">
        <f t="shared" si="28"/>
        <v>50295</v>
      </c>
      <c r="G14" s="84">
        <f>IFERROR(IF($B14="TOTAL",SUM($G$8:G13),IF(AV15="","",AV15)),"")</f>
        <v>46500</v>
      </c>
      <c r="H14" s="84">
        <f>IFERROR(IF($B14="TOTAL",SUM($H$8:H13),IF(AW15="","",AW15)),"")</f>
        <v>2325</v>
      </c>
      <c r="I14" s="84">
        <f>IFERROR(IF($B14="TOTAL",SUM($I$8:I13),IF(OR(B14=$AL$16,B14=$AL$17,B14=$AL$18,B14=$AL$19,B14=$AL$20,B14=$AL$21,B14=$AL$22,B14=$AL$23,B14=$AL$24),0,IF(AX15="","",AX15))),"")</f>
        <v>0</v>
      </c>
      <c r="J14" s="84">
        <f t="shared" si="8"/>
        <v>48825</v>
      </c>
      <c r="K14" s="84">
        <f>IFERROR(IF(B14="","",IF(C14="","",IF(G14="","",IF($B14="TOTAL",SUM($K$8:K13),SUM(C14-G14))))),"")</f>
        <v>1400</v>
      </c>
      <c r="L14" s="84">
        <f>IFERROR(IF(B14="","",IF(D14="","",IF(H14="","",IF($B14="TOTAL",SUM($L$8:L13),SUM(D14-H14))))),"")</f>
        <v>70</v>
      </c>
      <c r="M14" s="84">
        <f>IFERROR(IF(B14="","",IF(E14="","",IF(I14="","",IF($B14="TOTAL",SUM($M$8:M13),SUM(E14-I14))))),"")</f>
        <v>0</v>
      </c>
      <c r="N14" s="84">
        <f t="shared" si="9"/>
        <v>1470</v>
      </c>
      <c r="O14" s="84">
        <f>IFERROR(IF(B14="","",IF($B14="TOTAL",SUM($O$8:O13),IF($AN$18=$AN$20,AY15,ROUND((C14+D14)*10%,0)))),"")</f>
        <v>5030</v>
      </c>
      <c r="P14" s="84">
        <f>IFERROR(IF(B14="","",IF(G14="","",IF(H14="","",IF($B14="TOTAL",SUM($P$8:P13),IF($AN$18=$AN$20,$AN$21,ROUND((G14+H14)*10%,0)))))),"")</f>
        <v>4883</v>
      </c>
      <c r="Q14" s="84">
        <f t="shared" si="10"/>
        <v>147</v>
      </c>
      <c r="R14" s="85">
        <f>IFERROR(IF(B14="","",IF($AN$16=$AN$17,0,IF($B14="TOTAL",SUM($R$8:R13),IF($AN$19=$AN$31,0,IF(AND($AN$32=$AN$20,B14=$AN$33),$AN$34,R13))))),"")</f>
        <v>0</v>
      </c>
      <c r="S14" s="85">
        <f>IFERROR(IF(B14="","",IF($AN$16=$AN$17,0,IF($B14="TOTAL",SUM($S$8:S13),IF($AN$19=$AN$20,$AN$24,0)))),"")</f>
        <v>0</v>
      </c>
      <c r="T14" s="84">
        <f t="shared" si="11"/>
        <v>0</v>
      </c>
      <c r="U14" s="84" t="str">
        <f>IF(B14="","",IF($B14="TOTAL",SUM($U$8:U13),IF(AND($AN$2=$AN$20,B14=$AN$1),ROUND(C14/31*$AO$2,0),IF(B14=$AL$6,ROUND((F14)*1/30,0),IF(B14=$AM$6,ROUND((F14)*1/31,0),"")))))</f>
        <v/>
      </c>
      <c r="V14" s="84" t="str">
        <f>IF(B14="","",IF($B14="TOTAL",SUM($V$8:V13),IF(AND($AN$2=$AN$20,B14=$AN$1),ROUND(G14/31*$AO$2,0),IF(B14=$AL$6,ROUND((J14)*1/30,0),IF(B14=$AM$6,ROUND((J14)*1/31,0),"")))))</f>
        <v/>
      </c>
      <c r="W14" s="84" t="str">
        <f t="shared" si="12"/>
        <v/>
      </c>
      <c r="X14" s="84" t="str">
        <f>IFERROR(IF($B14="TOTAL",SUM($X$8:X13),IF(BD15="YES",BE15,"")),"")</f>
        <v/>
      </c>
      <c r="Y14" s="84">
        <f>IFERROR(IF(B14="","",IF($B14="TOTAL",SUM($Y$8:Y13),ROUND(N14*$AN$7%,0))),"")</f>
        <v>0</v>
      </c>
      <c r="Z14" s="84">
        <f>IFERROR(IF(B14="","",IF($B14="TOTAL",SUM($Z$8:Z13),SUM(Q14,T14,W14,X14,Y14))),"")</f>
        <v>147</v>
      </c>
      <c r="AA14" s="86">
        <f>IFERROR(IF(B14="","",IF($B14="TOTAL",SUM($AA$8:AA13),SUM(N14-Z14))),"")</f>
        <v>1323</v>
      </c>
      <c r="AB14" s="87"/>
      <c r="AC14" s="87"/>
      <c r="AE14" s="6"/>
      <c r="AF14" s="6"/>
      <c r="AG14" s="6"/>
      <c r="AH14" s="6"/>
      <c r="AI14" s="6"/>
      <c r="AJ14" s="112">
        <f t="shared" si="13"/>
        <v>4</v>
      </c>
      <c r="AK14" s="112">
        <f t="shared" si="14"/>
        <v>4</v>
      </c>
      <c r="AL14" s="113"/>
      <c r="AM14" s="114">
        <v>42887</v>
      </c>
      <c r="AN14" s="113">
        <f>'Master Sheet'!K11</f>
        <v>45100</v>
      </c>
      <c r="AO14" s="114">
        <f t="shared" si="15"/>
        <v>42887</v>
      </c>
      <c r="AP14" s="114">
        <f t="shared" si="16"/>
        <v>42887</v>
      </c>
      <c r="AQ14" s="114">
        <f t="shared" si="17"/>
        <v>42887</v>
      </c>
      <c r="AR14" s="113">
        <f t="shared" si="29"/>
        <v>46500</v>
      </c>
      <c r="AS14" s="113">
        <f t="shared" si="30"/>
        <v>1860</v>
      </c>
      <c r="AT14" s="113">
        <f t="shared" si="6"/>
        <v>3720</v>
      </c>
      <c r="AU14" s="113"/>
      <c r="AV14" s="113">
        <f t="shared" si="31"/>
        <v>45100</v>
      </c>
      <c r="AW14" s="113">
        <f t="shared" si="18"/>
        <v>1804</v>
      </c>
      <c r="AX14" s="113">
        <f t="shared" si="19"/>
        <v>3608</v>
      </c>
      <c r="AY14" s="113">
        <f t="shared" si="20"/>
        <v>5131</v>
      </c>
      <c r="AZ14" s="113"/>
      <c r="BA14" s="113"/>
      <c r="BB14" s="148">
        <f t="shared" si="21"/>
        <v>1456</v>
      </c>
      <c r="BC14" s="113">
        <f t="shared" si="22"/>
        <v>3675</v>
      </c>
      <c r="BD14" s="113" t="str">
        <f t="shared" si="23"/>
        <v/>
      </c>
      <c r="BE14" s="113" t="str">
        <f t="shared" si="24"/>
        <v/>
      </c>
      <c r="BF14" s="113">
        <f t="shared" si="25"/>
        <v>146</v>
      </c>
    </row>
    <row r="15" spans="1:58" s="35" customFormat="1" ht="21" customHeight="1">
      <c r="A15" s="82">
        <f t="shared" si="26"/>
        <v>8</v>
      </c>
      <c r="B15" s="83">
        <f t="shared" si="27"/>
        <v>42948</v>
      </c>
      <c r="C15" s="84">
        <f>IFERROR(IF($B14="TOTAL","अक्षरें राशि :-",IF($B15="TOTAL",SUM($C$8:C14),IF(AR16="","",AR16))),"")</f>
        <v>47900</v>
      </c>
      <c r="D15" s="84">
        <f>IFERROR(IF($B15="TOTAL",SUM($D$8:D14),IF(AS16="","",AS16)),"")</f>
        <v>2395</v>
      </c>
      <c r="E15" s="84">
        <f>IFERROR(IF($B15="TOTAL",SUM($E$8:E14),IF(OR(B15=$AL$16,B15=$AL$17,B15=$AL$18,B15=$AL$19,B15=$AL$20,B15=$AL$21,B15=$AL$22,B15=$AL$23,B15=$AL$24),0,IF(AT16="","",AT16))),"")</f>
        <v>0</v>
      </c>
      <c r="F15" s="84">
        <f t="shared" si="28"/>
        <v>50295</v>
      </c>
      <c r="G15" s="84">
        <f>IFERROR(IF($B15="TOTAL",SUM($G$8:G14),IF(AV16="","",AV16)),"")</f>
        <v>46500</v>
      </c>
      <c r="H15" s="84">
        <f>IFERROR(IF($B15="TOTAL",SUM($H$8:H14),IF(AW16="","",AW16)),"")</f>
        <v>2325</v>
      </c>
      <c r="I15" s="84">
        <f>IFERROR(IF($B15="TOTAL",SUM($I$8:I14),IF(OR(B15=$AL$16,B15=$AL$17,B15=$AL$18,B15=$AL$19,B15=$AL$20,B15=$AL$21,B15=$AL$22,B15=$AL$23,B15=$AL$24),0,IF(AX16="","",AX16))),"")</f>
        <v>0</v>
      </c>
      <c r="J15" s="84">
        <f t="shared" si="8"/>
        <v>48825</v>
      </c>
      <c r="K15" s="84">
        <f>IFERROR(IF(B15="","",IF(C15="","",IF(G15="","",IF($B15="TOTAL",SUM($K$8:K14),SUM(C15-G15))))),"")</f>
        <v>1400</v>
      </c>
      <c r="L15" s="84">
        <f>IFERROR(IF(B15="","",IF(D15="","",IF(H15="","",IF($B15="TOTAL",SUM($L$8:L14),SUM(D15-H15))))),"")</f>
        <v>70</v>
      </c>
      <c r="M15" s="84">
        <f>IFERROR(IF(B15="","",IF(E15="","",IF(I15="","",IF($B15="TOTAL",SUM($M$8:M14),SUM(E15-I15))))),"")</f>
        <v>0</v>
      </c>
      <c r="N15" s="84">
        <f t="shared" si="9"/>
        <v>1470</v>
      </c>
      <c r="O15" s="84">
        <f>IFERROR(IF(B15="","",IF($B15="TOTAL",SUM($O$8:O14),IF($AN$18=$AN$20,AY16,ROUND((C15+D15)*10%,0)))),"")</f>
        <v>5030</v>
      </c>
      <c r="P15" s="84">
        <f>IFERROR(IF(B15="","",IF(G15="","",IF(H15="","",IF($B15="TOTAL",SUM($P$8:P14),IF($AN$18=$AN$20,$AN$21,ROUND((G15+H15)*10%,0)))))),"")</f>
        <v>4883</v>
      </c>
      <c r="Q15" s="84">
        <f t="shared" si="10"/>
        <v>147</v>
      </c>
      <c r="R15" s="85">
        <f>IFERROR(IF(B15="","",IF($AN$16=$AN$17,0,IF($B15="TOTAL",SUM($R$8:R14),IF($AN$19=$AN$31,0,IF(AND($AN$32=$AN$20,B15=$AN$33),$AN$34,R14))))),"")</f>
        <v>0</v>
      </c>
      <c r="S15" s="85">
        <f>IFERROR(IF(B15="","",IF($AN$16=$AN$17,0,IF($B15="TOTAL",SUM($S$8:S14),IF($AN$19=$AN$20,$AN$24,0)))),"")</f>
        <v>0</v>
      </c>
      <c r="T15" s="84">
        <f t="shared" si="11"/>
        <v>0</v>
      </c>
      <c r="U15" s="84" t="str">
        <f>IF(B15="","",IF($B15="TOTAL",SUM($U$8:U14),IF(AND($AN$2=$AN$20,B15=$AN$1),ROUND(C15/31*$AO$2,0),IF(B15=$AL$6,ROUND((F15)*1/30,0),IF(B15=$AM$6,ROUND((F15)*1/31,0),"")))))</f>
        <v/>
      </c>
      <c r="V15" s="84" t="str">
        <f>IF(B15="","",IF($B15="TOTAL",SUM($V$8:V14),IF(AND($AN$2=$AN$20,B15=$AN$1),ROUND(G15/31*$AO$2,0),IF(B15=$AL$6,ROUND((J15)*1/30,0),IF(B15=$AM$6,ROUND((J15)*1/31,0),"")))))</f>
        <v/>
      </c>
      <c r="W15" s="84" t="str">
        <f t="shared" si="12"/>
        <v/>
      </c>
      <c r="X15" s="84" t="str">
        <f>IFERROR(IF($B15="TOTAL",SUM($X$8:X14),IF(BD16="YES",BE16,"")),"")</f>
        <v/>
      </c>
      <c r="Y15" s="84">
        <f>IFERROR(IF(B15="","",IF($B15="TOTAL",SUM($Y$8:Y14),ROUND(N15*$AN$7%,0))),"")</f>
        <v>0</v>
      </c>
      <c r="Z15" s="84">
        <f>IFERROR(IF(B15="","",IF($B15="TOTAL",SUM($Z$8:Z14),SUM(Q15,T15,W15,X15,Y15))),"")</f>
        <v>147</v>
      </c>
      <c r="AA15" s="86">
        <f>IFERROR(IF(B15="","",IF($B15="TOTAL",SUM($AA$8:AA14),SUM(N15-Z15))),"")</f>
        <v>1323</v>
      </c>
      <c r="AB15" s="87"/>
      <c r="AC15" s="87"/>
      <c r="AE15" s="6"/>
      <c r="AF15" s="6"/>
      <c r="AG15" s="6"/>
      <c r="AH15" s="6"/>
      <c r="AI15" s="6"/>
      <c r="AJ15" s="112">
        <f t="shared" si="13"/>
        <v>5</v>
      </c>
      <c r="AK15" s="112">
        <f t="shared" si="14"/>
        <v>5</v>
      </c>
      <c r="AL15" s="113"/>
      <c r="AM15" s="114">
        <v>42917</v>
      </c>
      <c r="AN15" s="115" t="s">
        <v>82</v>
      </c>
      <c r="AO15" s="114">
        <f t="shared" si="15"/>
        <v>42917</v>
      </c>
      <c r="AP15" s="114">
        <f t="shared" si="16"/>
        <v>42917</v>
      </c>
      <c r="AQ15" s="114">
        <f t="shared" si="17"/>
        <v>42917</v>
      </c>
      <c r="AR15" s="113">
        <f t="shared" si="29"/>
        <v>47900</v>
      </c>
      <c r="AS15" s="113">
        <f t="shared" si="30"/>
        <v>2395</v>
      </c>
      <c r="AT15" s="113">
        <f t="shared" si="6"/>
        <v>3832</v>
      </c>
      <c r="AU15" s="113"/>
      <c r="AV15" s="113">
        <f t="shared" si="31"/>
        <v>46500</v>
      </c>
      <c r="AW15" s="113">
        <f t="shared" si="18"/>
        <v>2325</v>
      </c>
      <c r="AX15" s="113">
        <f t="shared" si="19"/>
        <v>3720</v>
      </c>
      <c r="AY15" s="113">
        <f t="shared" si="20"/>
        <v>5145</v>
      </c>
      <c r="AZ15" s="113"/>
      <c r="BA15" s="113"/>
      <c r="BB15" s="148">
        <f t="shared" si="21"/>
        <v>1470</v>
      </c>
      <c r="BC15" s="113">
        <f t="shared" si="22"/>
        <v>3675</v>
      </c>
      <c r="BD15" s="113" t="str">
        <f t="shared" si="23"/>
        <v/>
      </c>
      <c r="BE15" s="113" t="str">
        <f t="shared" si="24"/>
        <v/>
      </c>
      <c r="BF15" s="113">
        <f t="shared" si="25"/>
        <v>147</v>
      </c>
    </row>
    <row r="16" spans="1:58" s="35" customFormat="1" ht="21" customHeight="1">
      <c r="A16" s="82">
        <f t="shared" si="26"/>
        <v>9</v>
      </c>
      <c r="B16" s="83">
        <f t="shared" si="27"/>
        <v>42979</v>
      </c>
      <c r="C16" s="84">
        <f>IFERROR(IF($B15="TOTAL","अक्षरें राशि :-",IF($B16="TOTAL",SUM($C$8:C15),IF(AR17="","",AR17))),"")</f>
        <v>47900</v>
      </c>
      <c r="D16" s="84">
        <f>IFERROR(IF($B16="TOTAL",SUM($D$8:D15),IF(AS17="","",AS17)),"")</f>
        <v>2395</v>
      </c>
      <c r="E16" s="84">
        <f>IFERROR(IF($B16="TOTAL",SUM($E$8:E15),IF(OR(B16=$AL$16,B16=$AL$17,B16=$AL$18,B16=$AL$19,B16=$AL$20,B16=$AL$21,B16=$AL$22,B16=$AL$23,B16=$AL$24),0,IF(AT17="","",AT17))),"")</f>
        <v>0</v>
      </c>
      <c r="F16" s="84">
        <f t="shared" si="28"/>
        <v>50295</v>
      </c>
      <c r="G16" s="84">
        <f>IFERROR(IF($B16="TOTAL",SUM($G$8:G15),IF(AV17="","",AV17)),"")</f>
        <v>46500</v>
      </c>
      <c r="H16" s="84">
        <f>IFERROR(IF($B16="TOTAL",SUM($H$8:H15),IF(AW17="","",AW17)),"")</f>
        <v>2325</v>
      </c>
      <c r="I16" s="84">
        <f>IFERROR(IF($B16="TOTAL",SUM($I$8:I15),IF(OR(B16=$AL$16,B16=$AL$17,B16=$AL$18,B16=$AL$19,B16=$AL$20,B16=$AL$21,B16=$AL$22,B16=$AL$23,B16=$AL$24),0,IF(AX17="","",AX17))),"")</f>
        <v>0</v>
      </c>
      <c r="J16" s="84">
        <f t="shared" si="8"/>
        <v>48825</v>
      </c>
      <c r="K16" s="84">
        <f>IFERROR(IF(B16="","",IF(C16="","",IF(G16="","",IF($B16="TOTAL",SUM($K$8:K15),SUM(C16-G16))))),"")</f>
        <v>1400</v>
      </c>
      <c r="L16" s="84">
        <f>IFERROR(IF(B16="","",IF(D16="","",IF(H16="","",IF($B16="TOTAL",SUM($L$8:L15),SUM(D16-H16))))),"")</f>
        <v>70</v>
      </c>
      <c r="M16" s="84">
        <f>IFERROR(IF(B16="","",IF(E16="","",IF(I16="","",IF($B16="TOTAL",SUM($M$8:M15),SUM(E16-I16))))),"")</f>
        <v>0</v>
      </c>
      <c r="N16" s="84">
        <f t="shared" si="9"/>
        <v>1470</v>
      </c>
      <c r="O16" s="84">
        <f>IFERROR(IF(B16="","",IF($B16="TOTAL",SUM($O$8:O15),IF($AN$18=$AN$20,AY17,ROUND((C16+D16)*10%,0)))),"")</f>
        <v>5030</v>
      </c>
      <c r="P16" s="84">
        <f>IFERROR(IF(B16="","",IF(G16="","",IF(H16="","",IF($B16="TOTAL",SUM($P$8:P15),IF($AN$18=$AN$20,$AN$21,ROUND((G16+H16)*10%,0)))))),"")</f>
        <v>4883</v>
      </c>
      <c r="Q16" s="84">
        <f t="shared" si="10"/>
        <v>147</v>
      </c>
      <c r="R16" s="85">
        <f>IFERROR(IF(B16="","",IF($AN$16=$AN$17,0,IF($B16="TOTAL",SUM($R$8:R15),IF($AN$19=$AN$31,0,IF(AND($AN$32=$AN$20,B16=$AN$33),$AN$34,R15))))),"")</f>
        <v>0</v>
      </c>
      <c r="S16" s="85">
        <f>IFERROR(IF(B16="","",IF($AN$16=$AN$17,0,IF($B16="TOTAL",SUM($S$8:S15),IF($AN$19=$AN$20,$AN$24,0)))),"")</f>
        <v>0</v>
      </c>
      <c r="T16" s="84">
        <f t="shared" si="11"/>
        <v>0</v>
      </c>
      <c r="U16" s="84" t="str">
        <f>IF(B16="","",IF($B16="TOTAL",SUM($U$8:U15),IF(AND($AN$2=$AN$20,B16=$AN$1),ROUND(C16/31*$AO$2,0),IF(B16=$AL$6,ROUND((F16)*1/30,0),IF(B16=$AM$6,ROUND((F16)*1/31,0),"")))))</f>
        <v/>
      </c>
      <c r="V16" s="84" t="str">
        <f>IF(B16="","",IF($B16="TOTAL",SUM($V$8:V15),IF(AND($AN$2=$AN$20,B16=$AN$1),ROUND(G16/31*$AO$2,0),IF(B16=$AL$6,ROUND((J16)*1/30,0),IF(B16=$AM$6,ROUND((J16)*1/31,0),"")))))</f>
        <v/>
      </c>
      <c r="W16" s="84" t="str">
        <f t="shared" si="12"/>
        <v/>
      </c>
      <c r="X16" s="84" t="str">
        <f>IFERROR(IF($B16="TOTAL",SUM($X$8:X15),IF(BD17="YES",BE17,"")),"")</f>
        <v/>
      </c>
      <c r="Y16" s="84">
        <f>IFERROR(IF(B16="","",IF($B16="TOTAL",SUM($Y$8:Y15),ROUND(N16*$AN$7%,0))),"")</f>
        <v>0</v>
      </c>
      <c r="Z16" s="84">
        <f>IFERROR(IF(B16="","",IF($B16="TOTAL",SUM($Z$8:Z15),SUM(Q16,T16,W16,X16,Y16))),"")</f>
        <v>147</v>
      </c>
      <c r="AA16" s="86">
        <f>IFERROR(IF(B16="","",IF($B16="TOTAL",SUM($AA$8:AA15),SUM(N16-Z16))),"")</f>
        <v>1323</v>
      </c>
      <c r="AB16" s="87"/>
      <c r="AC16" s="87"/>
      <c r="AE16" s="6"/>
      <c r="AF16" s="6"/>
      <c r="AG16" s="6"/>
      <c r="AH16" s="6"/>
      <c r="AI16" s="6"/>
      <c r="AJ16" s="112">
        <f t="shared" si="13"/>
        <v>5</v>
      </c>
      <c r="AK16" s="112">
        <f t="shared" si="14"/>
        <v>5</v>
      </c>
      <c r="AL16" s="114">
        <v>42736</v>
      </c>
      <c r="AM16" s="114">
        <v>42948</v>
      </c>
      <c r="AN16" s="113" t="str">
        <f>'Master Sheet'!D11</f>
        <v>Regular Pay</v>
      </c>
      <c r="AO16" s="114">
        <f t="shared" si="15"/>
        <v>42948</v>
      </c>
      <c r="AP16" s="114">
        <f t="shared" si="16"/>
        <v>42948</v>
      </c>
      <c r="AQ16" s="114">
        <f t="shared" si="17"/>
        <v>42948</v>
      </c>
      <c r="AR16" s="113">
        <f t="shared" si="29"/>
        <v>47900</v>
      </c>
      <c r="AS16" s="113">
        <f t="shared" si="30"/>
        <v>2395</v>
      </c>
      <c r="AT16" s="113">
        <f t="shared" si="6"/>
        <v>3832</v>
      </c>
      <c r="AU16" s="113"/>
      <c r="AV16" s="113">
        <f t="shared" si="31"/>
        <v>46500</v>
      </c>
      <c r="AW16" s="113">
        <f t="shared" si="18"/>
        <v>2325</v>
      </c>
      <c r="AX16" s="113">
        <f t="shared" si="19"/>
        <v>3720</v>
      </c>
      <c r="AY16" s="113">
        <f t="shared" si="20"/>
        <v>5145</v>
      </c>
      <c r="AZ16" s="113"/>
      <c r="BA16" s="113"/>
      <c r="BB16" s="148">
        <f t="shared" si="21"/>
        <v>1470</v>
      </c>
      <c r="BC16" s="113">
        <f t="shared" si="22"/>
        <v>3675</v>
      </c>
      <c r="BD16" s="113" t="str">
        <f t="shared" si="23"/>
        <v/>
      </c>
      <c r="BE16" s="113" t="str">
        <f t="shared" si="24"/>
        <v/>
      </c>
      <c r="BF16" s="113">
        <f t="shared" si="25"/>
        <v>147</v>
      </c>
    </row>
    <row r="17" spans="1:58" s="35" customFormat="1" ht="21" customHeight="1">
      <c r="A17" s="82">
        <f t="shared" si="26"/>
        <v>10</v>
      </c>
      <c r="B17" s="83">
        <f t="shared" si="27"/>
        <v>43009</v>
      </c>
      <c r="C17" s="84">
        <f>IFERROR(IF($B16="TOTAL","अक्षरें राशि :-",IF($B17="TOTAL",SUM($C$8:C16),IF(AR18="","",AR18))),"")</f>
        <v>47900</v>
      </c>
      <c r="D17" s="84">
        <f>IFERROR(IF($B17="TOTAL",SUM($D$8:D16),IF(AS18="","",AS18)),"")</f>
        <v>2395</v>
      </c>
      <c r="E17" s="84">
        <f>IFERROR(IF($B17="TOTAL",SUM($E$8:E16),IF(OR(B17=$AL$16,B17=$AL$17,B17=$AL$18,B17=$AL$19,B17=$AL$20,B17=$AL$21,B17=$AL$22,B17=$AL$23,B17=$AL$24),0,IF(AT18="","",AT18))),"")</f>
        <v>3832</v>
      </c>
      <c r="F17" s="84">
        <f t="shared" si="28"/>
        <v>54127</v>
      </c>
      <c r="G17" s="84">
        <f>IFERROR(IF($B17="TOTAL",SUM($G$8:G16),IF(AV18="","",AV18)),"")</f>
        <v>46500</v>
      </c>
      <c r="H17" s="84">
        <f>IFERROR(IF($B17="TOTAL",SUM($H$8:H16),IF(AW18="","",AW18)),"")</f>
        <v>2325</v>
      </c>
      <c r="I17" s="84">
        <f>IFERROR(IF($B17="TOTAL",SUM($I$8:I16),IF(OR(B17=$AL$16,B17=$AL$17,B17=$AL$18,B17=$AL$19,B17=$AL$20,B17=$AL$21,B17=$AL$22,B17=$AL$23,B17=$AL$24),0,IF(AX18="","",AX18))),"")</f>
        <v>3720</v>
      </c>
      <c r="J17" s="84">
        <f t="shared" si="8"/>
        <v>52545</v>
      </c>
      <c r="K17" s="84">
        <f>IFERROR(IF(B17="","",IF(C17="","",IF(G17="","",IF($B17="TOTAL",SUM($K$8:K16),SUM(C17-G17))))),"")</f>
        <v>1400</v>
      </c>
      <c r="L17" s="84">
        <f>IFERROR(IF(B17="","",IF(D17="","",IF(H17="","",IF($B17="TOTAL",SUM($L$8:L16),SUM(D17-H17))))),"")</f>
        <v>70</v>
      </c>
      <c r="M17" s="84">
        <f>IFERROR(IF(B17="","",IF(E17="","",IF(I17="","",IF($B17="TOTAL",SUM($M$8:M16),SUM(E17-I17))))),"")</f>
        <v>112</v>
      </c>
      <c r="N17" s="84">
        <f t="shared" si="9"/>
        <v>1582</v>
      </c>
      <c r="O17" s="84">
        <f>IFERROR(IF(B17="","",IF($B17="TOTAL",SUM($O$8:O16),IF($AN$18=$AN$20,AY18,ROUND((C17+D17)*10%,0)))),"")</f>
        <v>5030</v>
      </c>
      <c r="P17" s="84">
        <f>IFERROR(IF(B17="","",IF(G17="","",IF(H17="","",IF($B17="TOTAL",SUM($P$8:P16),IF($AN$18=$AN$20,$AN$21,ROUND((G17+H17)*10%,0)))))),"")</f>
        <v>4883</v>
      </c>
      <c r="Q17" s="84">
        <f t="shared" si="10"/>
        <v>147</v>
      </c>
      <c r="R17" s="85">
        <f>IFERROR(IF(B17="","",IF($AN$16=$AN$17,0,IF($B17="TOTAL",SUM($R$8:R16),IF($AN$19=$AN$31,0,IF(AND($AN$32=$AN$20,B17=$AN$33),$AN$34,R16))))),"")</f>
        <v>0</v>
      </c>
      <c r="S17" s="85">
        <f>IFERROR(IF(B17="","",IF($AN$16=$AN$17,0,IF($B17="TOTAL",SUM($S$8:S16),IF($AN$19=$AN$20,$AN$24,0)))),"")</f>
        <v>0</v>
      </c>
      <c r="T17" s="84">
        <f t="shared" si="11"/>
        <v>0</v>
      </c>
      <c r="U17" s="84" t="str">
        <f>IF(B17="","",IF($B17="TOTAL",SUM($U$8:U16),IF(AND($AN$2=$AN$20,B17=$AN$1),ROUND(C17/31*$AO$2,0),IF(B17=$AL$6,ROUND((F17)*1/30,0),IF(B17=$AM$6,ROUND((F17)*1/31,0),"")))))</f>
        <v/>
      </c>
      <c r="V17" s="84" t="str">
        <f>IF(B17="","",IF($B17="TOTAL",SUM($V$8:V16),IF(AND($AN$2=$AN$20,B17=$AN$1),ROUND(G17/31*$AO$2,0),IF(B17=$AL$6,ROUND((J17)*1/30,0),IF(B17=$AM$6,ROUND((J17)*1/31,0),"")))))</f>
        <v/>
      </c>
      <c r="W17" s="84" t="str">
        <f t="shared" si="12"/>
        <v/>
      </c>
      <c r="X17" s="84" t="str">
        <f>IFERROR(IF($B17="TOTAL",SUM($X$8:X16),IF(BD18="YES",BE18,"")),"")</f>
        <v/>
      </c>
      <c r="Y17" s="84">
        <f>IFERROR(IF(B17="","",IF($B17="TOTAL",SUM($Y$8:Y16),ROUND(N17*$AN$7%,0))),"")</f>
        <v>0</v>
      </c>
      <c r="Z17" s="84">
        <f>IFERROR(IF(B17="","",IF($B17="TOTAL",SUM($Z$8:Z16),SUM(Q17,T17,W17,X17,Y17))),"")</f>
        <v>147</v>
      </c>
      <c r="AA17" s="86">
        <f>IFERROR(IF(B17="","",IF($B17="TOTAL",SUM($AA$8:AA16),SUM(N17-Z17))),"")</f>
        <v>1435</v>
      </c>
      <c r="AB17" s="87"/>
      <c r="AC17" s="87"/>
      <c r="AE17" s="6"/>
      <c r="AF17" s="6"/>
      <c r="AG17" s="6"/>
      <c r="AH17" s="6"/>
      <c r="AI17" s="6"/>
      <c r="AJ17" s="112">
        <f t="shared" si="13"/>
        <v>5</v>
      </c>
      <c r="AK17" s="112">
        <f t="shared" si="14"/>
        <v>5</v>
      </c>
      <c r="AL17" s="114">
        <v>42767</v>
      </c>
      <c r="AM17" s="114">
        <v>42979</v>
      </c>
      <c r="AN17" s="113" t="s">
        <v>86</v>
      </c>
      <c r="AO17" s="114">
        <f t="shared" si="15"/>
        <v>42979</v>
      </c>
      <c r="AP17" s="114">
        <f t="shared" si="16"/>
        <v>42979</v>
      </c>
      <c r="AQ17" s="114">
        <f t="shared" si="17"/>
        <v>42979</v>
      </c>
      <c r="AR17" s="113">
        <f t="shared" si="29"/>
        <v>47900</v>
      </c>
      <c r="AS17" s="113">
        <f t="shared" si="30"/>
        <v>2395</v>
      </c>
      <c r="AT17" s="113">
        <f t="shared" si="6"/>
        <v>3832</v>
      </c>
      <c r="AU17" s="113"/>
      <c r="AV17" s="113">
        <f t="shared" si="31"/>
        <v>46500</v>
      </c>
      <c r="AW17" s="113">
        <f t="shared" si="18"/>
        <v>2325</v>
      </c>
      <c r="AX17" s="113">
        <f t="shared" si="19"/>
        <v>3720</v>
      </c>
      <c r="AY17" s="113">
        <f t="shared" si="20"/>
        <v>5145</v>
      </c>
      <c r="AZ17" s="113"/>
      <c r="BA17" s="113"/>
      <c r="BB17" s="148">
        <f t="shared" si="21"/>
        <v>1470</v>
      </c>
      <c r="BC17" s="113">
        <f t="shared" si="22"/>
        <v>3675</v>
      </c>
      <c r="BD17" s="113" t="str">
        <f t="shared" si="23"/>
        <v/>
      </c>
      <c r="BE17" s="113" t="str">
        <f t="shared" si="24"/>
        <v/>
      </c>
      <c r="BF17" s="113">
        <f t="shared" si="25"/>
        <v>147</v>
      </c>
    </row>
    <row r="18" spans="1:58" s="35" customFormat="1" ht="21" customHeight="1">
      <c r="A18" s="82">
        <f t="shared" si="26"/>
        <v>11</v>
      </c>
      <c r="B18" s="83">
        <f t="shared" si="27"/>
        <v>43040</v>
      </c>
      <c r="C18" s="84">
        <f>IFERROR(IF($B17="TOTAL","अक्षरें राशि :-",IF($B18="TOTAL",SUM($C$8:C17),IF(AR19="","",AR19))),"")</f>
        <v>47900</v>
      </c>
      <c r="D18" s="84">
        <f>IFERROR(IF($B18="TOTAL",SUM($D$8:D17),IF(AS19="","",AS19)),"")</f>
        <v>2395</v>
      </c>
      <c r="E18" s="84">
        <f>IFERROR(IF($B18="TOTAL",SUM($E$8:E17),IF(OR(B18=$AL$16,B18=$AL$17,B18=$AL$18,B18=$AL$19,B18=$AL$20,B18=$AL$21,B18=$AL$22,B18=$AL$23,B18=$AL$24),0,IF(AT19="","",AT19))),"")</f>
        <v>3832</v>
      </c>
      <c r="F18" s="84">
        <f t="shared" si="28"/>
        <v>54127</v>
      </c>
      <c r="G18" s="84">
        <f>IFERROR(IF($B18="TOTAL",SUM($G$8:G17),IF(AV19="","",AV19)),"")</f>
        <v>46500</v>
      </c>
      <c r="H18" s="84">
        <f>IFERROR(IF($B18="TOTAL",SUM($H$8:H17),IF(AW19="","",AW19)),"")</f>
        <v>2325</v>
      </c>
      <c r="I18" s="84">
        <f>IFERROR(IF($B18="TOTAL",SUM($I$8:I17),IF(OR(B18=$AL$16,B18=$AL$17,B18=$AL$18,B18=$AL$19,B18=$AL$20,B18=$AL$21,B18=$AL$22,B18=$AL$23,B18=$AL$24),0,IF(AX19="","",AX19))),"")</f>
        <v>3720</v>
      </c>
      <c r="J18" s="84">
        <f t="shared" si="8"/>
        <v>52545</v>
      </c>
      <c r="K18" s="84">
        <f>IFERROR(IF(B18="","",IF(C18="","",IF(G18="","",IF($B18="TOTAL",SUM($K$8:K17),SUM(C18-G18))))),"")</f>
        <v>1400</v>
      </c>
      <c r="L18" s="84">
        <f>IFERROR(IF(B18="","",IF(D18="","",IF(H18="","",IF($B18="TOTAL",SUM($L$8:L17),SUM(D18-H18))))),"")</f>
        <v>70</v>
      </c>
      <c r="M18" s="84">
        <f>IFERROR(IF(B18="","",IF(E18="","",IF(I18="","",IF($B18="TOTAL",SUM($M$8:M17),SUM(E18-I18))))),"")</f>
        <v>112</v>
      </c>
      <c r="N18" s="84">
        <f t="shared" si="9"/>
        <v>1582</v>
      </c>
      <c r="O18" s="84">
        <f>IFERROR(IF(B18="","",IF($B18="TOTAL",SUM($O$8:O17),IF($AN$18=$AN$20,AY19,ROUND((C18+D18)*10%,0)))),"")</f>
        <v>5030</v>
      </c>
      <c r="P18" s="84">
        <f>IFERROR(IF(B18="","",IF(G18="","",IF(H18="","",IF($B18="TOTAL",SUM($P$8:P17),IF($AN$18=$AN$20,$AN$21,ROUND((G18+H18)*10%,0)))))),"")</f>
        <v>4883</v>
      </c>
      <c r="Q18" s="84">
        <f t="shared" si="10"/>
        <v>147</v>
      </c>
      <c r="R18" s="85">
        <f>IFERROR(IF(B18="","",IF($AN$16=$AN$17,0,IF($B18="TOTAL",SUM($R$8:R17),IF($AN$19=$AN$31,0,IF(AND($AN$32=$AN$20,B18=$AN$33),$AN$34,R17))))),"")</f>
        <v>0</v>
      </c>
      <c r="S18" s="85">
        <f>IFERROR(IF(B18="","",IF($AN$16=$AN$17,0,IF($B18="TOTAL",SUM($S$8:S17),IF($AN$19=$AN$20,$AN$24,0)))),"")</f>
        <v>0</v>
      </c>
      <c r="T18" s="84">
        <f t="shared" si="11"/>
        <v>0</v>
      </c>
      <c r="U18" s="84" t="str">
        <f>IF(B18="","",IF($B18="TOTAL",SUM($U$8:U17),IF(AND($AN$2=$AN$20,B18=$AN$1),ROUND(C18/31*$AO$2,0),IF(B18=$AL$6,ROUND((F18)*1/30,0),IF(B18=$AM$6,ROUND((F18)*1/31,0),"")))))</f>
        <v/>
      </c>
      <c r="V18" s="84" t="str">
        <f>IF(B18="","",IF($B18="TOTAL",SUM($V$8:V17),IF(AND($AN$2=$AN$20,B18=$AN$1),ROUND(G18/31*$AO$2,0),IF(B18=$AL$6,ROUND((J18)*1/30,0),IF(B18=$AM$6,ROUND((J18)*1/31,0),"")))))</f>
        <v/>
      </c>
      <c r="W18" s="84" t="str">
        <f t="shared" si="12"/>
        <v/>
      </c>
      <c r="X18" s="84" t="str">
        <f>IFERROR(IF($B18="TOTAL",SUM($X$8:X17),IF(BD19="YES",BE19,"")),"")</f>
        <v/>
      </c>
      <c r="Y18" s="84">
        <f>IFERROR(IF(B18="","",IF($B18="TOTAL",SUM($Y$8:Y17),ROUND(N18*$AN$7%,0))),"")</f>
        <v>0</v>
      </c>
      <c r="Z18" s="84">
        <f>IFERROR(IF(B18="","",IF($B18="TOTAL",SUM($Z$8:Z17),SUM(Q18,T18,W18,X18,Y18))),"")</f>
        <v>147</v>
      </c>
      <c r="AA18" s="86">
        <f>IFERROR(IF(B18="","",IF($B18="TOTAL",SUM($AA$8:AA17),SUM(N18-Z18))),"")</f>
        <v>1435</v>
      </c>
      <c r="AB18" s="40"/>
      <c r="AC18" s="40"/>
      <c r="AE18" s="32"/>
      <c r="AF18" s="33"/>
      <c r="AG18" s="33"/>
      <c r="AH18" s="33"/>
      <c r="AI18" s="33"/>
      <c r="AJ18" s="112">
        <f t="shared" si="13"/>
        <v>5</v>
      </c>
      <c r="AK18" s="112">
        <f t="shared" si="14"/>
        <v>5</v>
      </c>
      <c r="AL18" s="114">
        <v>42795</v>
      </c>
      <c r="AM18" s="114">
        <v>43009</v>
      </c>
      <c r="AN18" s="113" t="str">
        <f>'Master Sheet'!D21</f>
        <v>NO</v>
      </c>
      <c r="AO18" s="114">
        <f t="shared" si="15"/>
        <v>43009</v>
      </c>
      <c r="AP18" s="114">
        <f t="shared" si="16"/>
        <v>43009</v>
      </c>
      <c r="AQ18" s="114">
        <f t="shared" si="17"/>
        <v>43009</v>
      </c>
      <c r="AR18" s="113">
        <f t="shared" si="29"/>
        <v>47900</v>
      </c>
      <c r="AS18" s="113">
        <f t="shared" si="30"/>
        <v>2395</v>
      </c>
      <c r="AT18" s="113">
        <f t="shared" si="6"/>
        <v>3832</v>
      </c>
      <c r="AU18" s="113"/>
      <c r="AV18" s="113">
        <f t="shared" si="31"/>
        <v>46500</v>
      </c>
      <c r="AW18" s="113">
        <f t="shared" si="18"/>
        <v>2325</v>
      </c>
      <c r="AX18" s="113">
        <f t="shared" si="19"/>
        <v>3720</v>
      </c>
      <c r="AY18" s="113">
        <f t="shared" si="20"/>
        <v>3675</v>
      </c>
      <c r="AZ18" s="113"/>
      <c r="BA18" s="113"/>
      <c r="BB18" s="148">
        <f t="shared" si="21"/>
        <v>1582</v>
      </c>
      <c r="BC18" s="113">
        <f t="shared" si="22"/>
        <v>3675</v>
      </c>
      <c r="BD18" s="113" t="str">
        <f t="shared" si="23"/>
        <v/>
      </c>
      <c r="BE18" s="113" t="str">
        <f t="shared" si="24"/>
        <v/>
      </c>
      <c r="BF18" s="113">
        <f t="shared" si="25"/>
        <v>147</v>
      </c>
    </row>
    <row r="19" spans="1:58" s="35" customFormat="1" ht="21" customHeight="1">
      <c r="A19" s="82">
        <f t="shared" si="26"/>
        <v>12</v>
      </c>
      <c r="B19" s="83">
        <f t="shared" si="27"/>
        <v>43070</v>
      </c>
      <c r="C19" s="84">
        <f>IFERROR(IF($B18="TOTAL","अक्षरें राशि :-",IF($B19="TOTAL",SUM($C$8:C18),IF(AR20="","",AR20))),"")</f>
        <v>47900</v>
      </c>
      <c r="D19" s="84">
        <f>IFERROR(IF($B19="TOTAL",SUM($D$8:D18),IF(AS20="","",AS20)),"")</f>
        <v>2395</v>
      </c>
      <c r="E19" s="84">
        <f>IFERROR(IF($B19="TOTAL",SUM($E$8:E18),IF(OR(B19=$AL$16,B19=$AL$17,B19=$AL$18,B19=$AL$19,B19=$AL$20,B19=$AL$21,B19=$AL$22,B19=$AL$23,B19=$AL$24),0,IF(AT20="","",AT20))),"")</f>
        <v>3832</v>
      </c>
      <c r="F19" s="84">
        <f t="shared" si="28"/>
        <v>54127</v>
      </c>
      <c r="G19" s="84">
        <f>IFERROR(IF($B19="TOTAL",SUM($G$8:G18),IF(AV20="","",AV20)),"")</f>
        <v>46500</v>
      </c>
      <c r="H19" s="84">
        <f>IFERROR(IF($B19="TOTAL",SUM($H$8:H18),IF(AW20="","",AW20)),"")</f>
        <v>2325</v>
      </c>
      <c r="I19" s="84">
        <f>IFERROR(IF($B19="TOTAL",SUM($I$8:I18),IF(OR(B19=$AL$16,B19=$AL$17,B19=$AL$18,B19=$AL$19,B19=$AL$20,B19=$AL$21,B19=$AL$22,B19=$AL$23,B19=$AL$24),0,IF(AX20="","",AX20))),"")</f>
        <v>3720</v>
      </c>
      <c r="J19" s="84">
        <f t="shared" si="8"/>
        <v>52545</v>
      </c>
      <c r="K19" s="84">
        <f>IFERROR(IF(B19="","",IF(C19="","",IF(G19="","",IF($B19="TOTAL",SUM($K$8:K18),SUM(C19-G19))))),"")</f>
        <v>1400</v>
      </c>
      <c r="L19" s="84">
        <f>IFERROR(IF(B19="","",IF(D19="","",IF(H19="","",IF($B19="TOTAL",SUM($L$8:L18),SUM(D19-H19))))),"")</f>
        <v>70</v>
      </c>
      <c r="M19" s="84">
        <f>IFERROR(IF(B19="","",IF(E19="","",IF(I19="","",IF($B19="TOTAL",SUM($M$8:M18),SUM(E19-I19))))),"")</f>
        <v>112</v>
      </c>
      <c r="N19" s="84">
        <f t="shared" si="9"/>
        <v>1582</v>
      </c>
      <c r="O19" s="84">
        <f>IFERROR(IF(B19="","",IF($B19="TOTAL",SUM($O$8:O18),IF($AN$18=$AN$20,AY20,ROUND((C19+D19)*10%,0)))),"")</f>
        <v>5030</v>
      </c>
      <c r="P19" s="84">
        <f>IFERROR(IF(B19="","",IF(G19="","",IF(H19="","",IF($B19="TOTAL",SUM($P$8:P18),IF($AN$18=$AN$20,$AN$21,ROUND((G19+H19)*10%,0)))))),"")</f>
        <v>4883</v>
      </c>
      <c r="Q19" s="84">
        <f t="shared" si="10"/>
        <v>147</v>
      </c>
      <c r="R19" s="85">
        <f>IFERROR(IF(B19="","",IF($AN$16=$AN$17,0,IF($B19="TOTAL",SUM($R$8:R18),IF($AN$19=$AN$31,0,IF(AND($AN$32=$AN$20,B19=$AN$33),$AN$34,R18))))),"")</f>
        <v>0</v>
      </c>
      <c r="S19" s="85">
        <f>IFERROR(IF(B19="","",IF($AN$16=$AN$17,0,IF($B19="TOTAL",SUM($S$8:S18),IF($AN$19=$AN$20,$AN$24,0)))),"")</f>
        <v>0</v>
      </c>
      <c r="T19" s="84">
        <f t="shared" si="11"/>
        <v>0</v>
      </c>
      <c r="U19" s="84" t="str">
        <f>IF(B19="","",IF($B19="TOTAL",SUM($U$8:U18),IF(AND($AN$2=$AN$20,B19=$AN$1),ROUND(C19/31*$AO$2,0),IF(B19=$AL$6,ROUND((F19)*1/30,0),IF(B19=$AM$6,ROUND((F19)*1/31,0),"")))))</f>
        <v/>
      </c>
      <c r="V19" s="84" t="str">
        <f>IF(B19="","",IF($B19="TOTAL",SUM($V$8:V18),IF(AND($AN$2=$AN$20,B19=$AN$1),ROUND(G19/31*$AO$2,0),IF(B19=$AL$6,ROUND((J19)*1/30,0),IF(B19=$AM$6,ROUND((J19)*1/31,0),"")))))</f>
        <v/>
      </c>
      <c r="W19" s="84" t="str">
        <f t="shared" si="12"/>
        <v/>
      </c>
      <c r="X19" s="84" t="str">
        <f>IFERROR(IF($B19="TOTAL",SUM($X$8:X18),IF(BD20="YES",BE20,"")),"")</f>
        <v/>
      </c>
      <c r="Y19" s="84">
        <f>IFERROR(IF(B19="","",IF($B19="TOTAL",SUM($Y$8:Y18),ROUND(N19*$AN$7%,0))),"")</f>
        <v>0</v>
      </c>
      <c r="Z19" s="84">
        <f>IFERROR(IF(B19="","",IF($B19="TOTAL",SUM($Z$8:Z18),SUM(Q19,T19,W19,X19,Y19))),"")</f>
        <v>147</v>
      </c>
      <c r="AA19" s="86">
        <f>IFERROR(IF(B19="","",IF($B19="TOTAL",SUM($AA$8:AA18),SUM(N19-Z19))),"")</f>
        <v>1435</v>
      </c>
      <c r="AB19" s="89"/>
      <c r="AC19" s="40"/>
      <c r="AE19" s="32"/>
      <c r="AF19" s="33"/>
      <c r="AG19" s="33"/>
      <c r="AH19" s="33"/>
      <c r="AI19" s="33"/>
      <c r="AJ19" s="112">
        <f t="shared" si="13"/>
        <v>5</v>
      </c>
      <c r="AK19" s="112">
        <f t="shared" si="14"/>
        <v>5</v>
      </c>
      <c r="AL19" s="114">
        <v>42826</v>
      </c>
      <c r="AM19" s="114">
        <v>43040</v>
      </c>
      <c r="AN19" s="113" t="str">
        <f>'Master Sheet'!D17</f>
        <v>NO</v>
      </c>
      <c r="AO19" s="114">
        <f t="shared" si="15"/>
        <v>43040</v>
      </c>
      <c r="AP19" s="114">
        <f t="shared" si="16"/>
        <v>43040</v>
      </c>
      <c r="AQ19" s="114">
        <f t="shared" si="17"/>
        <v>43040</v>
      </c>
      <c r="AR19" s="113">
        <f t="shared" si="29"/>
        <v>47900</v>
      </c>
      <c r="AS19" s="113">
        <f t="shared" si="30"/>
        <v>2395</v>
      </c>
      <c r="AT19" s="113">
        <f t="shared" si="6"/>
        <v>3832</v>
      </c>
      <c r="AU19" s="113"/>
      <c r="AV19" s="113">
        <f t="shared" si="31"/>
        <v>46500</v>
      </c>
      <c r="AW19" s="113">
        <f t="shared" si="18"/>
        <v>2325</v>
      </c>
      <c r="AX19" s="113">
        <f t="shared" si="19"/>
        <v>3720</v>
      </c>
      <c r="AY19" s="113">
        <f t="shared" si="20"/>
        <v>3675</v>
      </c>
      <c r="AZ19" s="113"/>
      <c r="BA19" s="113"/>
      <c r="BB19" s="148">
        <f t="shared" si="21"/>
        <v>1582</v>
      </c>
      <c r="BC19" s="113">
        <f t="shared" si="22"/>
        <v>3675</v>
      </c>
      <c r="BD19" s="113" t="str">
        <f t="shared" si="23"/>
        <v/>
      </c>
      <c r="BE19" s="113" t="str">
        <f t="shared" si="24"/>
        <v/>
      </c>
      <c r="BF19" s="113">
        <f t="shared" si="25"/>
        <v>147</v>
      </c>
    </row>
    <row r="20" spans="1:58" s="35" customFormat="1" ht="21" customHeight="1">
      <c r="A20" s="82">
        <f t="shared" si="26"/>
        <v>13</v>
      </c>
      <c r="B20" s="83">
        <f t="shared" si="27"/>
        <v>43101</v>
      </c>
      <c r="C20" s="84">
        <f>IFERROR(IF($B19="TOTAL","अक्षरें राशि :-",IF($B20="TOTAL",SUM($C$8:C19),IF(AR21="","",AR21))),"")</f>
        <v>47900</v>
      </c>
      <c r="D20" s="84">
        <f>IFERROR(IF($B20="TOTAL",SUM($D$8:D19),IF(AS21="","",AS21)),"")</f>
        <v>3353</v>
      </c>
      <c r="E20" s="84">
        <f>IFERROR(IF($B20="TOTAL",SUM($E$8:E19),IF(OR(B20=$AL$16,B20=$AL$17,B20=$AL$18,B20=$AL$19,B20=$AL$20,B20=$AL$21,B20=$AL$22,B20=$AL$23,B20=$AL$24),0,IF(AT21="","",AT21))),"")</f>
        <v>3832</v>
      </c>
      <c r="F20" s="84">
        <f t="shared" si="28"/>
        <v>55085</v>
      </c>
      <c r="G20" s="84">
        <f>IFERROR(IF($B20="TOTAL",SUM($G$8:G19),IF(AV21="","",AV21)),"")</f>
        <v>46500</v>
      </c>
      <c r="H20" s="84">
        <f>IFERROR(IF($B20="TOTAL",SUM($H$8:H19),IF(AW21="","",AW21)),"")</f>
        <v>3255</v>
      </c>
      <c r="I20" s="84">
        <f>IFERROR(IF($B20="TOTAL",SUM($I$8:I19),IF(OR(B20=$AL$16,B20=$AL$17,B20=$AL$18,B20=$AL$19,B20=$AL$20,B20=$AL$21,B20=$AL$22,B20=$AL$23,B20=$AL$24),0,IF(AX21="","",AX21))),"")</f>
        <v>3720</v>
      </c>
      <c r="J20" s="84">
        <f t="shared" si="8"/>
        <v>53475</v>
      </c>
      <c r="K20" s="84">
        <f>IFERROR(IF(B20="","",IF(C20="","",IF(G20="","",IF($B20="TOTAL",SUM($K$8:K19),SUM(C20-G20))))),"")</f>
        <v>1400</v>
      </c>
      <c r="L20" s="84">
        <f>IFERROR(IF(B20="","",IF(D20="","",IF(H20="","",IF($B20="TOTAL",SUM($L$8:L19),SUM(D20-H20))))),"")</f>
        <v>98</v>
      </c>
      <c r="M20" s="84">
        <f>IFERROR(IF(B20="","",IF(E20="","",IF(I20="","",IF($B20="TOTAL",SUM($M$8:M19),SUM(E20-I20))))),"")</f>
        <v>112</v>
      </c>
      <c r="N20" s="84">
        <f t="shared" si="9"/>
        <v>1610</v>
      </c>
      <c r="O20" s="84">
        <f>IFERROR(IF(B20="","",IF($B20="TOTAL",SUM($O$8:O19),IF($AN$18=$AN$20,AY21,ROUND((C20+D20)*10%,0)))),"")</f>
        <v>5125</v>
      </c>
      <c r="P20" s="84">
        <f>IFERROR(IF(B20="","",IF(G20="","",IF(H20="","",IF($B20="TOTAL",SUM($P$8:P19),IF($AN$18=$AN$20,$AN$21,ROUND((G20+H20)*10%,0)))))),"")</f>
        <v>4976</v>
      </c>
      <c r="Q20" s="84">
        <f t="shared" si="10"/>
        <v>149</v>
      </c>
      <c r="R20" s="85">
        <f>IFERROR(IF(B20="","",IF($AN$16=$AN$17,0,IF($B20="TOTAL",SUM($R$8:R19),IF($AN$19=$AN$31,0,IF(AND($AN$32=$AN$20,B20=$AN$33),$AN$34,R19))))),"")</f>
        <v>0</v>
      </c>
      <c r="S20" s="85">
        <f>IFERROR(IF(B20="","",IF($AN$16=$AN$17,0,IF($B20="TOTAL",SUM($S$8:S19),IF($AN$19=$AN$20,$AN$24,0)))),"")</f>
        <v>0</v>
      </c>
      <c r="T20" s="84">
        <f t="shared" si="11"/>
        <v>0</v>
      </c>
      <c r="U20" s="84" t="str">
        <f>IF(B20="","",IF($B20="TOTAL",SUM($U$8:U19),IF(AND($AN$2=$AN$20,B20=$AN$1),ROUND(C20/31*$AO$2,0),IF(B20=$AL$6,ROUND((F20)*1/30,0),IF(B20=$AM$6,ROUND((F20)*1/31,0),"")))))</f>
        <v/>
      </c>
      <c r="V20" s="84" t="str">
        <f>IF(B20="","",IF($B20="TOTAL",SUM($V$8:V19),IF(AND($AN$2=$AN$20,B20=$AN$1),ROUND(G20/31*$AO$2,0),IF(B20=$AL$6,ROUND((J20)*1/30,0),IF(B20=$AM$6,ROUND((J20)*1/31,0),"")))))</f>
        <v/>
      </c>
      <c r="W20" s="84" t="str">
        <f t="shared" si="12"/>
        <v/>
      </c>
      <c r="X20" s="84" t="str">
        <f>IFERROR(IF($B20="TOTAL",SUM($X$8:X19),IF(BD21="YES",BE21,"")),"")</f>
        <v/>
      </c>
      <c r="Y20" s="84">
        <f>IFERROR(IF(B20="","",IF($B20="TOTAL",SUM($Y$8:Y19),ROUND(N20*$AN$7%,0))),"")</f>
        <v>0</v>
      </c>
      <c r="Z20" s="84">
        <f>IFERROR(IF(B20="","",IF($B20="TOTAL",SUM($Z$8:Z19),SUM(Q20,T20,W20,X20,Y20))),"")</f>
        <v>149</v>
      </c>
      <c r="AA20" s="86">
        <f>IFERROR(IF(B20="","",IF($B20="TOTAL",SUM($AA$8:AA19),SUM(N20-Z20))),"")</f>
        <v>1461</v>
      </c>
      <c r="AB20" s="80"/>
      <c r="AC20" s="40"/>
      <c r="AE20" s="32"/>
      <c r="AF20" s="33"/>
      <c r="AG20" s="33"/>
      <c r="AH20" s="33"/>
      <c r="AI20" s="33"/>
      <c r="AJ20" s="112">
        <f t="shared" si="13"/>
        <v>5</v>
      </c>
      <c r="AK20" s="112">
        <f t="shared" si="14"/>
        <v>5</v>
      </c>
      <c r="AL20" s="114">
        <v>42856</v>
      </c>
      <c r="AM20" s="114">
        <v>43070</v>
      </c>
      <c r="AN20" s="113" t="s">
        <v>88</v>
      </c>
      <c r="AO20" s="114">
        <f t="shared" ref="AO20:AO80" si="32">IF(AND($AN$6&gt;$AO$6),"",DATE(YEAR(AO19),MONTH(AO19)+1,DAY(AO19)))</f>
        <v>43070</v>
      </c>
      <c r="AP20" s="114">
        <f t="shared" si="16"/>
        <v>43070</v>
      </c>
      <c r="AQ20" s="114">
        <f t="shared" si="17"/>
        <v>43070</v>
      </c>
      <c r="AR20" s="113">
        <f t="shared" si="29"/>
        <v>47900</v>
      </c>
      <c r="AS20" s="113">
        <f t="shared" si="30"/>
        <v>2395</v>
      </c>
      <c r="AT20" s="113">
        <f t="shared" si="6"/>
        <v>3832</v>
      </c>
      <c r="AU20" s="113"/>
      <c r="AV20" s="113">
        <f t="shared" si="31"/>
        <v>46500</v>
      </c>
      <c r="AW20" s="113">
        <f>IF(AQ20="","",IF(AQ20="TOTAL","",IF(AV20="","",IF($AN$16=$AN$17,0,ROUND(AV20*AK20%,0)))))</f>
        <v>2325</v>
      </c>
      <c r="AX20" s="113">
        <f t="shared" si="19"/>
        <v>3720</v>
      </c>
      <c r="AY20" s="113">
        <f t="shared" si="20"/>
        <v>3675</v>
      </c>
      <c r="AZ20" s="113"/>
      <c r="BA20" s="113"/>
      <c r="BB20" s="148">
        <f t="shared" si="21"/>
        <v>1582</v>
      </c>
      <c r="BC20" s="113">
        <f t="shared" si="22"/>
        <v>3675</v>
      </c>
      <c r="BD20" s="113" t="str">
        <f t="shared" si="23"/>
        <v/>
      </c>
      <c r="BE20" s="113" t="str">
        <f t="shared" si="24"/>
        <v/>
      </c>
      <c r="BF20" s="113">
        <f t="shared" si="25"/>
        <v>147</v>
      </c>
    </row>
    <row r="21" spans="1:58" s="35" customFormat="1" ht="21" customHeight="1">
      <c r="A21" s="82">
        <f t="shared" si="26"/>
        <v>14</v>
      </c>
      <c r="B21" s="83">
        <f t="shared" si="27"/>
        <v>43132</v>
      </c>
      <c r="C21" s="84">
        <f>IFERROR(IF($B20="TOTAL","अक्षरें राशि :-",IF($B21="TOTAL",SUM($C$8:C20),IF(AR22="","",AR22))),"")</f>
        <v>47900</v>
      </c>
      <c r="D21" s="84">
        <f>IFERROR(IF($B21="TOTAL",SUM($D$8:D20),IF(AS22="","",AS22)),"")</f>
        <v>3353</v>
      </c>
      <c r="E21" s="84">
        <f>IFERROR(IF($B21="TOTAL",SUM($E$8:E20),IF(OR(B21=$AL$16,B21=$AL$17,B21=$AL$18,B21=$AL$19,B21=$AL$20,B21=$AL$21,B21=$AL$22,B21=$AL$23,B21=$AL$24),0,IF(AT22="","",AT22))),"")</f>
        <v>3832</v>
      </c>
      <c r="F21" s="84">
        <f t="shared" si="28"/>
        <v>55085</v>
      </c>
      <c r="G21" s="84">
        <f>IFERROR(IF($B21="TOTAL",SUM($G$8:G20),IF(AV22="","",AV22)),"")</f>
        <v>46500</v>
      </c>
      <c r="H21" s="84">
        <f>IFERROR(IF($B21="TOTAL",SUM($H$8:H20),IF(AW22="","",AW22)),"")</f>
        <v>3255</v>
      </c>
      <c r="I21" s="84">
        <f>IFERROR(IF($B21="TOTAL",SUM($I$8:I20),IF(OR(B21=$AL$16,B21=$AL$17,B21=$AL$18,B21=$AL$19,B21=$AL$20,B21=$AL$21,B21=$AL$22,B21=$AL$23,B21=$AL$24),0,IF(AX22="","",AX22))),"")</f>
        <v>3720</v>
      </c>
      <c r="J21" s="84">
        <f t="shared" si="8"/>
        <v>53475</v>
      </c>
      <c r="K21" s="84">
        <f>IFERROR(IF(B21="","",IF(C21="","",IF(G21="","",IF($B21="TOTAL",SUM($K$8:K20),SUM(C21-G21))))),"")</f>
        <v>1400</v>
      </c>
      <c r="L21" s="84">
        <f>IFERROR(IF(B21="","",IF(D21="","",IF(H21="","",IF($B21="TOTAL",SUM($L$8:L20),SUM(D21-H21))))),"")</f>
        <v>98</v>
      </c>
      <c r="M21" s="84">
        <f>IFERROR(IF(B21="","",IF(E21="","",IF(I21="","",IF($B21="TOTAL",SUM($M$8:M20),SUM(E21-I21))))),"")</f>
        <v>112</v>
      </c>
      <c r="N21" s="84">
        <f t="shared" si="9"/>
        <v>1610</v>
      </c>
      <c r="O21" s="84">
        <f>IFERROR(IF(B21="","",IF($B21="TOTAL",SUM($O$8:O20),IF($AN$18=$AN$20,AY22,ROUND((C21+D21)*10%,0)))),"")</f>
        <v>5125</v>
      </c>
      <c r="P21" s="84">
        <f>IFERROR(IF(B21="","",IF(G21="","",IF(H21="","",IF($B21="TOTAL",SUM($P$8:P20),IF($AN$18=$AN$20,$AN$21,ROUND((G21+H21)*10%,0)))))),"")</f>
        <v>4976</v>
      </c>
      <c r="Q21" s="84">
        <f t="shared" si="10"/>
        <v>149</v>
      </c>
      <c r="R21" s="85">
        <f>IFERROR(IF(B21="","",IF($AN$16=$AN$17,0,IF($B21="TOTAL",SUM($R$8:R20),IF($AN$19=$AN$31,0,IF(AND($AN$32=$AN$20,B21=$AN$33),$AN$34,R20))))),"")</f>
        <v>0</v>
      </c>
      <c r="S21" s="85">
        <f>IFERROR(IF(B21="","",IF($AN$16=$AN$17,0,IF($B21="TOTAL",SUM($S$8:S20),IF($AN$19=$AN$20,$AN$24,0)))),"")</f>
        <v>0</v>
      </c>
      <c r="T21" s="84">
        <f t="shared" si="11"/>
        <v>0</v>
      </c>
      <c r="U21" s="84" t="str">
        <f>IF(B21="","",IF($B21="TOTAL",SUM($U$8:U20),IF(AND($AN$2=$AN$20,B21=$AN$1),ROUND(C21/31*$AO$2,0),IF(B21=$AL$6,ROUND((F21)*1/30,0),IF(B21=$AM$6,ROUND((F21)*1/31,0),"")))))</f>
        <v/>
      </c>
      <c r="V21" s="84" t="str">
        <f>IF(B21="","",IF($B21="TOTAL",SUM($V$8:V20),IF(AND($AN$2=$AN$20,B21=$AN$1),ROUND(G21/31*$AO$2,0),IF(B21=$AL$6,ROUND((J21)*1/30,0),IF(B21=$AM$6,ROUND((J21)*1/31,0),"")))))</f>
        <v/>
      </c>
      <c r="W21" s="84" t="str">
        <f t="shared" si="12"/>
        <v/>
      </c>
      <c r="X21" s="84" t="str">
        <f>IFERROR(IF($B21="TOTAL",SUM($X$8:X20),IF(BD22="YES",BE22,"")),"")</f>
        <v/>
      </c>
      <c r="Y21" s="84">
        <f>IFERROR(IF(B21="","",IF($B21="TOTAL",SUM($Y$8:Y20),ROUND(N21*$AN$7%,0))),"")</f>
        <v>0</v>
      </c>
      <c r="Z21" s="84">
        <f>IFERROR(IF(B21="","",IF($B21="TOTAL",SUM($Z$8:Z20),SUM(Q21,T21,W21,X21,Y21))),"")</f>
        <v>149</v>
      </c>
      <c r="AA21" s="86">
        <f>IFERROR(IF(B21="","",IF($B21="TOTAL",SUM($AA$8:AA20),SUM(N21-Z21))),"")</f>
        <v>1461</v>
      </c>
      <c r="AB21" s="1"/>
      <c r="AC21" s="40"/>
      <c r="AE21" s="32"/>
      <c r="AF21" s="33"/>
      <c r="AG21" s="33"/>
      <c r="AH21" s="33"/>
      <c r="AI21" s="33"/>
      <c r="AJ21" s="112">
        <f t="shared" si="13"/>
        <v>7</v>
      </c>
      <c r="AK21" s="112">
        <f t="shared" si="14"/>
        <v>7</v>
      </c>
      <c r="AL21" s="114">
        <v>42887</v>
      </c>
      <c r="AM21" s="114">
        <v>43101</v>
      </c>
      <c r="AN21" s="116">
        <f>'Master Sheet'!G21</f>
        <v>3675</v>
      </c>
      <c r="AO21" s="114">
        <f t="shared" si="32"/>
        <v>43101</v>
      </c>
      <c r="AP21" s="114">
        <f t="shared" si="16"/>
        <v>43101</v>
      </c>
      <c r="AQ21" s="114">
        <f t="shared" si="17"/>
        <v>43101</v>
      </c>
      <c r="AR21" s="113">
        <f t="shared" si="29"/>
        <v>47900</v>
      </c>
      <c r="AS21" s="113">
        <f t="shared" si="30"/>
        <v>3353</v>
      </c>
      <c r="AT21" s="113">
        <f t="shared" si="6"/>
        <v>3832</v>
      </c>
      <c r="AU21" s="113"/>
      <c r="AV21" s="113">
        <f t="shared" si="31"/>
        <v>46500</v>
      </c>
      <c r="AW21" s="113">
        <f t="shared" si="18"/>
        <v>3255</v>
      </c>
      <c r="AX21" s="113">
        <f t="shared" si="19"/>
        <v>3720</v>
      </c>
      <c r="AY21" s="113">
        <f t="shared" si="20"/>
        <v>3675</v>
      </c>
      <c r="AZ21" s="113"/>
      <c r="BA21" s="113"/>
      <c r="BB21" s="148">
        <f t="shared" si="21"/>
        <v>1610</v>
      </c>
      <c r="BC21" s="113">
        <f t="shared" si="22"/>
        <v>3675</v>
      </c>
      <c r="BD21" s="113" t="str">
        <f t="shared" si="23"/>
        <v/>
      </c>
      <c r="BE21" s="113" t="str">
        <f t="shared" si="24"/>
        <v/>
      </c>
      <c r="BF21" s="113">
        <f t="shared" si="25"/>
        <v>149</v>
      </c>
    </row>
    <row r="22" spans="1:58" s="35" customFormat="1" ht="21" customHeight="1">
      <c r="A22" s="82">
        <f t="shared" si="26"/>
        <v>15</v>
      </c>
      <c r="B22" s="83">
        <f t="shared" si="27"/>
        <v>43160</v>
      </c>
      <c r="C22" s="84">
        <f>IFERROR(IF($B21="TOTAL","अक्षरें राशि :-",IF($B22="TOTAL",SUM($C$8:C21),IF(AR23="","",AR23))),"")</f>
        <v>47900</v>
      </c>
      <c r="D22" s="84">
        <f>IFERROR(IF($B22="TOTAL",SUM($D$8:D21),IF(AS23="","",AS23)),"")</f>
        <v>3353</v>
      </c>
      <c r="E22" s="84">
        <f>IFERROR(IF($B22="TOTAL",SUM($E$8:E21),IF(OR(B22=$AL$16,B22=$AL$17,B22=$AL$18,B22=$AL$19,B22=$AL$20,B22=$AL$21,B22=$AL$22,B22=$AL$23,B22=$AL$24),0,IF(AT23="","",AT23))),"")</f>
        <v>3832</v>
      </c>
      <c r="F22" s="84">
        <f t="shared" si="28"/>
        <v>55085</v>
      </c>
      <c r="G22" s="84">
        <f>IFERROR(IF($B22="TOTAL",SUM($G$8:G21),IF(AV23="","",AV23)),"")</f>
        <v>46500</v>
      </c>
      <c r="H22" s="84">
        <f>IFERROR(IF($B22="TOTAL",SUM($H$8:H21),IF(AW23="","",AW23)),"")</f>
        <v>3255</v>
      </c>
      <c r="I22" s="84">
        <f>IFERROR(IF($B22="TOTAL",SUM($I$8:I21),IF(OR(B22=$AL$16,B22=$AL$17,B22=$AL$18,B22=$AL$19,B22=$AL$20,B22=$AL$21,B22=$AL$22,B22=$AL$23,B22=$AL$24),0,IF(AX23="","",AX23))),"")</f>
        <v>3720</v>
      </c>
      <c r="J22" s="84">
        <f t="shared" si="8"/>
        <v>53475</v>
      </c>
      <c r="K22" s="84">
        <f>IFERROR(IF(B22="","",IF(C22="","",IF(G22="","",IF($B22="TOTAL",SUM($K$8:K21),SUM(C22-G22))))),"")</f>
        <v>1400</v>
      </c>
      <c r="L22" s="84">
        <f>IFERROR(IF(B22="","",IF(D22="","",IF(H22="","",IF($B22="TOTAL",SUM($L$8:L21),SUM(D22-H22))))),"")</f>
        <v>98</v>
      </c>
      <c r="M22" s="84">
        <f>IFERROR(IF(B22="","",IF(E22="","",IF(I22="","",IF($B22="TOTAL",SUM($M$8:M21),SUM(E22-I22))))),"")</f>
        <v>112</v>
      </c>
      <c r="N22" s="84">
        <f t="shared" si="9"/>
        <v>1610</v>
      </c>
      <c r="O22" s="84">
        <f>IFERROR(IF(B22="","",IF($B22="TOTAL",SUM($O$8:O21),IF($AN$18=$AN$20,AY23,ROUND((C22+D22)*10%,0)))),"")</f>
        <v>5125</v>
      </c>
      <c r="P22" s="84">
        <f>IFERROR(IF(B22="","",IF(G22="","",IF(H22="","",IF($B22="TOTAL",SUM($P$8:P21),IF($AN$18=$AN$20,$AN$21,ROUND((G22+H22)*10%,0)))))),"")</f>
        <v>4976</v>
      </c>
      <c r="Q22" s="84">
        <f t="shared" si="10"/>
        <v>149</v>
      </c>
      <c r="R22" s="85">
        <f>IFERROR(IF(B22="","",IF($AN$16=$AN$17,0,IF($B22="TOTAL",SUM($R$8:R21),IF($AN$19=$AN$31,0,IF(AND($AN$32=$AN$20,B22=$AN$33),$AN$34,R21))))),"")</f>
        <v>0</v>
      </c>
      <c r="S22" s="85">
        <f>IFERROR(IF(B22="","",IF($AN$16=$AN$17,0,IF($B22="TOTAL",SUM($S$8:S21),IF($AN$19=$AN$20,$AN$24,0)))),"")</f>
        <v>0</v>
      </c>
      <c r="T22" s="84">
        <f t="shared" si="11"/>
        <v>0</v>
      </c>
      <c r="U22" s="84" t="str">
        <f>IF(B22="","",IF($B22="TOTAL",SUM($U$8:U21),IF(AND($AN$2=$AN$20,B22=$AN$1),ROUND(C22/31*$AO$2,0),IF(B22=$AL$6,ROUND((F22)*1/30,0),IF(B22=$AM$6,ROUND((F22)*1/31,0),"")))))</f>
        <v/>
      </c>
      <c r="V22" s="84" t="str">
        <f>IF(B22="","",IF($B22="TOTAL",SUM($V$8:V21),IF(AND($AN$2=$AN$20,B22=$AN$1),ROUND(G22/31*$AO$2,0),IF(B22=$AL$6,ROUND((J22)*1/30,0),IF(B22=$AM$6,ROUND((J22)*1/31,0),"")))))</f>
        <v/>
      </c>
      <c r="W22" s="84" t="str">
        <f t="shared" si="12"/>
        <v/>
      </c>
      <c r="X22" s="84" t="str">
        <f>IFERROR(IF($B22="TOTAL",SUM($X$8:X21),IF(BD23="YES",BE23,"")),"")</f>
        <v/>
      </c>
      <c r="Y22" s="84">
        <f>IFERROR(IF(B22="","",IF($B22="TOTAL",SUM($Y$8:Y21),ROUND(N22*$AN$7%,0))),"")</f>
        <v>0</v>
      </c>
      <c r="Z22" s="84">
        <f>IFERROR(IF(B22="","",IF($B22="TOTAL",SUM($Z$8:Z21),SUM(Q22,T22,W22,X22,Y22))),"")</f>
        <v>149</v>
      </c>
      <c r="AA22" s="86">
        <f>IFERROR(IF(B22="","",IF($B22="TOTAL",SUM($AA$8:AA21),SUM(N22-Z22))),"")</f>
        <v>1461</v>
      </c>
      <c r="AB22" s="40"/>
      <c r="AC22" s="40"/>
      <c r="AE22" s="32"/>
      <c r="AF22" s="33"/>
      <c r="AG22" s="33"/>
      <c r="AH22" s="33"/>
      <c r="AI22" s="33"/>
      <c r="AJ22" s="112">
        <f t="shared" si="13"/>
        <v>7</v>
      </c>
      <c r="AK22" s="112">
        <f t="shared" si="14"/>
        <v>7</v>
      </c>
      <c r="AL22" s="114">
        <v>42917</v>
      </c>
      <c r="AM22" s="114">
        <v>43132</v>
      </c>
      <c r="AN22" s="117">
        <f>'Master Sheet'!K21</f>
        <v>3675</v>
      </c>
      <c r="AO22" s="114">
        <f t="shared" si="32"/>
        <v>43132</v>
      </c>
      <c r="AP22" s="114">
        <f t="shared" si="16"/>
        <v>43132</v>
      </c>
      <c r="AQ22" s="114">
        <f t="shared" si="17"/>
        <v>43132</v>
      </c>
      <c r="AR22" s="113">
        <f t="shared" si="29"/>
        <v>47900</v>
      </c>
      <c r="AS22" s="113">
        <f t="shared" si="30"/>
        <v>3353</v>
      </c>
      <c r="AT22" s="113">
        <f t="shared" si="6"/>
        <v>3832</v>
      </c>
      <c r="AU22" s="113"/>
      <c r="AV22" s="113">
        <f t="shared" si="31"/>
        <v>46500</v>
      </c>
      <c r="AW22" s="113">
        <f t="shared" si="18"/>
        <v>3255</v>
      </c>
      <c r="AX22" s="113">
        <f t="shared" si="19"/>
        <v>3720</v>
      </c>
      <c r="AY22" s="113">
        <f t="shared" si="20"/>
        <v>3675</v>
      </c>
      <c r="AZ22" s="113"/>
      <c r="BA22" s="113"/>
      <c r="BB22" s="148">
        <f t="shared" si="21"/>
        <v>1610</v>
      </c>
      <c r="BC22" s="113">
        <f t="shared" si="22"/>
        <v>3675</v>
      </c>
      <c r="BD22" s="113" t="str">
        <f t="shared" si="23"/>
        <v/>
      </c>
      <c r="BE22" s="113" t="str">
        <f t="shared" si="24"/>
        <v/>
      </c>
      <c r="BF22" s="113">
        <f t="shared" si="25"/>
        <v>149</v>
      </c>
    </row>
    <row r="23" spans="1:58" s="35" customFormat="1" ht="21" customHeight="1">
      <c r="A23" s="82">
        <f t="shared" si="26"/>
        <v>16</v>
      </c>
      <c r="B23" s="83">
        <f t="shared" si="27"/>
        <v>43191</v>
      </c>
      <c r="C23" s="84">
        <f>IFERROR(IF($B22="TOTAL","अक्षरें राशि :-",IF($B23="TOTAL",SUM($C$8:C22),IF(AR24="","",AR24))),"")</f>
        <v>47900</v>
      </c>
      <c r="D23" s="84">
        <f>IFERROR(IF($B23="TOTAL",SUM($D$8:D22),IF(AS24="","",AS24)),"")</f>
        <v>3353</v>
      </c>
      <c r="E23" s="84">
        <f>IFERROR(IF($B23="TOTAL",SUM($E$8:E22),IF(OR(B23=$AL$16,B23=$AL$17,B23=$AL$18,B23=$AL$19,B23=$AL$20,B23=$AL$21,B23=$AL$22,B23=$AL$23,B23=$AL$24),0,IF(AT24="","",AT24))),"")</f>
        <v>3832</v>
      </c>
      <c r="F23" s="84">
        <f t="shared" si="28"/>
        <v>55085</v>
      </c>
      <c r="G23" s="84">
        <f>IFERROR(IF($B23="TOTAL",SUM($G$8:G22),IF(AV24="","",AV24)),"")</f>
        <v>46500</v>
      </c>
      <c r="H23" s="84">
        <f>IFERROR(IF($B23="TOTAL",SUM($H$8:H22),IF(AW24="","",AW24)),"")</f>
        <v>3255</v>
      </c>
      <c r="I23" s="84">
        <f>IFERROR(IF($B23="TOTAL",SUM($I$8:I22),IF(OR(B23=$AL$16,B23=$AL$17,B23=$AL$18,B23=$AL$19,B23=$AL$20,B23=$AL$21,B23=$AL$22,B23=$AL$23,B23=$AL$24),0,IF(AX24="","",AX24))),"")</f>
        <v>3720</v>
      </c>
      <c r="J23" s="84">
        <f t="shared" si="8"/>
        <v>53475</v>
      </c>
      <c r="K23" s="84">
        <f>IFERROR(IF(B23="","",IF(C23="","",IF(G23="","",IF($B23="TOTAL",SUM($K$8:K22),SUM(C23-G23))))),"")</f>
        <v>1400</v>
      </c>
      <c r="L23" s="84">
        <f>IFERROR(IF(B23="","",IF(D23="","",IF(H23="","",IF($B23="TOTAL",SUM($L$8:L22),SUM(D23-H23))))),"")</f>
        <v>98</v>
      </c>
      <c r="M23" s="84">
        <f>IFERROR(IF(B23="","",IF(E23="","",IF(I23="","",IF($B23="TOTAL",SUM($M$8:M22),SUM(E23-I23))))),"")</f>
        <v>112</v>
      </c>
      <c r="N23" s="84">
        <f t="shared" si="9"/>
        <v>1610</v>
      </c>
      <c r="O23" s="84">
        <f>IFERROR(IF(B23="","",IF($B23="TOTAL",SUM($O$8:O22),IF($AN$18=$AN$20,AY24,ROUND((C23+D23)*10%,0)))),"")</f>
        <v>5125</v>
      </c>
      <c r="P23" s="84">
        <f>IFERROR(IF(B23="","",IF(G23="","",IF(H23="","",IF($B23="TOTAL",SUM($P$8:P22),IF($AN$18=$AN$20,$AN$21,ROUND((G23+H23)*10%,0)))))),"")</f>
        <v>4976</v>
      </c>
      <c r="Q23" s="84">
        <f t="shared" si="10"/>
        <v>149</v>
      </c>
      <c r="R23" s="85">
        <f>IFERROR(IF(B23="","",IF($AN$16=$AN$17,0,IF($B23="TOTAL",SUM($R$8:R22),IF($AN$19=$AN$31,0,IF(AND($AN$32=$AN$20,B23=$AN$33),$AN$34,R22))))),"")</f>
        <v>0</v>
      </c>
      <c r="S23" s="85">
        <f>IFERROR(IF(B23="","",IF($AN$16=$AN$17,0,IF($B23="TOTAL",SUM($S$8:S22),IF($AN$19=$AN$20,$AN$24,0)))),"")</f>
        <v>0</v>
      </c>
      <c r="T23" s="84">
        <f t="shared" si="11"/>
        <v>0</v>
      </c>
      <c r="U23" s="84" t="str">
        <f>IF(B23="","",IF($B23="TOTAL",SUM($U$8:U22),IF(AND($AN$2=$AN$20,B23=$AN$1),ROUND(C23/31*$AO$2,0),IF(B23=$AL$6,ROUND((F23)*1/30,0),IF(B23=$AM$6,ROUND((F23)*1/31,0),"")))))</f>
        <v/>
      </c>
      <c r="V23" s="84" t="str">
        <f>IF(B23="","",IF($B23="TOTAL",SUM($V$8:V22),IF(AND($AN$2=$AN$20,B23=$AN$1),ROUND(G23/31*$AO$2,0),IF(B23=$AL$6,ROUND((J23)*1/30,0),IF(B23=$AM$6,ROUND((J23)*1/31,0),"")))))</f>
        <v/>
      </c>
      <c r="W23" s="84" t="str">
        <f t="shared" si="12"/>
        <v/>
      </c>
      <c r="X23" s="84" t="str">
        <f>IFERROR(IF($B23="TOTAL",SUM($X$8:X22),IF(BD24="YES",BE24,"")),"")</f>
        <v/>
      </c>
      <c r="Y23" s="84">
        <f>IFERROR(IF(B23="","",IF($B23="TOTAL",SUM($Y$8:Y22),ROUND(N23*$AN$7%,0))),"")</f>
        <v>0</v>
      </c>
      <c r="Z23" s="84">
        <f>IFERROR(IF(B23="","",IF($B23="TOTAL",SUM($Z$8:Z22),SUM(Q23,T23,W23,X23,Y23))),"")</f>
        <v>149</v>
      </c>
      <c r="AA23" s="86">
        <f>IFERROR(IF(B23="","",IF($B23="TOTAL",SUM($AA$8:AA22),SUM(N23-Z23))),"")</f>
        <v>1461</v>
      </c>
      <c r="AB23" s="80"/>
      <c r="AC23" s="40"/>
      <c r="AE23" s="32"/>
      <c r="AF23" s="33"/>
      <c r="AG23" s="33"/>
      <c r="AH23" s="33"/>
      <c r="AI23" s="33"/>
      <c r="AJ23" s="112">
        <f t="shared" si="13"/>
        <v>7</v>
      </c>
      <c r="AK23" s="112">
        <f t="shared" si="14"/>
        <v>7</v>
      </c>
      <c r="AL23" s="114">
        <v>42948</v>
      </c>
      <c r="AM23" s="114">
        <v>43160</v>
      </c>
      <c r="AN23" s="113"/>
      <c r="AO23" s="114">
        <f t="shared" si="32"/>
        <v>43160</v>
      </c>
      <c r="AP23" s="114">
        <f t="shared" si="16"/>
        <v>43160</v>
      </c>
      <c r="AQ23" s="114">
        <f t="shared" si="17"/>
        <v>43160</v>
      </c>
      <c r="AR23" s="113">
        <f t="shared" si="29"/>
        <v>47900</v>
      </c>
      <c r="AS23" s="113">
        <f t="shared" si="30"/>
        <v>3353</v>
      </c>
      <c r="AT23" s="113">
        <f t="shared" si="6"/>
        <v>3832</v>
      </c>
      <c r="AU23" s="113"/>
      <c r="AV23" s="113">
        <f t="shared" si="31"/>
        <v>46500</v>
      </c>
      <c r="AW23" s="113">
        <f t="shared" si="18"/>
        <v>3255</v>
      </c>
      <c r="AX23" s="113">
        <f t="shared" si="19"/>
        <v>3720</v>
      </c>
      <c r="AY23" s="113">
        <f t="shared" si="20"/>
        <v>3675</v>
      </c>
      <c r="AZ23" s="113"/>
      <c r="BA23" s="113"/>
      <c r="BB23" s="148">
        <f t="shared" si="21"/>
        <v>1610</v>
      </c>
      <c r="BC23" s="113">
        <f t="shared" si="22"/>
        <v>3675</v>
      </c>
      <c r="BD23" s="113" t="str">
        <f t="shared" si="23"/>
        <v/>
      </c>
      <c r="BE23" s="113" t="str">
        <f t="shared" si="24"/>
        <v/>
      </c>
      <c r="BF23" s="113">
        <f t="shared" si="25"/>
        <v>149</v>
      </c>
    </row>
    <row r="24" spans="1:58" s="35" customFormat="1" ht="21" customHeight="1">
      <c r="A24" s="82">
        <f t="shared" si="26"/>
        <v>17</v>
      </c>
      <c r="B24" s="83">
        <f t="shared" si="27"/>
        <v>43221</v>
      </c>
      <c r="C24" s="84">
        <f>IFERROR(IF($B23="TOTAL","अक्षरें राशि :-",IF($B24="TOTAL",SUM($C$8:C23),IF(AR25="","",AR25))),"")</f>
        <v>47900</v>
      </c>
      <c r="D24" s="84">
        <f>IFERROR(IF($B24="TOTAL",SUM($D$8:D23),IF(AS25="","",AS25)),"")</f>
        <v>3353</v>
      </c>
      <c r="E24" s="84">
        <f>IFERROR(IF($B24="TOTAL",SUM($E$8:E23),IF(OR(B24=$AL$16,B24=$AL$17,B24=$AL$18,B24=$AL$19,B24=$AL$20,B24=$AL$21,B24=$AL$22,B24=$AL$23,B24=$AL$24),0,IF(AT25="","",AT25))),"")</f>
        <v>3832</v>
      </c>
      <c r="F24" s="84">
        <f t="shared" si="28"/>
        <v>55085</v>
      </c>
      <c r="G24" s="84">
        <f>IFERROR(IF($B24="TOTAL",SUM($G$8:G23),IF(AV25="","",AV25)),"")</f>
        <v>46500</v>
      </c>
      <c r="H24" s="84">
        <f>IFERROR(IF($B24="TOTAL",SUM($H$8:H23),IF(AW25="","",AW25)),"")</f>
        <v>3255</v>
      </c>
      <c r="I24" s="84">
        <f>IFERROR(IF($B24="TOTAL",SUM($I$8:I23),IF(OR(B24=$AL$16,B24=$AL$17,B24=$AL$18,B24=$AL$19,B24=$AL$20,B24=$AL$21,B24=$AL$22,B24=$AL$23,B24=$AL$24),0,IF(AX25="","",AX25))),"")</f>
        <v>3720</v>
      </c>
      <c r="J24" s="84">
        <f t="shared" si="8"/>
        <v>53475</v>
      </c>
      <c r="K24" s="84">
        <f>IFERROR(IF(B24="","",IF(C24="","",IF(G24="","",IF($B24="TOTAL",SUM($K$8:K23),SUM(C24-G24))))),"")</f>
        <v>1400</v>
      </c>
      <c r="L24" s="84">
        <f>IFERROR(IF(B24="","",IF(D24="","",IF(H24="","",IF($B24="TOTAL",SUM($L$8:L23),SUM(D24-H24))))),"")</f>
        <v>98</v>
      </c>
      <c r="M24" s="84">
        <f>IFERROR(IF(B24="","",IF(E24="","",IF(I24="","",IF($B24="TOTAL",SUM($M$8:M23),SUM(E24-I24))))),"")</f>
        <v>112</v>
      </c>
      <c r="N24" s="84">
        <f t="shared" si="9"/>
        <v>1610</v>
      </c>
      <c r="O24" s="84">
        <f>IFERROR(IF(B24="","",IF($B24="TOTAL",SUM($O$8:O23),IF($AN$18=$AN$20,AY25,ROUND((C24+D24)*10%,0)))),"")</f>
        <v>5125</v>
      </c>
      <c r="P24" s="84">
        <f>IFERROR(IF(B24="","",IF(G24="","",IF(H24="","",IF($B24="TOTAL",SUM($P$8:P23),IF($AN$18=$AN$20,$AN$21,ROUND((G24+H24)*10%,0)))))),"")</f>
        <v>4976</v>
      </c>
      <c r="Q24" s="84">
        <f t="shared" si="10"/>
        <v>149</v>
      </c>
      <c r="R24" s="85">
        <f>IFERROR(IF(B24="","",IF($AN$16=$AN$17,0,IF($B24="TOTAL",SUM($R$8:R23),IF($AN$19=$AN$31,0,IF(AND($AN$32=$AN$20,B24=$AN$33),$AN$34,R23))))),"")</f>
        <v>0</v>
      </c>
      <c r="S24" s="85">
        <f>IFERROR(IF(B24="","",IF($AN$16=$AN$17,0,IF($B24="TOTAL",SUM($S$8:S23),IF($AN$19=$AN$20,$AN$24,0)))),"")</f>
        <v>0</v>
      </c>
      <c r="T24" s="84">
        <f t="shared" si="11"/>
        <v>0</v>
      </c>
      <c r="U24" s="84" t="str">
        <f>IF(B24="","",IF($B24="TOTAL",SUM($U$8:U23),IF(AND($AN$2=$AN$20,B24=$AN$1),ROUND(C24/31*$AO$2,0),IF(B24=$AL$6,ROUND((F24)*1/30,0),IF(B24=$AM$6,ROUND((F24)*1/31,0),"")))))</f>
        <v/>
      </c>
      <c r="V24" s="84" t="str">
        <f>IF(B24="","",IF($B24="TOTAL",SUM($V$8:V23),IF(AND($AN$2=$AN$20,B24=$AN$1),ROUND(G24/31*$AO$2,0),IF(B24=$AL$6,ROUND((J24)*1/30,0),IF(B24=$AM$6,ROUND((J24)*1/31,0),"")))))</f>
        <v/>
      </c>
      <c r="W24" s="84" t="str">
        <f t="shared" si="12"/>
        <v/>
      </c>
      <c r="X24" s="84" t="str">
        <f>IFERROR(IF($B24="TOTAL",SUM($X$8:X23),IF(BD25="YES",BE25,"")),"")</f>
        <v/>
      </c>
      <c r="Y24" s="84">
        <f>IFERROR(IF(B24="","",IF($B24="TOTAL",SUM($Y$8:Y23),ROUND(N24*$AN$7%,0))),"")</f>
        <v>0</v>
      </c>
      <c r="Z24" s="84">
        <f>IFERROR(IF(B24="","",IF($B24="TOTAL",SUM($Z$8:Z23),SUM(Q24,T24,W24,X24,Y24))),"")</f>
        <v>149</v>
      </c>
      <c r="AA24" s="86">
        <f>IFERROR(IF(B24="","",IF($B24="TOTAL",SUM($AA$8:AA23),SUM(N24-Z24))),"")</f>
        <v>1461</v>
      </c>
      <c r="AB24" s="1"/>
      <c r="AC24" s="40"/>
      <c r="AE24" s="32"/>
      <c r="AF24" s="33"/>
      <c r="AG24" s="33"/>
      <c r="AH24" s="33"/>
      <c r="AI24" s="33"/>
      <c r="AJ24" s="112">
        <f t="shared" si="13"/>
        <v>7</v>
      </c>
      <c r="AK24" s="112">
        <f t="shared" si="14"/>
        <v>7</v>
      </c>
      <c r="AL24" s="114">
        <v>42979</v>
      </c>
      <c r="AM24" s="114">
        <v>43191</v>
      </c>
      <c r="AN24" s="116">
        <f>'Master Sheet'!G17</f>
        <v>2100</v>
      </c>
      <c r="AO24" s="114">
        <f t="shared" si="32"/>
        <v>43191</v>
      </c>
      <c r="AP24" s="114">
        <f t="shared" si="16"/>
        <v>43191</v>
      </c>
      <c r="AQ24" s="114">
        <f t="shared" si="17"/>
        <v>43191</v>
      </c>
      <c r="AR24" s="113">
        <f t="shared" si="29"/>
        <v>47900</v>
      </c>
      <c r="AS24" s="113">
        <f t="shared" si="30"/>
        <v>3353</v>
      </c>
      <c r="AT24" s="113">
        <f t="shared" si="6"/>
        <v>3832</v>
      </c>
      <c r="AU24" s="113"/>
      <c r="AV24" s="113">
        <f t="shared" si="31"/>
        <v>46500</v>
      </c>
      <c r="AW24" s="113">
        <f t="shared" si="18"/>
        <v>3255</v>
      </c>
      <c r="AX24" s="113">
        <f t="shared" si="19"/>
        <v>3720</v>
      </c>
      <c r="AY24" s="113">
        <f t="shared" si="20"/>
        <v>3675</v>
      </c>
      <c r="AZ24" s="113"/>
      <c r="BA24" s="113"/>
      <c r="BB24" s="148">
        <f t="shared" si="21"/>
        <v>1610</v>
      </c>
      <c r="BC24" s="113">
        <f t="shared" si="22"/>
        <v>3675</v>
      </c>
      <c r="BD24" s="113" t="str">
        <f t="shared" si="23"/>
        <v/>
      </c>
      <c r="BE24" s="113" t="str">
        <f t="shared" si="24"/>
        <v/>
      </c>
      <c r="BF24" s="113">
        <f t="shared" si="25"/>
        <v>149</v>
      </c>
    </row>
    <row r="25" spans="1:58" s="35" customFormat="1" ht="21" customHeight="1">
      <c r="A25" s="82">
        <f t="shared" si="26"/>
        <v>18</v>
      </c>
      <c r="B25" s="83">
        <f t="shared" si="27"/>
        <v>43252</v>
      </c>
      <c r="C25" s="84">
        <f>IFERROR(IF($B24="TOTAL","अक्षरें राशि :-",IF($B25="TOTAL",SUM($C$8:C24),IF(AR26="","",AR26))),"")</f>
        <v>47900</v>
      </c>
      <c r="D25" s="84">
        <f>IFERROR(IF($B25="TOTAL",SUM($D$8:D24),IF(AS26="","",AS26)),"")</f>
        <v>3353</v>
      </c>
      <c r="E25" s="84">
        <f>IFERROR(IF($B25="TOTAL",SUM($E$8:E24),IF(OR(B25=$AL$16,B25=$AL$17,B25=$AL$18,B25=$AL$19,B25=$AL$20,B25=$AL$21,B25=$AL$22,B25=$AL$23,B25=$AL$24),0,IF(AT26="","",AT26))),"")</f>
        <v>3832</v>
      </c>
      <c r="F25" s="84">
        <f t="shared" si="28"/>
        <v>55085</v>
      </c>
      <c r="G25" s="84">
        <f>IFERROR(IF($B25="TOTAL",SUM($G$8:G24),IF(AV26="","",AV26)),"")</f>
        <v>46500</v>
      </c>
      <c r="H25" s="84">
        <f>IFERROR(IF($B25="TOTAL",SUM($H$8:H24),IF(AW26="","",AW26)),"")</f>
        <v>3255</v>
      </c>
      <c r="I25" s="84">
        <f>IFERROR(IF($B25="TOTAL",SUM($I$8:I24),IF(OR(B25=$AL$16,B25=$AL$17,B25=$AL$18,B25=$AL$19,B25=$AL$20,B25=$AL$21,B25=$AL$22,B25=$AL$23,B25=$AL$24),0,IF(AX26="","",AX26))),"")</f>
        <v>3720</v>
      </c>
      <c r="J25" s="84">
        <f t="shared" si="8"/>
        <v>53475</v>
      </c>
      <c r="K25" s="84">
        <f>IFERROR(IF(B25="","",IF(C25="","",IF(G25="","",IF($B25="TOTAL",SUM($K$8:K24),SUM(C25-G25))))),"")</f>
        <v>1400</v>
      </c>
      <c r="L25" s="84">
        <f>IFERROR(IF(B25="","",IF(D25="","",IF(H25="","",IF($B25="TOTAL",SUM($L$8:L24),SUM(D25-H25))))),"")</f>
        <v>98</v>
      </c>
      <c r="M25" s="84">
        <f>IFERROR(IF(B25="","",IF(E25="","",IF(I25="","",IF($B25="TOTAL",SUM($M$8:M24),SUM(E25-I25))))),"")</f>
        <v>112</v>
      </c>
      <c r="N25" s="84">
        <f t="shared" si="9"/>
        <v>1610</v>
      </c>
      <c r="O25" s="84">
        <f>IFERROR(IF(B25="","",IF($B25="TOTAL",SUM($O$8:O24),IF($AN$18=$AN$20,AY26,ROUND((C25+D25)*10%,0)))),"")</f>
        <v>5125</v>
      </c>
      <c r="P25" s="84">
        <f>IFERROR(IF(B25="","",IF(G25="","",IF(H25="","",IF($B25="TOTAL",SUM($P$8:P24),IF($AN$18=$AN$20,$AN$21,ROUND((G25+H25)*10%,0)))))),"")</f>
        <v>4976</v>
      </c>
      <c r="Q25" s="84">
        <f t="shared" si="10"/>
        <v>149</v>
      </c>
      <c r="R25" s="85">
        <f>IFERROR(IF(B25="","",IF($AN$16=$AN$17,0,IF($B25="TOTAL",SUM($R$8:R24),IF($AN$19=$AN$31,0,IF(AND($AN$32=$AN$20,B25=$AN$33),$AN$34,R24))))),"")</f>
        <v>0</v>
      </c>
      <c r="S25" s="85">
        <f>IFERROR(IF(B25="","",IF($AN$16=$AN$17,0,IF($B25="TOTAL",SUM($S$8:S24),IF($AN$19=$AN$20,$AN$24,0)))),"")</f>
        <v>0</v>
      </c>
      <c r="T25" s="84">
        <f t="shared" si="11"/>
        <v>0</v>
      </c>
      <c r="U25" s="84" t="str">
        <f>IF(B25="","",IF($B25="TOTAL",SUM($U$8:U24),IF(AND($AN$2=$AN$20,B25=$AN$1),ROUND(C25/31*$AO$2,0),IF(B25=$AL$6,ROUND((F25)*1/30,0),IF(B25=$AM$6,ROUND((F25)*1/31,0),"")))))</f>
        <v/>
      </c>
      <c r="V25" s="84" t="str">
        <f>IF(B25="","",IF($B25="TOTAL",SUM($V$8:V24),IF(AND($AN$2=$AN$20,B25=$AN$1),ROUND(G25/31*$AO$2,0),IF(B25=$AL$6,ROUND((J25)*1/30,0),IF(B25=$AM$6,ROUND((J25)*1/31,0),"")))))</f>
        <v/>
      </c>
      <c r="W25" s="84" t="str">
        <f t="shared" si="12"/>
        <v/>
      </c>
      <c r="X25" s="84" t="str">
        <f>IFERROR(IF($B25="TOTAL",SUM($X$8:X24),IF(BD26="YES",BE26,"")),"")</f>
        <v/>
      </c>
      <c r="Y25" s="84">
        <f>IFERROR(IF(B25="","",IF($B25="TOTAL",SUM($Y$8:Y24),ROUND(N25*$AN$7%,0))),"")</f>
        <v>0</v>
      </c>
      <c r="Z25" s="84">
        <f>IFERROR(IF(B25="","",IF($B25="TOTAL",SUM($Z$8:Z24),SUM(Q25,T25,W25,X25,Y25))),"")</f>
        <v>149</v>
      </c>
      <c r="AA25" s="86">
        <f>IFERROR(IF(B25="","",IF($B25="TOTAL",SUM($AA$8:AA24),SUM(N25-Z25))),"")</f>
        <v>1461</v>
      </c>
      <c r="AB25" s="81"/>
      <c r="AC25" s="40"/>
      <c r="AE25" s="32"/>
      <c r="AF25" s="33"/>
      <c r="AG25" s="33"/>
      <c r="AH25" s="33"/>
      <c r="AI25" s="33"/>
      <c r="AJ25" s="112">
        <f t="shared" si="13"/>
        <v>7</v>
      </c>
      <c r="AK25" s="112">
        <f t="shared" si="14"/>
        <v>7</v>
      </c>
      <c r="AL25" s="113"/>
      <c r="AM25" s="114">
        <v>43221</v>
      </c>
      <c r="AN25" s="117">
        <f>'Master Sheet'!K17</f>
        <v>2100</v>
      </c>
      <c r="AO25" s="114">
        <f t="shared" si="32"/>
        <v>43221</v>
      </c>
      <c r="AP25" s="114">
        <f t="shared" si="16"/>
        <v>43221</v>
      </c>
      <c r="AQ25" s="114">
        <f t="shared" si="17"/>
        <v>43221</v>
      </c>
      <c r="AR25" s="113">
        <f t="shared" si="29"/>
        <v>47900</v>
      </c>
      <c r="AS25" s="113">
        <f t="shared" si="30"/>
        <v>3353</v>
      </c>
      <c r="AT25" s="113">
        <f t="shared" si="6"/>
        <v>3832</v>
      </c>
      <c r="AU25" s="113"/>
      <c r="AV25" s="113">
        <f t="shared" si="31"/>
        <v>46500</v>
      </c>
      <c r="AW25" s="113">
        <f t="shared" si="18"/>
        <v>3255</v>
      </c>
      <c r="AX25" s="113">
        <f t="shared" si="19"/>
        <v>3720</v>
      </c>
      <c r="AY25" s="113">
        <f t="shared" si="20"/>
        <v>3675</v>
      </c>
      <c r="AZ25" s="113"/>
      <c r="BA25" s="113"/>
      <c r="BB25" s="148">
        <f t="shared" si="21"/>
        <v>1610</v>
      </c>
      <c r="BC25" s="113">
        <f t="shared" si="22"/>
        <v>3675</v>
      </c>
      <c r="BD25" s="113" t="str">
        <f t="shared" si="23"/>
        <v/>
      </c>
      <c r="BE25" s="113" t="str">
        <f t="shared" si="24"/>
        <v/>
      </c>
      <c r="BF25" s="113">
        <f t="shared" si="25"/>
        <v>149</v>
      </c>
    </row>
    <row r="26" spans="1:58" s="35" customFormat="1" ht="21" customHeight="1">
      <c r="A26" s="82">
        <f t="shared" si="26"/>
        <v>19</v>
      </c>
      <c r="B26" s="83">
        <f t="shared" si="27"/>
        <v>43282</v>
      </c>
      <c r="C26" s="84">
        <f>IFERROR(IF($B25="TOTAL","अक्षरें राशि :-",IF($B26="TOTAL",SUM($C$8:C25),IF(AR27="","",AR27))),"")</f>
        <v>49300</v>
      </c>
      <c r="D26" s="84">
        <f>IFERROR(IF($B26="TOTAL",SUM($D$8:D25),IF(AS27="","",AS27)),"")</f>
        <v>4437</v>
      </c>
      <c r="E26" s="84">
        <f>IFERROR(IF($B26="TOTAL",SUM($E$8:E25),IF(OR(B26=$AL$16,B26=$AL$17,B26=$AL$18,B26=$AL$19,B26=$AL$20,B26=$AL$21,B26=$AL$22,B26=$AL$23,B26=$AL$24),0,IF(AT27="","",AT27))),"")</f>
        <v>3944</v>
      </c>
      <c r="F26" s="84">
        <f t="shared" si="28"/>
        <v>57681</v>
      </c>
      <c r="G26" s="84">
        <f>IFERROR(IF($B26="TOTAL",SUM($G$8:G25),IF(AV27="","",AV27)),"")</f>
        <v>47900</v>
      </c>
      <c r="H26" s="84">
        <f>IFERROR(IF($B26="TOTAL",SUM($H$8:H25),IF(AW27="","",AW27)),"")</f>
        <v>4311</v>
      </c>
      <c r="I26" s="84">
        <f>IFERROR(IF($B26="TOTAL",SUM($I$8:I25),IF(OR(B26=$AL$16,B26=$AL$17,B26=$AL$18,B26=$AL$19,B26=$AL$20,B26=$AL$21,B26=$AL$22,B26=$AL$23,B26=$AL$24),0,IF(AX27="","",AX27))),"")</f>
        <v>3832</v>
      </c>
      <c r="J26" s="84">
        <f t="shared" si="8"/>
        <v>56043</v>
      </c>
      <c r="K26" s="84">
        <f>IFERROR(IF(B26="","",IF(C26="","",IF(G26="","",IF($B26="TOTAL",SUM($K$8:K25),SUM(C26-G26))))),"")</f>
        <v>1400</v>
      </c>
      <c r="L26" s="84">
        <f>IFERROR(IF(B26="","",IF(D26="","",IF(H26="","",IF($B26="TOTAL",SUM($L$8:L25),SUM(D26-H26))))),"")</f>
        <v>126</v>
      </c>
      <c r="M26" s="84">
        <f>IFERROR(IF(B26="","",IF(E26="","",IF(I26="","",IF($B26="TOTAL",SUM($M$8:M25),SUM(E26-I26))))),"")</f>
        <v>112</v>
      </c>
      <c r="N26" s="84">
        <f t="shared" si="9"/>
        <v>1638</v>
      </c>
      <c r="O26" s="84">
        <f>IFERROR(IF(B26="","",IF($B26="TOTAL",SUM($O$8:O25),IF($AN$18=$AN$20,AY27,ROUND((C26+D26)*10%,0)))),"")</f>
        <v>5374</v>
      </c>
      <c r="P26" s="84">
        <f>IFERROR(IF(B26="","",IF(G26="","",IF(H26="","",IF($B26="TOTAL",SUM($P$8:P25),IF($AN$18=$AN$20,$AN$21,ROUND((G26+H26)*10%,0)))))),"")</f>
        <v>5221</v>
      </c>
      <c r="Q26" s="84">
        <f t="shared" si="10"/>
        <v>153</v>
      </c>
      <c r="R26" s="85">
        <f>IFERROR(IF(B26="","",IF($AN$16=$AN$17,0,IF($B26="TOTAL",SUM($R$8:R25),IF($AN$19=$AN$31,0,IF(AND($AN$32=$AN$20,B26=$AN$33),$AN$34,R25))))),"")</f>
        <v>0</v>
      </c>
      <c r="S26" s="85">
        <f>IFERROR(IF(B26="","",IF($AN$16=$AN$17,0,IF($B26="TOTAL",SUM($S$8:S25),IF($AN$19=$AN$20,$AN$24,0)))),"")</f>
        <v>0</v>
      </c>
      <c r="T26" s="84">
        <f t="shared" si="11"/>
        <v>0</v>
      </c>
      <c r="U26" s="84" t="str">
        <f>IF(B26="","",IF($B26="TOTAL",SUM($U$8:U25),IF(AND($AN$2=$AN$20,B26=$AN$1),ROUND(C26/31*$AO$2,0),IF(B26=$AL$6,ROUND((F26)*1/30,0),IF(B26=$AM$6,ROUND((F26)*1/31,0),"")))))</f>
        <v/>
      </c>
      <c r="V26" s="84" t="str">
        <f>IF(B26="","",IF($B26="TOTAL",SUM($V$8:V25),IF(AND($AN$2=$AN$20,B26=$AN$1),ROUND(G26/31*$AO$2,0),IF(B26=$AL$6,ROUND((J26)*1/30,0),IF(B26=$AM$6,ROUND((J26)*1/31,0),"")))))</f>
        <v/>
      </c>
      <c r="W26" s="84" t="str">
        <f t="shared" si="12"/>
        <v/>
      </c>
      <c r="X26" s="84" t="str">
        <f>IFERROR(IF($B26="TOTAL",SUM($X$8:X25),IF(BD27="YES",BE27,"")),"")</f>
        <v/>
      </c>
      <c r="Y26" s="84">
        <f>IFERROR(IF(B26="","",IF($B26="TOTAL",SUM($Y$8:Y25),ROUND(N26*$AN$7%,0))),"")</f>
        <v>0</v>
      </c>
      <c r="Z26" s="84">
        <f>IFERROR(IF(B26="","",IF($B26="TOTAL",SUM($Z$8:Z25),SUM(Q26,T26,W26,X26,Y26))),"")</f>
        <v>153</v>
      </c>
      <c r="AA26" s="86">
        <f>IFERROR(IF(B26="","",IF($B26="TOTAL",SUM($AA$8:AA25),SUM(N26-Z26))),"")</f>
        <v>1485</v>
      </c>
      <c r="AB26" s="81"/>
      <c r="AC26" s="40"/>
      <c r="AE26" s="32"/>
      <c r="AF26" s="33"/>
      <c r="AG26" s="33"/>
      <c r="AH26" s="33"/>
      <c r="AI26" s="33"/>
      <c r="AJ26" s="112">
        <f t="shared" si="13"/>
        <v>7</v>
      </c>
      <c r="AK26" s="112">
        <f t="shared" si="14"/>
        <v>7</v>
      </c>
      <c r="AL26" s="113"/>
      <c r="AM26" s="114">
        <v>43252</v>
      </c>
      <c r="AN26" s="113" t="str">
        <f>'Master Sheet'!G15</f>
        <v>NO</v>
      </c>
      <c r="AO26" s="114">
        <f t="shared" si="32"/>
        <v>43252</v>
      </c>
      <c r="AP26" s="114">
        <f t="shared" si="16"/>
        <v>43252</v>
      </c>
      <c r="AQ26" s="114">
        <f t="shared" si="17"/>
        <v>43252</v>
      </c>
      <c r="AR26" s="113">
        <f t="shared" si="29"/>
        <v>47900</v>
      </c>
      <c r="AS26" s="113">
        <f t="shared" si="30"/>
        <v>3353</v>
      </c>
      <c r="AT26" s="113">
        <f t="shared" si="6"/>
        <v>3832</v>
      </c>
      <c r="AU26" s="113"/>
      <c r="AV26" s="113">
        <f t="shared" si="31"/>
        <v>46500</v>
      </c>
      <c r="AW26" s="113">
        <f t="shared" si="18"/>
        <v>3255</v>
      </c>
      <c r="AX26" s="113">
        <f t="shared" si="19"/>
        <v>3720</v>
      </c>
      <c r="AY26" s="113">
        <f t="shared" si="20"/>
        <v>3675</v>
      </c>
      <c r="AZ26" s="113"/>
      <c r="BA26" s="113"/>
      <c r="BB26" s="148">
        <f t="shared" si="21"/>
        <v>1610</v>
      </c>
      <c r="BC26" s="113">
        <f t="shared" si="22"/>
        <v>3675</v>
      </c>
      <c r="BD26" s="113" t="str">
        <f t="shared" si="23"/>
        <v/>
      </c>
      <c r="BE26" s="113" t="str">
        <f t="shared" si="24"/>
        <v/>
      </c>
      <c r="BF26" s="113">
        <f t="shared" si="25"/>
        <v>149</v>
      </c>
    </row>
    <row r="27" spans="1:58" s="35" customFormat="1" ht="21" customHeight="1">
      <c r="A27" s="82">
        <f t="shared" si="26"/>
        <v>20</v>
      </c>
      <c r="B27" s="83">
        <f t="shared" si="27"/>
        <v>43313</v>
      </c>
      <c r="C27" s="84">
        <f>IFERROR(IF($B26="TOTAL","अक्षरें राशि :-",IF($B27="TOTAL",SUM($C$8:C26),IF(AR28="","",AR28))),"")</f>
        <v>49300</v>
      </c>
      <c r="D27" s="84">
        <f>IFERROR(IF($B27="TOTAL",SUM($D$8:D26),IF(AS28="","",AS28)),"")</f>
        <v>4437</v>
      </c>
      <c r="E27" s="84">
        <f>IFERROR(IF($B27="TOTAL",SUM($E$8:E26),IF(OR(B27=$AL$16,B27=$AL$17,B27=$AL$18,B27=$AL$19,B27=$AL$20,B27=$AL$21,B27=$AL$22,B27=$AL$23,B27=$AL$24),0,IF(AT28="","",AT28))),"")</f>
        <v>3944</v>
      </c>
      <c r="F27" s="84">
        <f t="shared" si="28"/>
        <v>57681</v>
      </c>
      <c r="G27" s="84">
        <f>IFERROR(IF($B27="TOTAL",SUM($G$8:G26),IF(AV28="","",AV28)),"")</f>
        <v>47900</v>
      </c>
      <c r="H27" s="84">
        <f>IFERROR(IF($B27="TOTAL",SUM($H$8:H26),IF(AW28="","",AW28)),"")</f>
        <v>4311</v>
      </c>
      <c r="I27" s="84">
        <f>IFERROR(IF($B27="TOTAL",SUM($I$8:I26),IF(OR(B27=$AL$16,B27=$AL$17,B27=$AL$18,B27=$AL$19,B27=$AL$20,B27=$AL$21,B27=$AL$22,B27=$AL$23,B27=$AL$24),0,IF(AX28="","",AX28))),"")</f>
        <v>3832</v>
      </c>
      <c r="J27" s="84">
        <f t="shared" si="8"/>
        <v>56043</v>
      </c>
      <c r="K27" s="84">
        <f>IFERROR(IF(B27="","",IF(C27="","",IF(G27="","",IF($B27="TOTAL",SUM($K$8:K26),SUM(C27-G27))))),"")</f>
        <v>1400</v>
      </c>
      <c r="L27" s="84">
        <f>IFERROR(IF(B27="","",IF(D27="","",IF(H27="","",IF($B27="TOTAL",SUM($L$8:L26),SUM(D27-H27))))),"")</f>
        <v>126</v>
      </c>
      <c r="M27" s="84">
        <f>IFERROR(IF(B27="","",IF(E27="","",IF(I27="","",IF($B27="TOTAL",SUM($M$8:M26),SUM(E27-I27))))),"")</f>
        <v>112</v>
      </c>
      <c r="N27" s="84">
        <f t="shared" si="9"/>
        <v>1638</v>
      </c>
      <c r="O27" s="84">
        <f>IFERROR(IF(B27="","",IF($B27="TOTAL",SUM($O$8:O26),IF($AN$18=$AN$20,AY28,ROUND((C27+D27)*10%,0)))),"")</f>
        <v>5374</v>
      </c>
      <c r="P27" s="84">
        <f>IFERROR(IF(B27="","",IF(G27="","",IF(H27="","",IF($B27="TOTAL",SUM($P$8:P26),IF($AN$18=$AN$20,$AN$21,ROUND((G27+H27)*10%,0)))))),"")</f>
        <v>5221</v>
      </c>
      <c r="Q27" s="84">
        <f t="shared" si="10"/>
        <v>153</v>
      </c>
      <c r="R27" s="85">
        <f>IFERROR(IF(B27="","",IF($AN$16=$AN$17,0,IF($B27="TOTAL",SUM($R$8:R26),IF($AN$19=$AN$31,0,IF(AND($AN$32=$AN$20,B27=$AN$33),$AN$34,R26))))),"")</f>
        <v>0</v>
      </c>
      <c r="S27" s="85">
        <f>IFERROR(IF(B27="","",IF($AN$16=$AN$17,0,IF($B27="TOTAL",SUM($S$8:S26),IF($AN$19=$AN$20,$AN$24,0)))),"")</f>
        <v>0</v>
      </c>
      <c r="T27" s="84">
        <f t="shared" si="11"/>
        <v>0</v>
      </c>
      <c r="U27" s="84" t="str">
        <f>IF(B27="","",IF($B27="TOTAL",SUM($U$8:U26),IF(AND($AN$2=$AN$20,B27=$AN$1),ROUND(C27/31*$AO$2,0),IF(B27=$AL$6,ROUND((F27)*1/30,0),IF(B27=$AM$6,ROUND((F27)*1/31,0),"")))))</f>
        <v/>
      </c>
      <c r="V27" s="84" t="str">
        <f>IF(B27="","",IF($B27="TOTAL",SUM($V$8:V26),IF(AND($AN$2=$AN$20,B27=$AN$1),ROUND(G27/31*$AO$2,0),IF(B27=$AL$6,ROUND((J27)*1/30,0),IF(B27=$AM$6,ROUND((J27)*1/31,0),"")))))</f>
        <v/>
      </c>
      <c r="W27" s="84" t="str">
        <f t="shared" si="12"/>
        <v/>
      </c>
      <c r="X27" s="84" t="str">
        <f>IFERROR(IF($B27="TOTAL",SUM($X$8:X26),IF(BD28="YES",BE28,"")),"")</f>
        <v/>
      </c>
      <c r="Y27" s="84">
        <f>IFERROR(IF(B27="","",IF($B27="TOTAL",SUM($Y$8:Y26),ROUND(N27*$AN$7%,0))),"")</f>
        <v>0</v>
      </c>
      <c r="Z27" s="84">
        <f>IFERROR(IF(B27="","",IF($B27="TOTAL",SUM($Z$8:Z26),SUM(Q27,T27,W27,X27,Y27))),"")</f>
        <v>153</v>
      </c>
      <c r="AA27" s="86">
        <f>IFERROR(IF(B27="","",IF($B27="TOTAL",SUM($AA$8:AA26),SUM(N27-Z27))),"")</f>
        <v>1485</v>
      </c>
      <c r="AB27" s="43"/>
      <c r="AC27" s="43"/>
      <c r="AE27" s="33"/>
      <c r="AF27" s="33"/>
      <c r="AG27" s="33"/>
      <c r="AH27" s="33"/>
      <c r="AI27" s="33"/>
      <c r="AJ27" s="112">
        <f t="shared" si="13"/>
        <v>9</v>
      </c>
      <c r="AK27" s="112">
        <f t="shared" si="14"/>
        <v>9</v>
      </c>
      <c r="AL27" s="113"/>
      <c r="AM27" s="114">
        <v>43282</v>
      </c>
      <c r="AN27" s="113">
        <f>'Master Sheet'!K15</f>
        <v>30500</v>
      </c>
      <c r="AO27" s="114">
        <f t="shared" si="32"/>
        <v>43282</v>
      </c>
      <c r="AP27" s="114">
        <f t="shared" si="16"/>
        <v>43282</v>
      </c>
      <c r="AQ27" s="114">
        <f t="shared" si="17"/>
        <v>43282</v>
      </c>
      <c r="AR27" s="113">
        <f t="shared" ref="AR27:AR80" si="33">IFERROR(IF(AQ27="","",IF(AND($AN$20=$AN$28,$AN$30=AQ27),$AN$29,IF(OR(AQ27=$AT$2,AQ27=$AT$3,AQ27=$AT$4,AQ27=$AT$5,AQ27=$AT$6),MROUND(AR26*1.03,100),AR26))),"")</f>
        <v>49300</v>
      </c>
      <c r="AS27" s="113">
        <f t="shared" si="30"/>
        <v>4437</v>
      </c>
      <c r="AT27" s="113">
        <f t="shared" ref="AT27:AT80" si="34">IF(AQ27="","",IF(AQ27="TOTAL","",IF(AQ27&gt;=$AS$7,ROUND(AR27*$AR$7%,0),ROUND(AR27*$AP$7%,0))))</f>
        <v>3944</v>
      </c>
      <c r="AU27" s="113"/>
      <c r="AV27" s="113">
        <f t="shared" ref="AV27:AV80" si="35">IFERROR(IF(AQ27="","",IF(AQ27="TOTAL","",IF($AN$16=$AN$17,$AN$10,IF(OR(AQ27=$AT$2,AQ27=$AT$3,AQ27=$AT$4,AQ27=$AT$5,AQ27=$AT$6),MROUND(AV26*1.03,100),AV26)))),"")</f>
        <v>47900</v>
      </c>
      <c r="AW27" s="113">
        <f t="shared" ref="AW27:AW80" si="36">IF(AQ27="","",IF(AQ27="TOTAL","",IF(AV27="","",IF($AN$16=$AN$17,0,ROUND(AV27*AK27%,0)))))</f>
        <v>4311</v>
      </c>
      <c r="AX27" s="113">
        <f t="shared" ref="AX27:AX80" si="37">IF(AQ27="","",IF(AQ27="TOTAL","",IF(AV27="","",IF($AN$16=$AN$17,0,IF(AQ27&gt;=$AS$7,ROUND(AV27*$AR$7%,0),ROUND(AV27*$AP$7%,0))))))</f>
        <v>3832</v>
      </c>
      <c r="AY27" s="113">
        <f t="shared" ref="AY27:AY80" si="38">IF(AQ27="","",IF(AQ27="TOTAL","",IF(AV27="","",IF($AN$16=$AN$17,0,IF(OR(B26=$AL$16,B26=$AL$17,B26=$AL$18,B26=$AL$19,B26=$AL$20,B26=$AL$21,B26=$AL$22,B26=$AL$23,B26=$AL$24),SUM(BB27+BC27),BC27)))))</f>
        <v>3675</v>
      </c>
      <c r="AZ27" s="113"/>
      <c r="BA27" s="113"/>
      <c r="BB27" s="148">
        <f t="shared" ref="BB27:BB80" si="39">IF(AQ27="","",IF(AQ27="TOTAL","",IF(AV27="","",SUM(N26)-SUM((BC27-$AN$21)+SUM(T26,W26,Y26)))))</f>
        <v>1638</v>
      </c>
      <c r="BC27" s="113">
        <f t="shared" ref="BC27:BC80" si="40">IF(AQ26="","",IF(AQ26="TOTAL","",IF(AND($AN$20=$AN$36,B27=$AN$37),$AN$38,BC26)))</f>
        <v>3675</v>
      </c>
      <c r="BD27" s="113" t="str">
        <f t="shared" si="23"/>
        <v/>
      </c>
      <c r="BE27" s="113" t="str">
        <f t="shared" si="24"/>
        <v/>
      </c>
      <c r="BF27" s="113">
        <f t="shared" si="25"/>
        <v>153</v>
      </c>
    </row>
    <row r="28" spans="1:58" s="35" customFormat="1" ht="21" customHeight="1">
      <c r="A28" s="82">
        <f t="shared" si="26"/>
        <v>21</v>
      </c>
      <c r="B28" s="83">
        <f t="shared" si="27"/>
        <v>43344</v>
      </c>
      <c r="C28" s="84">
        <f>IFERROR(IF($B27="TOTAL","अक्षरें राशि :-",IF($B28="TOTAL",SUM($C$8:C27),IF(AR29="","",AR29))),"")</f>
        <v>49300</v>
      </c>
      <c r="D28" s="84">
        <f>IFERROR(IF($B28="TOTAL",SUM($D$8:D27),IF(AS29="","",AS29)),"")</f>
        <v>4437</v>
      </c>
      <c r="E28" s="84">
        <f>IFERROR(IF($B28="TOTAL",SUM($E$8:E27),IF(OR(B28=$AL$16,B28=$AL$17,B28=$AL$18,B28=$AL$19,B28=$AL$20,B28=$AL$21,B28=$AL$22,B28=$AL$23,B28=$AL$24),0,IF(AT29="","",AT29))),"")</f>
        <v>3944</v>
      </c>
      <c r="F28" s="84">
        <f t="shared" si="28"/>
        <v>57681</v>
      </c>
      <c r="G28" s="84">
        <f>IFERROR(IF($B28="TOTAL",SUM($G$8:G27),IF(AV29="","",AV29)),"")</f>
        <v>47900</v>
      </c>
      <c r="H28" s="84">
        <f>IFERROR(IF($B28="TOTAL",SUM($H$8:H27),IF(AW29="","",AW29)),"")</f>
        <v>4311</v>
      </c>
      <c r="I28" s="84">
        <f>IFERROR(IF($B28="TOTAL",SUM($I$8:I27),IF(OR(B28=$AL$16,B28=$AL$17,B28=$AL$18,B28=$AL$19,B28=$AL$20,B28=$AL$21,B28=$AL$22,B28=$AL$23,B28=$AL$24),0,IF(AX29="","",AX29))),"")</f>
        <v>3832</v>
      </c>
      <c r="J28" s="84">
        <f t="shared" si="8"/>
        <v>56043</v>
      </c>
      <c r="K28" s="84">
        <f>IFERROR(IF(B28="","",IF(C28="","",IF(G28="","",IF($B28="TOTAL",SUM($K$8:K27),SUM(C28-G28))))),"")</f>
        <v>1400</v>
      </c>
      <c r="L28" s="84">
        <f>IFERROR(IF(B28="","",IF(D28="","",IF(H28="","",IF($B28="TOTAL",SUM($L$8:L27),SUM(D28-H28))))),"")</f>
        <v>126</v>
      </c>
      <c r="M28" s="84">
        <f>IFERROR(IF(B28="","",IF(E28="","",IF(I28="","",IF($B28="TOTAL",SUM($M$8:M27),SUM(E28-I28))))),"")</f>
        <v>112</v>
      </c>
      <c r="N28" s="84">
        <f t="shared" si="9"/>
        <v>1638</v>
      </c>
      <c r="O28" s="84">
        <f>IFERROR(IF(B28="","",IF($B28="TOTAL",SUM($O$8:O27),IF($AN$18=$AN$20,AY29,ROUND((C28+D28)*10%,0)))),"")</f>
        <v>5374</v>
      </c>
      <c r="P28" s="84">
        <f>IFERROR(IF(B28="","",IF(G28="","",IF(H28="","",IF($B28="TOTAL",SUM($P$8:P27),IF($AN$18=$AN$20,$AN$21,ROUND((G28+H28)*10%,0)))))),"")</f>
        <v>5221</v>
      </c>
      <c r="Q28" s="84">
        <f t="shared" si="10"/>
        <v>153</v>
      </c>
      <c r="R28" s="85">
        <f>IFERROR(IF(B28="","",IF($AN$16=$AN$17,0,IF($B28="TOTAL",SUM($R$8:R27),IF($AN$19=$AN$31,0,IF(AND($AN$32=$AN$20,B28=$AN$33),$AN$34,R27))))),"")</f>
        <v>0</v>
      </c>
      <c r="S28" s="85">
        <f>IFERROR(IF(B28="","",IF($AN$16=$AN$17,0,IF($B28="TOTAL",SUM($S$8:S27),IF($AN$19=$AN$20,$AN$24,0)))),"")</f>
        <v>0</v>
      </c>
      <c r="T28" s="84">
        <f t="shared" si="11"/>
        <v>0</v>
      </c>
      <c r="U28" s="84" t="str">
        <f>IF(B28="","",IF($B28="TOTAL",SUM($U$8:U27),IF(AND($AN$2=$AN$20,B28=$AN$1),ROUND(C28/31*$AO$2,0),IF(B28=$AL$6,ROUND((F28)*1/30,0),IF(B28=$AM$6,ROUND((F28)*1/31,0),"")))))</f>
        <v/>
      </c>
      <c r="V28" s="84" t="str">
        <f>IF(B28="","",IF($B28="TOTAL",SUM($V$8:V27),IF(AND($AN$2=$AN$20,B28=$AN$1),ROUND(G28/31*$AO$2,0),IF(B28=$AL$6,ROUND((J28)*1/30,0),IF(B28=$AM$6,ROUND((J28)*1/31,0),"")))))</f>
        <v/>
      </c>
      <c r="W28" s="84" t="str">
        <f t="shared" si="12"/>
        <v/>
      </c>
      <c r="X28" s="84" t="str">
        <f>IFERROR(IF($B28="TOTAL",SUM($X$8:X27),IF(BD29="YES",BE29,"")),"")</f>
        <v/>
      </c>
      <c r="Y28" s="84">
        <f>IFERROR(IF(B28="","",IF($B28="TOTAL",SUM($Y$8:Y27),ROUND(N28*$AN$7%,0))),"")</f>
        <v>0</v>
      </c>
      <c r="Z28" s="84">
        <f>IFERROR(IF(B28="","",IF($B28="TOTAL",SUM($Z$8:Z27),SUM(Q28,T28,W28,X28,Y28))),"")</f>
        <v>153</v>
      </c>
      <c r="AA28" s="86">
        <f>IFERROR(IF(B28="","",IF($B28="TOTAL",SUM($AA$8:AA27),SUM(N28-Z28))),"")</f>
        <v>1485</v>
      </c>
      <c r="AB28" s="16"/>
      <c r="AC28" s="16"/>
      <c r="AJ28" s="112">
        <f t="shared" si="13"/>
        <v>9</v>
      </c>
      <c r="AK28" s="112">
        <f t="shared" si="14"/>
        <v>9</v>
      </c>
      <c r="AL28" s="113"/>
      <c r="AM28" s="114">
        <v>43313</v>
      </c>
      <c r="AN28" s="113" t="str">
        <f>'Master Sheet'!D25</f>
        <v>NO</v>
      </c>
      <c r="AO28" s="114">
        <f t="shared" si="32"/>
        <v>43313</v>
      </c>
      <c r="AP28" s="114">
        <f t="shared" si="16"/>
        <v>43313</v>
      </c>
      <c r="AQ28" s="114">
        <f t="shared" si="17"/>
        <v>43313</v>
      </c>
      <c r="AR28" s="113">
        <f t="shared" si="33"/>
        <v>49300</v>
      </c>
      <c r="AS28" s="113">
        <f t="shared" si="30"/>
        <v>4437</v>
      </c>
      <c r="AT28" s="113">
        <f t="shared" si="34"/>
        <v>3944</v>
      </c>
      <c r="AU28" s="113"/>
      <c r="AV28" s="113">
        <f t="shared" si="35"/>
        <v>47900</v>
      </c>
      <c r="AW28" s="113">
        <f t="shared" si="36"/>
        <v>4311</v>
      </c>
      <c r="AX28" s="113">
        <f t="shared" si="37"/>
        <v>3832</v>
      </c>
      <c r="AY28" s="113">
        <f t="shared" si="38"/>
        <v>3675</v>
      </c>
      <c r="AZ28" s="113"/>
      <c r="BA28" s="113"/>
      <c r="BB28" s="148">
        <f t="shared" si="39"/>
        <v>1638</v>
      </c>
      <c r="BC28" s="113">
        <f t="shared" si="40"/>
        <v>3675</v>
      </c>
      <c r="BD28" s="113" t="str">
        <f t="shared" si="23"/>
        <v/>
      </c>
      <c r="BE28" s="113" t="str">
        <f t="shared" si="24"/>
        <v/>
      </c>
      <c r="BF28" s="113">
        <f t="shared" si="25"/>
        <v>153</v>
      </c>
    </row>
    <row r="29" spans="1:58" s="35" customFormat="1" ht="21" customHeight="1">
      <c r="A29" s="82">
        <f t="shared" si="26"/>
        <v>22</v>
      </c>
      <c r="B29" s="83">
        <f t="shared" si="27"/>
        <v>43374</v>
      </c>
      <c r="C29" s="84">
        <f>IFERROR(IF($B28="TOTAL","अक्षरें राशि :-",IF($B29="TOTAL",SUM($C$8:C28),IF(AR30="","",AR30))),"")</f>
        <v>49300</v>
      </c>
      <c r="D29" s="84">
        <f>IFERROR(IF($B29="TOTAL",SUM($D$8:D28),IF(AS30="","",AS30)),"")</f>
        <v>4437</v>
      </c>
      <c r="E29" s="84">
        <f>IFERROR(IF($B29="TOTAL",SUM($E$8:E28),IF(OR(B29=$AL$16,B29=$AL$17,B29=$AL$18,B29=$AL$19,B29=$AL$20,B29=$AL$21,B29=$AL$22,B29=$AL$23,B29=$AL$24),0,IF(AT30="","",AT30))),"")</f>
        <v>3944</v>
      </c>
      <c r="F29" s="84">
        <f t="shared" si="28"/>
        <v>57681</v>
      </c>
      <c r="G29" s="84">
        <f>IFERROR(IF($B29="TOTAL",SUM($G$8:G28),IF(AV30="","",AV30)),"")</f>
        <v>47900</v>
      </c>
      <c r="H29" s="84">
        <f>IFERROR(IF($B29="TOTAL",SUM($H$8:H28),IF(AW30="","",AW30)),"")</f>
        <v>4311</v>
      </c>
      <c r="I29" s="84">
        <f>IFERROR(IF($B29="TOTAL",SUM($I$8:I28),IF(OR(B29=$AL$16,B29=$AL$17,B29=$AL$18,B29=$AL$19,B29=$AL$20,B29=$AL$21,B29=$AL$22,B29=$AL$23,B29=$AL$24),0,IF(AX30="","",AX30))),"")</f>
        <v>3832</v>
      </c>
      <c r="J29" s="84">
        <f t="shared" si="8"/>
        <v>56043</v>
      </c>
      <c r="K29" s="84">
        <f>IFERROR(IF(B29="","",IF(C29="","",IF(G29="","",IF($B29="TOTAL",SUM($K$8:K28),SUM(C29-G29))))),"")</f>
        <v>1400</v>
      </c>
      <c r="L29" s="84">
        <f>IFERROR(IF(B29="","",IF(D29="","",IF(H29="","",IF($B29="TOTAL",SUM($L$8:L28),SUM(D29-H29))))),"")</f>
        <v>126</v>
      </c>
      <c r="M29" s="84">
        <f>IFERROR(IF(B29="","",IF(E29="","",IF(I29="","",IF($B29="TOTAL",SUM($M$8:M28),SUM(E29-I29))))),"")</f>
        <v>112</v>
      </c>
      <c r="N29" s="84">
        <f t="shared" si="9"/>
        <v>1638</v>
      </c>
      <c r="O29" s="84">
        <f>IFERROR(IF(B29="","",IF($B29="TOTAL",SUM($O$8:O28),IF($AN$18=$AN$20,AY30,ROUND((C29+D29)*10%,0)))),"")</f>
        <v>5374</v>
      </c>
      <c r="P29" s="84">
        <f>IFERROR(IF(B29="","",IF(G29="","",IF(H29="","",IF($B29="TOTAL",SUM($P$8:P28),IF($AN$18=$AN$20,$AN$21,ROUND((G29+H29)*10%,0)))))),"")</f>
        <v>5221</v>
      </c>
      <c r="Q29" s="84">
        <f t="shared" si="10"/>
        <v>153</v>
      </c>
      <c r="R29" s="85">
        <f>IFERROR(IF(B29="","",IF($AN$16=$AN$17,0,IF($B29="TOTAL",SUM($R$8:R28),IF($AN$19=$AN$31,0,IF(AND($AN$32=$AN$20,B29=$AN$33),$AN$34,R28))))),"")</f>
        <v>0</v>
      </c>
      <c r="S29" s="85">
        <f>IFERROR(IF(B29="","",IF($AN$16=$AN$17,0,IF($B29="TOTAL",SUM($S$8:S28),IF($AN$19=$AN$20,$AN$24,0)))),"")</f>
        <v>0</v>
      </c>
      <c r="T29" s="84">
        <f t="shared" si="11"/>
        <v>0</v>
      </c>
      <c r="U29" s="84" t="str">
        <f>IF(B29="","",IF($B29="TOTAL",SUM($U$8:U28),IF(AND($AN$2=$AN$20,B29=$AN$1),ROUND(C29/31*$AO$2,0),IF(B29=$AL$6,ROUND((F29)*1/30,0),IF(B29=$AM$6,ROUND((F29)*1/31,0),"")))))</f>
        <v/>
      </c>
      <c r="V29" s="84" t="str">
        <f>IF(B29="","",IF($B29="TOTAL",SUM($V$8:V28),IF(AND($AN$2=$AN$20,B29=$AN$1),ROUND(G29/31*$AO$2,0),IF(B29=$AL$6,ROUND((J29)*1/30,0),IF(B29=$AM$6,ROUND((J29)*1/31,0),"")))))</f>
        <v/>
      </c>
      <c r="W29" s="84" t="str">
        <f t="shared" si="12"/>
        <v/>
      </c>
      <c r="X29" s="84" t="str">
        <f>IFERROR(IF($B29="TOTAL",SUM($X$8:X28),IF(BD30="YES",BE30,"")),"")</f>
        <v/>
      </c>
      <c r="Y29" s="84">
        <f>IFERROR(IF(B29="","",IF($B29="TOTAL",SUM($Y$8:Y28),ROUND(N29*$AN$7%,0))),"")</f>
        <v>0</v>
      </c>
      <c r="Z29" s="84">
        <f>IFERROR(IF(B29="","",IF($B29="TOTAL",SUM($Z$8:Z28),SUM(Q29,T29,W29,X29,Y29))),"")</f>
        <v>153</v>
      </c>
      <c r="AA29" s="86">
        <f>IFERROR(IF(B29="","",IF($B29="TOTAL",SUM($AA$8:AA28),SUM(N29-Z29))),"")</f>
        <v>1485</v>
      </c>
      <c r="AB29" s="16"/>
      <c r="AC29" s="16"/>
      <c r="AJ29" s="112">
        <f t="shared" si="13"/>
        <v>9</v>
      </c>
      <c r="AK29" s="112">
        <f t="shared" si="14"/>
        <v>9</v>
      </c>
      <c r="AL29" s="113"/>
      <c r="AM29" s="114">
        <v>43344</v>
      </c>
      <c r="AN29" s="113">
        <f>'Master Sheet'!K25</f>
        <v>41100</v>
      </c>
      <c r="AO29" s="114">
        <f t="shared" si="32"/>
        <v>43344</v>
      </c>
      <c r="AP29" s="114">
        <f t="shared" si="16"/>
        <v>43344</v>
      </c>
      <c r="AQ29" s="114">
        <f t="shared" si="17"/>
        <v>43344</v>
      </c>
      <c r="AR29" s="113">
        <f t="shared" si="33"/>
        <v>49300</v>
      </c>
      <c r="AS29" s="113">
        <f t="shared" si="30"/>
        <v>4437</v>
      </c>
      <c r="AT29" s="113">
        <f t="shared" si="34"/>
        <v>3944</v>
      </c>
      <c r="AU29" s="113"/>
      <c r="AV29" s="113">
        <f t="shared" si="35"/>
        <v>47900</v>
      </c>
      <c r="AW29" s="113">
        <f t="shared" si="36"/>
        <v>4311</v>
      </c>
      <c r="AX29" s="113">
        <f t="shared" si="37"/>
        <v>3832</v>
      </c>
      <c r="AY29" s="113">
        <f t="shared" si="38"/>
        <v>3675</v>
      </c>
      <c r="AZ29" s="113"/>
      <c r="BA29" s="113"/>
      <c r="BB29" s="148">
        <f t="shared" si="39"/>
        <v>1638</v>
      </c>
      <c r="BC29" s="113">
        <f t="shared" si="40"/>
        <v>3675</v>
      </c>
      <c r="BD29" s="113" t="str">
        <f t="shared" si="23"/>
        <v/>
      </c>
      <c r="BE29" s="113" t="str">
        <f t="shared" si="24"/>
        <v/>
      </c>
      <c r="BF29" s="113">
        <f t="shared" si="25"/>
        <v>153</v>
      </c>
    </row>
    <row r="30" spans="1:58" s="35" customFormat="1" ht="21" customHeight="1">
      <c r="A30" s="82">
        <f t="shared" si="26"/>
        <v>23</v>
      </c>
      <c r="B30" s="83">
        <f t="shared" si="27"/>
        <v>43405</v>
      </c>
      <c r="C30" s="84">
        <f>IFERROR(IF($B29="TOTAL","अक्षरें राशि :-",IF($B30="TOTAL",SUM($C$8:C29),IF(AR31="","",AR31))),"")</f>
        <v>49300</v>
      </c>
      <c r="D30" s="84">
        <f>IFERROR(IF($B30="TOTAL",SUM($D$8:D29),IF(AS31="","",AS31)),"")</f>
        <v>4437</v>
      </c>
      <c r="E30" s="84">
        <f>IFERROR(IF($B30="TOTAL",SUM($E$8:E29),IF(OR(B30=$AL$16,B30=$AL$17,B30=$AL$18,B30=$AL$19,B30=$AL$20,B30=$AL$21,B30=$AL$22,B30=$AL$23,B30=$AL$24),0,IF(AT31="","",AT31))),"")</f>
        <v>3944</v>
      </c>
      <c r="F30" s="84">
        <f t="shared" si="28"/>
        <v>57681</v>
      </c>
      <c r="G30" s="84">
        <f>IFERROR(IF($B30="TOTAL",SUM($G$8:G29),IF(AV31="","",AV31)),"")</f>
        <v>47900</v>
      </c>
      <c r="H30" s="84">
        <f>IFERROR(IF($B30="TOTAL",SUM($H$8:H29),IF(AW31="","",AW31)),"")</f>
        <v>4311</v>
      </c>
      <c r="I30" s="84">
        <f>IFERROR(IF($B30="TOTAL",SUM($I$8:I29),IF(OR(B30=$AL$16,B30=$AL$17,B30=$AL$18,B30=$AL$19,B30=$AL$20,B30=$AL$21,B30=$AL$22,B30=$AL$23,B30=$AL$24),0,IF(AX31="","",AX31))),"")</f>
        <v>3832</v>
      </c>
      <c r="J30" s="84">
        <f t="shared" si="8"/>
        <v>56043</v>
      </c>
      <c r="K30" s="84">
        <f>IFERROR(IF(B30="","",IF(C30="","",IF(G30="","",IF($B30="TOTAL",SUM($K$8:K29),SUM(C30-G30))))),"")</f>
        <v>1400</v>
      </c>
      <c r="L30" s="84">
        <f>IFERROR(IF(B30="","",IF(D30="","",IF(H30="","",IF($B30="TOTAL",SUM($L$8:L29),SUM(D30-H30))))),"")</f>
        <v>126</v>
      </c>
      <c r="M30" s="84">
        <f>IFERROR(IF(B30="","",IF(E30="","",IF(I30="","",IF($B30="TOTAL",SUM($M$8:M29),SUM(E30-I30))))),"")</f>
        <v>112</v>
      </c>
      <c r="N30" s="84">
        <f t="shared" si="9"/>
        <v>1638</v>
      </c>
      <c r="O30" s="84">
        <f>IFERROR(IF(B30="","",IF($B30="TOTAL",SUM($O$8:O29),IF($AN$18=$AN$20,AY31,ROUND((C30+D30)*10%,0)))),"")</f>
        <v>5374</v>
      </c>
      <c r="P30" s="84">
        <f>IFERROR(IF(B30="","",IF(G30="","",IF(H30="","",IF($B30="TOTAL",SUM($P$8:P29),IF($AN$18=$AN$20,$AN$21,ROUND((G30+H30)*10%,0)))))),"")</f>
        <v>5221</v>
      </c>
      <c r="Q30" s="84">
        <f t="shared" si="10"/>
        <v>153</v>
      </c>
      <c r="R30" s="85">
        <f>IFERROR(IF(B30="","",IF($AN$16=$AN$17,0,IF($B30="TOTAL",SUM($R$8:R29),IF($AN$19=$AN$31,0,IF(AND($AN$32=$AN$20,B30=$AN$33),$AN$34,R29))))),"")</f>
        <v>0</v>
      </c>
      <c r="S30" s="85">
        <f>IFERROR(IF(B30="","",IF($AN$16=$AN$17,0,IF($B30="TOTAL",SUM($S$8:S29),IF($AN$19=$AN$20,$AN$24,0)))),"")</f>
        <v>0</v>
      </c>
      <c r="T30" s="84">
        <f t="shared" si="11"/>
        <v>0</v>
      </c>
      <c r="U30" s="84" t="str">
        <f>IF(B30="","",IF($B30="TOTAL",SUM($U$8:U29),IF(AND($AN$2=$AN$20,B30=$AN$1),ROUND(C30/31*$AO$2,0),IF(B30=$AL$6,ROUND((F30)*1/30,0),IF(B30=$AM$6,ROUND((F30)*1/31,0),"")))))</f>
        <v/>
      </c>
      <c r="V30" s="84" t="str">
        <f>IF(B30="","",IF($B30="TOTAL",SUM($V$8:V29),IF(AND($AN$2=$AN$20,B30=$AN$1),ROUND(G30/31*$AO$2,0),IF(B30=$AL$6,ROUND((J30)*1/30,0),IF(B30=$AM$6,ROUND((J30)*1/31,0),"")))))</f>
        <v/>
      </c>
      <c r="W30" s="84" t="str">
        <f t="shared" si="12"/>
        <v/>
      </c>
      <c r="X30" s="84" t="str">
        <f>IFERROR(IF($B30="TOTAL",SUM($X$8:X29),IF(BD31="YES",BE31,"")),"")</f>
        <v/>
      </c>
      <c r="Y30" s="84">
        <f>IFERROR(IF(B30="","",IF($B30="TOTAL",SUM($Y$8:Y29),ROUND(N30*$AN$7%,0))),"")</f>
        <v>0</v>
      </c>
      <c r="Z30" s="84">
        <f>IFERROR(IF(B30="","",IF($B30="TOTAL",SUM($Z$8:Z29),SUM(Q30,T30,W30,X30,Y30))),"")</f>
        <v>153</v>
      </c>
      <c r="AA30" s="86">
        <f>IFERROR(IF(B30="","",IF($B30="TOTAL",SUM($AA$8:AA29),SUM(N30-Z30))),"")</f>
        <v>1485</v>
      </c>
      <c r="AB30" s="16"/>
      <c r="AC30" s="16"/>
      <c r="AJ30" s="112">
        <f t="shared" si="13"/>
        <v>9</v>
      </c>
      <c r="AK30" s="112">
        <f t="shared" si="14"/>
        <v>9</v>
      </c>
      <c r="AL30" s="113"/>
      <c r="AM30" s="114">
        <v>43374</v>
      </c>
      <c r="AN30" s="114">
        <f>'Master Sheet'!G25</f>
        <v>44287</v>
      </c>
      <c r="AO30" s="114">
        <f t="shared" si="32"/>
        <v>43374</v>
      </c>
      <c r="AP30" s="114">
        <f t="shared" si="16"/>
        <v>43374</v>
      </c>
      <c r="AQ30" s="114">
        <f t="shared" si="17"/>
        <v>43374</v>
      </c>
      <c r="AR30" s="113">
        <f t="shared" si="33"/>
        <v>49300</v>
      </c>
      <c r="AS30" s="113">
        <f t="shared" si="30"/>
        <v>4437</v>
      </c>
      <c r="AT30" s="113">
        <f t="shared" si="34"/>
        <v>3944</v>
      </c>
      <c r="AU30" s="113"/>
      <c r="AV30" s="113">
        <f t="shared" si="35"/>
        <v>47900</v>
      </c>
      <c r="AW30" s="113">
        <f t="shared" si="36"/>
        <v>4311</v>
      </c>
      <c r="AX30" s="113">
        <f t="shared" si="37"/>
        <v>3832</v>
      </c>
      <c r="AY30" s="113">
        <f t="shared" si="38"/>
        <v>3675</v>
      </c>
      <c r="AZ30" s="113"/>
      <c r="BA30" s="113"/>
      <c r="BB30" s="148">
        <f t="shared" si="39"/>
        <v>1638</v>
      </c>
      <c r="BC30" s="113">
        <f t="shared" si="40"/>
        <v>3675</v>
      </c>
      <c r="BD30" s="113" t="str">
        <f t="shared" si="23"/>
        <v/>
      </c>
      <c r="BE30" s="113" t="str">
        <f t="shared" si="24"/>
        <v/>
      </c>
      <c r="BF30" s="113">
        <f t="shared" si="25"/>
        <v>153</v>
      </c>
    </row>
    <row r="31" spans="1:58" s="35" customFormat="1" ht="21" customHeight="1">
      <c r="A31" s="82">
        <f t="shared" si="26"/>
        <v>24</v>
      </c>
      <c r="B31" s="83">
        <f t="shared" si="27"/>
        <v>43435</v>
      </c>
      <c r="C31" s="84">
        <f>IFERROR(IF($B30="TOTAL","अक्षरें राशि :-",IF($B31="TOTAL",SUM($C$8:C30),IF(AR32="","",AR32))),"")</f>
        <v>49300</v>
      </c>
      <c r="D31" s="84">
        <f>IFERROR(IF($B31="TOTAL",SUM($D$8:D30),IF(AS32="","",AS32)),"")</f>
        <v>4437</v>
      </c>
      <c r="E31" s="84">
        <f>IFERROR(IF($B31="TOTAL",SUM($E$8:E30),IF(OR(B31=$AL$16,B31=$AL$17,B31=$AL$18,B31=$AL$19,B31=$AL$20,B31=$AL$21,B31=$AL$22,B31=$AL$23,B31=$AL$24),0,IF(AT32="","",AT32))),"")</f>
        <v>3944</v>
      </c>
      <c r="F31" s="84">
        <f t="shared" si="28"/>
        <v>57681</v>
      </c>
      <c r="G31" s="84">
        <f>IFERROR(IF($B31="TOTAL",SUM($G$8:G30),IF(AV32="","",AV32)),"")</f>
        <v>47900</v>
      </c>
      <c r="H31" s="84">
        <f>IFERROR(IF($B31="TOTAL",SUM($H$8:H30),IF(AW32="","",AW32)),"")</f>
        <v>4311</v>
      </c>
      <c r="I31" s="84">
        <f>IFERROR(IF($B31="TOTAL",SUM($I$8:I30),IF(OR(B31=$AL$16,B31=$AL$17,B31=$AL$18,B31=$AL$19,B31=$AL$20,B31=$AL$21,B31=$AL$22,B31=$AL$23,B31=$AL$24),0,IF(AX32="","",AX32))),"")</f>
        <v>3832</v>
      </c>
      <c r="J31" s="84">
        <f t="shared" si="8"/>
        <v>56043</v>
      </c>
      <c r="K31" s="84">
        <f>IFERROR(IF(B31="","",IF(C31="","",IF(G31="","",IF($B31="TOTAL",SUM($K$8:K30),SUM(C31-G31))))),"")</f>
        <v>1400</v>
      </c>
      <c r="L31" s="84">
        <f>IFERROR(IF(B31="","",IF(D31="","",IF(H31="","",IF($B31="TOTAL",SUM($L$8:L30),SUM(D31-H31))))),"")</f>
        <v>126</v>
      </c>
      <c r="M31" s="84">
        <f>IFERROR(IF(B31="","",IF(E31="","",IF(I31="","",IF($B31="TOTAL",SUM($M$8:M30),SUM(E31-I31))))),"")</f>
        <v>112</v>
      </c>
      <c r="N31" s="84">
        <f t="shared" si="9"/>
        <v>1638</v>
      </c>
      <c r="O31" s="84">
        <f>IFERROR(IF(B31="","",IF($B31="TOTAL",SUM($O$8:O30),IF($AN$18=$AN$20,AY32,ROUND((C31+D31)*10%,0)))),"")</f>
        <v>5374</v>
      </c>
      <c r="P31" s="84">
        <f>IFERROR(IF(B31="","",IF(G31="","",IF(H31="","",IF($B31="TOTAL",SUM($P$8:P30),IF($AN$18=$AN$20,$AN$21,ROUND((G31+H31)*10%,0)))))),"")</f>
        <v>5221</v>
      </c>
      <c r="Q31" s="84">
        <f t="shared" si="10"/>
        <v>153</v>
      </c>
      <c r="R31" s="85">
        <f>IFERROR(IF(B31="","",IF($AN$16=$AN$17,0,IF($B31="TOTAL",SUM($R$8:R30),IF($AN$19=$AN$31,0,IF(AND($AN$32=$AN$20,B31=$AN$33),$AN$34,R30))))),"")</f>
        <v>0</v>
      </c>
      <c r="S31" s="85">
        <f>IFERROR(IF(B31="","",IF($AN$16=$AN$17,0,IF($B31="TOTAL",SUM($S$8:S30),IF($AN$19=$AN$20,$AN$24,0)))),"")</f>
        <v>0</v>
      </c>
      <c r="T31" s="84">
        <f t="shared" si="11"/>
        <v>0</v>
      </c>
      <c r="U31" s="84" t="str">
        <f>IF(B31="","",IF($B31="TOTAL",SUM($U$8:U30),IF(AND($AN$2=$AN$20,B31=$AN$1),ROUND(C31/31*$AO$2,0),IF(B31=$AL$6,ROUND((F31)*1/30,0),IF(B31=$AM$6,ROUND((F31)*1/31,0),"")))))</f>
        <v/>
      </c>
      <c r="V31" s="84" t="str">
        <f>IF(B31="","",IF($B31="TOTAL",SUM($V$8:V30),IF(AND($AN$2=$AN$20,B31=$AN$1),ROUND(G31/31*$AO$2,0),IF(B31=$AL$6,ROUND((J31)*1/30,0),IF(B31=$AM$6,ROUND((J31)*1/31,0),"")))))</f>
        <v/>
      </c>
      <c r="W31" s="84" t="str">
        <f t="shared" si="12"/>
        <v/>
      </c>
      <c r="X31" s="84" t="str">
        <f>IFERROR(IF($B31="TOTAL",SUM($X$8:X30),IF(BD32="YES",BE32,"")),"")</f>
        <v/>
      </c>
      <c r="Y31" s="84">
        <f>IFERROR(IF(B31="","",IF($B31="TOTAL",SUM($Y$8:Y30),ROUND(N31*$AN$7%,0))),"")</f>
        <v>0</v>
      </c>
      <c r="Z31" s="84">
        <f>IFERROR(IF(B31="","",IF($B31="TOTAL",SUM($Z$8:Z30),SUM(Q31,T31,W31,X31,Y31))),"")</f>
        <v>153</v>
      </c>
      <c r="AA31" s="86">
        <f>IFERROR(IF(B31="","",IF($B31="TOTAL",SUM($AA$8:AA30),SUM(N31-Z31))),"")</f>
        <v>1485</v>
      </c>
      <c r="AB31" s="16"/>
      <c r="AC31" s="16"/>
      <c r="AJ31" s="112">
        <f t="shared" si="13"/>
        <v>9</v>
      </c>
      <c r="AK31" s="112">
        <f t="shared" si="14"/>
        <v>9</v>
      </c>
      <c r="AL31" s="113"/>
      <c r="AM31" s="114">
        <v>43405</v>
      </c>
      <c r="AN31" s="113" t="s">
        <v>55</v>
      </c>
      <c r="AO31" s="114">
        <f t="shared" si="32"/>
        <v>43405</v>
      </c>
      <c r="AP31" s="114">
        <f t="shared" si="16"/>
        <v>43405</v>
      </c>
      <c r="AQ31" s="114">
        <f t="shared" si="17"/>
        <v>43405</v>
      </c>
      <c r="AR31" s="113">
        <f t="shared" si="33"/>
        <v>49300</v>
      </c>
      <c r="AS31" s="113">
        <f t="shared" si="30"/>
        <v>4437</v>
      </c>
      <c r="AT31" s="113">
        <f t="shared" si="34"/>
        <v>3944</v>
      </c>
      <c r="AU31" s="113"/>
      <c r="AV31" s="113">
        <f t="shared" si="35"/>
        <v>47900</v>
      </c>
      <c r="AW31" s="113">
        <f t="shared" si="36"/>
        <v>4311</v>
      </c>
      <c r="AX31" s="113">
        <f t="shared" si="37"/>
        <v>3832</v>
      </c>
      <c r="AY31" s="113">
        <f t="shared" si="38"/>
        <v>3675</v>
      </c>
      <c r="AZ31" s="113"/>
      <c r="BA31" s="113"/>
      <c r="BB31" s="148">
        <f t="shared" si="39"/>
        <v>1638</v>
      </c>
      <c r="BC31" s="113">
        <f t="shared" si="40"/>
        <v>3675</v>
      </c>
      <c r="BD31" s="113" t="str">
        <f t="shared" si="23"/>
        <v/>
      </c>
      <c r="BE31" s="113" t="str">
        <f t="shared" si="24"/>
        <v/>
      </c>
      <c r="BF31" s="113">
        <f t="shared" si="25"/>
        <v>153</v>
      </c>
    </row>
    <row r="32" spans="1:58" s="35" customFormat="1" ht="21" customHeight="1">
      <c r="A32" s="82">
        <f t="shared" si="26"/>
        <v>25</v>
      </c>
      <c r="B32" s="83">
        <f t="shared" si="27"/>
        <v>43466</v>
      </c>
      <c r="C32" s="84">
        <f>IFERROR(IF($B31="TOTAL","अक्षरें राशि :-",IF($B32="TOTAL",SUM($C$8:C31),IF(AR33="","",AR33))),"")</f>
        <v>49300</v>
      </c>
      <c r="D32" s="84">
        <f>IFERROR(IF($B32="TOTAL",SUM($D$8:D31),IF(AS33="","",AS33)),"")</f>
        <v>5916</v>
      </c>
      <c r="E32" s="84">
        <f>IFERROR(IF($B32="TOTAL",SUM($E$8:E31),IF(OR(B32=$AL$16,B32=$AL$17,B32=$AL$18,B32=$AL$19,B32=$AL$20,B32=$AL$21,B32=$AL$22,B32=$AL$23,B32=$AL$24),0,IF(AT33="","",AT33))),"")</f>
        <v>3944</v>
      </c>
      <c r="F32" s="84">
        <f t="shared" si="28"/>
        <v>59160</v>
      </c>
      <c r="G32" s="84">
        <f>IFERROR(IF($B32="TOTAL",SUM($G$8:G31),IF(AV33="","",AV33)),"")</f>
        <v>47900</v>
      </c>
      <c r="H32" s="84">
        <f>IFERROR(IF($B32="TOTAL",SUM($H$8:H31),IF(AW33="","",AW33)),"")</f>
        <v>5748</v>
      </c>
      <c r="I32" s="84">
        <f>IFERROR(IF($B32="TOTAL",SUM($I$8:I31),IF(OR(B32=$AL$16,B32=$AL$17,B32=$AL$18,B32=$AL$19,B32=$AL$20,B32=$AL$21,B32=$AL$22,B32=$AL$23,B32=$AL$24),0,IF(AX33="","",AX33))),"")</f>
        <v>3832</v>
      </c>
      <c r="J32" s="84">
        <f t="shared" si="8"/>
        <v>57480</v>
      </c>
      <c r="K32" s="84">
        <f>IFERROR(IF(B32="","",IF(C32="","",IF(G32="","",IF($B32="TOTAL",SUM($K$8:K31),SUM(C32-G32))))),"")</f>
        <v>1400</v>
      </c>
      <c r="L32" s="84">
        <f>IFERROR(IF(B32="","",IF(D32="","",IF(H32="","",IF($B32="TOTAL",SUM($L$8:L31),SUM(D32-H32))))),"")</f>
        <v>168</v>
      </c>
      <c r="M32" s="84">
        <f>IFERROR(IF(B32="","",IF(E32="","",IF(I32="","",IF($B32="TOTAL",SUM($M$8:M31),SUM(E32-I32))))),"")</f>
        <v>112</v>
      </c>
      <c r="N32" s="84">
        <f t="shared" si="9"/>
        <v>1680</v>
      </c>
      <c r="O32" s="84">
        <f>IFERROR(IF(B32="","",IF($B32="TOTAL",SUM($O$8:O31),IF($AN$18=$AN$20,AY33,ROUND((C32+D32)*10%,0)))),"")</f>
        <v>5522</v>
      </c>
      <c r="P32" s="84">
        <f>IFERROR(IF(B32="","",IF(G32="","",IF(H32="","",IF($B32="TOTAL",SUM($P$8:P31),IF($AN$18=$AN$20,$AN$21,ROUND((G32+H32)*10%,0)))))),"")</f>
        <v>5365</v>
      </c>
      <c r="Q32" s="84">
        <f t="shared" si="10"/>
        <v>157</v>
      </c>
      <c r="R32" s="85">
        <f>IFERROR(IF(B32="","",IF($AN$16=$AN$17,0,IF($B32="TOTAL",SUM($R$8:R31),IF($AN$19=$AN$31,0,IF(AND($AN$32=$AN$20,B32=$AN$33),$AN$34,R31))))),"")</f>
        <v>0</v>
      </c>
      <c r="S32" s="85">
        <f>IFERROR(IF(B32="","",IF($AN$16=$AN$17,0,IF($B32="TOTAL",SUM($S$8:S31),IF($AN$19=$AN$20,$AN$24,0)))),"")</f>
        <v>0</v>
      </c>
      <c r="T32" s="84">
        <f t="shared" si="11"/>
        <v>0</v>
      </c>
      <c r="U32" s="84" t="str">
        <f>IF(B32="","",IF($B32="TOTAL",SUM($U$8:U31),IF(AND($AN$2=$AN$20,B32=$AN$1),ROUND(C32/31*$AO$2,0),IF(B32=$AL$6,ROUND((F32)*1/30,0),IF(B32=$AM$6,ROUND((F32)*1/31,0),"")))))</f>
        <v/>
      </c>
      <c r="V32" s="84" t="str">
        <f>IF(B32="","",IF($B32="TOTAL",SUM($V$8:V31),IF(AND($AN$2=$AN$20,B32=$AN$1),ROUND(G32/31*$AO$2,0),IF(B32=$AL$6,ROUND((J32)*1/30,0),IF(B32=$AM$6,ROUND((J32)*1/31,0),"")))))</f>
        <v/>
      </c>
      <c r="W32" s="84" t="str">
        <f t="shared" si="12"/>
        <v/>
      </c>
      <c r="X32" s="84" t="str">
        <f>IFERROR(IF($B32="TOTAL",SUM($X$8:X31),IF(BD33="YES",BE33,"")),"")</f>
        <v/>
      </c>
      <c r="Y32" s="84">
        <f>IFERROR(IF(B32="","",IF($B32="TOTAL",SUM($Y$8:Y31),ROUND(N32*$AN$7%,0))),"")</f>
        <v>0</v>
      </c>
      <c r="Z32" s="84">
        <f>IFERROR(IF(B32="","",IF($B32="TOTAL",SUM($Z$8:Z31),SUM(Q32,T32,W32,X32,Y32))),"")</f>
        <v>157</v>
      </c>
      <c r="AA32" s="86">
        <f>IFERROR(IF(B32="","",IF($B32="TOTAL",SUM($AA$8:AA31),SUM(N32-Z32))),"")</f>
        <v>1523</v>
      </c>
      <c r="AB32" s="16"/>
      <c r="AC32" s="16"/>
      <c r="AJ32" s="112">
        <f t="shared" si="13"/>
        <v>9</v>
      </c>
      <c r="AK32" s="112">
        <f t="shared" si="14"/>
        <v>9</v>
      </c>
      <c r="AL32" s="113"/>
      <c r="AM32" s="114">
        <v>43435</v>
      </c>
      <c r="AN32" s="113" t="str">
        <f>'Master Sheet'!D19</f>
        <v>NO</v>
      </c>
      <c r="AO32" s="114">
        <f t="shared" si="32"/>
        <v>43435</v>
      </c>
      <c r="AP32" s="114">
        <f t="shared" si="16"/>
        <v>43435</v>
      </c>
      <c r="AQ32" s="114">
        <f t="shared" si="17"/>
        <v>43435</v>
      </c>
      <c r="AR32" s="113">
        <f t="shared" si="33"/>
        <v>49300</v>
      </c>
      <c r="AS32" s="113">
        <f t="shared" si="30"/>
        <v>4437</v>
      </c>
      <c r="AT32" s="113">
        <f t="shared" si="34"/>
        <v>3944</v>
      </c>
      <c r="AU32" s="113"/>
      <c r="AV32" s="113">
        <f t="shared" si="35"/>
        <v>47900</v>
      </c>
      <c r="AW32" s="113">
        <f t="shared" si="36"/>
        <v>4311</v>
      </c>
      <c r="AX32" s="113">
        <f t="shared" si="37"/>
        <v>3832</v>
      </c>
      <c r="AY32" s="113">
        <f t="shared" si="38"/>
        <v>3675</v>
      </c>
      <c r="AZ32" s="113"/>
      <c r="BA32" s="113"/>
      <c r="BB32" s="148">
        <f t="shared" si="39"/>
        <v>1638</v>
      </c>
      <c r="BC32" s="113">
        <f t="shared" si="40"/>
        <v>3675</v>
      </c>
      <c r="BD32" s="113" t="str">
        <f t="shared" si="23"/>
        <v/>
      </c>
      <c r="BE32" s="113" t="str">
        <f t="shared" si="24"/>
        <v/>
      </c>
      <c r="BF32" s="113">
        <f t="shared" si="25"/>
        <v>153</v>
      </c>
    </row>
    <row r="33" spans="1:58" s="35" customFormat="1" ht="21" customHeight="1">
      <c r="A33" s="82">
        <f t="shared" si="26"/>
        <v>26</v>
      </c>
      <c r="B33" s="83">
        <f t="shared" si="27"/>
        <v>43497</v>
      </c>
      <c r="C33" s="84">
        <f>IFERROR(IF($B32="TOTAL","अक्षरें राशि :-",IF($B33="TOTAL",SUM($C$8:C32),IF(AR34="","",AR34))),"")</f>
        <v>49300</v>
      </c>
      <c r="D33" s="84">
        <f>IFERROR(IF($B33="TOTAL",SUM($D$8:D32),IF(AS34="","",AS34)),"")</f>
        <v>5916</v>
      </c>
      <c r="E33" s="84">
        <f>IFERROR(IF($B33="TOTAL",SUM($E$8:E32),IF(OR(B33=$AL$16,B33=$AL$17,B33=$AL$18,B33=$AL$19,B33=$AL$20,B33=$AL$21,B33=$AL$22,B33=$AL$23,B33=$AL$24),0,IF(AT34="","",AT34))),"")</f>
        <v>3944</v>
      </c>
      <c r="F33" s="84">
        <f t="shared" si="28"/>
        <v>59160</v>
      </c>
      <c r="G33" s="84">
        <f>IFERROR(IF($B33="TOTAL",SUM($G$8:G32),IF(AV34="","",AV34)),"")</f>
        <v>47900</v>
      </c>
      <c r="H33" s="84">
        <f>IFERROR(IF($B33="TOTAL",SUM($H$8:H32),IF(AW34="","",AW34)),"")</f>
        <v>5748</v>
      </c>
      <c r="I33" s="84">
        <f>IFERROR(IF($B33="TOTAL",SUM($I$8:I32),IF(OR(B33=$AL$16,B33=$AL$17,B33=$AL$18,B33=$AL$19,B33=$AL$20,B33=$AL$21,B33=$AL$22,B33=$AL$23,B33=$AL$24),0,IF(AX34="","",AX34))),"")</f>
        <v>3832</v>
      </c>
      <c r="J33" s="84">
        <f t="shared" si="8"/>
        <v>57480</v>
      </c>
      <c r="K33" s="84">
        <f>IFERROR(IF(B33="","",IF(C33="","",IF(G33="","",IF($B33="TOTAL",SUM($K$8:K32),SUM(C33-G33))))),"")</f>
        <v>1400</v>
      </c>
      <c r="L33" s="84">
        <f>IFERROR(IF(B33="","",IF(D33="","",IF(H33="","",IF($B33="TOTAL",SUM($L$8:L32),SUM(D33-H33))))),"")</f>
        <v>168</v>
      </c>
      <c r="M33" s="84">
        <f>IFERROR(IF(B33="","",IF(E33="","",IF(I33="","",IF($B33="TOTAL",SUM($M$8:M32),SUM(E33-I33))))),"")</f>
        <v>112</v>
      </c>
      <c r="N33" s="84">
        <f t="shared" si="9"/>
        <v>1680</v>
      </c>
      <c r="O33" s="84">
        <f>IFERROR(IF(B33="","",IF($B33="TOTAL",SUM($O$8:O32),IF($AN$18=$AN$20,AY34,ROUND((C33+D33)*10%,0)))),"")</f>
        <v>5522</v>
      </c>
      <c r="P33" s="84">
        <f>IFERROR(IF(B33="","",IF(G33="","",IF(H33="","",IF($B33="TOTAL",SUM($P$8:P32),IF($AN$18=$AN$20,$AN$21,ROUND((G33+H33)*10%,0)))))),"")</f>
        <v>5365</v>
      </c>
      <c r="Q33" s="84">
        <f t="shared" si="10"/>
        <v>157</v>
      </c>
      <c r="R33" s="85">
        <f>IFERROR(IF(B33="","",IF($AN$16=$AN$17,0,IF($B33="TOTAL",SUM($R$8:R32),IF($AN$19=$AN$31,0,IF(AND($AN$32=$AN$20,B33=$AN$33),$AN$34,R32))))),"")</f>
        <v>0</v>
      </c>
      <c r="S33" s="85">
        <f>IFERROR(IF(B33="","",IF($AN$16=$AN$17,0,IF($B33="TOTAL",SUM($S$8:S32),IF($AN$19=$AN$20,$AN$24,0)))),"")</f>
        <v>0</v>
      </c>
      <c r="T33" s="84">
        <f t="shared" si="11"/>
        <v>0</v>
      </c>
      <c r="U33" s="84" t="str">
        <f>IF(B33="","",IF($B33="TOTAL",SUM($U$8:U32),IF(AND($AN$2=$AN$20,B33=$AN$1),ROUND(C33/31*$AO$2,0),IF(B33=$AL$6,ROUND((F33)*1/30,0),IF(B33=$AM$6,ROUND((F33)*1/31,0),"")))))</f>
        <v/>
      </c>
      <c r="V33" s="84" t="str">
        <f>IF(B33="","",IF($B33="TOTAL",SUM($V$8:V32),IF(AND($AN$2=$AN$20,B33=$AN$1),ROUND(G33/31*$AO$2,0),IF(B33=$AL$6,ROUND((J33)*1/30,0),IF(B33=$AM$6,ROUND((J33)*1/31,0),"")))))</f>
        <v/>
      </c>
      <c r="W33" s="84" t="str">
        <f t="shared" si="12"/>
        <v/>
      </c>
      <c r="X33" s="84" t="str">
        <f>IFERROR(IF($B33="TOTAL",SUM($X$8:X32),IF(BD34="YES",BE34,"")),"")</f>
        <v/>
      </c>
      <c r="Y33" s="84">
        <f>IFERROR(IF(B33="","",IF($B33="TOTAL",SUM($Y$8:Y32),ROUND(N33*$AN$7%,0))),"")</f>
        <v>0</v>
      </c>
      <c r="Z33" s="84">
        <f>IFERROR(IF(B33="","",IF($B33="TOTAL",SUM($Z$8:Z32),SUM(Q33,T33,W33,X33,Y33))),"")</f>
        <v>157</v>
      </c>
      <c r="AA33" s="86">
        <f>IFERROR(IF(B33="","",IF($B33="TOTAL",SUM($AA$8:AA32),SUM(N33-Z33))),"")</f>
        <v>1523</v>
      </c>
      <c r="AB33" s="16"/>
      <c r="AC33" s="16"/>
      <c r="AJ33" s="112">
        <f t="shared" si="13"/>
        <v>12</v>
      </c>
      <c r="AK33" s="112">
        <f t="shared" si="14"/>
        <v>12</v>
      </c>
      <c r="AL33" s="113"/>
      <c r="AM33" s="114">
        <v>43466</v>
      </c>
      <c r="AN33" s="113">
        <f>'Master Sheet'!G19</f>
        <v>43435</v>
      </c>
      <c r="AO33" s="114">
        <f t="shared" si="32"/>
        <v>43466</v>
      </c>
      <c r="AP33" s="114">
        <f t="shared" si="16"/>
        <v>43466</v>
      </c>
      <c r="AQ33" s="114">
        <f t="shared" si="17"/>
        <v>43466</v>
      </c>
      <c r="AR33" s="113">
        <f t="shared" si="33"/>
        <v>49300</v>
      </c>
      <c r="AS33" s="113">
        <f t="shared" si="30"/>
        <v>5916</v>
      </c>
      <c r="AT33" s="113">
        <f t="shared" si="34"/>
        <v>3944</v>
      </c>
      <c r="AU33" s="113"/>
      <c r="AV33" s="113">
        <f t="shared" si="35"/>
        <v>47900</v>
      </c>
      <c r="AW33" s="113">
        <f t="shared" si="36"/>
        <v>5748</v>
      </c>
      <c r="AX33" s="113">
        <f t="shared" si="37"/>
        <v>3832</v>
      </c>
      <c r="AY33" s="113">
        <f t="shared" si="38"/>
        <v>3675</v>
      </c>
      <c r="AZ33" s="113"/>
      <c r="BA33" s="113"/>
      <c r="BB33" s="148">
        <f t="shared" si="39"/>
        <v>1680</v>
      </c>
      <c r="BC33" s="113">
        <f t="shared" si="40"/>
        <v>3675</v>
      </c>
      <c r="BD33" s="113" t="str">
        <f t="shared" si="23"/>
        <v/>
      </c>
      <c r="BE33" s="113" t="str">
        <f t="shared" si="24"/>
        <v/>
      </c>
      <c r="BF33" s="113">
        <f t="shared" si="25"/>
        <v>157</v>
      </c>
    </row>
    <row r="34" spans="1:58" s="35" customFormat="1" ht="21" customHeight="1">
      <c r="A34" s="82">
        <f t="shared" si="26"/>
        <v>27</v>
      </c>
      <c r="B34" s="83">
        <f t="shared" si="27"/>
        <v>43525</v>
      </c>
      <c r="C34" s="84">
        <f>IFERROR(IF($B33="TOTAL","अक्षरें राशि :-",IF($B34="TOTAL",SUM($C$8:C33),IF(AR35="","",AR35))),"")</f>
        <v>49300</v>
      </c>
      <c r="D34" s="84">
        <f>IFERROR(IF($B34="TOTAL",SUM($D$8:D33),IF(AS35="","",AS35)),"")</f>
        <v>5916</v>
      </c>
      <c r="E34" s="84">
        <f>IFERROR(IF($B34="TOTAL",SUM($E$8:E33),IF(OR(B34=$AL$16,B34=$AL$17,B34=$AL$18,B34=$AL$19,B34=$AL$20,B34=$AL$21,B34=$AL$22,B34=$AL$23,B34=$AL$24),0,IF(AT35="","",AT35))),"")</f>
        <v>3944</v>
      </c>
      <c r="F34" s="84">
        <f t="shared" si="28"/>
        <v>59160</v>
      </c>
      <c r="G34" s="84">
        <f>IFERROR(IF($B34="TOTAL",SUM($G$8:G33),IF(AV35="","",AV35)),"")</f>
        <v>47900</v>
      </c>
      <c r="H34" s="84">
        <f>IFERROR(IF($B34="TOTAL",SUM($H$8:H33),IF(AW35="","",AW35)),"")</f>
        <v>5748</v>
      </c>
      <c r="I34" s="84">
        <f>IFERROR(IF($B34="TOTAL",SUM($I$8:I33),IF(OR(B34=$AL$16,B34=$AL$17,B34=$AL$18,B34=$AL$19,B34=$AL$20,B34=$AL$21,B34=$AL$22,B34=$AL$23,B34=$AL$24),0,IF(AX35="","",AX35))),"")</f>
        <v>3832</v>
      </c>
      <c r="J34" s="84">
        <f t="shared" si="8"/>
        <v>57480</v>
      </c>
      <c r="K34" s="84">
        <f>IFERROR(IF(B34="","",IF(C34="","",IF(G34="","",IF($B34="TOTAL",SUM($K$8:K33),SUM(C34-G34))))),"")</f>
        <v>1400</v>
      </c>
      <c r="L34" s="84">
        <f>IFERROR(IF(B34="","",IF(D34="","",IF(H34="","",IF($B34="TOTAL",SUM($L$8:L33),SUM(D34-H34))))),"")</f>
        <v>168</v>
      </c>
      <c r="M34" s="84">
        <f>IFERROR(IF(B34="","",IF(E34="","",IF(I34="","",IF($B34="TOTAL",SUM($M$8:M33),SUM(E34-I34))))),"")</f>
        <v>112</v>
      </c>
      <c r="N34" s="84">
        <f t="shared" si="9"/>
        <v>1680</v>
      </c>
      <c r="O34" s="84">
        <f>IFERROR(IF(B34="","",IF($B34="TOTAL",SUM($O$8:O33),IF($AN$18=$AN$20,AY35,ROUND((C34+D34)*10%,0)))),"")</f>
        <v>5522</v>
      </c>
      <c r="P34" s="84">
        <f>IFERROR(IF(B34="","",IF(G34="","",IF(H34="","",IF($B34="TOTAL",SUM($P$8:P33),IF($AN$18=$AN$20,$AN$21,ROUND((G34+H34)*10%,0)))))),"")</f>
        <v>5365</v>
      </c>
      <c r="Q34" s="84">
        <f t="shared" si="10"/>
        <v>157</v>
      </c>
      <c r="R34" s="85">
        <f>IFERROR(IF(B34="","",IF($AN$16=$AN$17,0,IF($B34="TOTAL",SUM($R$8:R33),IF($AN$19=$AN$31,0,IF(AND($AN$32=$AN$20,B34=$AN$33),$AN$34,R33))))),"")</f>
        <v>0</v>
      </c>
      <c r="S34" s="85">
        <f>IFERROR(IF(B34="","",IF($AN$16=$AN$17,0,IF($B34="TOTAL",SUM($S$8:S33),IF($AN$19=$AN$20,$AN$24,0)))),"")</f>
        <v>0</v>
      </c>
      <c r="T34" s="84">
        <f t="shared" si="11"/>
        <v>0</v>
      </c>
      <c r="U34" s="84" t="str">
        <f>IF(B34="","",IF($B34="TOTAL",SUM($U$8:U33),IF(AND($AN$2=$AN$20,B34=$AN$1),ROUND(C34/31*$AO$2,0),IF(B34=$AL$6,ROUND((F34)*1/30,0),IF(B34=$AM$6,ROUND((F34)*1/31,0),"")))))</f>
        <v/>
      </c>
      <c r="V34" s="84" t="str">
        <f>IF(B34="","",IF($B34="TOTAL",SUM($V$8:V33),IF(AND($AN$2=$AN$20,B34=$AN$1),ROUND(G34/31*$AO$2,0),IF(B34=$AL$6,ROUND((J34)*1/30,0),IF(B34=$AM$6,ROUND((J34)*1/31,0),"")))))</f>
        <v/>
      </c>
      <c r="W34" s="84" t="str">
        <f t="shared" si="12"/>
        <v/>
      </c>
      <c r="X34" s="84" t="str">
        <f>IFERROR(IF($B34="TOTAL",SUM($X$8:X33),IF(BD35="YES",BE35,"")),"")</f>
        <v/>
      </c>
      <c r="Y34" s="84">
        <f>IFERROR(IF(B34="","",IF($B34="TOTAL",SUM($Y$8:Y33),ROUND(N34*$AN$7%,0))),"")</f>
        <v>0</v>
      </c>
      <c r="Z34" s="84">
        <f>IFERROR(IF(B34="","",IF($B34="TOTAL",SUM($Z$8:Z33),SUM(Q34,T34,W34,X34,Y34))),"")</f>
        <v>157</v>
      </c>
      <c r="AA34" s="86">
        <f>IFERROR(IF(B34="","",IF($B34="TOTAL",SUM($AA$8:AA33),SUM(N34-Z34))),"")</f>
        <v>1523</v>
      </c>
      <c r="AB34" s="16"/>
      <c r="AC34" s="16"/>
      <c r="AJ34" s="112">
        <f t="shared" si="13"/>
        <v>12</v>
      </c>
      <c r="AK34" s="112">
        <f t="shared" si="14"/>
        <v>12</v>
      </c>
      <c r="AL34" s="113"/>
      <c r="AM34" s="114">
        <v>43497</v>
      </c>
      <c r="AN34" s="113">
        <f>'Master Sheet'!K19</f>
        <v>3000</v>
      </c>
      <c r="AO34" s="114">
        <f t="shared" si="32"/>
        <v>43497</v>
      </c>
      <c r="AP34" s="114">
        <f t="shared" si="16"/>
        <v>43497</v>
      </c>
      <c r="AQ34" s="114">
        <f t="shared" si="17"/>
        <v>43497</v>
      </c>
      <c r="AR34" s="113">
        <f t="shared" si="33"/>
        <v>49300</v>
      </c>
      <c r="AS34" s="113">
        <f t="shared" si="30"/>
        <v>5916</v>
      </c>
      <c r="AT34" s="113">
        <f t="shared" si="34"/>
        <v>3944</v>
      </c>
      <c r="AU34" s="113"/>
      <c r="AV34" s="113">
        <f t="shared" si="35"/>
        <v>47900</v>
      </c>
      <c r="AW34" s="113">
        <f t="shared" si="36"/>
        <v>5748</v>
      </c>
      <c r="AX34" s="113">
        <f t="shared" si="37"/>
        <v>3832</v>
      </c>
      <c r="AY34" s="113">
        <f t="shared" si="38"/>
        <v>3675</v>
      </c>
      <c r="AZ34" s="113"/>
      <c r="BA34" s="113"/>
      <c r="BB34" s="148">
        <f t="shared" si="39"/>
        <v>1680</v>
      </c>
      <c r="BC34" s="113">
        <f t="shared" si="40"/>
        <v>3675</v>
      </c>
      <c r="BD34" s="113" t="str">
        <f t="shared" si="23"/>
        <v/>
      </c>
      <c r="BE34" s="113" t="str">
        <f t="shared" si="24"/>
        <v/>
      </c>
      <c r="BF34" s="113">
        <f t="shared" si="25"/>
        <v>157</v>
      </c>
    </row>
    <row r="35" spans="1:58" s="35" customFormat="1" ht="21" customHeight="1">
      <c r="A35" s="82">
        <f t="shared" si="26"/>
        <v>28</v>
      </c>
      <c r="B35" s="83">
        <f t="shared" si="27"/>
        <v>43556</v>
      </c>
      <c r="C35" s="84">
        <f>IFERROR(IF($B34="TOTAL","अक्षरें राशि :-",IF($B35="TOTAL",SUM($C$8:C34),IF(AR36="","",AR36))),"")</f>
        <v>49300</v>
      </c>
      <c r="D35" s="84">
        <f>IFERROR(IF($B35="TOTAL",SUM($D$8:D34),IF(AS36="","",AS36)),"")</f>
        <v>5916</v>
      </c>
      <c r="E35" s="84">
        <f>IFERROR(IF($B35="TOTAL",SUM($E$8:E34),IF(OR(B35=$AL$16,B35=$AL$17,B35=$AL$18,B35=$AL$19,B35=$AL$20,B35=$AL$21,B35=$AL$22,B35=$AL$23,B35=$AL$24),0,IF(AT36="","",AT36))),"")</f>
        <v>3944</v>
      </c>
      <c r="F35" s="84">
        <f t="shared" si="28"/>
        <v>59160</v>
      </c>
      <c r="G35" s="84">
        <f>IFERROR(IF($B35="TOTAL",SUM($G$8:G34),IF(AV36="","",AV36)),"")</f>
        <v>47900</v>
      </c>
      <c r="H35" s="84">
        <f>IFERROR(IF($B35="TOTAL",SUM($H$8:H34),IF(AW36="","",AW36)),"")</f>
        <v>5748</v>
      </c>
      <c r="I35" s="84">
        <f>IFERROR(IF($B35="TOTAL",SUM($I$8:I34),IF(OR(B35=$AL$16,B35=$AL$17,B35=$AL$18,B35=$AL$19,B35=$AL$20,B35=$AL$21,B35=$AL$22,B35=$AL$23,B35=$AL$24),0,IF(AX36="","",AX36))),"")</f>
        <v>3832</v>
      </c>
      <c r="J35" s="84">
        <f t="shared" si="8"/>
        <v>57480</v>
      </c>
      <c r="K35" s="84">
        <f>IFERROR(IF(B35="","",IF(C35="","",IF(G35="","",IF($B35="TOTAL",SUM($K$8:K34),SUM(C35-G35))))),"")</f>
        <v>1400</v>
      </c>
      <c r="L35" s="84">
        <f>IFERROR(IF(B35="","",IF(D35="","",IF(H35="","",IF($B35="TOTAL",SUM($L$8:L34),SUM(D35-H35))))),"")</f>
        <v>168</v>
      </c>
      <c r="M35" s="84">
        <f>IFERROR(IF(B35="","",IF(E35="","",IF(I35="","",IF($B35="TOTAL",SUM($M$8:M34),SUM(E35-I35))))),"")</f>
        <v>112</v>
      </c>
      <c r="N35" s="84">
        <f t="shared" si="9"/>
        <v>1680</v>
      </c>
      <c r="O35" s="84">
        <f>IFERROR(IF(B35="","",IF($B35="TOTAL",SUM($O$8:O34),IF($AN$18=$AN$20,AY36,ROUND((C35+D35)*10%,0)))),"")</f>
        <v>5522</v>
      </c>
      <c r="P35" s="84">
        <f>IFERROR(IF(B35="","",IF(G35="","",IF(H35="","",IF($B35="TOTAL",SUM($P$8:P34),IF($AN$18=$AN$20,$AN$21,ROUND((G35+H35)*10%,0)))))),"")</f>
        <v>5365</v>
      </c>
      <c r="Q35" s="84">
        <f t="shared" si="10"/>
        <v>157</v>
      </c>
      <c r="R35" s="85">
        <f>IFERROR(IF(B35="","",IF($AN$16=$AN$17,0,IF($B35="TOTAL",SUM($R$8:R34),IF($AN$19=$AN$31,0,IF(AND($AN$32=$AN$20,B35=$AN$33),$AN$34,R34))))),"")</f>
        <v>0</v>
      </c>
      <c r="S35" s="85">
        <f>IFERROR(IF(B35="","",IF($AN$16=$AN$17,0,IF($B35="TOTAL",SUM($S$8:S34),IF($AN$19=$AN$20,$AN$24,0)))),"")</f>
        <v>0</v>
      </c>
      <c r="T35" s="84">
        <f t="shared" si="11"/>
        <v>0</v>
      </c>
      <c r="U35" s="84" t="str">
        <f>IF(B35="","",IF($B35="TOTAL",SUM($U$8:U34),IF(AND($AN$2=$AN$20,B35=$AN$1),ROUND(C35/31*$AO$2,0),IF(B35=$AL$6,ROUND((F35)*1/30,0),IF(B35=$AM$6,ROUND((F35)*1/31,0),"")))))</f>
        <v/>
      </c>
      <c r="V35" s="84" t="str">
        <f>IF(B35="","",IF($B35="TOTAL",SUM($V$8:V34),IF(AND($AN$2=$AN$20,B35=$AN$1),ROUND(G35/31*$AO$2,0),IF(B35=$AL$6,ROUND((J35)*1/30,0),IF(B35=$AM$6,ROUND((J35)*1/31,0),"")))))</f>
        <v/>
      </c>
      <c r="W35" s="84" t="str">
        <f t="shared" si="12"/>
        <v/>
      </c>
      <c r="X35" s="84" t="str">
        <f>IFERROR(IF($B35="TOTAL",SUM($X$8:X34),IF(BD36="YES",BE36,"")),"")</f>
        <v/>
      </c>
      <c r="Y35" s="84">
        <f>IFERROR(IF(B35="","",IF($B35="TOTAL",SUM($Y$8:Y34),ROUND(N35*$AN$7%,0))),"")</f>
        <v>0</v>
      </c>
      <c r="Z35" s="84">
        <f>IFERROR(IF(B35="","",IF($B35="TOTAL",SUM($Z$8:Z34),SUM(Q35,T35,W35,X35,Y35))),"")</f>
        <v>157</v>
      </c>
      <c r="AA35" s="86">
        <f>IFERROR(IF(B35="","",IF($B35="TOTAL",SUM($AA$8:AA34),SUM(N35-Z35))),"")</f>
        <v>1523</v>
      </c>
      <c r="AB35" s="16"/>
      <c r="AC35" s="16"/>
      <c r="AJ35" s="112">
        <f t="shared" si="13"/>
        <v>12</v>
      </c>
      <c r="AK35" s="112">
        <f t="shared" si="14"/>
        <v>12</v>
      </c>
      <c r="AL35" s="113"/>
      <c r="AM35" s="114">
        <v>43525</v>
      </c>
      <c r="AN35" s="113"/>
      <c r="AO35" s="114">
        <f t="shared" si="32"/>
        <v>43525</v>
      </c>
      <c r="AP35" s="114">
        <f t="shared" si="16"/>
        <v>43525</v>
      </c>
      <c r="AQ35" s="114">
        <f t="shared" si="17"/>
        <v>43525</v>
      </c>
      <c r="AR35" s="113">
        <f t="shared" si="33"/>
        <v>49300</v>
      </c>
      <c r="AS35" s="113">
        <f t="shared" si="30"/>
        <v>5916</v>
      </c>
      <c r="AT35" s="113">
        <f t="shared" si="34"/>
        <v>3944</v>
      </c>
      <c r="AU35" s="113"/>
      <c r="AV35" s="113">
        <f t="shared" si="35"/>
        <v>47900</v>
      </c>
      <c r="AW35" s="113">
        <f t="shared" si="36"/>
        <v>5748</v>
      </c>
      <c r="AX35" s="113">
        <f t="shared" si="37"/>
        <v>3832</v>
      </c>
      <c r="AY35" s="113">
        <f t="shared" si="38"/>
        <v>3675</v>
      </c>
      <c r="AZ35" s="113"/>
      <c r="BA35" s="113"/>
      <c r="BB35" s="148">
        <f t="shared" si="39"/>
        <v>1680</v>
      </c>
      <c r="BC35" s="113">
        <f t="shared" si="40"/>
        <v>3675</v>
      </c>
      <c r="BD35" s="113" t="str">
        <f t="shared" si="23"/>
        <v/>
      </c>
      <c r="BE35" s="113" t="str">
        <f t="shared" si="24"/>
        <v/>
      </c>
      <c r="BF35" s="113">
        <f t="shared" si="25"/>
        <v>157</v>
      </c>
    </row>
    <row r="36" spans="1:58" s="35" customFormat="1" ht="21" customHeight="1">
      <c r="A36" s="82">
        <f t="shared" si="26"/>
        <v>29</v>
      </c>
      <c r="B36" s="83">
        <f t="shared" si="27"/>
        <v>43586</v>
      </c>
      <c r="C36" s="84">
        <f>IFERROR(IF($B35="TOTAL","अक्षरें राशि :-",IF($B36="TOTAL",SUM($C$8:C35),IF(AR37="","",AR37))),"")</f>
        <v>49300</v>
      </c>
      <c r="D36" s="84">
        <f>IFERROR(IF($B36="TOTAL",SUM($D$8:D35),IF(AS37="","",AS37)),"")</f>
        <v>5916</v>
      </c>
      <c r="E36" s="84">
        <f>IFERROR(IF($B36="TOTAL",SUM($E$8:E35),IF(OR(B36=$AL$16,B36=$AL$17,B36=$AL$18,B36=$AL$19,B36=$AL$20,B36=$AL$21,B36=$AL$22,B36=$AL$23,B36=$AL$24),0,IF(AT37="","",AT37))),"")</f>
        <v>3944</v>
      </c>
      <c r="F36" s="84">
        <f t="shared" si="28"/>
        <v>59160</v>
      </c>
      <c r="G36" s="84">
        <f>IFERROR(IF($B36="TOTAL",SUM($G$8:G35),IF(AV37="","",AV37)),"")</f>
        <v>47900</v>
      </c>
      <c r="H36" s="84">
        <f>IFERROR(IF($B36="TOTAL",SUM($H$8:H35),IF(AW37="","",AW37)),"")</f>
        <v>5748</v>
      </c>
      <c r="I36" s="84">
        <f>IFERROR(IF($B36="TOTAL",SUM($I$8:I35),IF(OR(B36=$AL$16,B36=$AL$17,B36=$AL$18,B36=$AL$19,B36=$AL$20,B36=$AL$21,B36=$AL$22,B36=$AL$23,B36=$AL$24),0,IF(AX37="","",AX37))),"")</f>
        <v>3832</v>
      </c>
      <c r="J36" s="84">
        <f t="shared" si="8"/>
        <v>57480</v>
      </c>
      <c r="K36" s="84">
        <f>IFERROR(IF(B36="","",IF(C36="","",IF(G36="","",IF($B36="TOTAL",SUM($K$8:K35),SUM(C36-G36))))),"")</f>
        <v>1400</v>
      </c>
      <c r="L36" s="84">
        <f>IFERROR(IF(B36="","",IF(D36="","",IF(H36="","",IF($B36="TOTAL",SUM($L$8:L35),SUM(D36-H36))))),"")</f>
        <v>168</v>
      </c>
      <c r="M36" s="84">
        <f>IFERROR(IF(B36="","",IF(E36="","",IF(I36="","",IF($B36="TOTAL",SUM($M$8:M35),SUM(E36-I36))))),"")</f>
        <v>112</v>
      </c>
      <c r="N36" s="84">
        <f t="shared" si="9"/>
        <v>1680</v>
      </c>
      <c r="O36" s="84">
        <f>IFERROR(IF(B36="","",IF($B36="TOTAL",SUM($O$8:O35),IF($AN$18=$AN$20,AY37,ROUND((C36+D36)*10%,0)))),"")</f>
        <v>5522</v>
      </c>
      <c r="P36" s="84">
        <f>IFERROR(IF(B36="","",IF(G36="","",IF(H36="","",IF($B36="TOTAL",SUM($P$8:P35),IF($AN$18=$AN$20,$AN$21,ROUND((G36+H36)*10%,0)))))),"")</f>
        <v>5365</v>
      </c>
      <c r="Q36" s="84">
        <f t="shared" si="10"/>
        <v>157</v>
      </c>
      <c r="R36" s="85">
        <f>IFERROR(IF(B36="","",IF($AN$16=$AN$17,0,IF($B36="TOTAL",SUM($R$8:R35),IF($AN$19=$AN$31,0,IF(AND($AN$32=$AN$20,B36=$AN$33),$AN$34,R35))))),"")</f>
        <v>0</v>
      </c>
      <c r="S36" s="85">
        <f>IFERROR(IF(B36="","",IF($AN$16=$AN$17,0,IF($B36="TOTAL",SUM($S$8:S35),IF($AN$19=$AN$20,$AN$24,0)))),"")</f>
        <v>0</v>
      </c>
      <c r="T36" s="84">
        <f t="shared" si="11"/>
        <v>0</v>
      </c>
      <c r="U36" s="84" t="str">
        <f>IF(B36="","",IF($B36="TOTAL",SUM($U$8:U35),IF(AND($AN$2=$AN$20,B36=$AN$1),ROUND(C36/31*$AO$2,0),IF(B36=$AL$6,ROUND((F36)*1/30,0),IF(B36=$AM$6,ROUND((F36)*1/31,0),"")))))</f>
        <v/>
      </c>
      <c r="V36" s="84" t="str">
        <f>IF(B36="","",IF($B36="TOTAL",SUM($V$8:V35),IF(AND($AN$2=$AN$20,B36=$AN$1),ROUND(G36/31*$AO$2,0),IF(B36=$AL$6,ROUND((J36)*1/30,0),IF(B36=$AM$6,ROUND((J36)*1/31,0),"")))))</f>
        <v/>
      </c>
      <c r="W36" s="84" t="str">
        <f t="shared" si="12"/>
        <v/>
      </c>
      <c r="X36" s="84" t="str">
        <f>IFERROR(IF($B36="TOTAL",SUM($X$8:X35),IF(BD37="YES",BE37,"")),"")</f>
        <v/>
      </c>
      <c r="Y36" s="84">
        <f>IFERROR(IF(B36="","",IF($B36="TOTAL",SUM($Y$8:Y35),ROUND(N36*$AN$7%,0))),"")</f>
        <v>0</v>
      </c>
      <c r="Z36" s="84">
        <f>IFERROR(IF(B36="","",IF($B36="TOTAL",SUM($Z$8:Z35),SUM(Q36,T36,W36,X36,Y36))),"")</f>
        <v>157</v>
      </c>
      <c r="AA36" s="86">
        <f>IFERROR(IF(B36="","",IF($B36="TOTAL",SUM($AA$8:AA35),SUM(N36-Z36))),"")</f>
        <v>1523</v>
      </c>
      <c r="AB36" s="16"/>
      <c r="AC36" s="16"/>
      <c r="AJ36" s="112">
        <f t="shared" si="13"/>
        <v>12</v>
      </c>
      <c r="AK36" s="112">
        <f t="shared" si="14"/>
        <v>12</v>
      </c>
      <c r="AL36" s="113"/>
      <c r="AM36" s="114">
        <v>43556</v>
      </c>
      <c r="AN36" s="113" t="str">
        <f>'Master Sheet'!D23</f>
        <v>NO</v>
      </c>
      <c r="AO36" s="114">
        <f t="shared" si="32"/>
        <v>43556</v>
      </c>
      <c r="AP36" s="114">
        <f t="shared" si="16"/>
        <v>43556</v>
      </c>
      <c r="AQ36" s="114">
        <f t="shared" si="17"/>
        <v>43556</v>
      </c>
      <c r="AR36" s="113">
        <f t="shared" si="33"/>
        <v>49300</v>
      </c>
      <c r="AS36" s="113">
        <f t="shared" si="30"/>
        <v>5916</v>
      </c>
      <c r="AT36" s="113">
        <f t="shared" si="34"/>
        <v>3944</v>
      </c>
      <c r="AU36" s="113"/>
      <c r="AV36" s="113">
        <f t="shared" si="35"/>
        <v>47900</v>
      </c>
      <c r="AW36" s="113">
        <f t="shared" si="36"/>
        <v>5748</v>
      </c>
      <c r="AX36" s="113">
        <f t="shared" si="37"/>
        <v>3832</v>
      </c>
      <c r="AY36" s="113">
        <f t="shared" si="38"/>
        <v>3675</v>
      </c>
      <c r="AZ36" s="113"/>
      <c r="BA36" s="113"/>
      <c r="BB36" s="148">
        <f t="shared" si="39"/>
        <v>1680</v>
      </c>
      <c r="BC36" s="113">
        <f t="shared" si="40"/>
        <v>3675</v>
      </c>
      <c r="BD36" s="113" t="str">
        <f t="shared" si="23"/>
        <v/>
      </c>
      <c r="BE36" s="113" t="str">
        <f t="shared" si="24"/>
        <v/>
      </c>
      <c r="BF36" s="113">
        <f t="shared" si="25"/>
        <v>157</v>
      </c>
    </row>
    <row r="37" spans="1:58" s="35" customFormat="1" ht="21" customHeight="1">
      <c r="A37" s="82">
        <f t="shared" si="26"/>
        <v>30</v>
      </c>
      <c r="B37" s="83">
        <f t="shared" si="27"/>
        <v>43617</v>
      </c>
      <c r="C37" s="84">
        <f>IFERROR(IF($B36="TOTAL","अक्षरें राशि :-",IF($B37="TOTAL",SUM($C$8:C36),IF(AR38="","",AR38))),"")</f>
        <v>49300</v>
      </c>
      <c r="D37" s="84">
        <f>IFERROR(IF($B37="TOTAL",SUM($D$8:D36),IF(AS38="","",AS38)),"")</f>
        <v>5916</v>
      </c>
      <c r="E37" s="84">
        <f>IFERROR(IF($B37="TOTAL",SUM($E$8:E36),IF(OR(B37=$AL$16,B37=$AL$17,B37=$AL$18,B37=$AL$19,B37=$AL$20,B37=$AL$21,B37=$AL$22,B37=$AL$23,B37=$AL$24),0,IF(AT38="","",AT38))),"")</f>
        <v>3944</v>
      </c>
      <c r="F37" s="84">
        <f t="shared" si="28"/>
        <v>59160</v>
      </c>
      <c r="G37" s="84">
        <f>IFERROR(IF($B37="TOTAL",SUM($G$8:G36),IF(AV38="","",AV38)),"")</f>
        <v>47900</v>
      </c>
      <c r="H37" s="84">
        <f>IFERROR(IF($B37="TOTAL",SUM($H$8:H36),IF(AW38="","",AW38)),"")</f>
        <v>5748</v>
      </c>
      <c r="I37" s="84">
        <f>IFERROR(IF($B37="TOTAL",SUM($I$8:I36),IF(OR(B37=$AL$16,B37=$AL$17,B37=$AL$18,B37=$AL$19,B37=$AL$20,B37=$AL$21,B37=$AL$22,B37=$AL$23,B37=$AL$24),0,IF(AX38="","",AX38))),"")</f>
        <v>3832</v>
      </c>
      <c r="J37" s="84">
        <f t="shared" si="8"/>
        <v>57480</v>
      </c>
      <c r="K37" s="84">
        <f>IFERROR(IF(B37="","",IF(C37="","",IF(G37="","",IF($B37="TOTAL",SUM($K$8:K36),SUM(C37-G37))))),"")</f>
        <v>1400</v>
      </c>
      <c r="L37" s="84">
        <f>IFERROR(IF(B37="","",IF(D37="","",IF(H37="","",IF($B37="TOTAL",SUM($L$8:L36),SUM(D37-H37))))),"")</f>
        <v>168</v>
      </c>
      <c r="M37" s="84">
        <f>IFERROR(IF(B37="","",IF(E37="","",IF(I37="","",IF($B37="TOTAL",SUM($M$8:M36),SUM(E37-I37))))),"")</f>
        <v>112</v>
      </c>
      <c r="N37" s="84">
        <f t="shared" si="9"/>
        <v>1680</v>
      </c>
      <c r="O37" s="84">
        <f>IFERROR(IF(B37="","",IF($B37="TOTAL",SUM($O$8:O36),IF($AN$18=$AN$20,AY38,ROUND((C37+D37)*10%,0)))),"")</f>
        <v>5522</v>
      </c>
      <c r="P37" s="84">
        <f>IFERROR(IF(B37="","",IF(G37="","",IF(H37="","",IF($B37="TOTAL",SUM($P$8:P36),IF($AN$18=$AN$20,$AN$21,ROUND((G37+H37)*10%,0)))))),"")</f>
        <v>5365</v>
      </c>
      <c r="Q37" s="84">
        <f t="shared" si="10"/>
        <v>157</v>
      </c>
      <c r="R37" s="85">
        <f>IFERROR(IF(B37="","",IF($AN$16=$AN$17,0,IF($B37="TOTAL",SUM($R$8:R36),IF($AN$19=$AN$31,0,IF(AND($AN$32=$AN$20,B37=$AN$33),$AN$34,R36))))),"")</f>
        <v>0</v>
      </c>
      <c r="S37" s="85">
        <f>IFERROR(IF(B37="","",IF($AN$16=$AN$17,0,IF($B37="TOTAL",SUM($S$8:S36),IF($AN$19=$AN$20,$AN$24,0)))),"")</f>
        <v>0</v>
      </c>
      <c r="T37" s="84">
        <f t="shared" si="11"/>
        <v>0</v>
      </c>
      <c r="U37" s="84" t="str">
        <f>IF(B37="","",IF($B37="TOTAL",SUM($U$8:U36),IF(AND($AN$2=$AN$20,B37=$AN$1),ROUND(C37/31*$AO$2,0),IF(B37=$AL$6,ROUND((F37)*1/30,0),IF(B37=$AM$6,ROUND((F37)*1/31,0),"")))))</f>
        <v/>
      </c>
      <c r="V37" s="84" t="str">
        <f>IF(B37="","",IF($B37="TOTAL",SUM($V$8:V36),IF(AND($AN$2=$AN$20,B37=$AN$1),ROUND(G37/31*$AO$2,0),IF(B37=$AL$6,ROUND((J37)*1/30,0),IF(B37=$AM$6,ROUND((J37)*1/31,0),"")))))</f>
        <v/>
      </c>
      <c r="W37" s="84" t="str">
        <f t="shared" si="12"/>
        <v/>
      </c>
      <c r="X37" s="84" t="str">
        <f>IFERROR(IF($B37="TOTAL",SUM($X$8:X36),IF(BD38="YES",BE38,"")),"")</f>
        <v/>
      </c>
      <c r="Y37" s="84">
        <f>IFERROR(IF(B37="","",IF($B37="TOTAL",SUM($Y$8:Y36),ROUND(N37*$AN$7%,0))),"")</f>
        <v>0</v>
      </c>
      <c r="Z37" s="84">
        <f>IFERROR(IF(B37="","",IF($B37="TOTAL",SUM($Z$8:Z36),SUM(Q37,T37,W37,X37,Y37))),"")</f>
        <v>157</v>
      </c>
      <c r="AA37" s="86">
        <f>IFERROR(IF(B37="","",IF($B37="TOTAL",SUM($AA$8:AA36),SUM(N37-Z37))),"")</f>
        <v>1523</v>
      </c>
      <c r="AB37" s="16"/>
      <c r="AC37" s="16"/>
      <c r="AJ37" s="112">
        <f t="shared" si="13"/>
        <v>12</v>
      </c>
      <c r="AK37" s="112">
        <f t="shared" si="14"/>
        <v>12</v>
      </c>
      <c r="AL37" s="113"/>
      <c r="AM37" s="114">
        <v>43586</v>
      </c>
      <c r="AN37" s="113">
        <f>'Master Sheet'!G23</f>
        <v>44287</v>
      </c>
      <c r="AO37" s="114">
        <f t="shared" si="32"/>
        <v>43586</v>
      </c>
      <c r="AP37" s="114">
        <f t="shared" si="16"/>
        <v>43586</v>
      </c>
      <c r="AQ37" s="114">
        <f t="shared" si="17"/>
        <v>43586</v>
      </c>
      <c r="AR37" s="113">
        <f t="shared" si="33"/>
        <v>49300</v>
      </c>
      <c r="AS37" s="113">
        <f t="shared" si="30"/>
        <v>5916</v>
      </c>
      <c r="AT37" s="113">
        <f t="shared" si="34"/>
        <v>3944</v>
      </c>
      <c r="AU37" s="113"/>
      <c r="AV37" s="113">
        <f t="shared" si="35"/>
        <v>47900</v>
      </c>
      <c r="AW37" s="113">
        <f t="shared" si="36"/>
        <v>5748</v>
      </c>
      <c r="AX37" s="113">
        <f t="shared" si="37"/>
        <v>3832</v>
      </c>
      <c r="AY37" s="113">
        <f t="shared" si="38"/>
        <v>3675</v>
      </c>
      <c r="AZ37" s="113"/>
      <c r="BA37" s="113"/>
      <c r="BB37" s="148">
        <f t="shared" si="39"/>
        <v>1680</v>
      </c>
      <c r="BC37" s="113">
        <f t="shared" si="40"/>
        <v>3675</v>
      </c>
      <c r="BD37" s="113" t="str">
        <f t="shared" si="23"/>
        <v/>
      </c>
      <c r="BE37" s="113" t="str">
        <f t="shared" si="24"/>
        <v/>
      </c>
      <c r="BF37" s="113">
        <f t="shared" si="25"/>
        <v>157</v>
      </c>
    </row>
    <row r="38" spans="1:58" s="35" customFormat="1" ht="21" customHeight="1">
      <c r="A38" s="82">
        <f t="shared" si="26"/>
        <v>31</v>
      </c>
      <c r="B38" s="83">
        <f t="shared" si="27"/>
        <v>43647</v>
      </c>
      <c r="C38" s="84">
        <f>IFERROR(IF($B37="TOTAL","अक्षरें राशि :-",IF($B38="TOTAL",SUM($C$8:C37),IF(AR39="","",AR39))),"")</f>
        <v>50800</v>
      </c>
      <c r="D38" s="84">
        <f>IFERROR(IF($B38="TOTAL",SUM($D$8:D37),IF(AS39="","",AS39)),"")</f>
        <v>8636</v>
      </c>
      <c r="E38" s="84">
        <f>IFERROR(IF($B38="TOTAL",SUM($E$8:E37),IF(OR(B38=$AL$16,B38=$AL$17,B38=$AL$18,B38=$AL$19,B38=$AL$20,B38=$AL$21,B38=$AL$22,B38=$AL$23,B38=$AL$24),0,IF(AT39="","",AT39))),"")</f>
        <v>4064</v>
      </c>
      <c r="F38" s="84">
        <f t="shared" si="28"/>
        <v>63500</v>
      </c>
      <c r="G38" s="84">
        <f>IFERROR(IF($B38="TOTAL",SUM($G$8:G37),IF(AV39="","",AV39)),"")</f>
        <v>49300</v>
      </c>
      <c r="H38" s="84">
        <f>IFERROR(IF($B38="TOTAL",SUM($H$8:H37),IF(AW39="","",AW39)),"")</f>
        <v>8381</v>
      </c>
      <c r="I38" s="84">
        <f>IFERROR(IF($B38="TOTAL",SUM($I$8:I37),IF(OR(B38=$AL$16,B38=$AL$17,B38=$AL$18,B38=$AL$19,B38=$AL$20,B38=$AL$21,B38=$AL$22,B38=$AL$23,B38=$AL$24),0,IF(AX39="","",AX39))),"")</f>
        <v>3944</v>
      </c>
      <c r="J38" s="84">
        <f t="shared" si="8"/>
        <v>61625</v>
      </c>
      <c r="K38" s="84">
        <f>IFERROR(IF(B38="","",IF(C38="","",IF(G38="","",IF($B38="TOTAL",SUM($K$8:K37),SUM(C38-G38))))),"")</f>
        <v>1500</v>
      </c>
      <c r="L38" s="84">
        <f>IFERROR(IF(B38="","",IF(D38="","",IF(H38="","",IF($B38="TOTAL",SUM($L$8:L37),SUM(D38-H38))))),"")</f>
        <v>255</v>
      </c>
      <c r="M38" s="84">
        <f>IFERROR(IF(B38="","",IF(E38="","",IF(I38="","",IF($B38="TOTAL",SUM($M$8:M37),SUM(E38-I38))))),"")</f>
        <v>120</v>
      </c>
      <c r="N38" s="84">
        <f t="shared" si="9"/>
        <v>1875</v>
      </c>
      <c r="O38" s="84">
        <f>IFERROR(IF(B38="","",IF($B38="TOTAL",SUM($O$8:O37),IF($AN$18=$AN$20,AY39,ROUND((C38+D38)*10%,0)))),"")</f>
        <v>5944</v>
      </c>
      <c r="P38" s="84">
        <f>IFERROR(IF(B38="","",IF(G38="","",IF(H38="","",IF($B38="TOTAL",SUM($P$8:P37),IF($AN$18=$AN$20,$AN$21,ROUND((G38+H38)*10%,0)))))),"")</f>
        <v>5768</v>
      </c>
      <c r="Q38" s="84">
        <f t="shared" si="10"/>
        <v>176</v>
      </c>
      <c r="R38" s="85">
        <f>IFERROR(IF(B38="","",IF($AN$16=$AN$17,0,IF($B38="TOTAL",SUM($R$8:R37),IF($AN$19=$AN$31,0,IF(AND($AN$32=$AN$20,B38=$AN$33),$AN$34,R37))))),"")</f>
        <v>0</v>
      </c>
      <c r="S38" s="85">
        <f>IFERROR(IF(B38="","",IF($AN$16=$AN$17,0,IF($B38="TOTAL",SUM($S$8:S37),IF($AN$19=$AN$20,$AN$24,0)))),"")</f>
        <v>0</v>
      </c>
      <c r="T38" s="84">
        <f t="shared" si="11"/>
        <v>0</v>
      </c>
      <c r="U38" s="84" t="str">
        <f>IF(B38="","",IF($B38="TOTAL",SUM($U$8:U37),IF(AND($AN$2=$AN$20,B38=$AN$1),ROUND(C38/31*$AO$2,0),IF(B38=$AL$6,ROUND((F38)*1/30,0),IF(B38=$AM$6,ROUND((F38)*1/31,0),"")))))</f>
        <v/>
      </c>
      <c r="V38" s="84" t="str">
        <f>IF(B38="","",IF($B38="TOTAL",SUM($V$8:V37),IF(AND($AN$2=$AN$20,B38=$AN$1),ROUND(G38/31*$AO$2,0),IF(B38=$AL$6,ROUND((J38)*1/30,0),IF(B38=$AM$6,ROUND((J38)*1/31,0),"")))))</f>
        <v/>
      </c>
      <c r="W38" s="84" t="str">
        <f t="shared" si="12"/>
        <v/>
      </c>
      <c r="X38" s="84" t="str">
        <f>IFERROR(IF($B38="TOTAL",SUM($X$8:X37),IF(BD39="YES",BE39,"")),"")</f>
        <v/>
      </c>
      <c r="Y38" s="84">
        <f>IFERROR(IF(B38="","",IF($B38="TOTAL",SUM($Y$8:Y37),ROUND(N38*$AN$7%,0))),"")</f>
        <v>0</v>
      </c>
      <c r="Z38" s="84">
        <f>IFERROR(IF(B38="","",IF($B38="TOTAL",SUM($Z$8:Z37),SUM(Q38,T38,W38,X38,Y38))),"")</f>
        <v>176</v>
      </c>
      <c r="AA38" s="86">
        <f>IFERROR(IF(B38="","",IF($B38="TOTAL",SUM($AA$8:AA37),SUM(N38-Z38))),"")</f>
        <v>1699</v>
      </c>
      <c r="AB38" s="16"/>
      <c r="AC38" s="16"/>
      <c r="AJ38" s="112">
        <f t="shared" si="13"/>
        <v>12</v>
      </c>
      <c r="AK38" s="112">
        <f t="shared" si="14"/>
        <v>12</v>
      </c>
      <c r="AL38" s="113"/>
      <c r="AM38" s="114">
        <v>43617</v>
      </c>
      <c r="AN38" s="113">
        <f>'Master Sheet'!K23</f>
        <v>5000</v>
      </c>
      <c r="AO38" s="114">
        <f t="shared" si="32"/>
        <v>43617</v>
      </c>
      <c r="AP38" s="114">
        <f t="shared" si="16"/>
        <v>43617</v>
      </c>
      <c r="AQ38" s="114">
        <f t="shared" si="17"/>
        <v>43617</v>
      </c>
      <c r="AR38" s="113">
        <f t="shared" si="33"/>
        <v>49300</v>
      </c>
      <c r="AS38" s="113">
        <f t="shared" si="30"/>
        <v>5916</v>
      </c>
      <c r="AT38" s="113">
        <f t="shared" si="34"/>
        <v>3944</v>
      </c>
      <c r="AU38" s="113"/>
      <c r="AV38" s="113">
        <f t="shared" si="35"/>
        <v>47900</v>
      </c>
      <c r="AW38" s="113">
        <f t="shared" si="36"/>
        <v>5748</v>
      </c>
      <c r="AX38" s="113">
        <f t="shared" si="37"/>
        <v>3832</v>
      </c>
      <c r="AY38" s="113">
        <f t="shared" si="38"/>
        <v>3675</v>
      </c>
      <c r="AZ38" s="113"/>
      <c r="BA38" s="113"/>
      <c r="BB38" s="148">
        <f t="shared" si="39"/>
        <v>1680</v>
      </c>
      <c r="BC38" s="113">
        <f t="shared" si="40"/>
        <v>3675</v>
      </c>
      <c r="BD38" s="113" t="str">
        <f t="shared" si="23"/>
        <v/>
      </c>
      <c r="BE38" s="113" t="str">
        <f t="shared" si="24"/>
        <v/>
      </c>
      <c r="BF38" s="113">
        <f t="shared" si="25"/>
        <v>157</v>
      </c>
    </row>
    <row r="39" spans="1:58" s="35" customFormat="1" ht="21" customHeight="1">
      <c r="A39" s="82">
        <f t="shared" si="26"/>
        <v>32</v>
      </c>
      <c r="B39" s="83">
        <f t="shared" si="27"/>
        <v>43678</v>
      </c>
      <c r="C39" s="84">
        <f>IFERROR(IF($B38="TOTAL","अक्षरें राशि :-",IF($B39="TOTAL",SUM($C$8:C38),IF(AR40="","",AR40))),"")</f>
        <v>50800</v>
      </c>
      <c r="D39" s="84">
        <f>IFERROR(IF($B39="TOTAL",SUM($D$8:D38),IF(AS40="","",AS40)),"")</f>
        <v>8636</v>
      </c>
      <c r="E39" s="84">
        <f>IFERROR(IF($B39="TOTAL",SUM($E$8:E38),IF(OR(B39=$AL$16,B39=$AL$17,B39=$AL$18,B39=$AL$19,B39=$AL$20,B39=$AL$21,B39=$AL$22,B39=$AL$23,B39=$AL$24),0,IF(AT40="","",AT40))),"")</f>
        <v>4064</v>
      </c>
      <c r="F39" s="84">
        <f t="shared" si="28"/>
        <v>63500</v>
      </c>
      <c r="G39" s="84">
        <f>IFERROR(IF($B39="TOTAL",SUM($G$8:G38),IF(AV40="","",AV40)),"")</f>
        <v>49300</v>
      </c>
      <c r="H39" s="84">
        <f>IFERROR(IF($B39="TOTAL",SUM($H$8:H38),IF(AW40="","",AW40)),"")</f>
        <v>8381</v>
      </c>
      <c r="I39" s="84">
        <f>IFERROR(IF($B39="TOTAL",SUM($I$8:I38),IF(OR(B39=$AL$16,B39=$AL$17,B39=$AL$18,B39=$AL$19,B39=$AL$20,B39=$AL$21,B39=$AL$22,B39=$AL$23,B39=$AL$24),0,IF(AX40="","",AX40))),"")</f>
        <v>3944</v>
      </c>
      <c r="J39" s="84">
        <f t="shared" si="8"/>
        <v>61625</v>
      </c>
      <c r="K39" s="84">
        <f>IFERROR(IF(B39="","",IF(C39="","",IF(G39="","",IF($B39="TOTAL",SUM($K$8:K38),SUM(C39-G39))))),"")</f>
        <v>1500</v>
      </c>
      <c r="L39" s="84">
        <f>IFERROR(IF(B39="","",IF(D39="","",IF(H39="","",IF($B39="TOTAL",SUM($L$8:L38),SUM(D39-H39))))),"")</f>
        <v>255</v>
      </c>
      <c r="M39" s="84">
        <f>IFERROR(IF(B39="","",IF(E39="","",IF(I39="","",IF($B39="TOTAL",SUM($M$8:M38),SUM(E39-I39))))),"")</f>
        <v>120</v>
      </c>
      <c r="N39" s="84">
        <f t="shared" si="9"/>
        <v>1875</v>
      </c>
      <c r="O39" s="84">
        <f>IFERROR(IF(B39="","",IF($B39="TOTAL",SUM($O$8:O38),IF($AN$18=$AN$20,AY40,ROUND((C39+D39)*10%,0)))),"")</f>
        <v>5944</v>
      </c>
      <c r="P39" s="84">
        <f>IFERROR(IF(B39="","",IF(G39="","",IF(H39="","",IF($B39="TOTAL",SUM($P$8:P38),IF($AN$18=$AN$20,$AN$21,ROUND((G39+H39)*10%,0)))))),"")</f>
        <v>5768</v>
      </c>
      <c r="Q39" s="84">
        <f t="shared" si="10"/>
        <v>176</v>
      </c>
      <c r="R39" s="85">
        <f>IFERROR(IF(B39="","",IF($AN$16=$AN$17,0,IF($B39="TOTAL",SUM($R$8:R38),IF($AN$19=$AN$31,0,IF(AND($AN$32=$AN$20,B39=$AN$33),$AN$34,R38))))),"")</f>
        <v>0</v>
      </c>
      <c r="S39" s="85">
        <f>IFERROR(IF(B39="","",IF($AN$16=$AN$17,0,IF($B39="TOTAL",SUM($S$8:S38),IF($AN$19=$AN$20,$AN$24,0)))),"")</f>
        <v>0</v>
      </c>
      <c r="T39" s="84">
        <f t="shared" si="11"/>
        <v>0</v>
      </c>
      <c r="U39" s="84" t="str">
        <f>IF(B39="","",IF($B39="TOTAL",SUM($U$8:U38),IF(AND($AN$2=$AN$20,B39=$AN$1),ROUND(C39/31*$AO$2,0),IF(B39=$AL$6,ROUND((F39)*1/30,0),IF(B39=$AM$6,ROUND((F39)*1/31,0),"")))))</f>
        <v/>
      </c>
      <c r="V39" s="84" t="str">
        <f>IF(B39="","",IF($B39="TOTAL",SUM($V$8:V38),IF(AND($AN$2=$AN$20,B39=$AN$1),ROUND(G39/31*$AO$2,0),IF(B39=$AL$6,ROUND((J39)*1/30,0),IF(B39=$AM$6,ROUND((J39)*1/31,0),"")))))</f>
        <v/>
      </c>
      <c r="W39" s="84" t="str">
        <f t="shared" si="12"/>
        <v/>
      </c>
      <c r="X39" s="84" t="str">
        <f>IFERROR(IF($B39="TOTAL",SUM($X$8:X38),IF(BD40="YES",BE40,"")),"")</f>
        <v/>
      </c>
      <c r="Y39" s="84">
        <f>IFERROR(IF(B39="","",IF($B39="TOTAL",SUM($Y$8:Y38),ROUND(N39*$AN$7%,0))),"")</f>
        <v>0</v>
      </c>
      <c r="Z39" s="84">
        <f>IFERROR(IF(B39="","",IF($B39="TOTAL",SUM($Z$8:Z38),SUM(Q39,T39,W39,X39,Y39))),"")</f>
        <v>176</v>
      </c>
      <c r="AA39" s="86">
        <f>IFERROR(IF(B39="","",IF($B39="TOTAL",SUM($AA$8:AA38),SUM(N39-Z39))),"")</f>
        <v>1699</v>
      </c>
      <c r="AB39" s="16"/>
      <c r="AC39" s="16"/>
      <c r="AJ39" s="112">
        <f t="shared" si="13"/>
        <v>17</v>
      </c>
      <c r="AK39" s="112">
        <f t="shared" si="14"/>
        <v>17</v>
      </c>
      <c r="AL39" s="113"/>
      <c r="AM39" s="114">
        <v>43647</v>
      </c>
      <c r="AN39" s="113"/>
      <c r="AO39" s="114">
        <f t="shared" si="32"/>
        <v>43647</v>
      </c>
      <c r="AP39" s="114">
        <f t="shared" si="16"/>
        <v>43647</v>
      </c>
      <c r="AQ39" s="114">
        <f t="shared" si="17"/>
        <v>43647</v>
      </c>
      <c r="AR39" s="113">
        <f t="shared" si="33"/>
        <v>50800</v>
      </c>
      <c r="AS39" s="113">
        <f t="shared" si="30"/>
        <v>8636</v>
      </c>
      <c r="AT39" s="113">
        <f t="shared" si="34"/>
        <v>4064</v>
      </c>
      <c r="AU39" s="113"/>
      <c r="AV39" s="113">
        <f t="shared" si="35"/>
        <v>49300</v>
      </c>
      <c r="AW39" s="113">
        <f t="shared" si="36"/>
        <v>8381</v>
      </c>
      <c r="AX39" s="113">
        <f t="shared" si="37"/>
        <v>3944</v>
      </c>
      <c r="AY39" s="113">
        <f t="shared" si="38"/>
        <v>3675</v>
      </c>
      <c r="AZ39" s="113"/>
      <c r="BA39" s="113"/>
      <c r="BB39" s="148">
        <f t="shared" si="39"/>
        <v>1875</v>
      </c>
      <c r="BC39" s="113">
        <f t="shared" si="40"/>
        <v>3675</v>
      </c>
      <c r="BD39" s="113" t="str">
        <f t="shared" si="23"/>
        <v/>
      </c>
      <c r="BE39" s="113" t="str">
        <f t="shared" si="24"/>
        <v/>
      </c>
      <c r="BF39" s="113">
        <f t="shared" si="25"/>
        <v>176</v>
      </c>
    </row>
    <row r="40" spans="1:58" s="35" customFormat="1" ht="21" customHeight="1">
      <c r="A40" s="82">
        <f t="shared" si="26"/>
        <v>33</v>
      </c>
      <c r="B40" s="83">
        <f t="shared" si="27"/>
        <v>43709</v>
      </c>
      <c r="C40" s="84">
        <f>IFERROR(IF($B39="TOTAL","अक्षरें राशि :-",IF($B40="TOTAL",SUM($C$8:C39),IF(AR41="","",AR41))),"")</f>
        <v>50800</v>
      </c>
      <c r="D40" s="84">
        <f>IFERROR(IF($B40="TOTAL",SUM($D$8:D39),IF(AS41="","",AS41)),"")</f>
        <v>8636</v>
      </c>
      <c r="E40" s="84">
        <f>IFERROR(IF($B40="TOTAL",SUM($E$8:E39),IF(OR(B40=$AL$16,B40=$AL$17,B40=$AL$18,B40=$AL$19,B40=$AL$20,B40=$AL$21,B40=$AL$22,B40=$AL$23,B40=$AL$24),0,IF(AT41="","",AT41))),"")</f>
        <v>4064</v>
      </c>
      <c r="F40" s="84">
        <f t="shared" si="28"/>
        <v>63500</v>
      </c>
      <c r="G40" s="84">
        <f>IFERROR(IF($B40="TOTAL",SUM($G$8:G39),IF(AV41="","",AV41)),"")</f>
        <v>49300</v>
      </c>
      <c r="H40" s="84">
        <f>IFERROR(IF($B40="TOTAL",SUM($H$8:H39),IF(AW41="","",AW41)),"")</f>
        <v>8381</v>
      </c>
      <c r="I40" s="84">
        <f>IFERROR(IF($B40="TOTAL",SUM($I$8:I39),IF(OR(B40=$AL$16,B40=$AL$17,B40=$AL$18,B40=$AL$19,B40=$AL$20,B40=$AL$21,B40=$AL$22,B40=$AL$23,B40=$AL$24),0,IF(AX41="","",AX41))),"")</f>
        <v>3944</v>
      </c>
      <c r="J40" s="84">
        <f t="shared" si="8"/>
        <v>61625</v>
      </c>
      <c r="K40" s="84">
        <f>IFERROR(IF(B40="","",IF(C40="","",IF(G40="","",IF($B40="TOTAL",SUM($K$8:K39),SUM(C40-G40))))),"")</f>
        <v>1500</v>
      </c>
      <c r="L40" s="84">
        <f>IFERROR(IF(B40="","",IF(D40="","",IF(H40="","",IF($B40="TOTAL",SUM($L$8:L39),SUM(D40-H40))))),"")</f>
        <v>255</v>
      </c>
      <c r="M40" s="84">
        <f>IFERROR(IF(B40="","",IF(E40="","",IF(I40="","",IF($B40="TOTAL",SUM($M$8:M39),SUM(E40-I40))))),"")</f>
        <v>120</v>
      </c>
      <c r="N40" s="84">
        <f t="shared" si="9"/>
        <v>1875</v>
      </c>
      <c r="O40" s="84">
        <f>IFERROR(IF(B40="","",IF($B40="TOTAL",SUM($O$8:O39),IF($AN$18=$AN$20,AY41,ROUND((C40+D40)*10%,0)))),"")</f>
        <v>5944</v>
      </c>
      <c r="P40" s="84">
        <f>IFERROR(IF(B40="","",IF(G40="","",IF(H40="","",IF($B40="TOTAL",SUM($P$8:P39),IF($AN$18=$AN$20,$AN$21,ROUND((G40+H40)*10%,0)))))),"")</f>
        <v>5768</v>
      </c>
      <c r="Q40" s="84">
        <f t="shared" si="10"/>
        <v>176</v>
      </c>
      <c r="R40" s="85">
        <f>IFERROR(IF(B40="","",IF($AN$16=$AN$17,0,IF($B40="TOTAL",SUM($R$8:R39),IF($AN$19=$AN$31,0,IF(AND($AN$32=$AN$20,B40=$AN$33),$AN$34,R39))))),"")</f>
        <v>0</v>
      </c>
      <c r="S40" s="85">
        <f>IFERROR(IF(B40="","",IF($AN$16=$AN$17,0,IF($B40="TOTAL",SUM($S$8:S39),IF($AN$19=$AN$20,$AN$24,0)))),"")</f>
        <v>0</v>
      </c>
      <c r="T40" s="84">
        <f t="shared" si="11"/>
        <v>0</v>
      </c>
      <c r="U40" s="84" t="str">
        <f>IF(B40="","",IF($B40="TOTAL",SUM($U$8:U39),IF(AND($AN$2=$AN$20,B40=$AN$1),ROUND(C40/31*$AO$2,0),IF(B40=$AL$6,ROUND((F40)*1/30,0),IF(B40=$AM$6,ROUND((F40)*1/31,0),"")))))</f>
        <v/>
      </c>
      <c r="V40" s="84" t="str">
        <f>IF(B40="","",IF($B40="TOTAL",SUM($V$8:V39),IF(AND($AN$2=$AN$20,B40=$AN$1),ROUND(G40/31*$AO$2,0),IF(B40=$AL$6,ROUND((J40)*1/30,0),IF(B40=$AM$6,ROUND((J40)*1/31,0),"")))))</f>
        <v/>
      </c>
      <c r="W40" s="84" t="str">
        <f t="shared" si="12"/>
        <v/>
      </c>
      <c r="X40" s="84" t="str">
        <f>IFERROR(IF($B40="TOTAL",SUM($X$8:X39),IF(BD41="YES",BE41,"")),"")</f>
        <v/>
      </c>
      <c r="Y40" s="84">
        <f>IFERROR(IF(B40="","",IF($B40="TOTAL",SUM($Y$8:Y39),ROUND(N40*$AN$7%,0))),"")</f>
        <v>0</v>
      </c>
      <c r="Z40" s="84">
        <f>IFERROR(IF(B40="","",IF($B40="TOTAL",SUM($Z$8:Z39),SUM(Q40,T40,W40,X40,Y40))),"")</f>
        <v>176</v>
      </c>
      <c r="AA40" s="86">
        <f>IFERROR(IF(B40="","",IF($B40="TOTAL",SUM($AA$8:AA39),SUM(N40-Z40))),"")</f>
        <v>1699</v>
      </c>
      <c r="AB40" s="16"/>
      <c r="AC40" s="16"/>
      <c r="AJ40" s="112">
        <f t="shared" si="13"/>
        <v>17</v>
      </c>
      <c r="AK40" s="112">
        <f t="shared" si="14"/>
        <v>17</v>
      </c>
      <c r="AL40" s="113"/>
      <c r="AM40" s="114">
        <v>43678</v>
      </c>
      <c r="AN40" s="113"/>
      <c r="AO40" s="114">
        <f t="shared" si="32"/>
        <v>43678</v>
      </c>
      <c r="AP40" s="114">
        <f t="shared" si="16"/>
        <v>43678</v>
      </c>
      <c r="AQ40" s="114">
        <f t="shared" si="17"/>
        <v>43678</v>
      </c>
      <c r="AR40" s="113">
        <f t="shared" si="33"/>
        <v>50800</v>
      </c>
      <c r="AS40" s="113">
        <f t="shared" si="30"/>
        <v>8636</v>
      </c>
      <c r="AT40" s="113">
        <f t="shared" si="34"/>
        <v>4064</v>
      </c>
      <c r="AU40" s="113"/>
      <c r="AV40" s="113">
        <f t="shared" si="35"/>
        <v>49300</v>
      </c>
      <c r="AW40" s="113">
        <f t="shared" si="36"/>
        <v>8381</v>
      </c>
      <c r="AX40" s="113">
        <f t="shared" si="37"/>
        <v>3944</v>
      </c>
      <c r="AY40" s="113">
        <f t="shared" si="38"/>
        <v>3675</v>
      </c>
      <c r="AZ40" s="113"/>
      <c r="BA40" s="113"/>
      <c r="BB40" s="148">
        <f t="shared" si="39"/>
        <v>1875</v>
      </c>
      <c r="BC40" s="113">
        <f t="shared" si="40"/>
        <v>3675</v>
      </c>
      <c r="BD40" s="113" t="str">
        <f t="shared" si="23"/>
        <v/>
      </c>
      <c r="BE40" s="113" t="str">
        <f t="shared" si="24"/>
        <v/>
      </c>
      <c r="BF40" s="113">
        <f t="shared" si="25"/>
        <v>176</v>
      </c>
    </row>
    <row r="41" spans="1:58" s="35" customFormat="1" ht="21" customHeight="1">
      <c r="A41" s="82">
        <f t="shared" si="26"/>
        <v>34</v>
      </c>
      <c r="B41" s="83">
        <f t="shared" si="27"/>
        <v>43739</v>
      </c>
      <c r="C41" s="84">
        <f>IFERROR(IF($B40="TOTAL","अक्षरें राशि :-",IF($B41="TOTAL",SUM($C$8:C40),IF(AR42="","",AR42))),"")</f>
        <v>50800</v>
      </c>
      <c r="D41" s="84">
        <f>IFERROR(IF($B41="TOTAL",SUM($D$8:D40),IF(AS42="","",AS42)),"")</f>
        <v>8636</v>
      </c>
      <c r="E41" s="84">
        <f>IFERROR(IF($B41="TOTAL",SUM($E$8:E40),IF(OR(B41=$AL$16,B41=$AL$17,B41=$AL$18,B41=$AL$19,B41=$AL$20,B41=$AL$21,B41=$AL$22,B41=$AL$23,B41=$AL$24),0,IF(AT42="","",AT42))),"")</f>
        <v>4064</v>
      </c>
      <c r="F41" s="84">
        <f t="shared" si="28"/>
        <v>63500</v>
      </c>
      <c r="G41" s="84">
        <f>IFERROR(IF($B41="TOTAL",SUM($G$8:G40),IF(AV42="","",AV42)),"")</f>
        <v>49300</v>
      </c>
      <c r="H41" s="84">
        <f>IFERROR(IF($B41="TOTAL",SUM($H$8:H40),IF(AW42="","",AW42)),"")</f>
        <v>8381</v>
      </c>
      <c r="I41" s="84">
        <f>IFERROR(IF($B41="TOTAL",SUM($I$8:I40),IF(OR(B41=$AL$16,B41=$AL$17,B41=$AL$18,B41=$AL$19,B41=$AL$20,B41=$AL$21,B41=$AL$22,B41=$AL$23,B41=$AL$24),0,IF(AX42="","",AX42))),"")</f>
        <v>3944</v>
      </c>
      <c r="J41" s="84">
        <f t="shared" si="8"/>
        <v>61625</v>
      </c>
      <c r="K41" s="84">
        <f>IFERROR(IF(B41="","",IF(C41="","",IF(G41="","",IF($B41="TOTAL",SUM($K$8:K40),SUM(C41-G41))))),"")</f>
        <v>1500</v>
      </c>
      <c r="L41" s="84">
        <f>IFERROR(IF(B41="","",IF(D41="","",IF(H41="","",IF($B41="TOTAL",SUM($L$8:L40),SUM(D41-H41))))),"")</f>
        <v>255</v>
      </c>
      <c r="M41" s="84">
        <f>IFERROR(IF(B41="","",IF(E41="","",IF(I41="","",IF($B41="TOTAL",SUM($M$8:M40),SUM(E41-I41))))),"")</f>
        <v>120</v>
      </c>
      <c r="N41" s="84">
        <f t="shared" si="9"/>
        <v>1875</v>
      </c>
      <c r="O41" s="84">
        <f>IFERROR(IF(B41="","",IF($B41="TOTAL",SUM($O$8:O40),IF($AN$18=$AN$20,AY42,ROUND((C41+D41)*10%,0)))),"")</f>
        <v>5944</v>
      </c>
      <c r="P41" s="84">
        <f>IFERROR(IF(B41="","",IF(G41="","",IF(H41="","",IF($B41="TOTAL",SUM($P$8:P40),IF($AN$18=$AN$20,$AN$21,ROUND((G41+H41)*10%,0)))))),"")</f>
        <v>5768</v>
      </c>
      <c r="Q41" s="84">
        <f t="shared" si="10"/>
        <v>176</v>
      </c>
      <c r="R41" s="85">
        <f>IFERROR(IF(B41="","",IF($AN$16=$AN$17,0,IF($B41="TOTAL",SUM($R$8:R40),IF($AN$19=$AN$31,0,IF(AND($AN$32=$AN$20,B41=$AN$33),$AN$34,R40))))),"")</f>
        <v>0</v>
      </c>
      <c r="S41" s="85">
        <f>IFERROR(IF(B41="","",IF($AN$16=$AN$17,0,IF($B41="TOTAL",SUM($S$8:S40),IF($AN$19=$AN$20,$AN$24,0)))),"")</f>
        <v>0</v>
      </c>
      <c r="T41" s="84">
        <f t="shared" si="11"/>
        <v>0</v>
      </c>
      <c r="U41" s="84" t="str">
        <f>IF(B41="","",IF($B41="TOTAL",SUM($U$8:U40),IF(AND($AN$2=$AN$20,B41=$AN$1),ROUND(C41/31*$AO$2,0),IF(B41=$AL$6,ROUND((F41)*1/30,0),IF(B41=$AM$6,ROUND((F41)*1/31,0),"")))))</f>
        <v/>
      </c>
      <c r="V41" s="84" t="str">
        <f>IF(B41="","",IF($B41="TOTAL",SUM($V$8:V40),IF(AND($AN$2=$AN$20,B41=$AN$1),ROUND(G41/31*$AO$2,0),IF(B41=$AL$6,ROUND((J41)*1/30,0),IF(B41=$AM$6,ROUND((J41)*1/31,0),"")))))</f>
        <v/>
      </c>
      <c r="W41" s="84" t="str">
        <f t="shared" si="12"/>
        <v/>
      </c>
      <c r="X41" s="84" t="str">
        <f>IFERROR(IF($B41="TOTAL",SUM($X$8:X40),IF(BD42="YES",BE42,"")),"")</f>
        <v/>
      </c>
      <c r="Y41" s="84">
        <f>IFERROR(IF(B41="","",IF($B41="TOTAL",SUM($Y$8:Y40),ROUND(N41*$AN$7%,0))),"")</f>
        <v>0</v>
      </c>
      <c r="Z41" s="84">
        <f>IFERROR(IF(B41="","",IF($B41="TOTAL",SUM($Z$8:Z40),SUM(Q41,T41,W41,X41,Y41))),"")</f>
        <v>176</v>
      </c>
      <c r="AA41" s="86">
        <f>IFERROR(IF(B41="","",IF($B41="TOTAL",SUM($AA$8:AA40),SUM(N41-Z41))),"")</f>
        <v>1699</v>
      </c>
      <c r="AB41" s="16"/>
      <c r="AC41" s="16"/>
      <c r="AJ41" s="112">
        <f t="shared" si="13"/>
        <v>17</v>
      </c>
      <c r="AK41" s="112">
        <f t="shared" si="14"/>
        <v>17</v>
      </c>
      <c r="AL41" s="113"/>
      <c r="AM41" s="114">
        <v>43709</v>
      </c>
      <c r="AN41" s="113"/>
      <c r="AO41" s="114">
        <f t="shared" si="32"/>
        <v>43709</v>
      </c>
      <c r="AP41" s="114">
        <f t="shared" si="16"/>
        <v>43709</v>
      </c>
      <c r="AQ41" s="114">
        <f t="shared" si="17"/>
        <v>43709</v>
      </c>
      <c r="AR41" s="113">
        <f t="shared" si="33"/>
        <v>50800</v>
      </c>
      <c r="AS41" s="113">
        <f t="shared" si="30"/>
        <v>8636</v>
      </c>
      <c r="AT41" s="113">
        <f t="shared" si="34"/>
        <v>4064</v>
      </c>
      <c r="AU41" s="113"/>
      <c r="AV41" s="113">
        <f t="shared" si="35"/>
        <v>49300</v>
      </c>
      <c r="AW41" s="113">
        <f t="shared" si="36"/>
        <v>8381</v>
      </c>
      <c r="AX41" s="113">
        <f t="shared" si="37"/>
        <v>3944</v>
      </c>
      <c r="AY41" s="113">
        <f t="shared" si="38"/>
        <v>3675</v>
      </c>
      <c r="AZ41" s="113"/>
      <c r="BA41" s="113"/>
      <c r="BB41" s="148">
        <f t="shared" si="39"/>
        <v>1875</v>
      </c>
      <c r="BC41" s="113">
        <f t="shared" si="40"/>
        <v>3675</v>
      </c>
      <c r="BD41" s="113" t="str">
        <f t="shared" si="23"/>
        <v/>
      </c>
      <c r="BE41" s="113" t="str">
        <f t="shared" si="24"/>
        <v/>
      </c>
      <c r="BF41" s="113">
        <f t="shared" si="25"/>
        <v>176</v>
      </c>
    </row>
    <row r="42" spans="1:58" s="35" customFormat="1" ht="21" customHeight="1">
      <c r="A42" s="82">
        <f t="shared" si="26"/>
        <v>35</v>
      </c>
      <c r="B42" s="83">
        <f t="shared" si="27"/>
        <v>43770</v>
      </c>
      <c r="C42" s="84">
        <f>IFERROR(IF($B41="TOTAL","अक्षरें राशि :-",IF($B42="TOTAL",SUM($C$8:C41),IF(AR43="","",AR43))),"")</f>
        <v>50800</v>
      </c>
      <c r="D42" s="84">
        <f>IFERROR(IF($B42="TOTAL",SUM($D$8:D41),IF(AS43="","",AS43)),"")</f>
        <v>8636</v>
      </c>
      <c r="E42" s="84">
        <f>IFERROR(IF($B42="TOTAL",SUM($E$8:E41),IF(OR(B42=$AL$16,B42=$AL$17,B42=$AL$18,B42=$AL$19,B42=$AL$20,B42=$AL$21,B42=$AL$22,B42=$AL$23,B42=$AL$24),0,IF(AT43="","",AT43))),"")</f>
        <v>4064</v>
      </c>
      <c r="F42" s="84">
        <f t="shared" si="28"/>
        <v>63500</v>
      </c>
      <c r="G42" s="84">
        <f>IFERROR(IF($B42="TOTAL",SUM($G$8:G41),IF(AV43="","",AV43)),"")</f>
        <v>49300</v>
      </c>
      <c r="H42" s="84">
        <f>IFERROR(IF($B42="TOTAL",SUM($H$8:H41),IF(AW43="","",AW43)),"")</f>
        <v>8381</v>
      </c>
      <c r="I42" s="84">
        <f>IFERROR(IF($B42="TOTAL",SUM($I$8:I41),IF(OR(B42=$AL$16,B42=$AL$17,B42=$AL$18,B42=$AL$19,B42=$AL$20,B42=$AL$21,B42=$AL$22,B42=$AL$23,B42=$AL$24),0,IF(AX43="","",AX43))),"")</f>
        <v>3944</v>
      </c>
      <c r="J42" s="84">
        <f t="shared" si="8"/>
        <v>61625</v>
      </c>
      <c r="K42" s="84">
        <f>IFERROR(IF(B42="","",IF(C42="","",IF(G42="","",IF($B42="TOTAL",SUM($K$8:K41),SUM(C42-G42))))),"")</f>
        <v>1500</v>
      </c>
      <c r="L42" s="84">
        <f>IFERROR(IF(B42="","",IF(D42="","",IF(H42="","",IF($B42="TOTAL",SUM($L$8:L41),SUM(D42-H42))))),"")</f>
        <v>255</v>
      </c>
      <c r="M42" s="84">
        <f>IFERROR(IF(B42="","",IF(E42="","",IF(I42="","",IF($B42="TOTAL",SUM($M$8:M41),SUM(E42-I42))))),"")</f>
        <v>120</v>
      </c>
      <c r="N42" s="84">
        <f t="shared" si="9"/>
        <v>1875</v>
      </c>
      <c r="O42" s="84">
        <f>IFERROR(IF(B42="","",IF($B42="TOTAL",SUM($O$8:O41),IF($AN$18=$AN$20,AY43,ROUND((C42+D42)*10%,0)))),"")</f>
        <v>5944</v>
      </c>
      <c r="P42" s="84">
        <f>IFERROR(IF(B42="","",IF(G42="","",IF(H42="","",IF($B42="TOTAL",SUM($P$8:P41),IF($AN$18=$AN$20,$AN$21,ROUND((G42+H42)*10%,0)))))),"")</f>
        <v>5768</v>
      </c>
      <c r="Q42" s="84">
        <f t="shared" si="10"/>
        <v>176</v>
      </c>
      <c r="R42" s="85">
        <f>IFERROR(IF(B42="","",IF($AN$16=$AN$17,0,IF($B42="TOTAL",SUM($R$8:R41),IF($AN$19=$AN$31,0,IF(AND($AN$32=$AN$20,B42=$AN$33),$AN$34,R41))))),"")</f>
        <v>0</v>
      </c>
      <c r="S42" s="85">
        <f>IFERROR(IF(B42="","",IF($AN$16=$AN$17,0,IF($B42="TOTAL",SUM($S$8:S41),IF($AN$19=$AN$20,$AN$24,0)))),"")</f>
        <v>0</v>
      </c>
      <c r="T42" s="84">
        <f t="shared" si="11"/>
        <v>0</v>
      </c>
      <c r="U42" s="84" t="str">
        <f>IF(B42="","",IF($B42="TOTAL",SUM($U$8:U41),IF(AND($AN$2=$AN$20,B42=$AN$1),ROUND(C42/31*$AO$2,0),IF(B42=$AL$6,ROUND((F42)*1/30,0),IF(B42=$AM$6,ROUND((F42)*1/31,0),"")))))</f>
        <v/>
      </c>
      <c r="V42" s="84" t="str">
        <f>IF(B42="","",IF($B42="TOTAL",SUM($V$8:V41),IF(AND($AN$2=$AN$20,B42=$AN$1),ROUND(G42/31*$AO$2,0),IF(B42=$AL$6,ROUND((J42)*1/30,0),IF(B42=$AM$6,ROUND((J42)*1/31,0),"")))))</f>
        <v/>
      </c>
      <c r="W42" s="84" t="str">
        <f t="shared" si="12"/>
        <v/>
      </c>
      <c r="X42" s="84" t="str">
        <f>IFERROR(IF($B42="TOTAL",SUM($X$8:X41),IF(BD43="YES",BE43,"")),"")</f>
        <v/>
      </c>
      <c r="Y42" s="84">
        <f>IFERROR(IF(B42="","",IF($B42="TOTAL",SUM($Y$8:Y41),ROUND(N42*$AN$7%,0))),"")</f>
        <v>0</v>
      </c>
      <c r="Z42" s="84">
        <f>IFERROR(IF(B42="","",IF($B42="TOTAL",SUM($Z$8:Z41),SUM(Q42,T42,W42,X42,Y42))),"")</f>
        <v>176</v>
      </c>
      <c r="AA42" s="86">
        <f>IFERROR(IF(B42="","",IF($B42="TOTAL",SUM($AA$8:AA41),SUM(N42-Z42))),"")</f>
        <v>1699</v>
      </c>
      <c r="AB42" s="16"/>
      <c r="AC42" s="16"/>
      <c r="AJ42" s="112">
        <f t="shared" si="13"/>
        <v>17</v>
      </c>
      <c r="AK42" s="112">
        <f t="shared" si="14"/>
        <v>17</v>
      </c>
      <c r="AL42" s="113"/>
      <c r="AM42" s="114">
        <v>43739</v>
      </c>
      <c r="AN42" s="113"/>
      <c r="AO42" s="114">
        <f t="shared" si="32"/>
        <v>43739</v>
      </c>
      <c r="AP42" s="114">
        <f t="shared" si="16"/>
        <v>43739</v>
      </c>
      <c r="AQ42" s="114">
        <f t="shared" ref="AQ42:AQ73" si="41">IFERROR(IF(AP42="","",IF(DATE(YEAR(AP42),MONTH(AP42),DAY(AP42))=DATE(YEAR($AO$6),MONTH($AO$6)+1,DAY($AO$6)),"TOTAL",IF(AP42&gt;$AO$6,"",AP42))),"")</f>
        <v>43739</v>
      </c>
      <c r="AR42" s="113">
        <f t="shared" si="33"/>
        <v>50800</v>
      </c>
      <c r="AS42" s="113">
        <f t="shared" si="30"/>
        <v>8636</v>
      </c>
      <c r="AT42" s="113">
        <f t="shared" si="34"/>
        <v>4064</v>
      </c>
      <c r="AU42" s="113"/>
      <c r="AV42" s="113">
        <f t="shared" si="35"/>
        <v>49300</v>
      </c>
      <c r="AW42" s="113">
        <f t="shared" si="36"/>
        <v>8381</v>
      </c>
      <c r="AX42" s="113">
        <f t="shared" si="37"/>
        <v>3944</v>
      </c>
      <c r="AY42" s="113">
        <f t="shared" si="38"/>
        <v>3675</v>
      </c>
      <c r="AZ42" s="113"/>
      <c r="BA42" s="113"/>
      <c r="BB42" s="148">
        <f t="shared" si="39"/>
        <v>1875</v>
      </c>
      <c r="BC42" s="113">
        <f t="shared" si="40"/>
        <v>3675</v>
      </c>
      <c r="BD42" s="113" t="str">
        <f t="shared" si="23"/>
        <v/>
      </c>
      <c r="BE42" s="113" t="str">
        <f t="shared" si="24"/>
        <v/>
      </c>
      <c r="BF42" s="113">
        <f t="shared" si="25"/>
        <v>176</v>
      </c>
    </row>
    <row r="43" spans="1:58" s="35" customFormat="1" ht="21" customHeight="1">
      <c r="A43" s="82">
        <f t="shared" si="26"/>
        <v>36</v>
      </c>
      <c r="B43" s="83">
        <f t="shared" si="27"/>
        <v>43800</v>
      </c>
      <c r="C43" s="84">
        <f>IFERROR(IF($B42="TOTAL","अक्षरें राशि :-",IF($B43="TOTAL",SUM($C$8:C42),IF(AR44="","",AR44))),"")</f>
        <v>50800</v>
      </c>
      <c r="D43" s="84">
        <f>IFERROR(IF($B43="TOTAL",SUM($D$8:D42),IF(AS44="","",AS44)),"")</f>
        <v>8636</v>
      </c>
      <c r="E43" s="84">
        <f>IFERROR(IF($B43="TOTAL",SUM($E$8:E42),IF(OR(B43=$AL$16,B43=$AL$17,B43=$AL$18,B43=$AL$19,B43=$AL$20,B43=$AL$21,B43=$AL$22,B43=$AL$23,B43=$AL$24),0,IF(AT44="","",AT44))),"")</f>
        <v>4064</v>
      </c>
      <c r="F43" s="84">
        <f t="shared" si="28"/>
        <v>63500</v>
      </c>
      <c r="G43" s="84">
        <f>IFERROR(IF($B43="TOTAL",SUM($G$8:G42),IF(AV44="","",AV44)),"")</f>
        <v>49300</v>
      </c>
      <c r="H43" s="84">
        <f>IFERROR(IF($B43="TOTAL",SUM($H$8:H42),IF(AW44="","",AW44)),"")</f>
        <v>8381</v>
      </c>
      <c r="I43" s="84">
        <f>IFERROR(IF($B43="TOTAL",SUM($I$8:I42),IF(OR(B43=$AL$16,B43=$AL$17,B43=$AL$18,B43=$AL$19,B43=$AL$20,B43=$AL$21,B43=$AL$22,B43=$AL$23,B43=$AL$24),0,IF(AX44="","",AX44))),"")</f>
        <v>3944</v>
      </c>
      <c r="J43" s="84">
        <f t="shared" si="8"/>
        <v>61625</v>
      </c>
      <c r="K43" s="84">
        <f>IFERROR(IF(B43="","",IF(C43="","",IF(G43="","",IF($B43="TOTAL",SUM($K$8:K42),SUM(C43-G43))))),"")</f>
        <v>1500</v>
      </c>
      <c r="L43" s="84">
        <f>IFERROR(IF(B43="","",IF(D43="","",IF(H43="","",IF($B43="TOTAL",SUM($L$8:L42),SUM(D43-H43))))),"")</f>
        <v>255</v>
      </c>
      <c r="M43" s="84">
        <f>IFERROR(IF(B43="","",IF(E43="","",IF(I43="","",IF($B43="TOTAL",SUM($M$8:M42),SUM(E43-I43))))),"")</f>
        <v>120</v>
      </c>
      <c r="N43" s="84">
        <f t="shared" si="9"/>
        <v>1875</v>
      </c>
      <c r="O43" s="84">
        <f>IFERROR(IF(B43="","",IF($B43="TOTAL",SUM($O$8:O42),IF($AN$18=$AN$20,AY44,ROUND((C43+D43)*10%,0)))),"")</f>
        <v>5944</v>
      </c>
      <c r="P43" s="84">
        <f>IFERROR(IF(B43="","",IF(G43="","",IF(H43="","",IF($B43="TOTAL",SUM($P$8:P42),IF($AN$18=$AN$20,$AN$21,ROUND((G43+H43)*10%,0)))))),"")</f>
        <v>5768</v>
      </c>
      <c r="Q43" s="84">
        <f t="shared" si="10"/>
        <v>176</v>
      </c>
      <c r="R43" s="85">
        <f>IFERROR(IF(B43="","",IF($AN$16=$AN$17,0,IF($B43="TOTAL",SUM($R$8:R42),IF($AN$19=$AN$31,0,IF(AND($AN$32=$AN$20,B43=$AN$33),$AN$34,R42))))),"")</f>
        <v>0</v>
      </c>
      <c r="S43" s="85">
        <f>IFERROR(IF(B43="","",IF($AN$16=$AN$17,0,IF($B43="TOTAL",SUM($S$8:S42),IF($AN$19=$AN$20,$AN$24,0)))),"")</f>
        <v>0</v>
      </c>
      <c r="T43" s="84">
        <f t="shared" si="11"/>
        <v>0</v>
      </c>
      <c r="U43" s="84" t="str">
        <f>IF(B43="","",IF($B43="TOTAL",SUM($U$8:U42),IF(AND($AN$2=$AN$20,B43=$AN$1),ROUND(C43/31*$AO$2,0),IF(B43=$AL$6,ROUND((F43)*1/30,0),IF(B43=$AM$6,ROUND((F43)*1/31,0),"")))))</f>
        <v/>
      </c>
      <c r="V43" s="84" t="str">
        <f>IF(B43="","",IF($B43="TOTAL",SUM($V$8:V42),IF(AND($AN$2=$AN$20,B43=$AN$1),ROUND(G43/31*$AO$2,0),IF(B43=$AL$6,ROUND((J43)*1/30,0),IF(B43=$AM$6,ROUND((J43)*1/31,0),"")))))</f>
        <v/>
      </c>
      <c r="W43" s="84" t="str">
        <f t="shared" si="12"/>
        <v/>
      </c>
      <c r="X43" s="84" t="str">
        <f>IFERROR(IF($B43="TOTAL",SUM($X$8:X42),IF(BD44="YES",BE44,"")),"")</f>
        <v/>
      </c>
      <c r="Y43" s="84">
        <f>IFERROR(IF(B43="","",IF($B43="TOTAL",SUM($Y$8:Y42),ROUND(N43*$AN$7%,0))),"")</f>
        <v>0</v>
      </c>
      <c r="Z43" s="84">
        <f>IFERROR(IF(B43="","",IF($B43="TOTAL",SUM($Z$8:Z42),SUM(Q43,T43,W43,X43,Y43))),"")</f>
        <v>176</v>
      </c>
      <c r="AA43" s="86">
        <f>IFERROR(IF(B43="","",IF($B43="TOTAL",SUM($AA$8:AA42),SUM(N43-Z43))),"")</f>
        <v>1699</v>
      </c>
      <c r="AB43" s="16"/>
      <c r="AC43" s="16"/>
      <c r="AJ43" s="112">
        <f t="shared" si="13"/>
        <v>17</v>
      </c>
      <c r="AK43" s="112">
        <f t="shared" si="14"/>
        <v>17</v>
      </c>
      <c r="AL43" s="113"/>
      <c r="AM43" s="114">
        <v>43770</v>
      </c>
      <c r="AN43" s="113"/>
      <c r="AO43" s="114">
        <f t="shared" si="32"/>
        <v>43770</v>
      </c>
      <c r="AP43" s="114">
        <f t="shared" si="16"/>
        <v>43770</v>
      </c>
      <c r="AQ43" s="114">
        <f t="shared" si="41"/>
        <v>43770</v>
      </c>
      <c r="AR43" s="113">
        <f t="shared" si="33"/>
        <v>50800</v>
      </c>
      <c r="AS43" s="113">
        <f t="shared" si="30"/>
        <v>8636</v>
      </c>
      <c r="AT43" s="113">
        <f t="shared" si="34"/>
        <v>4064</v>
      </c>
      <c r="AU43" s="113"/>
      <c r="AV43" s="113">
        <f t="shared" si="35"/>
        <v>49300</v>
      </c>
      <c r="AW43" s="113">
        <f t="shared" si="36"/>
        <v>8381</v>
      </c>
      <c r="AX43" s="113">
        <f t="shared" si="37"/>
        <v>3944</v>
      </c>
      <c r="AY43" s="113">
        <f t="shared" si="38"/>
        <v>3675</v>
      </c>
      <c r="AZ43" s="113"/>
      <c r="BA43" s="113"/>
      <c r="BB43" s="148">
        <f t="shared" si="39"/>
        <v>1875</v>
      </c>
      <c r="BC43" s="113">
        <f t="shared" si="40"/>
        <v>3675</v>
      </c>
      <c r="BD43" s="113" t="str">
        <f t="shared" si="23"/>
        <v/>
      </c>
      <c r="BE43" s="113" t="str">
        <f t="shared" si="24"/>
        <v/>
      </c>
      <c r="BF43" s="113">
        <f t="shared" si="25"/>
        <v>176</v>
      </c>
    </row>
    <row r="44" spans="1:58" s="35" customFormat="1" ht="21" customHeight="1">
      <c r="A44" s="82">
        <f t="shared" si="26"/>
        <v>37</v>
      </c>
      <c r="B44" s="83">
        <f t="shared" si="27"/>
        <v>43831</v>
      </c>
      <c r="C44" s="84">
        <f>IFERROR(IF($B43="TOTAL","अक्षरें राशि :-",IF($B44="TOTAL",SUM($C$8:C43),IF(AR45="","",AR45))),"")</f>
        <v>50800</v>
      </c>
      <c r="D44" s="84">
        <f>IFERROR(IF($B44="TOTAL",SUM($D$8:D43),IF(AS45="","",AS45)),"")</f>
        <v>8636</v>
      </c>
      <c r="E44" s="84">
        <f>IFERROR(IF($B44="TOTAL",SUM($E$8:E43),IF(OR(B44=$AL$16,B44=$AL$17,B44=$AL$18,B44=$AL$19,B44=$AL$20,B44=$AL$21,B44=$AL$22,B44=$AL$23,B44=$AL$24),0,IF(AT45="","",AT45))),"")</f>
        <v>4064</v>
      </c>
      <c r="F44" s="84">
        <f t="shared" si="28"/>
        <v>63500</v>
      </c>
      <c r="G44" s="84">
        <f>IFERROR(IF($B44="TOTAL",SUM($G$8:G43),IF(AV45="","",AV45)),"")</f>
        <v>49300</v>
      </c>
      <c r="H44" s="84">
        <f>IFERROR(IF($B44="TOTAL",SUM($H$8:H43),IF(AW45="","",AW45)),"")</f>
        <v>8381</v>
      </c>
      <c r="I44" s="84">
        <f>IFERROR(IF($B44="TOTAL",SUM($I$8:I43),IF(OR(B44=$AL$16,B44=$AL$17,B44=$AL$18,B44=$AL$19,B44=$AL$20,B44=$AL$21,B44=$AL$22,B44=$AL$23,B44=$AL$24),0,IF(AX45="","",AX45))),"")</f>
        <v>3944</v>
      </c>
      <c r="J44" s="84">
        <f t="shared" si="8"/>
        <v>61625</v>
      </c>
      <c r="K44" s="84">
        <f>IFERROR(IF(B44="","",IF(C44="","",IF(G44="","",IF($B44="TOTAL",SUM($K$8:K43),SUM(C44-G44))))),"")</f>
        <v>1500</v>
      </c>
      <c r="L44" s="84">
        <f>IFERROR(IF(B44="","",IF(D44="","",IF(H44="","",IF($B44="TOTAL",SUM($L$8:L43),SUM(D44-H44))))),"")</f>
        <v>255</v>
      </c>
      <c r="M44" s="84">
        <f>IFERROR(IF(B44="","",IF(E44="","",IF(I44="","",IF($B44="TOTAL",SUM($M$8:M43),SUM(E44-I44))))),"")</f>
        <v>120</v>
      </c>
      <c r="N44" s="84">
        <f t="shared" si="9"/>
        <v>1875</v>
      </c>
      <c r="O44" s="84">
        <f>IFERROR(IF(B44="","",IF($B44="TOTAL",SUM($O$8:O43),IF($AN$18=$AN$20,AY45,ROUND((C44+D44)*10%,0)))),"")</f>
        <v>5944</v>
      </c>
      <c r="P44" s="84">
        <f>IFERROR(IF(B44="","",IF(G44="","",IF(H44="","",IF($B44="TOTAL",SUM($P$8:P43),IF($AN$18=$AN$20,$AN$21,ROUND((G44+H44)*10%,0)))))),"")</f>
        <v>5768</v>
      </c>
      <c r="Q44" s="84">
        <f t="shared" si="10"/>
        <v>176</v>
      </c>
      <c r="R44" s="85">
        <f>IFERROR(IF(B44="","",IF($AN$16=$AN$17,0,IF($B44="TOTAL",SUM($R$8:R43),IF($AN$19=$AN$31,0,IF(AND($AN$32=$AN$20,B44=$AN$33),$AN$34,R43))))),"")</f>
        <v>0</v>
      </c>
      <c r="S44" s="85">
        <f>IFERROR(IF(B44="","",IF($AN$16=$AN$17,0,IF($B44="TOTAL",SUM($S$8:S43),IF($AN$19=$AN$20,$AN$24,0)))),"")</f>
        <v>0</v>
      </c>
      <c r="T44" s="84">
        <f t="shared" si="11"/>
        <v>0</v>
      </c>
      <c r="U44" s="84" t="str">
        <f>IF(B44="","",IF($B44="TOTAL",SUM($U$8:U43),IF(AND($AN$2=$AN$20,B44=$AN$1),ROUND(C44/31*$AO$2,0),IF(B44=$AL$6,ROUND((F44)*1/30,0),IF(B44=$AM$6,ROUND((F44)*1/31,0),"")))))</f>
        <v/>
      </c>
      <c r="V44" s="84" t="str">
        <f>IF(B44="","",IF($B44="TOTAL",SUM($V$8:V43),IF(AND($AN$2=$AN$20,B44=$AN$1),ROUND(G44/31*$AO$2,0),IF(B44=$AL$6,ROUND((J44)*1/30,0),IF(B44=$AM$6,ROUND((J44)*1/31,0),"")))))</f>
        <v/>
      </c>
      <c r="W44" s="84" t="str">
        <f t="shared" si="12"/>
        <v/>
      </c>
      <c r="X44" s="84" t="str">
        <f>IFERROR(IF($B44="TOTAL",SUM($X$8:X43),IF(BD45="YES",BE45,"")),"")</f>
        <v/>
      </c>
      <c r="Y44" s="84">
        <f>IFERROR(IF(B44="","",IF($B44="TOTAL",SUM($Y$8:Y43),ROUND(N44*$AN$7%,0))),"")</f>
        <v>0</v>
      </c>
      <c r="Z44" s="84">
        <f>IFERROR(IF(B44="","",IF($B44="TOTAL",SUM($Z$8:Z43),SUM(Q44,T44,W44,X44,Y44))),"")</f>
        <v>176</v>
      </c>
      <c r="AA44" s="86">
        <f>IFERROR(IF(B44="","",IF($B44="TOTAL",SUM($AA$8:AA43),SUM(N44-Z44))),"")</f>
        <v>1699</v>
      </c>
      <c r="AB44" s="16"/>
      <c r="AC44" s="16"/>
      <c r="AJ44" s="112">
        <f t="shared" si="13"/>
        <v>17</v>
      </c>
      <c r="AK44" s="112">
        <f t="shared" si="14"/>
        <v>17</v>
      </c>
      <c r="AL44" s="113"/>
      <c r="AM44" s="114">
        <v>43800</v>
      </c>
      <c r="AN44" s="113"/>
      <c r="AO44" s="114">
        <f t="shared" si="32"/>
        <v>43800</v>
      </c>
      <c r="AP44" s="114">
        <f t="shared" si="16"/>
        <v>43800</v>
      </c>
      <c r="AQ44" s="114">
        <f t="shared" si="41"/>
        <v>43800</v>
      </c>
      <c r="AR44" s="113">
        <f t="shared" si="33"/>
        <v>50800</v>
      </c>
      <c r="AS44" s="113">
        <f t="shared" si="30"/>
        <v>8636</v>
      </c>
      <c r="AT44" s="113">
        <f t="shared" si="34"/>
        <v>4064</v>
      </c>
      <c r="AU44" s="113"/>
      <c r="AV44" s="113">
        <f t="shared" si="35"/>
        <v>49300</v>
      </c>
      <c r="AW44" s="113">
        <f t="shared" si="36"/>
        <v>8381</v>
      </c>
      <c r="AX44" s="113">
        <f t="shared" si="37"/>
        <v>3944</v>
      </c>
      <c r="AY44" s="113">
        <f t="shared" si="38"/>
        <v>3675</v>
      </c>
      <c r="AZ44" s="113"/>
      <c r="BA44" s="113"/>
      <c r="BB44" s="148">
        <f t="shared" si="39"/>
        <v>1875</v>
      </c>
      <c r="BC44" s="113">
        <f t="shared" si="40"/>
        <v>3675</v>
      </c>
      <c r="BD44" s="113" t="str">
        <f t="shared" si="23"/>
        <v/>
      </c>
      <c r="BE44" s="113" t="str">
        <f t="shared" si="24"/>
        <v/>
      </c>
      <c r="BF44" s="113">
        <f t="shared" si="25"/>
        <v>176</v>
      </c>
    </row>
    <row r="45" spans="1:58" s="35" customFormat="1" ht="21" customHeight="1">
      <c r="A45" s="82">
        <f t="shared" si="26"/>
        <v>38</v>
      </c>
      <c r="B45" s="83">
        <f t="shared" si="27"/>
        <v>43862</v>
      </c>
      <c r="C45" s="84">
        <f>IFERROR(IF($B44="TOTAL","अक्षरें राशि :-",IF($B45="TOTAL",SUM($C$8:C44),IF(AR46="","",AR46))),"")</f>
        <v>50800</v>
      </c>
      <c r="D45" s="84">
        <f>IFERROR(IF($B45="TOTAL",SUM($D$8:D44),IF(AS46="","",AS46)),"")</f>
        <v>8636</v>
      </c>
      <c r="E45" s="84">
        <f>IFERROR(IF($B45="TOTAL",SUM($E$8:E44),IF(OR(B45=$AL$16,B45=$AL$17,B45=$AL$18,B45=$AL$19,B45=$AL$20,B45=$AL$21,B45=$AL$22,B45=$AL$23,B45=$AL$24),0,IF(AT46="","",AT46))),"")</f>
        <v>4064</v>
      </c>
      <c r="F45" s="84">
        <f t="shared" si="28"/>
        <v>63500</v>
      </c>
      <c r="G45" s="84">
        <f>IFERROR(IF($B45="TOTAL",SUM($G$8:G44),IF(AV46="","",AV46)),"")</f>
        <v>49300</v>
      </c>
      <c r="H45" s="84">
        <f>IFERROR(IF($B45="TOTAL",SUM($H$8:H44),IF(AW46="","",AW46)),"")</f>
        <v>8381</v>
      </c>
      <c r="I45" s="84">
        <f>IFERROR(IF($B45="TOTAL",SUM($I$8:I44),IF(OR(B45=$AL$16,B45=$AL$17,B45=$AL$18,B45=$AL$19,B45=$AL$20,B45=$AL$21,B45=$AL$22,B45=$AL$23,B45=$AL$24),0,IF(AX46="","",AX46))),"")</f>
        <v>3944</v>
      </c>
      <c r="J45" s="84">
        <f t="shared" si="8"/>
        <v>61625</v>
      </c>
      <c r="K45" s="84">
        <f>IFERROR(IF(B45="","",IF(C45="","",IF(G45="","",IF($B45="TOTAL",SUM($K$8:K44),SUM(C45-G45))))),"")</f>
        <v>1500</v>
      </c>
      <c r="L45" s="84">
        <f>IFERROR(IF(B45="","",IF(D45="","",IF(H45="","",IF($B45="TOTAL",SUM($L$8:L44),SUM(D45-H45))))),"")</f>
        <v>255</v>
      </c>
      <c r="M45" s="84">
        <f>IFERROR(IF(B45="","",IF(E45="","",IF(I45="","",IF($B45="TOTAL",SUM($M$8:M44),SUM(E45-I45))))),"")</f>
        <v>120</v>
      </c>
      <c r="N45" s="84">
        <f t="shared" si="9"/>
        <v>1875</v>
      </c>
      <c r="O45" s="84">
        <f>IFERROR(IF(B45="","",IF($B45="TOTAL",SUM($O$8:O44),IF($AN$18=$AN$20,AY46,ROUND((C45+D45)*10%,0)))),"")</f>
        <v>5944</v>
      </c>
      <c r="P45" s="84">
        <f>IFERROR(IF(B45="","",IF(G45="","",IF(H45="","",IF($B45="TOTAL",SUM($P$8:P44),IF($AN$18=$AN$20,$AN$21,ROUND((G45+H45)*10%,0)))))),"")</f>
        <v>5768</v>
      </c>
      <c r="Q45" s="84">
        <f t="shared" si="10"/>
        <v>176</v>
      </c>
      <c r="R45" s="85">
        <f>IFERROR(IF(B45="","",IF($AN$16=$AN$17,0,IF($B45="TOTAL",SUM($R$8:R44),IF($AN$19=$AN$31,0,IF(AND($AN$32=$AN$20,B45=$AN$33),$AN$34,R44))))),"")</f>
        <v>0</v>
      </c>
      <c r="S45" s="85">
        <f>IFERROR(IF(B45="","",IF($AN$16=$AN$17,0,IF($B45="TOTAL",SUM($S$8:S44),IF($AN$19=$AN$20,$AN$24,0)))),"")</f>
        <v>0</v>
      </c>
      <c r="T45" s="84">
        <f t="shared" si="11"/>
        <v>0</v>
      </c>
      <c r="U45" s="84" t="str">
        <f>IF(B45="","",IF($B45="TOTAL",SUM($U$8:U44),IF(AND($AN$2=$AN$20,B45=$AN$1),ROUND(C45/31*$AO$2,0),IF(B45=$AL$6,ROUND((F45)*1/30,0),IF(B45=$AM$6,ROUND((F45)*1/31,0),"")))))</f>
        <v/>
      </c>
      <c r="V45" s="84" t="str">
        <f>IF(B45="","",IF($B45="TOTAL",SUM($V$8:V44),IF(AND($AN$2=$AN$20,B45=$AN$1),ROUND(G45/31*$AO$2,0),IF(B45=$AL$6,ROUND((J45)*1/30,0),IF(B45=$AM$6,ROUND((J45)*1/31,0),"")))))</f>
        <v/>
      </c>
      <c r="W45" s="84" t="str">
        <f t="shared" si="12"/>
        <v/>
      </c>
      <c r="X45" s="84" t="str">
        <f>IFERROR(IF($B45="TOTAL",SUM($X$8:X44),IF(BD46="YES",BE46,"")),"")</f>
        <v/>
      </c>
      <c r="Y45" s="84">
        <f>IFERROR(IF(B45="","",IF($B45="TOTAL",SUM($Y$8:Y44),ROUND(N45*$AN$7%,0))),"")</f>
        <v>0</v>
      </c>
      <c r="Z45" s="84">
        <f>IFERROR(IF(B45="","",IF($B45="TOTAL",SUM($Z$8:Z44),SUM(Q45,T45,W45,X45,Y45))),"")</f>
        <v>176</v>
      </c>
      <c r="AA45" s="86">
        <f>IFERROR(IF(B45="","",IF($B45="TOTAL",SUM($AA$8:AA44),SUM(N45-Z45))),"")</f>
        <v>1699</v>
      </c>
      <c r="AB45" s="16"/>
      <c r="AC45" s="16"/>
      <c r="AJ45" s="112">
        <f t="shared" si="13"/>
        <v>17</v>
      </c>
      <c r="AK45" s="112">
        <f t="shared" si="14"/>
        <v>17</v>
      </c>
      <c r="AL45" s="113"/>
      <c r="AM45" s="114">
        <v>43831</v>
      </c>
      <c r="AN45" s="113"/>
      <c r="AO45" s="114">
        <f t="shared" si="32"/>
        <v>43831</v>
      </c>
      <c r="AP45" s="114">
        <f t="shared" si="16"/>
        <v>43831</v>
      </c>
      <c r="AQ45" s="114">
        <f t="shared" si="41"/>
        <v>43831</v>
      </c>
      <c r="AR45" s="113">
        <f t="shared" si="33"/>
        <v>50800</v>
      </c>
      <c r="AS45" s="113">
        <f t="shared" si="30"/>
        <v>8636</v>
      </c>
      <c r="AT45" s="113">
        <f t="shared" si="34"/>
        <v>4064</v>
      </c>
      <c r="AU45" s="113"/>
      <c r="AV45" s="113">
        <f t="shared" si="35"/>
        <v>49300</v>
      </c>
      <c r="AW45" s="113">
        <f t="shared" si="36"/>
        <v>8381</v>
      </c>
      <c r="AX45" s="113">
        <f t="shared" si="37"/>
        <v>3944</v>
      </c>
      <c r="AY45" s="113">
        <f t="shared" si="38"/>
        <v>3675</v>
      </c>
      <c r="AZ45" s="113"/>
      <c r="BA45" s="113"/>
      <c r="BB45" s="148">
        <f t="shared" si="39"/>
        <v>1875</v>
      </c>
      <c r="BC45" s="113">
        <f t="shared" si="40"/>
        <v>3675</v>
      </c>
      <c r="BD45" s="113" t="str">
        <f t="shared" si="23"/>
        <v/>
      </c>
      <c r="BE45" s="113" t="str">
        <f t="shared" si="24"/>
        <v/>
      </c>
      <c r="BF45" s="113">
        <f t="shared" si="25"/>
        <v>176</v>
      </c>
    </row>
    <row r="46" spans="1:58" s="35" customFormat="1" ht="21" customHeight="1">
      <c r="A46" s="82">
        <f t="shared" si="26"/>
        <v>39</v>
      </c>
      <c r="B46" s="83">
        <f t="shared" si="27"/>
        <v>43891</v>
      </c>
      <c r="C46" s="84">
        <f>IFERROR(IF($B45="TOTAL","अक्षरें राशि :-",IF($B46="TOTAL",SUM($C$8:C45),IF(AR47="","",AR47))),"")</f>
        <v>50800</v>
      </c>
      <c r="D46" s="84">
        <f>IFERROR(IF($B46="TOTAL",SUM($D$8:D45),IF(AS47="","",AS47)),"")</f>
        <v>8636</v>
      </c>
      <c r="E46" s="84">
        <f>IFERROR(IF($B46="TOTAL",SUM($E$8:E45),IF(OR(B46=$AL$16,B46=$AL$17,B46=$AL$18,B46=$AL$19,B46=$AL$20,B46=$AL$21,B46=$AL$22,B46=$AL$23,B46=$AL$24),0,IF(AT47="","",AT47))),"")</f>
        <v>4064</v>
      </c>
      <c r="F46" s="84">
        <f t="shared" si="28"/>
        <v>63500</v>
      </c>
      <c r="G46" s="84">
        <f>IFERROR(IF($B46="TOTAL",SUM($G$8:G45),IF(AV47="","",AV47)),"")</f>
        <v>49300</v>
      </c>
      <c r="H46" s="84">
        <f>IFERROR(IF($B46="TOTAL",SUM($H$8:H45),IF(AW47="","",AW47)),"")</f>
        <v>8381</v>
      </c>
      <c r="I46" s="84">
        <f>IFERROR(IF($B46="TOTAL",SUM($I$8:I45),IF(OR(B46=$AL$16,B46=$AL$17,B46=$AL$18,B46=$AL$19,B46=$AL$20,B46=$AL$21,B46=$AL$22,B46=$AL$23,B46=$AL$24),0,IF(AX47="","",AX47))),"")</f>
        <v>3944</v>
      </c>
      <c r="J46" s="84">
        <f t="shared" si="8"/>
        <v>61625</v>
      </c>
      <c r="K46" s="84">
        <f>IFERROR(IF(B46="","",IF(C46="","",IF(G46="","",IF($B46="TOTAL",SUM($K$8:K45),SUM(C46-G46))))),"")</f>
        <v>1500</v>
      </c>
      <c r="L46" s="84">
        <f>IFERROR(IF(B46="","",IF(D46="","",IF(H46="","",IF($B46="TOTAL",SUM($L$8:L45),SUM(D46-H46))))),"")</f>
        <v>255</v>
      </c>
      <c r="M46" s="84">
        <f>IFERROR(IF(B46="","",IF(E46="","",IF(I46="","",IF($B46="TOTAL",SUM($M$8:M45),SUM(E46-I46))))),"")</f>
        <v>120</v>
      </c>
      <c r="N46" s="84">
        <f t="shared" si="9"/>
        <v>1875</v>
      </c>
      <c r="O46" s="84">
        <f>IFERROR(IF(B46="","",IF($B46="TOTAL",SUM($O$8:O45),IF($AN$18=$AN$20,AY47,ROUND((C46+D46)*10%,0)))),"")</f>
        <v>5944</v>
      </c>
      <c r="P46" s="84">
        <f>IFERROR(IF(B46="","",IF(G46="","",IF(H46="","",IF($B46="TOTAL",SUM($P$8:P45),IF($AN$18=$AN$20,$AN$21,ROUND((G46+H46)*10%,0)))))),"")</f>
        <v>5768</v>
      </c>
      <c r="Q46" s="84">
        <f t="shared" si="10"/>
        <v>176</v>
      </c>
      <c r="R46" s="85">
        <f>IFERROR(IF(B46="","",IF($AN$16=$AN$17,0,IF($B46="TOTAL",SUM($R$8:R45),IF($AN$19=$AN$31,0,IF(AND($AN$32=$AN$20,B46=$AN$33),$AN$34,R45))))),"")</f>
        <v>0</v>
      </c>
      <c r="S46" s="85">
        <f>IFERROR(IF(B46="","",IF($AN$16=$AN$17,0,IF($B46="TOTAL",SUM($S$8:S45),IF($AN$19=$AN$20,$AN$24,0)))),"")</f>
        <v>0</v>
      </c>
      <c r="T46" s="84">
        <f t="shared" si="11"/>
        <v>0</v>
      </c>
      <c r="U46" s="84" t="str">
        <f>IF(B46="","",IF($B46="TOTAL",SUM($U$8:U45),IF(AND($AN$2=$AN$20,B46=$AN$1),ROUND(C46/31*$AO$2,0),IF(B46=$AL$6,ROUND((F46)*1/30,0),IF(B46=$AM$6,ROUND((F46)*1/31,0),"")))))</f>
        <v/>
      </c>
      <c r="V46" s="84" t="str">
        <f>IF(B46="","",IF($B46="TOTAL",SUM($V$8:V45),IF(AND($AN$2=$AN$20,B46=$AN$1),ROUND(G46/31*$AO$2,0),IF(B46=$AL$6,ROUND((J46)*1/30,0),IF(B46=$AM$6,ROUND((J46)*1/31,0),"")))))</f>
        <v/>
      </c>
      <c r="W46" s="84" t="str">
        <f t="shared" si="12"/>
        <v/>
      </c>
      <c r="X46" s="84" t="str">
        <f>IFERROR(IF($B46="TOTAL",SUM($X$8:X45),IF(BD47="YES",BE47,"")),"")</f>
        <v/>
      </c>
      <c r="Y46" s="84">
        <f>IFERROR(IF(B46="","",IF($B46="TOTAL",SUM($Y$8:Y45),ROUND(N46*$AN$7%,0))),"")</f>
        <v>0</v>
      </c>
      <c r="Z46" s="84">
        <f>IFERROR(IF(B46="","",IF($B46="TOTAL",SUM($Z$8:Z45),SUM(Q46,T46,W46,X46,Y46))),"")</f>
        <v>176</v>
      </c>
      <c r="AA46" s="86">
        <f>IFERROR(IF(B46="","",IF($B46="TOTAL",SUM($AA$8:AA45),SUM(N46-Z46))),"")</f>
        <v>1699</v>
      </c>
      <c r="AB46" s="16"/>
      <c r="AC46" s="16"/>
      <c r="AJ46" s="112">
        <f t="shared" si="13"/>
        <v>17</v>
      </c>
      <c r="AK46" s="112">
        <f t="shared" si="14"/>
        <v>17</v>
      </c>
      <c r="AL46" s="113"/>
      <c r="AM46" s="114">
        <v>43862</v>
      </c>
      <c r="AN46" s="113"/>
      <c r="AO46" s="114">
        <f t="shared" si="32"/>
        <v>43862</v>
      </c>
      <c r="AP46" s="114">
        <f t="shared" si="16"/>
        <v>43862</v>
      </c>
      <c r="AQ46" s="114">
        <f t="shared" si="41"/>
        <v>43862</v>
      </c>
      <c r="AR46" s="113">
        <f t="shared" si="33"/>
        <v>50800</v>
      </c>
      <c r="AS46" s="113">
        <f t="shared" si="30"/>
        <v>8636</v>
      </c>
      <c r="AT46" s="113">
        <f t="shared" si="34"/>
        <v>4064</v>
      </c>
      <c r="AU46" s="113"/>
      <c r="AV46" s="113">
        <f t="shared" si="35"/>
        <v>49300</v>
      </c>
      <c r="AW46" s="113">
        <f t="shared" si="36"/>
        <v>8381</v>
      </c>
      <c r="AX46" s="113">
        <f t="shared" si="37"/>
        <v>3944</v>
      </c>
      <c r="AY46" s="113">
        <f t="shared" si="38"/>
        <v>3675</v>
      </c>
      <c r="AZ46" s="113"/>
      <c r="BA46" s="113"/>
      <c r="BB46" s="148">
        <f t="shared" si="39"/>
        <v>1875</v>
      </c>
      <c r="BC46" s="113">
        <f t="shared" si="40"/>
        <v>3675</v>
      </c>
      <c r="BD46" s="113" t="str">
        <f t="shared" si="23"/>
        <v/>
      </c>
      <c r="BE46" s="113" t="str">
        <f t="shared" si="24"/>
        <v/>
      </c>
      <c r="BF46" s="113">
        <f t="shared" si="25"/>
        <v>176</v>
      </c>
    </row>
    <row r="47" spans="1:58" s="35" customFormat="1" ht="21" customHeight="1">
      <c r="A47" s="82">
        <f t="shared" si="26"/>
        <v>40</v>
      </c>
      <c r="B47" s="83">
        <f t="shared" si="27"/>
        <v>43922</v>
      </c>
      <c r="C47" s="84">
        <f>IFERROR(IF($B46="TOTAL","अक्षरें राशि :-",IF($B47="TOTAL",SUM($C$8:C46),IF(AR48="","",AR48))),"")</f>
        <v>50800</v>
      </c>
      <c r="D47" s="84">
        <f>IFERROR(IF($B47="TOTAL",SUM($D$8:D46),IF(AS48="","",AS48)),"")</f>
        <v>8636</v>
      </c>
      <c r="E47" s="84">
        <f>IFERROR(IF($B47="TOTAL",SUM($E$8:E46),IF(OR(B47=$AL$16,B47=$AL$17,B47=$AL$18,B47=$AL$19,B47=$AL$20,B47=$AL$21,B47=$AL$22,B47=$AL$23,B47=$AL$24),0,IF(AT48="","",AT48))),"")</f>
        <v>4064</v>
      </c>
      <c r="F47" s="84">
        <f t="shared" si="28"/>
        <v>63500</v>
      </c>
      <c r="G47" s="84">
        <f>IFERROR(IF($B47="TOTAL",SUM($G$8:G46),IF(AV48="","",AV48)),"")</f>
        <v>49300</v>
      </c>
      <c r="H47" s="84">
        <f>IFERROR(IF($B47="TOTAL",SUM($H$8:H46),IF(AW48="","",AW48)),"")</f>
        <v>8381</v>
      </c>
      <c r="I47" s="84">
        <f>IFERROR(IF($B47="TOTAL",SUM($I$8:I46),IF(OR(B47=$AL$16,B47=$AL$17,B47=$AL$18,B47=$AL$19,B47=$AL$20,B47=$AL$21,B47=$AL$22,B47=$AL$23,B47=$AL$24),0,IF(AX48="","",AX48))),"")</f>
        <v>3944</v>
      </c>
      <c r="J47" s="84">
        <f t="shared" si="8"/>
        <v>61625</v>
      </c>
      <c r="K47" s="84">
        <f>IFERROR(IF(B47="","",IF(C47="","",IF(G47="","",IF($B47="TOTAL",SUM($K$8:K46),SUM(C47-G47))))),"")</f>
        <v>1500</v>
      </c>
      <c r="L47" s="84">
        <f>IFERROR(IF(B47="","",IF(D47="","",IF(H47="","",IF($B47="TOTAL",SUM($L$8:L46),SUM(D47-H47))))),"")</f>
        <v>255</v>
      </c>
      <c r="M47" s="84">
        <f>IFERROR(IF(B47="","",IF(E47="","",IF(I47="","",IF($B47="TOTAL",SUM($M$8:M46),SUM(E47-I47))))),"")</f>
        <v>120</v>
      </c>
      <c r="N47" s="84">
        <f t="shared" si="9"/>
        <v>1875</v>
      </c>
      <c r="O47" s="84">
        <f>IFERROR(IF(B47="","",IF($B47="TOTAL",SUM($O$8:O46),IF($AN$18=$AN$20,AY48,ROUND((C47+D47)*10%,0)))),"")</f>
        <v>5944</v>
      </c>
      <c r="P47" s="84">
        <f>IFERROR(IF(B47="","",IF(G47="","",IF(H47="","",IF($B47="TOTAL",SUM($P$8:P46),IF($AN$18=$AN$20,$AN$21,ROUND((G47+H47)*10%,0)))))),"")</f>
        <v>5768</v>
      </c>
      <c r="Q47" s="84">
        <f t="shared" si="10"/>
        <v>176</v>
      </c>
      <c r="R47" s="85">
        <f>IFERROR(IF(B47="","",IF($AN$16=$AN$17,0,IF($B47="TOTAL",SUM($R$8:R46),IF($AN$19=$AN$31,0,IF(AND($AN$32=$AN$20,B47=$AN$33),$AN$34,R46))))),"")</f>
        <v>0</v>
      </c>
      <c r="S47" s="85">
        <f>IFERROR(IF(B47="","",IF($AN$16=$AN$17,0,IF($B47="TOTAL",SUM($S$8:S46),IF($AN$19=$AN$20,$AN$24,0)))),"")</f>
        <v>0</v>
      </c>
      <c r="T47" s="84">
        <f t="shared" si="11"/>
        <v>0</v>
      </c>
      <c r="U47" s="84" t="str">
        <f>IF(B47="","",IF($B47="TOTAL",SUM($U$8:U46),IF(AND($AN$2=$AN$20,B47=$AN$1),ROUND(C47/31*$AO$2,0),IF(B47=$AL$6,ROUND((F47)*1/30,0),IF(B47=$AM$6,ROUND((F47)*1/31,0),"")))))</f>
        <v/>
      </c>
      <c r="V47" s="84" t="str">
        <f>IF(B47="","",IF($B47="TOTAL",SUM($V$8:V46),IF(AND($AN$2=$AN$20,B47=$AN$1),ROUND(G47/31*$AO$2,0),IF(B47=$AL$6,ROUND((J47)*1/30,0),IF(B47=$AM$6,ROUND((J47)*1/31,0),"")))))</f>
        <v/>
      </c>
      <c r="W47" s="84" t="str">
        <f t="shared" si="12"/>
        <v/>
      </c>
      <c r="X47" s="84" t="str">
        <f>IFERROR(IF($B47="TOTAL",SUM($X$8:X46),IF(BD48="YES",BE48,"")),"")</f>
        <v/>
      </c>
      <c r="Y47" s="84">
        <f>IFERROR(IF(B47="","",IF($B47="TOTAL",SUM($Y$8:Y46),ROUND(N47*$AN$7%,0))),"")</f>
        <v>0</v>
      </c>
      <c r="Z47" s="84">
        <f>IFERROR(IF(B47="","",IF($B47="TOTAL",SUM($Z$8:Z46),SUM(Q47,T47,W47,X47,Y47))),"")</f>
        <v>176</v>
      </c>
      <c r="AA47" s="86">
        <f>IFERROR(IF(B47="","",IF($B47="TOTAL",SUM($AA$8:AA46),SUM(N47-Z47))),"")</f>
        <v>1699</v>
      </c>
      <c r="AB47" s="16"/>
      <c r="AC47" s="16"/>
      <c r="AJ47" s="112">
        <f t="shared" si="13"/>
        <v>17</v>
      </c>
      <c r="AK47" s="112">
        <f t="shared" si="14"/>
        <v>17</v>
      </c>
      <c r="AL47" s="113"/>
      <c r="AM47" s="114">
        <v>43891</v>
      </c>
      <c r="AN47" s="113"/>
      <c r="AO47" s="114">
        <f t="shared" si="32"/>
        <v>43891</v>
      </c>
      <c r="AP47" s="114">
        <f t="shared" si="16"/>
        <v>43891</v>
      </c>
      <c r="AQ47" s="114">
        <f t="shared" si="41"/>
        <v>43891</v>
      </c>
      <c r="AR47" s="113">
        <f t="shared" si="33"/>
        <v>50800</v>
      </c>
      <c r="AS47" s="113">
        <f t="shared" si="30"/>
        <v>8636</v>
      </c>
      <c r="AT47" s="113">
        <f t="shared" si="34"/>
        <v>4064</v>
      </c>
      <c r="AU47" s="113"/>
      <c r="AV47" s="113">
        <f t="shared" si="35"/>
        <v>49300</v>
      </c>
      <c r="AW47" s="113">
        <f t="shared" si="36"/>
        <v>8381</v>
      </c>
      <c r="AX47" s="113">
        <f t="shared" si="37"/>
        <v>3944</v>
      </c>
      <c r="AY47" s="113">
        <f t="shared" si="38"/>
        <v>3675</v>
      </c>
      <c r="AZ47" s="113"/>
      <c r="BA47" s="113"/>
      <c r="BB47" s="148">
        <f t="shared" si="39"/>
        <v>1875</v>
      </c>
      <c r="BC47" s="113">
        <f t="shared" si="40"/>
        <v>3675</v>
      </c>
      <c r="BD47" s="113" t="str">
        <f t="shared" si="23"/>
        <v/>
      </c>
      <c r="BE47" s="113" t="str">
        <f t="shared" si="24"/>
        <v/>
      </c>
      <c r="BF47" s="113">
        <f t="shared" si="25"/>
        <v>176</v>
      </c>
    </row>
    <row r="48" spans="1:58" s="35" customFormat="1" ht="21" customHeight="1">
      <c r="A48" s="82">
        <f t="shared" si="26"/>
        <v>41</v>
      </c>
      <c r="B48" s="83">
        <f t="shared" si="27"/>
        <v>43952</v>
      </c>
      <c r="C48" s="84">
        <f>IFERROR(IF($B47="TOTAL","अक्षरें राशि :-",IF($B48="TOTAL",SUM($C$8:C47),IF(AR49="","",AR49))),"")</f>
        <v>50800</v>
      </c>
      <c r="D48" s="84">
        <f>IFERROR(IF($B48="TOTAL",SUM($D$8:D47),IF(AS49="","",AS49)),"")</f>
        <v>8636</v>
      </c>
      <c r="E48" s="84">
        <f>IFERROR(IF($B48="TOTAL",SUM($E$8:E47),IF(OR(B48=$AL$16,B48=$AL$17,B48=$AL$18,B48=$AL$19,B48=$AL$20,B48=$AL$21,B48=$AL$22,B48=$AL$23,B48=$AL$24),0,IF(AT49="","",AT49))),"")</f>
        <v>4064</v>
      </c>
      <c r="F48" s="84">
        <f t="shared" si="28"/>
        <v>63500</v>
      </c>
      <c r="G48" s="84">
        <f>IFERROR(IF($B48="TOTAL",SUM($G$8:G47),IF(AV49="","",AV49)),"")</f>
        <v>49300</v>
      </c>
      <c r="H48" s="84">
        <f>IFERROR(IF($B48="TOTAL",SUM($H$8:H47),IF(AW49="","",AW49)),"")</f>
        <v>8381</v>
      </c>
      <c r="I48" s="84">
        <f>IFERROR(IF($B48="TOTAL",SUM($I$8:I47),IF(OR(B48=$AL$16,B48=$AL$17,B48=$AL$18,B48=$AL$19,B48=$AL$20,B48=$AL$21,B48=$AL$22,B48=$AL$23,B48=$AL$24),0,IF(AX49="","",AX49))),"")</f>
        <v>3944</v>
      </c>
      <c r="J48" s="84">
        <f t="shared" si="8"/>
        <v>61625</v>
      </c>
      <c r="K48" s="84">
        <f>IFERROR(IF(B48="","",IF(C48="","",IF(G48="","",IF($B48="TOTAL",SUM($K$8:K47),SUM(C48-G48))))),"")</f>
        <v>1500</v>
      </c>
      <c r="L48" s="84">
        <f>IFERROR(IF(B48="","",IF(D48="","",IF(H48="","",IF($B48="TOTAL",SUM($L$8:L47),SUM(D48-H48))))),"")</f>
        <v>255</v>
      </c>
      <c r="M48" s="84">
        <f>IFERROR(IF(B48="","",IF(E48="","",IF(I48="","",IF($B48="TOTAL",SUM($M$8:M47),SUM(E48-I48))))),"")</f>
        <v>120</v>
      </c>
      <c r="N48" s="84">
        <f t="shared" si="9"/>
        <v>1875</v>
      </c>
      <c r="O48" s="84">
        <f>IFERROR(IF(B48="","",IF($B48="TOTAL",SUM($O$8:O47),IF($AN$18=$AN$20,AY49,ROUND((C48+D48)*10%,0)))),"")</f>
        <v>5944</v>
      </c>
      <c r="P48" s="84">
        <f>IFERROR(IF(B48="","",IF(G48="","",IF(H48="","",IF($B48="TOTAL",SUM($P$8:P47),IF($AN$18=$AN$20,$AN$21,ROUND((G48+H48)*10%,0)))))),"")</f>
        <v>5768</v>
      </c>
      <c r="Q48" s="84">
        <f t="shared" si="10"/>
        <v>176</v>
      </c>
      <c r="R48" s="85">
        <f>IFERROR(IF(B48="","",IF($AN$16=$AN$17,0,IF($B48="TOTAL",SUM($R$8:R47),IF($AN$19=$AN$31,0,IF(AND($AN$32=$AN$20,B48=$AN$33),$AN$34,R47))))),"")</f>
        <v>0</v>
      </c>
      <c r="S48" s="85">
        <f>IFERROR(IF(B48="","",IF($AN$16=$AN$17,0,IF($B48="TOTAL",SUM($S$8:S47),IF($AN$19=$AN$20,$AN$24,0)))),"")</f>
        <v>0</v>
      </c>
      <c r="T48" s="84">
        <f t="shared" si="11"/>
        <v>0</v>
      </c>
      <c r="U48" s="84" t="str">
        <f>IF(B48="","",IF($B48="TOTAL",SUM($U$8:U47),IF(AND($AN$2=$AN$20,B48=$AN$1),ROUND(C48/31*$AO$2,0),IF(B48=$AL$6,ROUND((F48)*1/30,0),IF(B48=$AM$6,ROUND((F48)*1/31,0),"")))))</f>
        <v/>
      </c>
      <c r="V48" s="84" t="str">
        <f>IF(B48="","",IF($B48="TOTAL",SUM($V$8:V47),IF(AND($AN$2=$AN$20,B48=$AN$1),ROUND(G48/31*$AO$2,0),IF(B48=$AL$6,ROUND((J48)*1/30,0),IF(B48=$AM$6,ROUND((J48)*1/31,0),"")))))</f>
        <v/>
      </c>
      <c r="W48" s="84" t="str">
        <f t="shared" si="12"/>
        <v/>
      </c>
      <c r="X48" s="84" t="str">
        <f>IFERROR(IF($B48="TOTAL",SUM($X$8:X47),IF(BD49="YES",BE49,"")),"")</f>
        <v/>
      </c>
      <c r="Y48" s="84">
        <f>IFERROR(IF(B48="","",IF($B48="TOTAL",SUM($Y$8:Y47),ROUND(N48*$AN$7%,0))),"")</f>
        <v>0</v>
      </c>
      <c r="Z48" s="84">
        <f>IFERROR(IF(B48="","",IF($B48="TOTAL",SUM($Z$8:Z47),SUM(Q48,T48,W48,X48,Y48))),"")</f>
        <v>176</v>
      </c>
      <c r="AA48" s="86">
        <f>IFERROR(IF(B48="","",IF($B48="TOTAL",SUM($AA$8:AA47),SUM(N48-Z48))),"")</f>
        <v>1699</v>
      </c>
      <c r="AB48" s="16"/>
      <c r="AC48" s="16"/>
      <c r="AJ48" s="112">
        <f t="shared" si="13"/>
        <v>17</v>
      </c>
      <c r="AK48" s="112">
        <f t="shared" si="14"/>
        <v>17</v>
      </c>
      <c r="AL48" s="113"/>
      <c r="AM48" s="114">
        <v>43922</v>
      </c>
      <c r="AN48" s="113"/>
      <c r="AO48" s="114">
        <f t="shared" si="32"/>
        <v>43922</v>
      </c>
      <c r="AP48" s="114">
        <f t="shared" si="16"/>
        <v>43922</v>
      </c>
      <c r="AQ48" s="114">
        <f t="shared" si="41"/>
        <v>43922</v>
      </c>
      <c r="AR48" s="113">
        <f t="shared" si="33"/>
        <v>50800</v>
      </c>
      <c r="AS48" s="113">
        <f t="shared" si="30"/>
        <v>8636</v>
      </c>
      <c r="AT48" s="113">
        <f t="shared" si="34"/>
        <v>4064</v>
      </c>
      <c r="AU48" s="113"/>
      <c r="AV48" s="113">
        <f t="shared" si="35"/>
        <v>49300</v>
      </c>
      <c r="AW48" s="113">
        <f t="shared" si="36"/>
        <v>8381</v>
      </c>
      <c r="AX48" s="113">
        <f t="shared" si="37"/>
        <v>3944</v>
      </c>
      <c r="AY48" s="113">
        <f t="shared" si="38"/>
        <v>3675</v>
      </c>
      <c r="AZ48" s="113"/>
      <c r="BA48" s="113"/>
      <c r="BB48" s="148">
        <f t="shared" si="39"/>
        <v>1875</v>
      </c>
      <c r="BC48" s="113">
        <f t="shared" si="40"/>
        <v>3675</v>
      </c>
      <c r="BD48" s="113" t="str">
        <f t="shared" si="23"/>
        <v/>
      </c>
      <c r="BE48" s="113" t="str">
        <f t="shared" si="24"/>
        <v/>
      </c>
      <c r="BF48" s="113">
        <f t="shared" si="25"/>
        <v>176</v>
      </c>
    </row>
    <row r="49" spans="1:58" s="35" customFormat="1" ht="21" customHeight="1">
      <c r="A49" s="82">
        <f t="shared" si="26"/>
        <v>42</v>
      </c>
      <c r="B49" s="83">
        <f t="shared" si="27"/>
        <v>43983</v>
      </c>
      <c r="C49" s="84">
        <f>IFERROR(IF($B48="TOTAL","अक्षरें राशि :-",IF($B49="TOTAL",SUM($C$8:C48),IF(AR50="","",AR50))),"")</f>
        <v>50800</v>
      </c>
      <c r="D49" s="84">
        <f>IFERROR(IF($B49="TOTAL",SUM($D$8:D48),IF(AS50="","",AS50)),"")</f>
        <v>8636</v>
      </c>
      <c r="E49" s="84">
        <f>IFERROR(IF($B49="TOTAL",SUM($E$8:E48),IF(OR(B49=$AL$16,B49=$AL$17,B49=$AL$18,B49=$AL$19,B49=$AL$20,B49=$AL$21,B49=$AL$22,B49=$AL$23,B49=$AL$24),0,IF(AT50="","",AT50))),"")</f>
        <v>4064</v>
      </c>
      <c r="F49" s="84">
        <f t="shared" si="28"/>
        <v>63500</v>
      </c>
      <c r="G49" s="84">
        <f>IFERROR(IF($B49="TOTAL",SUM($G$8:G48),IF(AV50="","",AV50)),"")</f>
        <v>49300</v>
      </c>
      <c r="H49" s="84">
        <f>IFERROR(IF($B49="TOTAL",SUM($H$8:H48),IF(AW50="","",AW50)),"")</f>
        <v>8381</v>
      </c>
      <c r="I49" s="84">
        <f>IFERROR(IF($B49="TOTAL",SUM($I$8:I48),IF(OR(B49=$AL$16,B49=$AL$17,B49=$AL$18,B49=$AL$19,B49=$AL$20,B49=$AL$21,B49=$AL$22,B49=$AL$23,B49=$AL$24),0,IF(AX50="","",AX50))),"")</f>
        <v>3944</v>
      </c>
      <c r="J49" s="84">
        <f t="shared" si="8"/>
        <v>61625</v>
      </c>
      <c r="K49" s="84">
        <f>IFERROR(IF(B49="","",IF(C49="","",IF(G49="","",IF($B49="TOTAL",SUM($K$8:K48),SUM(C49-G49))))),"")</f>
        <v>1500</v>
      </c>
      <c r="L49" s="84">
        <f>IFERROR(IF(B49="","",IF(D49="","",IF(H49="","",IF($B49="TOTAL",SUM($L$8:L48),SUM(D49-H49))))),"")</f>
        <v>255</v>
      </c>
      <c r="M49" s="84">
        <f>IFERROR(IF(B49="","",IF(E49="","",IF(I49="","",IF($B49="TOTAL",SUM($M$8:M48),SUM(E49-I49))))),"")</f>
        <v>120</v>
      </c>
      <c r="N49" s="84">
        <f t="shared" si="9"/>
        <v>1875</v>
      </c>
      <c r="O49" s="84">
        <f>IFERROR(IF(B49="","",IF($B49="TOTAL",SUM($O$8:O48),IF($AN$18=$AN$20,AY50,ROUND((C49+D49)*10%,0)))),"")</f>
        <v>5944</v>
      </c>
      <c r="P49" s="84">
        <f>IFERROR(IF(B49="","",IF(G49="","",IF(H49="","",IF($B49="TOTAL",SUM($P$8:P48),IF($AN$18=$AN$20,$AN$21,ROUND((G49+H49)*10%,0)))))),"")</f>
        <v>5768</v>
      </c>
      <c r="Q49" s="84">
        <f t="shared" si="10"/>
        <v>176</v>
      </c>
      <c r="R49" s="85">
        <f>IFERROR(IF(B49="","",IF($AN$16=$AN$17,0,IF($B49="TOTAL",SUM($R$8:R48),IF($AN$19=$AN$31,0,IF(AND($AN$32=$AN$20,B49=$AN$33),$AN$34,R48))))),"")</f>
        <v>0</v>
      </c>
      <c r="S49" s="85">
        <f>IFERROR(IF(B49="","",IF($AN$16=$AN$17,0,IF($B49="TOTAL",SUM($S$8:S48),IF($AN$19=$AN$20,$AN$24,0)))),"")</f>
        <v>0</v>
      </c>
      <c r="T49" s="84">
        <f t="shared" si="11"/>
        <v>0</v>
      </c>
      <c r="U49" s="84" t="str">
        <f>IF(B49="","",IF($B49="TOTAL",SUM($U$8:U48),IF(AND($AN$2=$AN$20,B49=$AN$1),ROUND(C49/31*$AO$2,0),IF(B49=$AL$6,ROUND((F49)*1/30,0),IF(B49=$AM$6,ROUND((F49)*1/31,0),"")))))</f>
        <v/>
      </c>
      <c r="V49" s="84" t="str">
        <f>IF(B49="","",IF($B49="TOTAL",SUM($V$8:V48),IF(AND($AN$2=$AN$20,B49=$AN$1),ROUND(G49/31*$AO$2,0),IF(B49=$AL$6,ROUND((J49)*1/30,0),IF(B49=$AM$6,ROUND((J49)*1/31,0),"")))))</f>
        <v/>
      </c>
      <c r="W49" s="84" t="str">
        <f t="shared" si="12"/>
        <v/>
      </c>
      <c r="X49" s="84" t="str">
        <f>IFERROR(IF($B49="TOTAL",SUM($X$8:X48),IF(BD50="YES",BE50,"")),"")</f>
        <v/>
      </c>
      <c r="Y49" s="84">
        <f>IFERROR(IF(B49="","",IF($B49="TOTAL",SUM($Y$8:Y48),ROUND(N49*$AN$7%,0))),"")</f>
        <v>0</v>
      </c>
      <c r="Z49" s="84">
        <f>IFERROR(IF(B49="","",IF($B49="TOTAL",SUM($Z$8:Z48),SUM(Q49,T49,W49,X49,Y49))),"")</f>
        <v>176</v>
      </c>
      <c r="AA49" s="86">
        <f>IFERROR(IF(B49="","",IF($B49="TOTAL",SUM($AA$8:AA48),SUM(N49-Z49))),"")</f>
        <v>1699</v>
      </c>
      <c r="AB49" s="16"/>
      <c r="AC49" s="16"/>
      <c r="AJ49" s="112">
        <f t="shared" si="13"/>
        <v>17</v>
      </c>
      <c r="AK49" s="112">
        <f t="shared" si="14"/>
        <v>17</v>
      </c>
      <c r="AL49" s="113"/>
      <c r="AM49" s="114">
        <v>43952</v>
      </c>
      <c r="AN49" s="113"/>
      <c r="AO49" s="114">
        <f t="shared" si="32"/>
        <v>43952</v>
      </c>
      <c r="AP49" s="114">
        <f t="shared" si="16"/>
        <v>43952</v>
      </c>
      <c r="AQ49" s="114">
        <f t="shared" si="41"/>
        <v>43952</v>
      </c>
      <c r="AR49" s="113">
        <f t="shared" si="33"/>
        <v>50800</v>
      </c>
      <c r="AS49" s="113">
        <f t="shared" si="30"/>
        <v>8636</v>
      </c>
      <c r="AT49" s="113">
        <f t="shared" si="34"/>
        <v>4064</v>
      </c>
      <c r="AU49" s="113"/>
      <c r="AV49" s="113">
        <f t="shared" si="35"/>
        <v>49300</v>
      </c>
      <c r="AW49" s="113">
        <f t="shared" si="36"/>
        <v>8381</v>
      </c>
      <c r="AX49" s="113">
        <f t="shared" si="37"/>
        <v>3944</v>
      </c>
      <c r="AY49" s="113">
        <f t="shared" si="38"/>
        <v>3675</v>
      </c>
      <c r="AZ49" s="113"/>
      <c r="BA49" s="113"/>
      <c r="BB49" s="148">
        <f t="shared" si="39"/>
        <v>1875</v>
      </c>
      <c r="BC49" s="113">
        <f t="shared" si="40"/>
        <v>3675</v>
      </c>
      <c r="BD49" s="113" t="str">
        <f t="shared" si="23"/>
        <v/>
      </c>
      <c r="BE49" s="113" t="str">
        <f t="shared" si="24"/>
        <v/>
      </c>
      <c r="BF49" s="113">
        <f t="shared" si="25"/>
        <v>176</v>
      </c>
    </row>
    <row r="50" spans="1:58" s="35" customFormat="1" ht="21" customHeight="1">
      <c r="A50" s="82">
        <f t="shared" si="26"/>
        <v>43</v>
      </c>
      <c r="B50" s="83">
        <f t="shared" si="27"/>
        <v>44013</v>
      </c>
      <c r="C50" s="84">
        <f>IFERROR(IF($B49="TOTAL","अक्षरें राशि :-",IF($B50="TOTAL",SUM($C$8:C49),IF(AR51="","",AR51))),"")</f>
        <v>52300</v>
      </c>
      <c r="D50" s="84">
        <f>IFERROR(IF($B50="TOTAL",SUM($D$8:D49),IF(AS51="","",AS51)),"")</f>
        <v>8891</v>
      </c>
      <c r="E50" s="84">
        <f>IFERROR(IF($B50="TOTAL",SUM($E$8:E49),IF(OR(B50=$AL$16,B50=$AL$17,B50=$AL$18,B50=$AL$19,B50=$AL$20,B50=$AL$21,B50=$AL$22,B50=$AL$23,B50=$AL$24),0,IF(AT51="","",AT51))),"")</f>
        <v>4184</v>
      </c>
      <c r="F50" s="84">
        <f t="shared" si="28"/>
        <v>65375</v>
      </c>
      <c r="G50" s="84">
        <f>IFERROR(IF($B50="TOTAL",SUM($G$8:G49),IF(AV51="","",AV51)),"")</f>
        <v>50800</v>
      </c>
      <c r="H50" s="84">
        <f>IFERROR(IF($B50="TOTAL",SUM($H$8:H49),IF(AW51="","",AW51)),"")</f>
        <v>8636</v>
      </c>
      <c r="I50" s="84">
        <f>IFERROR(IF($B50="TOTAL",SUM($I$8:I49),IF(OR(B50=$AL$16,B50=$AL$17,B50=$AL$18,B50=$AL$19,B50=$AL$20,B50=$AL$21,B50=$AL$22,B50=$AL$23,B50=$AL$24),0,IF(AX51="","",AX51))),"")</f>
        <v>4064</v>
      </c>
      <c r="J50" s="84">
        <f t="shared" si="8"/>
        <v>63500</v>
      </c>
      <c r="K50" s="84">
        <f>IFERROR(IF(B50="","",IF(C50="","",IF(G50="","",IF($B50="TOTAL",SUM($K$8:K49),SUM(C50-G50))))),"")</f>
        <v>1500</v>
      </c>
      <c r="L50" s="84">
        <f>IFERROR(IF(B50="","",IF(D50="","",IF(H50="","",IF($B50="TOTAL",SUM($L$8:L49),SUM(D50-H50))))),"")</f>
        <v>255</v>
      </c>
      <c r="M50" s="84">
        <f>IFERROR(IF(B50="","",IF(E50="","",IF(I50="","",IF($B50="TOTAL",SUM($M$8:M49),SUM(E50-I50))))),"")</f>
        <v>120</v>
      </c>
      <c r="N50" s="84">
        <f t="shared" si="9"/>
        <v>1875</v>
      </c>
      <c r="O50" s="84">
        <f>IFERROR(IF(B50="","",IF($B50="TOTAL",SUM($O$8:O49),IF($AN$18=$AN$20,AY51,ROUND((C50+D50)*10%,0)))),"")</f>
        <v>6119</v>
      </c>
      <c r="P50" s="84">
        <f>IFERROR(IF(B50="","",IF(G50="","",IF(H50="","",IF($B50="TOTAL",SUM($P$8:P49),IF($AN$18=$AN$20,$AN$21,ROUND((G50+H50)*10%,0)))))),"")</f>
        <v>5944</v>
      </c>
      <c r="Q50" s="84">
        <f t="shared" si="10"/>
        <v>175</v>
      </c>
      <c r="R50" s="85">
        <f>IFERROR(IF(B50="","",IF($AN$16=$AN$17,0,IF($B50="TOTAL",SUM($R$8:R49),IF($AN$19=$AN$31,0,IF(AND($AN$32=$AN$20,B50=$AN$33),$AN$34,R49))))),"")</f>
        <v>0</v>
      </c>
      <c r="S50" s="85">
        <f>IFERROR(IF(B50="","",IF($AN$16=$AN$17,0,IF($B50="TOTAL",SUM($S$8:S49),IF($AN$19=$AN$20,$AN$24,0)))),"")</f>
        <v>0</v>
      </c>
      <c r="T50" s="84">
        <f t="shared" si="11"/>
        <v>0</v>
      </c>
      <c r="U50" s="84" t="str">
        <f>IF(B50="","",IF($B50="TOTAL",SUM($U$8:U49),IF(AND($AN$2=$AN$20,B50=$AN$1),ROUND(C50/31*$AO$2,0),IF(B50=$AL$6,ROUND((F50)*1/30,0),IF(B50=$AM$6,ROUND((F50)*1/31,0),"")))))</f>
        <v/>
      </c>
      <c r="V50" s="84" t="str">
        <f>IF(B50="","",IF($B50="TOTAL",SUM($V$8:V49),IF(AND($AN$2=$AN$20,B50=$AN$1),ROUND(G50/31*$AO$2,0),IF(B50=$AL$6,ROUND((J50)*1/30,0),IF(B50=$AM$6,ROUND((J50)*1/31,0),"")))))</f>
        <v/>
      </c>
      <c r="W50" s="84" t="str">
        <f t="shared" si="12"/>
        <v/>
      </c>
      <c r="X50" s="84" t="str">
        <f>IFERROR(IF($B50="TOTAL",SUM($X$8:X49),IF(BD51="YES",BE51,"")),"")</f>
        <v/>
      </c>
      <c r="Y50" s="84">
        <f>IFERROR(IF(B50="","",IF($B50="TOTAL",SUM($Y$8:Y49),ROUND(N50*$AN$7%,0))),"")</f>
        <v>0</v>
      </c>
      <c r="Z50" s="84">
        <f>IFERROR(IF(B50="","",IF($B50="TOTAL",SUM($Z$8:Z49),SUM(Q50,T50,W50,X50,Y50))),"")</f>
        <v>175</v>
      </c>
      <c r="AA50" s="86">
        <f>IFERROR(IF(B50="","",IF($B50="TOTAL",SUM($AA$8:AA49),SUM(N50-Z50))),"")</f>
        <v>1700</v>
      </c>
      <c r="AB50" s="16"/>
      <c r="AC50" s="16"/>
      <c r="AJ50" s="112">
        <f t="shared" si="13"/>
        <v>17</v>
      </c>
      <c r="AK50" s="112">
        <f t="shared" si="14"/>
        <v>17</v>
      </c>
      <c r="AL50" s="113"/>
      <c r="AM50" s="114">
        <v>43983</v>
      </c>
      <c r="AN50" s="113"/>
      <c r="AO50" s="114">
        <f t="shared" si="32"/>
        <v>43983</v>
      </c>
      <c r="AP50" s="114">
        <f t="shared" si="16"/>
        <v>43983</v>
      </c>
      <c r="AQ50" s="114">
        <f t="shared" si="41"/>
        <v>43983</v>
      </c>
      <c r="AR50" s="113">
        <f t="shared" si="33"/>
        <v>50800</v>
      </c>
      <c r="AS50" s="113">
        <f t="shared" si="30"/>
        <v>8636</v>
      </c>
      <c r="AT50" s="113">
        <f t="shared" si="34"/>
        <v>4064</v>
      </c>
      <c r="AU50" s="113"/>
      <c r="AV50" s="113">
        <f t="shared" si="35"/>
        <v>49300</v>
      </c>
      <c r="AW50" s="113">
        <f t="shared" si="36"/>
        <v>8381</v>
      </c>
      <c r="AX50" s="113">
        <f t="shared" si="37"/>
        <v>3944</v>
      </c>
      <c r="AY50" s="113">
        <f t="shared" si="38"/>
        <v>3675</v>
      </c>
      <c r="AZ50" s="113"/>
      <c r="BA50" s="113"/>
      <c r="BB50" s="148">
        <f t="shared" si="39"/>
        <v>1875</v>
      </c>
      <c r="BC50" s="113">
        <f t="shared" si="40"/>
        <v>3675</v>
      </c>
      <c r="BD50" s="113" t="str">
        <f t="shared" si="23"/>
        <v/>
      </c>
      <c r="BE50" s="113" t="str">
        <f t="shared" si="24"/>
        <v/>
      </c>
      <c r="BF50" s="113">
        <f t="shared" si="25"/>
        <v>176</v>
      </c>
    </row>
    <row r="51" spans="1:58" ht="21" customHeight="1">
      <c r="A51" s="82">
        <f t="shared" si="26"/>
        <v>44</v>
      </c>
      <c r="B51" s="83">
        <f t="shared" si="27"/>
        <v>44044</v>
      </c>
      <c r="C51" s="84">
        <f>IFERROR(IF($B50="TOTAL","अक्षरें राशि :-",IF($B51="TOTAL",SUM($C$8:C50),IF(AR52="","",AR52))),"")</f>
        <v>52300</v>
      </c>
      <c r="D51" s="84">
        <f>IFERROR(IF($B51="TOTAL",SUM($D$8:D50),IF(AS52="","",AS52)),"")</f>
        <v>8891</v>
      </c>
      <c r="E51" s="84">
        <f>IFERROR(IF($B51="TOTAL",SUM($E$8:E50),IF(OR(B51=$AL$16,B51=$AL$17,B51=$AL$18,B51=$AL$19,B51=$AL$20,B51=$AL$21,B51=$AL$22,B51=$AL$23,B51=$AL$24),0,IF(AT52="","",AT52))),"")</f>
        <v>4184</v>
      </c>
      <c r="F51" s="84">
        <f t="shared" si="28"/>
        <v>65375</v>
      </c>
      <c r="G51" s="84">
        <f>IFERROR(IF($B51="TOTAL",SUM($G$8:G50),IF(AV52="","",AV52)),"")</f>
        <v>50800</v>
      </c>
      <c r="H51" s="84">
        <f>IFERROR(IF($B51="TOTAL",SUM($H$8:H50),IF(AW52="","",AW52)),"")</f>
        <v>8636</v>
      </c>
      <c r="I51" s="84">
        <f>IFERROR(IF($B51="TOTAL",SUM($I$8:I50),IF(OR(B51=$AL$16,B51=$AL$17,B51=$AL$18,B51=$AL$19,B51=$AL$20,B51=$AL$21,B51=$AL$22,B51=$AL$23,B51=$AL$24),0,IF(AX52="","",AX52))),"")</f>
        <v>4064</v>
      </c>
      <c r="J51" s="84">
        <f t="shared" si="8"/>
        <v>63500</v>
      </c>
      <c r="K51" s="84">
        <f>IFERROR(IF(B51="","",IF(C51="","",IF(G51="","",IF($B51="TOTAL",SUM($K$8:K50),SUM(C51-G51))))),"")</f>
        <v>1500</v>
      </c>
      <c r="L51" s="84">
        <f>IFERROR(IF(B51="","",IF(D51="","",IF(H51="","",IF($B51="TOTAL",SUM($L$8:L50),SUM(D51-H51))))),"")</f>
        <v>255</v>
      </c>
      <c r="M51" s="84">
        <f>IFERROR(IF(B51="","",IF(E51="","",IF(I51="","",IF($B51="TOTAL",SUM($M$8:M50),SUM(E51-I51))))),"")</f>
        <v>120</v>
      </c>
      <c r="N51" s="84">
        <f t="shared" si="9"/>
        <v>1875</v>
      </c>
      <c r="O51" s="84">
        <f>IFERROR(IF(B51="","",IF($B51="TOTAL",SUM($O$8:O50),IF($AN$18=$AN$20,AY52,ROUND((C51+D51)*10%,0)))),"")</f>
        <v>6119</v>
      </c>
      <c r="P51" s="84">
        <f>IFERROR(IF(B51="","",IF(G51="","",IF(H51="","",IF($B51="TOTAL",SUM($P$8:P50),IF($AN$18=$AN$20,$AN$21,ROUND((G51+H51)*10%,0)))))),"")</f>
        <v>5944</v>
      </c>
      <c r="Q51" s="84">
        <f t="shared" si="10"/>
        <v>175</v>
      </c>
      <c r="R51" s="85">
        <f>IFERROR(IF(B51="","",IF($AN$16=$AN$17,0,IF($B51="TOTAL",SUM($R$8:R50),IF($AN$19=$AN$31,0,IF(AND($AN$32=$AN$20,B51=$AN$33),$AN$34,R50))))),"")</f>
        <v>0</v>
      </c>
      <c r="S51" s="85">
        <f>IFERROR(IF(B51="","",IF($AN$16=$AN$17,0,IF($B51="TOTAL",SUM($S$8:S50),IF($AN$19=$AN$20,$AN$24,0)))),"")</f>
        <v>0</v>
      </c>
      <c r="T51" s="84">
        <f t="shared" si="11"/>
        <v>0</v>
      </c>
      <c r="U51" s="84" t="str">
        <f>IF(B51="","",IF($B51="TOTAL",SUM($U$8:U50),IF(AND($AN$2=$AN$20,B51=$AN$1),ROUND(C51/31*$AO$2,0),IF(B51=$AL$6,ROUND((F51)*1/30,0),IF(B51=$AM$6,ROUND((F51)*1/31,0),"")))))</f>
        <v/>
      </c>
      <c r="V51" s="84" t="str">
        <f>IF(B51="","",IF($B51="TOTAL",SUM($V$8:V50),IF(AND($AN$2=$AN$20,B51=$AN$1),ROUND(G51/31*$AO$2,0),IF(B51=$AL$6,ROUND((J51)*1/30,0),IF(B51=$AM$6,ROUND((J51)*1/31,0),"")))))</f>
        <v/>
      </c>
      <c r="W51" s="84" t="str">
        <f t="shared" si="12"/>
        <v/>
      </c>
      <c r="X51" s="84" t="str">
        <f>IFERROR(IF($B51="TOTAL",SUM($X$8:X50),IF(BD52="YES",BE52,"")),"")</f>
        <v/>
      </c>
      <c r="Y51" s="84">
        <f>IFERROR(IF(B51="","",IF($B51="TOTAL",SUM($Y$8:Y50),ROUND(N51*$AN$7%,0))),"")</f>
        <v>0</v>
      </c>
      <c r="Z51" s="84">
        <f>IFERROR(IF(B51="","",IF($B51="TOTAL",SUM($Z$8:Z50),SUM(Q51,T51,W51,X51,Y51))),"")</f>
        <v>175</v>
      </c>
      <c r="AA51" s="86">
        <f>IFERROR(IF(B51="","",IF($B51="TOTAL",SUM($AA$8:AA50),SUM(N51-Z51))),"")</f>
        <v>1700</v>
      </c>
      <c r="AJ51" s="112">
        <f t="shared" si="13"/>
        <v>17</v>
      </c>
      <c r="AK51" s="112">
        <f t="shared" si="14"/>
        <v>17</v>
      </c>
      <c r="AM51" s="114">
        <v>44013</v>
      </c>
      <c r="AO51" s="114">
        <f t="shared" si="32"/>
        <v>44013</v>
      </c>
      <c r="AP51" s="114">
        <f t="shared" si="16"/>
        <v>44013</v>
      </c>
      <c r="AQ51" s="114">
        <f t="shared" si="41"/>
        <v>44013</v>
      </c>
      <c r="AR51" s="113">
        <f t="shared" si="33"/>
        <v>52300</v>
      </c>
      <c r="AS51" s="113">
        <f t="shared" si="30"/>
        <v>8891</v>
      </c>
      <c r="AT51" s="113">
        <f t="shared" si="34"/>
        <v>4184</v>
      </c>
      <c r="AU51" s="113"/>
      <c r="AV51" s="113">
        <f t="shared" si="35"/>
        <v>50800</v>
      </c>
      <c r="AW51" s="113">
        <f t="shared" si="36"/>
        <v>8636</v>
      </c>
      <c r="AX51" s="113">
        <f t="shared" si="37"/>
        <v>4064</v>
      </c>
      <c r="AY51" s="113">
        <f t="shared" si="38"/>
        <v>3675</v>
      </c>
      <c r="BB51" s="148">
        <f t="shared" si="39"/>
        <v>1875</v>
      </c>
      <c r="BC51" s="113">
        <f t="shared" si="40"/>
        <v>3675</v>
      </c>
      <c r="BD51" s="113" t="str">
        <f t="shared" si="23"/>
        <v/>
      </c>
      <c r="BE51" s="113" t="str">
        <f t="shared" si="24"/>
        <v/>
      </c>
      <c r="BF51" s="113">
        <f t="shared" si="25"/>
        <v>175</v>
      </c>
    </row>
    <row r="52" spans="1:58" ht="21" customHeight="1">
      <c r="A52" s="82">
        <f t="shared" si="26"/>
        <v>45</v>
      </c>
      <c r="B52" s="83">
        <f t="shared" si="27"/>
        <v>44075</v>
      </c>
      <c r="C52" s="84">
        <f>IFERROR(IF($B51="TOTAL","अक्षरें राशि :-",IF($B52="TOTAL",SUM($C$8:C51),IF(AR53="","",AR53))),"")</f>
        <v>52300</v>
      </c>
      <c r="D52" s="84">
        <f>IFERROR(IF($B52="TOTAL",SUM($D$8:D51),IF(AS53="","",AS53)),"")</f>
        <v>8891</v>
      </c>
      <c r="E52" s="84">
        <f>IFERROR(IF($B52="TOTAL",SUM($E$8:E51),IF(OR(B52=$AL$16,B52=$AL$17,B52=$AL$18,B52=$AL$19,B52=$AL$20,B52=$AL$21,B52=$AL$22,B52=$AL$23,B52=$AL$24),0,IF(AT53="","",AT53))),"")</f>
        <v>4184</v>
      </c>
      <c r="F52" s="84">
        <f t="shared" si="28"/>
        <v>65375</v>
      </c>
      <c r="G52" s="84">
        <f>IFERROR(IF($B52="TOTAL",SUM($G$8:G51),IF(AV53="","",AV53)),"")</f>
        <v>50800</v>
      </c>
      <c r="H52" s="84">
        <f>IFERROR(IF($B52="TOTAL",SUM($H$8:H51),IF(AW53="","",AW53)),"")</f>
        <v>8636</v>
      </c>
      <c r="I52" s="84">
        <f>IFERROR(IF($B52="TOTAL",SUM($I$8:I51),IF(OR(B52=$AL$16,B52=$AL$17,B52=$AL$18,B52=$AL$19,B52=$AL$20,B52=$AL$21,B52=$AL$22,B52=$AL$23,B52=$AL$24),0,IF(AX53="","",AX53))),"")</f>
        <v>4064</v>
      </c>
      <c r="J52" s="84">
        <f t="shared" si="8"/>
        <v>63500</v>
      </c>
      <c r="K52" s="84">
        <f>IFERROR(IF(B52="","",IF(C52="","",IF(G52="","",IF($B52="TOTAL",SUM($K$8:K51),SUM(C52-G52))))),"")</f>
        <v>1500</v>
      </c>
      <c r="L52" s="84">
        <f>IFERROR(IF(B52="","",IF(D52="","",IF(H52="","",IF($B52="TOTAL",SUM($L$8:L51),SUM(D52-H52))))),"")</f>
        <v>255</v>
      </c>
      <c r="M52" s="84">
        <f>IFERROR(IF(B52="","",IF(E52="","",IF(I52="","",IF($B52="TOTAL",SUM($M$8:M51),SUM(E52-I52))))),"")</f>
        <v>120</v>
      </c>
      <c r="N52" s="84">
        <f t="shared" si="9"/>
        <v>1875</v>
      </c>
      <c r="O52" s="84">
        <f>IFERROR(IF(B52="","",IF($B52="TOTAL",SUM($O$8:O51),IF($AN$18=$AN$20,AY53,ROUND((C52+D52)*10%,0)))),"")</f>
        <v>6119</v>
      </c>
      <c r="P52" s="84">
        <f>IFERROR(IF(B52="","",IF(G52="","",IF(H52="","",IF($B52="TOTAL",SUM($P$8:P51),IF($AN$18=$AN$20,$AN$21,ROUND((G52+H52)*10%,0)))))),"")</f>
        <v>5944</v>
      </c>
      <c r="Q52" s="84">
        <f t="shared" si="10"/>
        <v>175</v>
      </c>
      <c r="R52" s="85">
        <f>IFERROR(IF(B52="","",IF($AN$16=$AN$17,0,IF($B52="TOTAL",SUM($R$8:R51),IF($AN$19=$AN$31,0,IF(AND($AN$32=$AN$20,B52=$AN$33),$AN$34,R51))))),"")</f>
        <v>0</v>
      </c>
      <c r="S52" s="85">
        <f>IFERROR(IF(B52="","",IF($AN$16=$AN$17,0,IF($B52="TOTAL",SUM($S$8:S51),IF($AN$19=$AN$20,$AN$24,0)))),"")</f>
        <v>0</v>
      </c>
      <c r="T52" s="84">
        <f t="shared" si="11"/>
        <v>0</v>
      </c>
      <c r="U52" s="84">
        <f>IF(B52="","",IF($B52="TOTAL",SUM($U$8:U51),IF(AND($AN$2=$AN$20,B52=$AN$1),ROUND(C52/31*$AO$2,0),IF(B52=$AL$6,ROUND((F52)*1/30,0),IF(B52=$AM$6,ROUND((F52)*1/31,0),"")))))</f>
        <v>2179</v>
      </c>
      <c r="V52" s="84">
        <f>IF(B52="","",IF($B52="TOTAL",SUM($V$8:V51),IF(AND($AN$2=$AN$20,B52=$AN$1),ROUND(G52/31*$AO$2,0),IF(B52=$AL$6,ROUND((J52)*1/30,0),IF(B52=$AM$6,ROUND((J52)*1/31,0),"")))))</f>
        <v>2117</v>
      </c>
      <c r="W52" s="84">
        <f t="shared" si="12"/>
        <v>62</v>
      </c>
      <c r="X52" s="84" t="str">
        <f>IFERROR(IF($B52="TOTAL",SUM($X$8:X51),IF(BD53="YES",BE53,"")),"")</f>
        <v/>
      </c>
      <c r="Y52" s="84">
        <f>IFERROR(IF(B52="","",IF($B52="TOTAL",SUM($Y$8:Y51),ROUND(N52*$AN$7%,0))),"")</f>
        <v>0</v>
      </c>
      <c r="Z52" s="84">
        <f>IFERROR(IF(B52="","",IF($B52="TOTAL",SUM($Z$8:Z51),SUM(Q52,T52,W52,X52,Y52))),"")</f>
        <v>237</v>
      </c>
      <c r="AA52" s="86">
        <f>IFERROR(IF(B52="","",IF($B52="TOTAL",SUM($AA$8:AA51),SUM(N52-Z52))),"")</f>
        <v>1638</v>
      </c>
      <c r="AJ52" s="112">
        <f t="shared" si="13"/>
        <v>17</v>
      </c>
      <c r="AK52" s="112">
        <f t="shared" si="14"/>
        <v>17</v>
      </c>
      <c r="AM52" s="114">
        <v>44044</v>
      </c>
      <c r="AO52" s="114">
        <f t="shared" si="32"/>
        <v>44044</v>
      </c>
      <c r="AP52" s="114">
        <f t="shared" si="16"/>
        <v>44044</v>
      </c>
      <c r="AQ52" s="114">
        <f t="shared" si="41"/>
        <v>44044</v>
      </c>
      <c r="AR52" s="113">
        <f t="shared" si="33"/>
        <v>52300</v>
      </c>
      <c r="AS52" s="113">
        <f t="shared" si="30"/>
        <v>8891</v>
      </c>
      <c r="AT52" s="113">
        <f t="shared" si="34"/>
        <v>4184</v>
      </c>
      <c r="AU52" s="113"/>
      <c r="AV52" s="113">
        <f t="shared" si="35"/>
        <v>50800</v>
      </c>
      <c r="AW52" s="113">
        <f t="shared" si="36"/>
        <v>8636</v>
      </c>
      <c r="AX52" s="113">
        <f t="shared" si="37"/>
        <v>4064</v>
      </c>
      <c r="AY52" s="113">
        <f t="shared" si="38"/>
        <v>3675</v>
      </c>
      <c r="BB52" s="148">
        <f t="shared" si="39"/>
        <v>1875</v>
      </c>
      <c r="BC52" s="113">
        <f t="shared" si="40"/>
        <v>3675</v>
      </c>
      <c r="BD52" s="113" t="str">
        <f t="shared" si="23"/>
        <v/>
      </c>
      <c r="BE52" s="113" t="str">
        <f t="shared" si="24"/>
        <v/>
      </c>
      <c r="BF52" s="113">
        <f t="shared" si="25"/>
        <v>175</v>
      </c>
    </row>
    <row r="53" spans="1:58" ht="21" customHeight="1">
      <c r="A53" s="82">
        <f t="shared" si="26"/>
        <v>46</v>
      </c>
      <c r="B53" s="83">
        <f t="shared" si="27"/>
        <v>44105</v>
      </c>
      <c r="C53" s="84">
        <f>IFERROR(IF($B52="TOTAL","अक्षरें राशि :-",IF($B53="TOTAL",SUM($C$8:C52),IF(AR54="","",AR54))),"")</f>
        <v>52300</v>
      </c>
      <c r="D53" s="84">
        <f>IFERROR(IF($B53="TOTAL",SUM($D$8:D52),IF(AS54="","",AS54)),"")</f>
        <v>8891</v>
      </c>
      <c r="E53" s="84">
        <f>IFERROR(IF($B53="TOTAL",SUM($E$8:E52),IF(OR(B53=$AL$16,B53=$AL$17,B53=$AL$18,B53=$AL$19,B53=$AL$20,B53=$AL$21,B53=$AL$22,B53=$AL$23,B53=$AL$24),0,IF(AT54="","",AT54))),"")</f>
        <v>4184</v>
      </c>
      <c r="F53" s="84">
        <f t="shared" si="28"/>
        <v>65375</v>
      </c>
      <c r="G53" s="84">
        <f>IFERROR(IF($B53="TOTAL",SUM($G$8:G52),IF(AV54="","",AV54)),"")</f>
        <v>50800</v>
      </c>
      <c r="H53" s="84">
        <f>IFERROR(IF($B53="TOTAL",SUM($H$8:H52),IF(AW54="","",AW54)),"")</f>
        <v>8636</v>
      </c>
      <c r="I53" s="84">
        <f>IFERROR(IF($B53="TOTAL",SUM($I$8:I52),IF(OR(B53=$AL$16,B53=$AL$17,B53=$AL$18,B53=$AL$19,B53=$AL$20,B53=$AL$21,B53=$AL$22,B53=$AL$23,B53=$AL$24),0,IF(AX54="","",AX54))),"")</f>
        <v>4064</v>
      </c>
      <c r="J53" s="84">
        <f t="shared" si="8"/>
        <v>63500</v>
      </c>
      <c r="K53" s="84">
        <f>IFERROR(IF(B53="","",IF(C53="","",IF(G53="","",IF($B53="TOTAL",SUM($K$8:K52),SUM(C53-G53))))),"")</f>
        <v>1500</v>
      </c>
      <c r="L53" s="84">
        <f>IFERROR(IF(B53="","",IF(D53="","",IF(H53="","",IF($B53="TOTAL",SUM($L$8:L52),SUM(D53-H53))))),"")</f>
        <v>255</v>
      </c>
      <c r="M53" s="84">
        <f>IFERROR(IF(B53="","",IF(E53="","",IF(I53="","",IF($B53="TOTAL",SUM($M$8:M52),SUM(E53-I53))))),"")</f>
        <v>120</v>
      </c>
      <c r="N53" s="84">
        <f t="shared" si="9"/>
        <v>1875</v>
      </c>
      <c r="O53" s="84">
        <f>IFERROR(IF(B53="","",IF($B53="TOTAL",SUM($O$8:O52),IF($AN$18=$AN$20,AY54,ROUND((C53+D53)*10%,0)))),"")</f>
        <v>6119</v>
      </c>
      <c r="P53" s="84">
        <f>IFERROR(IF(B53="","",IF(G53="","",IF(H53="","",IF($B53="TOTAL",SUM($P$8:P52),IF($AN$18=$AN$20,$AN$21,ROUND((G53+H53)*10%,0)))))),"")</f>
        <v>5944</v>
      </c>
      <c r="Q53" s="84">
        <f t="shared" si="10"/>
        <v>175</v>
      </c>
      <c r="R53" s="85">
        <f>IFERROR(IF(B53="","",IF($AN$16=$AN$17,0,IF($B53="TOTAL",SUM($R$8:R52),IF($AN$19=$AN$31,0,IF(AND($AN$32=$AN$20,B53=$AN$33),$AN$34,R52))))),"")</f>
        <v>0</v>
      </c>
      <c r="S53" s="85">
        <f>IFERROR(IF(B53="","",IF($AN$16=$AN$17,0,IF($B53="TOTAL",SUM($S$8:S52),IF($AN$19=$AN$20,$AN$24,0)))),"")</f>
        <v>0</v>
      </c>
      <c r="T53" s="84">
        <f t="shared" si="11"/>
        <v>0</v>
      </c>
      <c r="U53" s="84">
        <f>IF(B53="","",IF($B53="TOTAL",SUM($U$8:U52),IF(AND($AN$2=$AN$20,B53=$AN$1),ROUND(C53/31*$AO$2,0),IF(B53=$AL$6,ROUND((F53)*1/30,0),IF(B53=$AM$6,ROUND((F53)*1/31,0),"")))))</f>
        <v>2109</v>
      </c>
      <c r="V53" s="84">
        <f>IF(B53="","",IF($B53="TOTAL",SUM($V$8:V52),IF(AND($AN$2=$AN$20,B53=$AN$1),ROUND(G53/31*$AO$2,0),IF(B53=$AL$6,ROUND((J53)*1/30,0),IF(B53=$AM$6,ROUND((J53)*1/31,0),"")))))</f>
        <v>2048</v>
      </c>
      <c r="W53" s="84">
        <f t="shared" si="12"/>
        <v>61</v>
      </c>
      <c r="X53" s="84" t="str">
        <f>IFERROR(IF($B53="TOTAL",SUM($X$8:X52),IF(BD54="YES",BE54,"")),"")</f>
        <v/>
      </c>
      <c r="Y53" s="84">
        <f>IFERROR(IF(B53="","",IF($B53="TOTAL",SUM($Y$8:Y52),ROUND(N53*$AN$7%,0))),"")</f>
        <v>0</v>
      </c>
      <c r="Z53" s="84">
        <f>IFERROR(IF(B53="","",IF($B53="TOTAL",SUM($Z$8:Z52),SUM(Q53,T53,W53,X53,Y53))),"")</f>
        <v>236</v>
      </c>
      <c r="AA53" s="86">
        <f>IFERROR(IF(B53="","",IF($B53="TOTAL",SUM($AA$8:AA52),SUM(N53-Z53))),"")</f>
        <v>1639</v>
      </c>
      <c r="AJ53" s="112">
        <f t="shared" si="13"/>
        <v>17</v>
      </c>
      <c r="AK53" s="112">
        <f t="shared" si="14"/>
        <v>17</v>
      </c>
      <c r="AM53" s="114">
        <v>44075</v>
      </c>
      <c r="AO53" s="114">
        <f t="shared" si="32"/>
        <v>44075</v>
      </c>
      <c r="AP53" s="114">
        <f t="shared" si="16"/>
        <v>44075</v>
      </c>
      <c r="AQ53" s="114">
        <f t="shared" si="41"/>
        <v>44075</v>
      </c>
      <c r="AR53" s="113">
        <f t="shared" si="33"/>
        <v>52300</v>
      </c>
      <c r="AS53" s="113">
        <f t="shared" si="30"/>
        <v>8891</v>
      </c>
      <c r="AT53" s="113">
        <f t="shared" si="34"/>
        <v>4184</v>
      </c>
      <c r="AU53" s="113"/>
      <c r="AV53" s="113">
        <f t="shared" si="35"/>
        <v>50800</v>
      </c>
      <c r="AW53" s="113">
        <f t="shared" si="36"/>
        <v>8636</v>
      </c>
      <c r="AX53" s="113">
        <f t="shared" si="37"/>
        <v>4064</v>
      </c>
      <c r="AY53" s="113">
        <f t="shared" si="38"/>
        <v>3675</v>
      </c>
      <c r="BB53" s="148">
        <f t="shared" si="39"/>
        <v>1813</v>
      </c>
      <c r="BC53" s="113">
        <f t="shared" si="40"/>
        <v>3675</v>
      </c>
      <c r="BD53" s="113" t="str">
        <f t="shared" si="23"/>
        <v/>
      </c>
      <c r="BE53" s="113" t="str">
        <f t="shared" si="24"/>
        <v/>
      </c>
      <c r="BF53" s="113">
        <f t="shared" si="25"/>
        <v>175</v>
      </c>
    </row>
    <row r="54" spans="1:58" ht="21" customHeight="1">
      <c r="A54" s="82">
        <f t="shared" si="26"/>
        <v>47</v>
      </c>
      <c r="B54" s="83">
        <f t="shared" si="27"/>
        <v>44136</v>
      </c>
      <c r="C54" s="84">
        <f>IFERROR(IF($B53="TOTAL","अक्षरें राशि :-",IF($B54="TOTAL",SUM($C$8:C53),IF(AR55="","",AR55))),"")</f>
        <v>52300</v>
      </c>
      <c r="D54" s="84">
        <f>IFERROR(IF($B54="TOTAL",SUM($D$8:D53),IF(AS55="","",AS55)),"")</f>
        <v>8891</v>
      </c>
      <c r="E54" s="84">
        <f>IFERROR(IF($B54="TOTAL",SUM($E$8:E53),IF(OR(B54=$AL$16,B54=$AL$17,B54=$AL$18,B54=$AL$19,B54=$AL$20,B54=$AL$21,B54=$AL$22,B54=$AL$23,B54=$AL$24),0,IF(AT55="","",AT55))),"")</f>
        <v>4184</v>
      </c>
      <c r="F54" s="84">
        <f t="shared" si="28"/>
        <v>65375</v>
      </c>
      <c r="G54" s="84">
        <f>IFERROR(IF($B54="TOTAL",SUM($G$8:G53),IF(AV55="","",AV55)),"")</f>
        <v>50800</v>
      </c>
      <c r="H54" s="84">
        <f>IFERROR(IF($B54="TOTAL",SUM($H$8:H53),IF(AW55="","",AW55)),"")</f>
        <v>8636</v>
      </c>
      <c r="I54" s="84">
        <f>IFERROR(IF($B54="TOTAL",SUM($I$8:I53),IF(OR(B54=$AL$16,B54=$AL$17,B54=$AL$18,B54=$AL$19,B54=$AL$20,B54=$AL$21,B54=$AL$22,B54=$AL$23,B54=$AL$24),0,IF(AX55="","",AX55))),"")</f>
        <v>4064</v>
      </c>
      <c r="J54" s="84">
        <f t="shared" si="8"/>
        <v>63500</v>
      </c>
      <c r="K54" s="84">
        <f>IFERROR(IF(B54="","",IF(C54="","",IF(G54="","",IF($B54="TOTAL",SUM($K$8:K53),SUM(C54-G54))))),"")</f>
        <v>1500</v>
      </c>
      <c r="L54" s="84">
        <f>IFERROR(IF(B54="","",IF(D54="","",IF(H54="","",IF($B54="TOTAL",SUM($L$8:L53),SUM(D54-H54))))),"")</f>
        <v>255</v>
      </c>
      <c r="M54" s="84">
        <f>IFERROR(IF(B54="","",IF(E54="","",IF(I54="","",IF($B54="TOTAL",SUM($M$8:M53),SUM(E54-I54))))),"")</f>
        <v>120</v>
      </c>
      <c r="N54" s="84">
        <f t="shared" si="9"/>
        <v>1875</v>
      </c>
      <c r="O54" s="84">
        <f>IFERROR(IF(B54="","",IF($B54="TOTAL",SUM($O$8:O53),IF($AN$18=$AN$20,AY55,ROUND((C54+D54)*10%,0)))),"")</f>
        <v>6119</v>
      </c>
      <c r="P54" s="84">
        <f>IFERROR(IF(B54="","",IF(G54="","",IF(H54="","",IF($B54="TOTAL",SUM($P$8:P53),IF($AN$18=$AN$20,$AN$21,ROUND((G54+H54)*10%,0)))))),"")</f>
        <v>5944</v>
      </c>
      <c r="Q54" s="84">
        <f t="shared" si="10"/>
        <v>175</v>
      </c>
      <c r="R54" s="85">
        <f>IFERROR(IF(B54="","",IF($AN$16=$AN$17,0,IF($B54="TOTAL",SUM($R$8:R53),IF($AN$19=$AN$31,0,IF(AND($AN$32=$AN$20,B54=$AN$33),$AN$34,R53))))),"")</f>
        <v>0</v>
      </c>
      <c r="S54" s="85">
        <f>IFERROR(IF(B54="","",IF($AN$16=$AN$17,0,IF($B54="TOTAL",SUM($S$8:S53),IF($AN$19=$AN$20,$AN$24,0)))),"")</f>
        <v>0</v>
      </c>
      <c r="T54" s="84">
        <f t="shared" si="11"/>
        <v>0</v>
      </c>
      <c r="U54" s="84" t="str">
        <f>IF(B54="","",IF($B54="TOTAL",SUM($U$8:U53),IF(AND($AN$2=$AN$20,B54=$AN$1),ROUND(C54/31*$AO$2,0),IF(B54=$AL$6,ROUND((F54)*1/30,0),IF(B54=$AM$6,ROUND((F54)*1/31,0),"")))))</f>
        <v/>
      </c>
      <c r="V54" s="84" t="str">
        <f>IF(B54="","",IF($B54="TOTAL",SUM($V$8:V53),IF(AND($AN$2=$AN$20,B54=$AN$1),ROUND(G54/31*$AO$2,0),IF(B54=$AL$6,ROUND((J54)*1/30,0),IF(B54=$AM$6,ROUND((J54)*1/31,0),"")))))</f>
        <v/>
      </c>
      <c r="W54" s="84" t="str">
        <f t="shared" si="12"/>
        <v/>
      </c>
      <c r="X54" s="84" t="str">
        <f>IFERROR(IF($B54="TOTAL",SUM($X$8:X53),IF(BD55="YES",BE55,"")),"")</f>
        <v/>
      </c>
      <c r="Y54" s="84">
        <f>IFERROR(IF(B54="","",IF($B54="TOTAL",SUM($Y$8:Y53),ROUND(N54*$AN$7%,0))),"")</f>
        <v>0</v>
      </c>
      <c r="Z54" s="84">
        <f>IFERROR(IF(B54="","",IF($B54="TOTAL",SUM($Z$8:Z53),SUM(Q54,T54,W54,X54,Y54))),"")</f>
        <v>175</v>
      </c>
      <c r="AA54" s="86">
        <f>IFERROR(IF(B54="","",IF($B54="TOTAL",SUM($AA$8:AA53),SUM(N54-Z54))),"")</f>
        <v>1700</v>
      </c>
      <c r="AJ54" s="112">
        <f t="shared" si="13"/>
        <v>17</v>
      </c>
      <c r="AK54" s="112">
        <f t="shared" si="14"/>
        <v>17</v>
      </c>
      <c r="AM54" s="114">
        <v>44105</v>
      </c>
      <c r="AO54" s="114">
        <f t="shared" si="32"/>
        <v>44105</v>
      </c>
      <c r="AP54" s="114">
        <f t="shared" si="16"/>
        <v>44105</v>
      </c>
      <c r="AQ54" s="114">
        <f t="shared" si="41"/>
        <v>44105</v>
      </c>
      <c r="AR54" s="113">
        <f t="shared" si="33"/>
        <v>52300</v>
      </c>
      <c r="AS54" s="113">
        <f t="shared" si="30"/>
        <v>8891</v>
      </c>
      <c r="AT54" s="113">
        <f t="shared" si="34"/>
        <v>4184</v>
      </c>
      <c r="AU54" s="113"/>
      <c r="AV54" s="113">
        <f t="shared" si="35"/>
        <v>50800</v>
      </c>
      <c r="AW54" s="113">
        <f t="shared" si="36"/>
        <v>8636</v>
      </c>
      <c r="AX54" s="113">
        <f t="shared" si="37"/>
        <v>4064</v>
      </c>
      <c r="AY54" s="113">
        <f t="shared" si="38"/>
        <v>3675</v>
      </c>
      <c r="BB54" s="148">
        <f t="shared" si="39"/>
        <v>1814</v>
      </c>
      <c r="BC54" s="113">
        <f t="shared" si="40"/>
        <v>3675</v>
      </c>
      <c r="BD54" s="113" t="str">
        <f t="shared" si="23"/>
        <v/>
      </c>
      <c r="BE54" s="113" t="str">
        <f t="shared" si="24"/>
        <v/>
      </c>
      <c r="BF54" s="113">
        <f t="shared" si="25"/>
        <v>175</v>
      </c>
    </row>
    <row r="55" spans="1:58" ht="21" customHeight="1">
      <c r="A55" s="82">
        <f t="shared" si="26"/>
        <v>48</v>
      </c>
      <c r="B55" s="83">
        <f t="shared" si="27"/>
        <v>44166</v>
      </c>
      <c r="C55" s="84">
        <f>IFERROR(IF($B54="TOTAL","अक्षरें राशि :-",IF($B55="TOTAL",SUM($C$8:C54),IF(AR56="","",AR56))),"")</f>
        <v>52300</v>
      </c>
      <c r="D55" s="84">
        <f>IFERROR(IF($B55="TOTAL",SUM($D$8:D54),IF(AS56="","",AS56)),"")</f>
        <v>8891</v>
      </c>
      <c r="E55" s="84">
        <f>IFERROR(IF($B55="TOTAL",SUM($E$8:E54),IF(OR(B55=$AL$16,B55=$AL$17,B55=$AL$18,B55=$AL$19,B55=$AL$20,B55=$AL$21,B55=$AL$22,B55=$AL$23,B55=$AL$24),0,IF(AT56="","",AT56))),"")</f>
        <v>4184</v>
      </c>
      <c r="F55" s="84">
        <f t="shared" si="28"/>
        <v>65375</v>
      </c>
      <c r="G55" s="84">
        <f>IFERROR(IF($B55="TOTAL",SUM($G$8:G54),IF(AV56="","",AV56)),"")</f>
        <v>50800</v>
      </c>
      <c r="H55" s="84">
        <f>IFERROR(IF($B55="TOTAL",SUM($H$8:H54),IF(AW56="","",AW56)),"")</f>
        <v>8636</v>
      </c>
      <c r="I55" s="84">
        <f>IFERROR(IF($B55="TOTAL",SUM($I$8:I54),IF(OR(B55=$AL$16,B55=$AL$17,B55=$AL$18,B55=$AL$19,B55=$AL$20,B55=$AL$21,B55=$AL$22,B55=$AL$23,B55=$AL$24),0,IF(AX56="","",AX56))),"")</f>
        <v>4064</v>
      </c>
      <c r="J55" s="84">
        <f t="shared" si="8"/>
        <v>63500</v>
      </c>
      <c r="K55" s="84">
        <f>IFERROR(IF(B55="","",IF(C55="","",IF(G55="","",IF($B55="TOTAL",SUM($K$8:K54),SUM(C55-G55))))),"")</f>
        <v>1500</v>
      </c>
      <c r="L55" s="84">
        <f>IFERROR(IF(B55="","",IF(D55="","",IF(H55="","",IF($B55="TOTAL",SUM($L$8:L54),SUM(D55-H55))))),"")</f>
        <v>255</v>
      </c>
      <c r="M55" s="84">
        <f>IFERROR(IF(B55="","",IF(E55="","",IF(I55="","",IF($B55="TOTAL",SUM($M$8:M54),SUM(E55-I55))))),"")</f>
        <v>120</v>
      </c>
      <c r="N55" s="84">
        <f t="shared" si="9"/>
        <v>1875</v>
      </c>
      <c r="O55" s="84">
        <f>IFERROR(IF(B55="","",IF($B55="TOTAL",SUM($O$8:O54),IF($AN$18=$AN$20,AY56,ROUND((C55+D55)*10%,0)))),"")</f>
        <v>6119</v>
      </c>
      <c r="P55" s="84">
        <f>IFERROR(IF(B55="","",IF(G55="","",IF(H55="","",IF($B55="TOTAL",SUM($P$8:P54),IF($AN$18=$AN$20,$AN$21,ROUND((G55+H55)*10%,0)))))),"")</f>
        <v>5944</v>
      </c>
      <c r="Q55" s="84">
        <f t="shared" si="10"/>
        <v>175</v>
      </c>
      <c r="R55" s="85">
        <f>IFERROR(IF(B55="","",IF($AN$16=$AN$17,0,IF($B55="TOTAL",SUM($R$8:R54),IF($AN$19=$AN$31,0,IF(AND($AN$32=$AN$20,B55=$AN$33),$AN$34,R54))))),"")</f>
        <v>0</v>
      </c>
      <c r="S55" s="85">
        <f>IFERROR(IF(B55="","",IF($AN$16=$AN$17,0,IF($B55="TOTAL",SUM($S$8:S54),IF($AN$19=$AN$20,$AN$24,0)))),"")</f>
        <v>0</v>
      </c>
      <c r="T55" s="84">
        <f t="shared" si="11"/>
        <v>0</v>
      </c>
      <c r="U55" s="84" t="str">
        <f>IF(B55="","",IF($B55="TOTAL",SUM($U$8:U54),IF(AND($AN$2=$AN$20,B55=$AN$1),ROUND(C55/31*$AO$2,0),IF(B55=$AL$6,ROUND((F55)*1/30,0),IF(B55=$AM$6,ROUND((F55)*1/31,0),"")))))</f>
        <v/>
      </c>
      <c r="V55" s="84" t="str">
        <f>IF(B55="","",IF($B55="TOTAL",SUM($V$8:V54),IF(AND($AN$2=$AN$20,B55=$AN$1),ROUND(G55/31*$AO$2,0),IF(B55=$AL$6,ROUND((J55)*1/30,0),IF(B55=$AM$6,ROUND((J55)*1/31,0),"")))))</f>
        <v/>
      </c>
      <c r="W55" s="84" t="str">
        <f t="shared" si="12"/>
        <v/>
      </c>
      <c r="X55" s="84" t="str">
        <f>IFERROR(IF($B55="TOTAL",SUM($X$8:X54),IF(BD56="YES",BE56,"")),"")</f>
        <v/>
      </c>
      <c r="Y55" s="84">
        <f>IFERROR(IF(B55="","",IF($B55="TOTAL",SUM($Y$8:Y54),ROUND(N55*$AN$7%,0))),"")</f>
        <v>0</v>
      </c>
      <c r="Z55" s="84">
        <f>IFERROR(IF(B55="","",IF($B55="TOTAL",SUM($Z$8:Z54),SUM(Q55,T55,W55,X55,Y55))),"")</f>
        <v>175</v>
      </c>
      <c r="AA55" s="86">
        <f>IFERROR(IF(B55="","",IF($B55="TOTAL",SUM($AA$8:AA54),SUM(N55-Z55))),"")</f>
        <v>1700</v>
      </c>
      <c r="AJ55" s="112">
        <f t="shared" si="13"/>
        <v>17</v>
      </c>
      <c r="AK55" s="112">
        <f t="shared" si="14"/>
        <v>17</v>
      </c>
      <c r="AM55" s="114">
        <v>44136</v>
      </c>
      <c r="AO55" s="114">
        <f t="shared" si="32"/>
        <v>44136</v>
      </c>
      <c r="AP55" s="114">
        <f t="shared" si="16"/>
        <v>44136</v>
      </c>
      <c r="AQ55" s="114">
        <f t="shared" si="41"/>
        <v>44136</v>
      </c>
      <c r="AR55" s="113">
        <f t="shared" si="33"/>
        <v>52300</v>
      </c>
      <c r="AS55" s="113">
        <f t="shared" si="30"/>
        <v>8891</v>
      </c>
      <c r="AT55" s="113">
        <f t="shared" si="34"/>
        <v>4184</v>
      </c>
      <c r="AU55" s="113"/>
      <c r="AV55" s="113">
        <f t="shared" si="35"/>
        <v>50800</v>
      </c>
      <c r="AW55" s="113">
        <f t="shared" si="36"/>
        <v>8636</v>
      </c>
      <c r="AX55" s="113">
        <f t="shared" si="37"/>
        <v>4064</v>
      </c>
      <c r="AY55" s="113">
        <f t="shared" si="38"/>
        <v>3675</v>
      </c>
      <c r="BB55" s="148">
        <f t="shared" si="39"/>
        <v>1875</v>
      </c>
      <c r="BC55" s="113">
        <f t="shared" si="40"/>
        <v>3675</v>
      </c>
      <c r="BD55" s="113" t="str">
        <f t="shared" si="23"/>
        <v/>
      </c>
      <c r="BE55" s="113" t="str">
        <f t="shared" si="24"/>
        <v/>
      </c>
      <c r="BF55" s="113">
        <f t="shared" si="25"/>
        <v>175</v>
      </c>
    </row>
    <row r="56" spans="1:58" ht="21" customHeight="1">
      <c r="A56" s="82">
        <f t="shared" si="26"/>
        <v>49</v>
      </c>
      <c r="B56" s="83">
        <f t="shared" si="27"/>
        <v>44197</v>
      </c>
      <c r="C56" s="84">
        <f>IFERROR(IF($B55="TOTAL","अक्षरें राशि :-",IF($B56="TOTAL",SUM($C$8:C55),IF(AR57="","",AR57))),"")</f>
        <v>52300</v>
      </c>
      <c r="D56" s="84">
        <f>IFERROR(IF($B56="TOTAL",SUM($D$8:D55),IF(AS57="","",AS57)),"")</f>
        <v>8891</v>
      </c>
      <c r="E56" s="84">
        <f>IFERROR(IF($B56="TOTAL",SUM($E$8:E55),IF(OR(B56=$AL$16,B56=$AL$17,B56=$AL$18,B56=$AL$19,B56=$AL$20,B56=$AL$21,B56=$AL$22,B56=$AL$23,B56=$AL$24),0,IF(AT57="","",AT57))),"")</f>
        <v>4184</v>
      </c>
      <c r="F56" s="84">
        <f t="shared" si="28"/>
        <v>65375</v>
      </c>
      <c r="G56" s="84">
        <f>IFERROR(IF($B56="TOTAL",SUM($G$8:G55),IF(AV57="","",AV57)),"")</f>
        <v>50800</v>
      </c>
      <c r="H56" s="84">
        <f>IFERROR(IF($B56="TOTAL",SUM($H$8:H55),IF(AW57="","",AW57)),"")</f>
        <v>8636</v>
      </c>
      <c r="I56" s="84">
        <f>IFERROR(IF($B56="TOTAL",SUM($I$8:I55),IF(OR(B56=$AL$16,B56=$AL$17,B56=$AL$18,B56=$AL$19,B56=$AL$20,B56=$AL$21,B56=$AL$22,B56=$AL$23,B56=$AL$24),0,IF(AX57="","",AX57))),"")</f>
        <v>4064</v>
      </c>
      <c r="J56" s="84">
        <f t="shared" si="8"/>
        <v>63500</v>
      </c>
      <c r="K56" s="84">
        <f>IFERROR(IF(B56="","",IF(C56="","",IF(G56="","",IF($B56="TOTAL",SUM($K$8:K55),SUM(C56-G56))))),"")</f>
        <v>1500</v>
      </c>
      <c r="L56" s="84">
        <f>IFERROR(IF(B56="","",IF(D56="","",IF(H56="","",IF($B56="TOTAL",SUM($L$8:L55),SUM(D56-H56))))),"")</f>
        <v>255</v>
      </c>
      <c r="M56" s="84">
        <f>IFERROR(IF(B56="","",IF(E56="","",IF(I56="","",IF($B56="TOTAL",SUM($M$8:M55),SUM(E56-I56))))),"")</f>
        <v>120</v>
      </c>
      <c r="N56" s="84">
        <f t="shared" si="9"/>
        <v>1875</v>
      </c>
      <c r="O56" s="84">
        <f>IFERROR(IF(B56="","",IF($B56="TOTAL",SUM($O$8:O55),IF($AN$18=$AN$20,AY57,ROUND((C56+D56)*10%,0)))),"")</f>
        <v>6119</v>
      </c>
      <c r="P56" s="84">
        <f>IFERROR(IF(B56="","",IF(G56="","",IF(H56="","",IF($B56="TOTAL",SUM($P$8:P55),IF($AN$18=$AN$20,$AN$21,ROUND((G56+H56)*10%,0)))))),"")</f>
        <v>5944</v>
      </c>
      <c r="Q56" s="84">
        <f t="shared" si="10"/>
        <v>175</v>
      </c>
      <c r="R56" s="85">
        <f>IFERROR(IF(B56="","",IF($AN$16=$AN$17,0,IF($B56="TOTAL",SUM($R$8:R55),IF($AN$19=$AN$31,0,IF(AND($AN$32=$AN$20,B56=$AN$33),$AN$34,R55))))),"")</f>
        <v>0</v>
      </c>
      <c r="S56" s="85">
        <f>IFERROR(IF(B56="","",IF($AN$16=$AN$17,0,IF($B56="TOTAL",SUM($S$8:S55),IF($AN$19=$AN$20,$AN$24,0)))),"")</f>
        <v>0</v>
      </c>
      <c r="T56" s="84">
        <f t="shared" si="11"/>
        <v>0</v>
      </c>
      <c r="U56" s="84" t="str">
        <f>IF(B56="","",IF($B56="TOTAL",SUM($U$8:U55),IF(AND($AN$2=$AN$20,B56=$AN$1),ROUND(C56/31*$AO$2,0),IF(B56=$AL$6,ROUND((F56)*1/30,0),IF(B56=$AM$6,ROUND((F56)*1/31,0),"")))))</f>
        <v/>
      </c>
      <c r="V56" s="84" t="str">
        <f>IF(B56="","",IF($B56="TOTAL",SUM($V$8:V55),IF(AND($AN$2=$AN$20,B56=$AN$1),ROUND(G56/31*$AO$2,0),IF(B56=$AL$6,ROUND((J56)*1/30,0),IF(B56=$AM$6,ROUND((J56)*1/31,0),"")))))</f>
        <v/>
      </c>
      <c r="W56" s="84" t="str">
        <f t="shared" si="12"/>
        <v/>
      </c>
      <c r="X56" s="84" t="str">
        <f>IFERROR(IF($B56="TOTAL",SUM($X$8:X55),IF(BD57="YES",BE57,"")),"")</f>
        <v/>
      </c>
      <c r="Y56" s="84">
        <f>IFERROR(IF(B56="","",IF($B56="TOTAL",SUM($Y$8:Y55),ROUND(N56*$AN$7%,0))),"")</f>
        <v>0</v>
      </c>
      <c r="Z56" s="84">
        <f>IFERROR(IF(B56="","",IF($B56="TOTAL",SUM($Z$8:Z55),SUM(Q56,T56,W56,X56,Y56))),"")</f>
        <v>175</v>
      </c>
      <c r="AA56" s="86">
        <f>IFERROR(IF(B56="","",IF($B56="TOTAL",SUM($AA$8:AA55),SUM(N56-Z56))),"")</f>
        <v>1700</v>
      </c>
      <c r="AJ56" s="112">
        <f t="shared" si="13"/>
        <v>17</v>
      </c>
      <c r="AK56" s="112">
        <f t="shared" si="14"/>
        <v>17</v>
      </c>
      <c r="AM56" s="114">
        <v>44166</v>
      </c>
      <c r="AO56" s="114">
        <f t="shared" si="32"/>
        <v>44166</v>
      </c>
      <c r="AP56" s="114">
        <f t="shared" si="16"/>
        <v>44166</v>
      </c>
      <c r="AQ56" s="114">
        <f t="shared" si="41"/>
        <v>44166</v>
      </c>
      <c r="AR56" s="113">
        <f t="shared" si="33"/>
        <v>52300</v>
      </c>
      <c r="AS56" s="113">
        <f t="shared" si="30"/>
        <v>8891</v>
      </c>
      <c r="AT56" s="113">
        <f t="shared" si="34"/>
        <v>4184</v>
      </c>
      <c r="AU56" s="113"/>
      <c r="AV56" s="113">
        <f t="shared" si="35"/>
        <v>50800</v>
      </c>
      <c r="AW56" s="113">
        <f t="shared" si="36"/>
        <v>8636</v>
      </c>
      <c r="AX56" s="113">
        <f t="shared" si="37"/>
        <v>4064</v>
      </c>
      <c r="AY56" s="113">
        <f t="shared" si="38"/>
        <v>3675</v>
      </c>
      <c r="BB56" s="148">
        <f t="shared" si="39"/>
        <v>1875</v>
      </c>
      <c r="BC56" s="113">
        <f t="shared" si="40"/>
        <v>3675</v>
      </c>
      <c r="BD56" s="113" t="str">
        <f t="shared" si="23"/>
        <v/>
      </c>
      <c r="BE56" s="113" t="str">
        <f t="shared" si="24"/>
        <v/>
      </c>
      <c r="BF56" s="113">
        <f t="shared" si="25"/>
        <v>175</v>
      </c>
    </row>
    <row r="57" spans="1:58" ht="21" customHeight="1">
      <c r="A57" s="82">
        <f t="shared" si="26"/>
        <v>50</v>
      </c>
      <c r="B57" s="83">
        <f t="shared" si="27"/>
        <v>44228</v>
      </c>
      <c r="C57" s="84">
        <f>IFERROR(IF($B56="TOTAL","अक्षरें राशि :-",IF($B57="TOTAL",SUM($C$8:C56),IF(AR58="","",AR58))),"")</f>
        <v>52300</v>
      </c>
      <c r="D57" s="84">
        <f>IFERROR(IF($B57="TOTAL",SUM($D$8:D56),IF(AS58="","",AS58)),"")</f>
        <v>8891</v>
      </c>
      <c r="E57" s="84">
        <f>IFERROR(IF($B57="TOTAL",SUM($E$8:E56),IF(OR(B57=$AL$16,B57=$AL$17,B57=$AL$18,B57=$AL$19,B57=$AL$20,B57=$AL$21,B57=$AL$22,B57=$AL$23,B57=$AL$24),0,IF(AT58="","",AT58))),"")</f>
        <v>4184</v>
      </c>
      <c r="F57" s="84">
        <f t="shared" si="28"/>
        <v>65375</v>
      </c>
      <c r="G57" s="84">
        <f>IFERROR(IF($B57="TOTAL",SUM($G$8:G56),IF(AV58="","",AV58)),"")</f>
        <v>50800</v>
      </c>
      <c r="H57" s="84">
        <f>IFERROR(IF($B57="TOTAL",SUM($H$8:H56),IF(AW58="","",AW58)),"")</f>
        <v>8636</v>
      </c>
      <c r="I57" s="84">
        <f>IFERROR(IF($B57="TOTAL",SUM($I$8:I56),IF(OR(B57=$AL$16,B57=$AL$17,B57=$AL$18,B57=$AL$19,B57=$AL$20,B57=$AL$21,B57=$AL$22,B57=$AL$23,B57=$AL$24),0,IF(AX58="","",AX58))),"")</f>
        <v>4064</v>
      </c>
      <c r="J57" s="84">
        <f t="shared" si="8"/>
        <v>63500</v>
      </c>
      <c r="K57" s="84">
        <f>IFERROR(IF(B57="","",IF(C57="","",IF(G57="","",IF($B57="TOTAL",SUM($K$8:K56),SUM(C57-G57))))),"")</f>
        <v>1500</v>
      </c>
      <c r="L57" s="84">
        <f>IFERROR(IF(B57="","",IF(D57="","",IF(H57="","",IF($B57="TOTAL",SUM($L$8:L56),SUM(D57-H57))))),"")</f>
        <v>255</v>
      </c>
      <c r="M57" s="84">
        <f>IFERROR(IF(B57="","",IF(E57="","",IF(I57="","",IF($B57="TOTAL",SUM($M$8:M56),SUM(E57-I57))))),"")</f>
        <v>120</v>
      </c>
      <c r="N57" s="84">
        <f t="shared" si="9"/>
        <v>1875</v>
      </c>
      <c r="O57" s="84">
        <f>IFERROR(IF(B57="","",IF($B57="TOTAL",SUM($O$8:O56),IF($AN$18=$AN$20,AY58,ROUND((C57+D57)*10%,0)))),"")</f>
        <v>6119</v>
      </c>
      <c r="P57" s="84">
        <f>IFERROR(IF(B57="","",IF(G57="","",IF(H57="","",IF($B57="TOTAL",SUM($P$8:P56),IF($AN$18=$AN$20,$AN$21,ROUND((G57+H57)*10%,0)))))),"")</f>
        <v>5944</v>
      </c>
      <c r="Q57" s="84">
        <f t="shared" si="10"/>
        <v>175</v>
      </c>
      <c r="R57" s="85">
        <f>IFERROR(IF(B57="","",IF($AN$16=$AN$17,0,IF($B57="TOTAL",SUM($R$8:R56),IF($AN$19=$AN$31,0,IF(AND($AN$32=$AN$20,B57=$AN$33),$AN$34,R56))))),"")</f>
        <v>0</v>
      </c>
      <c r="S57" s="85">
        <f>IFERROR(IF(B57="","",IF($AN$16=$AN$17,0,IF($B57="TOTAL",SUM($S$8:S56),IF($AN$19=$AN$20,$AN$24,0)))),"")</f>
        <v>0</v>
      </c>
      <c r="T57" s="84">
        <f t="shared" si="11"/>
        <v>0</v>
      </c>
      <c r="U57" s="84" t="str">
        <f>IF(B57="","",IF($B57="TOTAL",SUM($U$8:U56),IF(AND($AN$2=$AN$20,B57=$AN$1),ROUND(C57/31*$AO$2,0),IF(B57=$AL$6,ROUND((F57)*1/30,0),IF(B57=$AM$6,ROUND((F57)*1/31,0),"")))))</f>
        <v/>
      </c>
      <c r="V57" s="84" t="str">
        <f>IF(B57="","",IF($B57="TOTAL",SUM($V$8:V56),IF(AND($AN$2=$AN$20,B57=$AN$1),ROUND(G57/31*$AO$2,0),IF(B57=$AL$6,ROUND((J57)*1/30,0),IF(B57=$AM$6,ROUND((J57)*1/31,0),"")))))</f>
        <v/>
      </c>
      <c r="W57" s="84" t="str">
        <f t="shared" si="12"/>
        <v/>
      </c>
      <c r="X57" s="84" t="str">
        <f>IFERROR(IF($B57="TOTAL",SUM($X$8:X56),IF(BD58="YES",BE58,"")),"")</f>
        <v/>
      </c>
      <c r="Y57" s="84">
        <f>IFERROR(IF(B57="","",IF($B57="TOTAL",SUM($Y$8:Y56),ROUND(N57*$AN$7%,0))),"")</f>
        <v>0</v>
      </c>
      <c r="Z57" s="84">
        <f>IFERROR(IF(B57="","",IF($B57="TOTAL",SUM($Z$8:Z56),SUM(Q57,T57,W57,X57,Y57))),"")</f>
        <v>175</v>
      </c>
      <c r="AA57" s="86">
        <f>IFERROR(IF(B57="","",IF($B57="TOTAL",SUM($AA$8:AA56),SUM(N57-Z57))),"")</f>
        <v>1700</v>
      </c>
      <c r="AJ57" s="112">
        <f t="shared" si="13"/>
        <v>17</v>
      </c>
      <c r="AK57" s="112">
        <f t="shared" si="14"/>
        <v>17</v>
      </c>
      <c r="AM57" s="114">
        <v>44197</v>
      </c>
      <c r="AO57" s="114">
        <f t="shared" si="32"/>
        <v>44197</v>
      </c>
      <c r="AP57" s="114">
        <f t="shared" si="16"/>
        <v>44197</v>
      </c>
      <c r="AQ57" s="114">
        <f t="shared" si="41"/>
        <v>44197</v>
      </c>
      <c r="AR57" s="113">
        <f t="shared" si="33"/>
        <v>52300</v>
      </c>
      <c r="AS57" s="113">
        <f t="shared" si="30"/>
        <v>8891</v>
      </c>
      <c r="AT57" s="113">
        <f t="shared" si="34"/>
        <v>4184</v>
      </c>
      <c r="AU57" s="113"/>
      <c r="AV57" s="113">
        <f t="shared" si="35"/>
        <v>50800</v>
      </c>
      <c r="AW57" s="113">
        <f t="shared" si="36"/>
        <v>8636</v>
      </c>
      <c r="AX57" s="113">
        <f t="shared" si="37"/>
        <v>4064</v>
      </c>
      <c r="AY57" s="113">
        <f t="shared" si="38"/>
        <v>3675</v>
      </c>
      <c r="BB57" s="148">
        <f t="shared" si="39"/>
        <v>1875</v>
      </c>
      <c r="BC57" s="113">
        <f t="shared" si="40"/>
        <v>3675</v>
      </c>
      <c r="BD57" s="113" t="str">
        <f t="shared" si="23"/>
        <v/>
      </c>
      <c r="BE57" s="113" t="str">
        <f t="shared" si="24"/>
        <v/>
      </c>
      <c r="BF57" s="113">
        <f t="shared" si="25"/>
        <v>175</v>
      </c>
    </row>
    <row r="58" spans="1:58" ht="21" customHeight="1">
      <c r="A58" s="82">
        <f t="shared" si="26"/>
        <v>51</v>
      </c>
      <c r="B58" s="83">
        <f t="shared" si="27"/>
        <v>44256</v>
      </c>
      <c r="C58" s="84">
        <f>IFERROR(IF($B57="TOTAL","अक्षरें राशि :-",IF($B58="TOTAL",SUM($C$8:C57),IF(AR59="","",AR59))),"")</f>
        <v>52300</v>
      </c>
      <c r="D58" s="84">
        <f>IFERROR(IF($B58="TOTAL",SUM($D$8:D57),IF(AS59="","",AS59)),"")</f>
        <v>8891</v>
      </c>
      <c r="E58" s="84">
        <f>IFERROR(IF($B58="TOTAL",SUM($E$8:E57),IF(OR(B58=$AL$16,B58=$AL$17,B58=$AL$18,B58=$AL$19,B58=$AL$20,B58=$AL$21,B58=$AL$22,B58=$AL$23,B58=$AL$24),0,IF(AT59="","",AT59))),"")</f>
        <v>4184</v>
      </c>
      <c r="F58" s="84">
        <f t="shared" si="28"/>
        <v>65375</v>
      </c>
      <c r="G58" s="84">
        <f>IFERROR(IF($B58="TOTAL",SUM($G$8:G57),IF(AV59="","",AV59)),"")</f>
        <v>50800</v>
      </c>
      <c r="H58" s="84">
        <f>IFERROR(IF($B58="TOTAL",SUM($H$8:H57),IF(AW59="","",AW59)),"")</f>
        <v>8636</v>
      </c>
      <c r="I58" s="84">
        <f>IFERROR(IF($B58="TOTAL",SUM($I$8:I57),IF(OR(B58=$AL$16,B58=$AL$17,B58=$AL$18,B58=$AL$19,B58=$AL$20,B58=$AL$21,B58=$AL$22,B58=$AL$23,B58=$AL$24),0,IF(AX59="","",AX59))),"")</f>
        <v>4064</v>
      </c>
      <c r="J58" s="84">
        <f t="shared" si="8"/>
        <v>63500</v>
      </c>
      <c r="K58" s="84">
        <f>IFERROR(IF(B58="","",IF(C58="","",IF(G58="","",IF($B58="TOTAL",SUM($K$8:K57),SUM(C58-G58))))),"")</f>
        <v>1500</v>
      </c>
      <c r="L58" s="84">
        <f>IFERROR(IF(B58="","",IF(D58="","",IF(H58="","",IF($B58="TOTAL",SUM($L$8:L57),SUM(D58-H58))))),"")</f>
        <v>255</v>
      </c>
      <c r="M58" s="84">
        <f>IFERROR(IF(B58="","",IF(E58="","",IF(I58="","",IF($B58="TOTAL",SUM($M$8:M57),SUM(E58-I58))))),"")</f>
        <v>120</v>
      </c>
      <c r="N58" s="84">
        <f t="shared" si="9"/>
        <v>1875</v>
      </c>
      <c r="O58" s="84">
        <f>IFERROR(IF(B58="","",IF($B58="TOTAL",SUM($O$8:O57),IF($AN$18=$AN$20,AY59,ROUND((C58+D58)*10%,0)))),"")</f>
        <v>6119</v>
      </c>
      <c r="P58" s="84">
        <f>IFERROR(IF(B58="","",IF(G58="","",IF(H58="","",IF($B58="TOTAL",SUM($P$8:P57),IF($AN$18=$AN$20,$AN$21,ROUND((G58+H58)*10%,0)))))),"")</f>
        <v>5944</v>
      </c>
      <c r="Q58" s="84">
        <f t="shared" si="10"/>
        <v>175</v>
      </c>
      <c r="R58" s="85">
        <f>IFERROR(IF(B58="","",IF($AN$16=$AN$17,0,IF($B58="TOTAL",SUM($R$8:R57),IF($AN$19=$AN$31,0,IF(AND($AN$32=$AN$20,B58=$AN$33),$AN$34,R57))))),"")</f>
        <v>0</v>
      </c>
      <c r="S58" s="85">
        <f>IFERROR(IF(B58="","",IF($AN$16=$AN$17,0,IF($B58="TOTAL",SUM($S$8:S57),IF($AN$19=$AN$20,$AN$24,0)))),"")</f>
        <v>0</v>
      </c>
      <c r="T58" s="84">
        <f t="shared" si="11"/>
        <v>0</v>
      </c>
      <c r="U58" s="84" t="str">
        <f>IF(B58="","",IF($B58="TOTAL",SUM($U$8:U57),IF(AND($AN$2=$AN$20,B58=$AN$1),ROUND(C58/31*$AO$2,0),IF(B58=$AL$6,ROUND((F58)*1/30,0),IF(B58=$AM$6,ROUND((F58)*1/31,0),"")))))</f>
        <v/>
      </c>
      <c r="V58" s="84" t="str">
        <f>IF(B58="","",IF($B58="TOTAL",SUM($V$8:V57),IF(AND($AN$2=$AN$20,B58=$AN$1),ROUND(G58/31*$AO$2,0),IF(B58=$AL$6,ROUND((J58)*1/30,0),IF(B58=$AM$6,ROUND((J58)*1/31,0),"")))))</f>
        <v/>
      </c>
      <c r="W58" s="84" t="str">
        <f t="shared" si="12"/>
        <v/>
      </c>
      <c r="X58" s="84" t="str">
        <f>IFERROR(IF($B58="TOTAL",SUM($X$8:X57),IF(BD59="YES",BE59,"")),"")</f>
        <v/>
      </c>
      <c r="Y58" s="84">
        <f>IFERROR(IF(B58="","",IF($B58="TOTAL",SUM($Y$8:Y57),ROUND(N58*$AN$7%,0))),"")</f>
        <v>0</v>
      </c>
      <c r="Z58" s="84">
        <f>IFERROR(IF(B58="","",IF($B58="TOTAL",SUM($Z$8:Z57),SUM(Q58,T58,W58,X58,Y58))),"")</f>
        <v>175</v>
      </c>
      <c r="AA58" s="86">
        <f>IFERROR(IF(B58="","",IF($B58="TOTAL",SUM($AA$8:AA57),SUM(N58-Z58))),"")</f>
        <v>1700</v>
      </c>
      <c r="AJ58" s="112">
        <f t="shared" si="13"/>
        <v>17</v>
      </c>
      <c r="AK58" s="112">
        <f t="shared" si="14"/>
        <v>17</v>
      </c>
      <c r="AM58" s="114">
        <v>44228</v>
      </c>
      <c r="AO58" s="114">
        <f t="shared" si="32"/>
        <v>44228</v>
      </c>
      <c r="AP58" s="114">
        <f t="shared" si="16"/>
        <v>44228</v>
      </c>
      <c r="AQ58" s="114">
        <f t="shared" si="41"/>
        <v>44228</v>
      </c>
      <c r="AR58" s="113">
        <f t="shared" si="33"/>
        <v>52300</v>
      </c>
      <c r="AS58" s="113">
        <f t="shared" si="30"/>
        <v>8891</v>
      </c>
      <c r="AT58" s="113">
        <f t="shared" si="34"/>
        <v>4184</v>
      </c>
      <c r="AU58" s="113"/>
      <c r="AV58" s="113">
        <f t="shared" si="35"/>
        <v>50800</v>
      </c>
      <c r="AW58" s="113">
        <f t="shared" si="36"/>
        <v>8636</v>
      </c>
      <c r="AX58" s="113">
        <f t="shared" si="37"/>
        <v>4064</v>
      </c>
      <c r="AY58" s="113">
        <f t="shared" si="38"/>
        <v>3675</v>
      </c>
      <c r="BB58" s="148">
        <f t="shared" si="39"/>
        <v>1875</v>
      </c>
      <c r="BC58" s="113">
        <f t="shared" si="40"/>
        <v>3675</v>
      </c>
      <c r="BD58" s="113" t="str">
        <f t="shared" si="23"/>
        <v/>
      </c>
      <c r="BE58" s="113" t="str">
        <f t="shared" si="24"/>
        <v/>
      </c>
      <c r="BF58" s="113">
        <f t="shared" si="25"/>
        <v>175</v>
      </c>
    </row>
    <row r="59" spans="1:58" ht="21" customHeight="1">
      <c r="A59" s="82">
        <f t="shared" si="26"/>
        <v>52</v>
      </c>
      <c r="B59" s="83">
        <f t="shared" si="27"/>
        <v>44287</v>
      </c>
      <c r="C59" s="84">
        <f>IFERROR(IF($B58="TOTAL","अक्षरें राशि :-",IF($B59="TOTAL",SUM($C$8:C58),IF(AR60="","",AR60))),"")</f>
        <v>52300</v>
      </c>
      <c r="D59" s="84">
        <f>IFERROR(IF($B59="TOTAL",SUM($D$8:D58),IF(AS60="","",AS60)),"")</f>
        <v>8891</v>
      </c>
      <c r="E59" s="84">
        <f>IFERROR(IF($B59="TOTAL",SUM($E$8:E58),IF(OR(B59=$AL$16,B59=$AL$17,B59=$AL$18,B59=$AL$19,B59=$AL$20,B59=$AL$21,B59=$AL$22,B59=$AL$23,B59=$AL$24),0,IF(AT60="","",AT60))),"")</f>
        <v>4184</v>
      </c>
      <c r="F59" s="84">
        <f t="shared" si="28"/>
        <v>65375</v>
      </c>
      <c r="G59" s="84">
        <f>IFERROR(IF($B59="TOTAL",SUM($G$8:G58),IF(AV60="","",AV60)),"")</f>
        <v>50800</v>
      </c>
      <c r="H59" s="84">
        <f>IFERROR(IF($B59="TOTAL",SUM($H$8:H58),IF(AW60="","",AW60)),"")</f>
        <v>8636</v>
      </c>
      <c r="I59" s="84">
        <f>IFERROR(IF($B59="TOTAL",SUM($I$8:I58),IF(OR(B59=$AL$16,B59=$AL$17,B59=$AL$18,B59=$AL$19,B59=$AL$20,B59=$AL$21,B59=$AL$22,B59=$AL$23,B59=$AL$24),0,IF(AX60="","",AX60))),"")</f>
        <v>4064</v>
      </c>
      <c r="J59" s="84">
        <f t="shared" si="8"/>
        <v>63500</v>
      </c>
      <c r="K59" s="84">
        <f>IFERROR(IF(B59="","",IF(C59="","",IF(G59="","",IF($B59="TOTAL",SUM($K$8:K58),SUM(C59-G59))))),"")</f>
        <v>1500</v>
      </c>
      <c r="L59" s="84">
        <f>IFERROR(IF(B59="","",IF(D59="","",IF(H59="","",IF($B59="TOTAL",SUM($L$8:L58),SUM(D59-H59))))),"")</f>
        <v>255</v>
      </c>
      <c r="M59" s="84">
        <f>IFERROR(IF(B59="","",IF(E59="","",IF(I59="","",IF($B59="TOTAL",SUM($M$8:M58),SUM(E59-I59))))),"")</f>
        <v>120</v>
      </c>
      <c r="N59" s="84">
        <f t="shared" si="9"/>
        <v>1875</v>
      </c>
      <c r="O59" s="84">
        <f>IFERROR(IF(B59="","",IF($B59="TOTAL",SUM($O$8:O58),IF($AN$18=$AN$20,AY60,ROUND((C59+D59)*10%,0)))),"")</f>
        <v>6119</v>
      </c>
      <c r="P59" s="84">
        <f>IFERROR(IF(B59="","",IF(G59="","",IF(H59="","",IF($B59="TOTAL",SUM($P$8:P58),IF($AN$18=$AN$20,$AN$21,ROUND((G59+H59)*10%,0)))))),"")</f>
        <v>5944</v>
      </c>
      <c r="Q59" s="84">
        <f t="shared" si="10"/>
        <v>175</v>
      </c>
      <c r="R59" s="85">
        <f>IFERROR(IF(B59="","",IF($AN$16=$AN$17,0,IF($B59="TOTAL",SUM($R$8:R58),IF($AN$19=$AN$31,0,IF(AND($AN$32=$AN$20,B59=$AN$33),$AN$34,R58))))),"")</f>
        <v>0</v>
      </c>
      <c r="S59" s="85">
        <f>IFERROR(IF(B59="","",IF($AN$16=$AN$17,0,IF($B59="TOTAL",SUM($S$8:S58),IF($AN$19=$AN$20,$AN$24,0)))),"")</f>
        <v>0</v>
      </c>
      <c r="T59" s="84">
        <f t="shared" si="11"/>
        <v>0</v>
      </c>
      <c r="U59" s="84" t="str">
        <f>IF(B59="","",IF($B59="TOTAL",SUM($U$8:U58),IF(AND($AN$2=$AN$20,B59=$AN$1),ROUND(C59/31*$AO$2,0),IF(B59=$AL$6,ROUND((F59)*1/30,0),IF(B59=$AM$6,ROUND((F59)*1/31,0),"")))))</f>
        <v/>
      </c>
      <c r="V59" s="84" t="str">
        <f>IF(B59="","",IF($B59="TOTAL",SUM($V$8:V58),IF(AND($AN$2=$AN$20,B59=$AN$1),ROUND(G59/31*$AO$2,0),IF(B59=$AL$6,ROUND((J59)*1/30,0),IF(B59=$AM$6,ROUND((J59)*1/31,0),"")))))</f>
        <v/>
      </c>
      <c r="W59" s="84" t="str">
        <f t="shared" si="12"/>
        <v/>
      </c>
      <c r="X59" s="84" t="str">
        <f>IFERROR(IF($B59="TOTAL",SUM($X$8:X58),IF(BD60="YES",BE60,"")),"")</f>
        <v/>
      </c>
      <c r="Y59" s="84">
        <f>IFERROR(IF(B59="","",IF($B59="TOTAL",SUM($Y$8:Y58),ROUND(N59*$AN$7%,0))),"")</f>
        <v>0</v>
      </c>
      <c r="Z59" s="84">
        <f>IFERROR(IF(B59="","",IF($B59="TOTAL",SUM($Z$8:Z58),SUM(Q59,T59,W59,X59,Y59))),"")</f>
        <v>175</v>
      </c>
      <c r="AA59" s="86">
        <f>IFERROR(IF(B59="","",IF($B59="TOTAL",SUM($AA$8:AA58),SUM(N59-Z59))),"")</f>
        <v>1700</v>
      </c>
      <c r="AJ59" s="112">
        <f t="shared" si="13"/>
        <v>17</v>
      </c>
      <c r="AK59" s="112">
        <f t="shared" si="14"/>
        <v>17</v>
      </c>
      <c r="AM59" s="114">
        <v>44256</v>
      </c>
      <c r="AO59" s="114">
        <f t="shared" si="32"/>
        <v>44256</v>
      </c>
      <c r="AP59" s="114">
        <f t="shared" si="16"/>
        <v>44256</v>
      </c>
      <c r="AQ59" s="114">
        <f t="shared" si="41"/>
        <v>44256</v>
      </c>
      <c r="AR59" s="113">
        <f t="shared" si="33"/>
        <v>52300</v>
      </c>
      <c r="AS59" s="113">
        <f t="shared" si="30"/>
        <v>8891</v>
      </c>
      <c r="AT59" s="113">
        <f t="shared" si="34"/>
        <v>4184</v>
      </c>
      <c r="AU59" s="113"/>
      <c r="AV59" s="113">
        <f t="shared" si="35"/>
        <v>50800</v>
      </c>
      <c r="AW59" s="113">
        <f t="shared" si="36"/>
        <v>8636</v>
      </c>
      <c r="AX59" s="113">
        <f t="shared" si="37"/>
        <v>4064</v>
      </c>
      <c r="AY59" s="113">
        <f t="shared" si="38"/>
        <v>3675</v>
      </c>
      <c r="BB59" s="148">
        <f t="shared" si="39"/>
        <v>1875</v>
      </c>
      <c r="BC59" s="113">
        <f t="shared" si="40"/>
        <v>3675</v>
      </c>
      <c r="BD59" s="113" t="str">
        <f t="shared" si="23"/>
        <v/>
      </c>
      <c r="BE59" s="113" t="str">
        <f t="shared" si="24"/>
        <v/>
      </c>
      <c r="BF59" s="113">
        <f t="shared" si="25"/>
        <v>175</v>
      </c>
    </row>
    <row r="60" spans="1:58" ht="21" customHeight="1">
      <c r="A60" s="82">
        <f t="shared" si="26"/>
        <v>53</v>
      </c>
      <c r="B60" s="83">
        <f t="shared" si="27"/>
        <v>44317</v>
      </c>
      <c r="C60" s="84">
        <f>IFERROR(IF($B59="TOTAL","अक्षरें राशि :-",IF($B60="TOTAL",SUM($C$8:C59),IF(AR61="","",AR61))),"")</f>
        <v>52300</v>
      </c>
      <c r="D60" s="84">
        <f>IFERROR(IF($B60="TOTAL",SUM($D$8:D59),IF(AS61="","",AS61)),"")</f>
        <v>8891</v>
      </c>
      <c r="E60" s="84">
        <f>IFERROR(IF($B60="TOTAL",SUM($E$8:E59),IF(OR(B60=$AL$16,B60=$AL$17,B60=$AL$18,B60=$AL$19,B60=$AL$20,B60=$AL$21,B60=$AL$22,B60=$AL$23,B60=$AL$24),0,IF(AT61="","",AT61))),"")</f>
        <v>4184</v>
      </c>
      <c r="F60" s="84">
        <f t="shared" si="28"/>
        <v>65375</v>
      </c>
      <c r="G60" s="84">
        <f>IFERROR(IF($B60="TOTAL",SUM($G$8:G59),IF(AV61="","",AV61)),"")</f>
        <v>50800</v>
      </c>
      <c r="H60" s="84">
        <f>IFERROR(IF($B60="TOTAL",SUM($H$8:H59),IF(AW61="","",AW61)),"")</f>
        <v>8636</v>
      </c>
      <c r="I60" s="84">
        <f>IFERROR(IF($B60="TOTAL",SUM($I$8:I59),IF(OR(B60=$AL$16,B60=$AL$17,B60=$AL$18,B60=$AL$19,B60=$AL$20,B60=$AL$21,B60=$AL$22,B60=$AL$23,B60=$AL$24),0,IF(AX61="","",AX61))),"")</f>
        <v>4064</v>
      </c>
      <c r="J60" s="84">
        <f t="shared" si="8"/>
        <v>63500</v>
      </c>
      <c r="K60" s="84">
        <f>IFERROR(IF(B60="","",IF(C60="","",IF(G60="","",IF($B60="TOTAL",SUM($K$8:K59),SUM(C60-G60))))),"")</f>
        <v>1500</v>
      </c>
      <c r="L60" s="84">
        <f>IFERROR(IF(B60="","",IF(D60="","",IF(H60="","",IF($B60="TOTAL",SUM($L$8:L59),SUM(D60-H60))))),"")</f>
        <v>255</v>
      </c>
      <c r="M60" s="84">
        <f>IFERROR(IF(B60="","",IF(E60="","",IF(I60="","",IF($B60="TOTAL",SUM($M$8:M59),SUM(E60-I60))))),"")</f>
        <v>120</v>
      </c>
      <c r="N60" s="84">
        <f t="shared" si="9"/>
        <v>1875</v>
      </c>
      <c r="O60" s="84">
        <f>IFERROR(IF(B60="","",IF($B60="TOTAL",SUM($O$8:O59),IF($AN$18=$AN$20,AY61,ROUND((C60+D60)*10%,0)))),"")</f>
        <v>6119</v>
      </c>
      <c r="P60" s="84">
        <f>IFERROR(IF(B60="","",IF(G60="","",IF(H60="","",IF($B60="TOTAL",SUM($P$8:P59),IF($AN$18=$AN$20,$AN$21,ROUND((G60+H60)*10%,0)))))),"")</f>
        <v>5944</v>
      </c>
      <c r="Q60" s="84">
        <f t="shared" si="10"/>
        <v>175</v>
      </c>
      <c r="R60" s="85">
        <f>IFERROR(IF(B60="","",IF($AN$16=$AN$17,0,IF($B60="TOTAL",SUM($R$8:R59),IF($AN$19=$AN$31,0,IF(AND($AN$32=$AN$20,B60=$AN$33),$AN$34,R59))))),"")</f>
        <v>0</v>
      </c>
      <c r="S60" s="85">
        <f>IFERROR(IF(B60="","",IF($AN$16=$AN$17,0,IF($B60="TOTAL",SUM($S$8:S59),IF($AN$19=$AN$20,$AN$24,0)))),"")</f>
        <v>0</v>
      </c>
      <c r="T60" s="84">
        <f t="shared" si="11"/>
        <v>0</v>
      </c>
      <c r="U60" s="84" t="str">
        <f>IF(B60="","",IF($B60="TOTAL",SUM($U$8:U59),IF(AND($AN$2=$AN$20,B60=$AN$1),ROUND(C60/31*$AO$2,0),IF(B60=$AL$6,ROUND((F60)*1/30,0),IF(B60=$AM$6,ROUND((F60)*1/31,0),"")))))</f>
        <v/>
      </c>
      <c r="V60" s="84" t="str">
        <f>IF(B60="","",IF($B60="TOTAL",SUM($V$8:V59),IF(AND($AN$2=$AN$20,B60=$AN$1),ROUND(G60/31*$AO$2,0),IF(B60=$AL$6,ROUND((J60)*1/30,0),IF(B60=$AM$6,ROUND((J60)*1/31,0),"")))))</f>
        <v/>
      </c>
      <c r="W60" s="84" t="str">
        <f t="shared" si="12"/>
        <v/>
      </c>
      <c r="X60" s="84" t="str">
        <f>IFERROR(IF($B60="TOTAL",SUM($X$8:X59),IF(BD61="YES",BE61,"")),"")</f>
        <v/>
      </c>
      <c r="Y60" s="84">
        <f>IFERROR(IF(B60="","",IF($B60="TOTAL",SUM($Y$8:Y59),ROUND(N60*$AN$7%,0))),"")</f>
        <v>0</v>
      </c>
      <c r="Z60" s="84">
        <f>IFERROR(IF(B60="","",IF($B60="TOTAL",SUM($Z$8:Z59),SUM(Q60,T60,W60,X60,Y60))),"")</f>
        <v>175</v>
      </c>
      <c r="AA60" s="86">
        <f>IFERROR(IF(B60="","",IF($B60="TOTAL",SUM($AA$8:AA59),SUM(N60-Z60))),"")</f>
        <v>1700</v>
      </c>
      <c r="AJ60" s="112">
        <f t="shared" si="13"/>
        <v>17</v>
      </c>
      <c r="AK60" s="112">
        <f t="shared" si="14"/>
        <v>17</v>
      </c>
      <c r="AM60" s="114">
        <v>44287</v>
      </c>
      <c r="AO60" s="114">
        <f t="shared" si="32"/>
        <v>44287</v>
      </c>
      <c r="AP60" s="114">
        <f t="shared" si="16"/>
        <v>44287</v>
      </c>
      <c r="AQ60" s="114">
        <f t="shared" si="41"/>
        <v>44287</v>
      </c>
      <c r="AR60" s="113">
        <f t="shared" si="33"/>
        <v>52300</v>
      </c>
      <c r="AS60" s="113">
        <f t="shared" si="30"/>
        <v>8891</v>
      </c>
      <c r="AT60" s="113">
        <f t="shared" si="34"/>
        <v>4184</v>
      </c>
      <c r="AU60" s="113"/>
      <c r="AV60" s="113">
        <f t="shared" si="35"/>
        <v>50800</v>
      </c>
      <c r="AW60" s="113">
        <f t="shared" si="36"/>
        <v>8636</v>
      </c>
      <c r="AX60" s="113">
        <f t="shared" si="37"/>
        <v>4064</v>
      </c>
      <c r="AY60" s="113">
        <f t="shared" si="38"/>
        <v>3675</v>
      </c>
      <c r="BB60" s="148">
        <f t="shared" si="39"/>
        <v>1875</v>
      </c>
      <c r="BC60" s="113">
        <f t="shared" si="40"/>
        <v>3675</v>
      </c>
      <c r="BD60" s="113" t="str">
        <f t="shared" si="23"/>
        <v/>
      </c>
      <c r="BE60" s="113" t="str">
        <f t="shared" si="24"/>
        <v/>
      </c>
      <c r="BF60" s="113">
        <f t="shared" si="25"/>
        <v>175</v>
      </c>
    </row>
    <row r="61" spans="1:58" ht="21" customHeight="1">
      <c r="A61" s="82">
        <f t="shared" si="26"/>
        <v>54</v>
      </c>
      <c r="B61" s="83">
        <f t="shared" si="27"/>
        <v>44348</v>
      </c>
      <c r="C61" s="84">
        <f>IFERROR(IF($B60="TOTAL","अक्षरें राशि :-",IF($B61="TOTAL",SUM($C$8:C60),IF(AR62="","",AR62))),"")</f>
        <v>52300</v>
      </c>
      <c r="D61" s="84">
        <f>IFERROR(IF($B61="TOTAL",SUM($D$8:D60),IF(AS62="","",AS62)),"")</f>
        <v>8891</v>
      </c>
      <c r="E61" s="84">
        <f>IFERROR(IF($B61="TOTAL",SUM($E$8:E60),IF(OR(B61=$AL$16,B61=$AL$17,B61=$AL$18,B61=$AL$19,B61=$AL$20,B61=$AL$21,B61=$AL$22,B61=$AL$23,B61=$AL$24),0,IF(AT62="","",AT62))),"")</f>
        <v>4184</v>
      </c>
      <c r="F61" s="84">
        <f t="shared" si="28"/>
        <v>65375</v>
      </c>
      <c r="G61" s="84">
        <f>IFERROR(IF($B61="TOTAL",SUM($G$8:G60),IF(AV62="","",AV62)),"")</f>
        <v>50800</v>
      </c>
      <c r="H61" s="84">
        <f>IFERROR(IF($B61="TOTAL",SUM($H$8:H60),IF(AW62="","",AW62)),"")</f>
        <v>8636</v>
      </c>
      <c r="I61" s="84">
        <f>IFERROR(IF($B61="TOTAL",SUM($I$8:I60),IF(OR(B61=$AL$16,B61=$AL$17,B61=$AL$18,B61=$AL$19,B61=$AL$20,B61=$AL$21,B61=$AL$22,B61=$AL$23,B61=$AL$24),0,IF(AX62="","",AX62))),"")</f>
        <v>4064</v>
      </c>
      <c r="J61" s="84">
        <f t="shared" si="8"/>
        <v>63500</v>
      </c>
      <c r="K61" s="84">
        <f>IFERROR(IF(B61="","",IF(C61="","",IF(G61="","",IF($B61="TOTAL",SUM($K$8:K60),SUM(C61-G61))))),"")</f>
        <v>1500</v>
      </c>
      <c r="L61" s="84">
        <f>IFERROR(IF(B61="","",IF(D61="","",IF(H61="","",IF($B61="TOTAL",SUM($L$8:L60),SUM(D61-H61))))),"")</f>
        <v>255</v>
      </c>
      <c r="M61" s="84">
        <f>IFERROR(IF(B61="","",IF(E61="","",IF(I61="","",IF($B61="TOTAL",SUM($M$8:M60),SUM(E61-I61))))),"")</f>
        <v>120</v>
      </c>
      <c r="N61" s="84">
        <f t="shared" si="9"/>
        <v>1875</v>
      </c>
      <c r="O61" s="84">
        <f>IFERROR(IF(B61="","",IF($B61="TOTAL",SUM($O$8:O60),IF($AN$18=$AN$20,AY62,ROUND((C61+D61)*10%,0)))),"")</f>
        <v>6119</v>
      </c>
      <c r="P61" s="84">
        <f>IFERROR(IF(B61="","",IF(G61="","",IF(H61="","",IF($B61="TOTAL",SUM($P$8:P60),IF($AN$18=$AN$20,$AN$21,ROUND((G61+H61)*10%,0)))))),"")</f>
        <v>5944</v>
      </c>
      <c r="Q61" s="84">
        <f t="shared" si="10"/>
        <v>175</v>
      </c>
      <c r="R61" s="85">
        <f>IFERROR(IF(B61="","",IF($AN$16=$AN$17,0,IF($B61="TOTAL",SUM($R$8:R60),IF($AN$19=$AN$31,0,IF(AND($AN$32=$AN$20,B61=$AN$33),$AN$34,R60))))),"")</f>
        <v>0</v>
      </c>
      <c r="S61" s="85">
        <f>IFERROR(IF(B61="","",IF($AN$16=$AN$17,0,IF($B61="TOTAL",SUM($S$8:S60),IF($AN$19=$AN$20,$AN$24,0)))),"")</f>
        <v>0</v>
      </c>
      <c r="T61" s="84">
        <f t="shared" si="11"/>
        <v>0</v>
      </c>
      <c r="U61" s="84" t="str">
        <f>IF(B61="","",IF($B61="TOTAL",SUM($U$8:U60),IF(AND($AN$2=$AN$20,B61=$AN$1),ROUND(C61/31*$AO$2,0),IF(B61=$AL$6,ROUND((F61)*1/30,0),IF(B61=$AM$6,ROUND((F61)*1/31,0),"")))))</f>
        <v/>
      </c>
      <c r="V61" s="84" t="str">
        <f>IF(B61="","",IF($B61="TOTAL",SUM($V$8:V60),IF(AND($AN$2=$AN$20,B61=$AN$1),ROUND(G61/31*$AO$2,0),IF(B61=$AL$6,ROUND((J61)*1/30,0),IF(B61=$AM$6,ROUND((J61)*1/31,0),"")))))</f>
        <v/>
      </c>
      <c r="W61" s="84" t="str">
        <f t="shared" si="12"/>
        <v/>
      </c>
      <c r="X61" s="84" t="str">
        <f>IFERROR(IF($B61="TOTAL",SUM($X$8:X60),IF(BD62="YES",BE62,"")),"")</f>
        <v/>
      </c>
      <c r="Y61" s="84">
        <f>IFERROR(IF(B61="","",IF($B61="TOTAL",SUM($Y$8:Y60),ROUND(N61*$AN$7%,0))),"")</f>
        <v>0</v>
      </c>
      <c r="Z61" s="84">
        <f>IFERROR(IF(B61="","",IF($B61="TOTAL",SUM($Z$8:Z60),SUM(Q61,T61,W61,X61,Y61))),"")</f>
        <v>175</v>
      </c>
      <c r="AA61" s="86">
        <f>IFERROR(IF(B61="","",IF($B61="TOTAL",SUM($AA$8:AA60),SUM(N61-Z61))),"")</f>
        <v>1700</v>
      </c>
      <c r="AJ61" s="112">
        <f t="shared" si="13"/>
        <v>17</v>
      </c>
      <c r="AK61" s="112">
        <f t="shared" si="14"/>
        <v>17</v>
      </c>
      <c r="AM61" s="114">
        <v>44317</v>
      </c>
      <c r="AO61" s="114">
        <f t="shared" si="32"/>
        <v>44317</v>
      </c>
      <c r="AP61" s="114">
        <f t="shared" si="16"/>
        <v>44317</v>
      </c>
      <c r="AQ61" s="114">
        <f t="shared" si="41"/>
        <v>44317</v>
      </c>
      <c r="AR61" s="113">
        <f t="shared" si="33"/>
        <v>52300</v>
      </c>
      <c r="AS61" s="113">
        <f t="shared" si="30"/>
        <v>8891</v>
      </c>
      <c r="AT61" s="113">
        <f t="shared" si="34"/>
        <v>4184</v>
      </c>
      <c r="AU61" s="113"/>
      <c r="AV61" s="113">
        <f t="shared" si="35"/>
        <v>50800</v>
      </c>
      <c r="AW61" s="113">
        <f t="shared" si="36"/>
        <v>8636</v>
      </c>
      <c r="AX61" s="113">
        <f t="shared" si="37"/>
        <v>4064</v>
      </c>
      <c r="AY61" s="113">
        <f t="shared" si="38"/>
        <v>3675</v>
      </c>
      <c r="BB61" s="148">
        <f t="shared" si="39"/>
        <v>1875</v>
      </c>
      <c r="BC61" s="113">
        <f t="shared" si="40"/>
        <v>3675</v>
      </c>
      <c r="BD61" s="113" t="str">
        <f t="shared" si="23"/>
        <v/>
      </c>
      <c r="BE61" s="113" t="str">
        <f t="shared" si="24"/>
        <v/>
      </c>
      <c r="BF61" s="113">
        <f t="shared" si="25"/>
        <v>175</v>
      </c>
    </row>
    <row r="62" spans="1:58" ht="21" customHeight="1">
      <c r="A62" s="82">
        <f t="shared" si="26"/>
        <v>55</v>
      </c>
      <c r="B62" s="83">
        <f t="shared" si="27"/>
        <v>44378</v>
      </c>
      <c r="C62" s="84">
        <f>IFERROR(IF($B61="TOTAL","अक्षरें राशि :-",IF($B62="TOTAL",SUM($C$8:C61),IF(AR63="","",AR63))),"")</f>
        <v>53900</v>
      </c>
      <c r="D62" s="84">
        <f>IFERROR(IF($B62="TOTAL",SUM($D$8:D61),IF(AS63="","",AS63)),"")</f>
        <v>16709</v>
      </c>
      <c r="E62" s="84">
        <f>IFERROR(IF($B62="TOTAL",SUM($E$8:E61),IF(OR(B62=$AL$16,B62=$AL$17,B62=$AL$18,B62=$AL$19,B62=$AL$20,B62=$AL$21,B62=$AL$22,B62=$AL$23,B62=$AL$24),0,IF(AT63="","",AT63))),"")</f>
        <v>4851</v>
      </c>
      <c r="F62" s="84">
        <f t="shared" si="28"/>
        <v>75460</v>
      </c>
      <c r="G62" s="84">
        <f>IFERROR(IF($B62="TOTAL",SUM($G$8:G61),IF(AV63="","",AV63)),"")</f>
        <v>52300</v>
      </c>
      <c r="H62" s="84">
        <f>IFERROR(IF($B62="TOTAL",SUM($H$8:H61),IF(AW63="","",AW63)),"")</f>
        <v>14644</v>
      </c>
      <c r="I62" s="84">
        <f>IFERROR(IF($B62="TOTAL",SUM($I$8:I61),IF(OR(B62=$AL$16,B62=$AL$17,B62=$AL$18,B62=$AL$19,B62=$AL$20,B62=$AL$21,B62=$AL$22,B62=$AL$23,B62=$AL$24),0,IF(AX63="","",AX63))),"")</f>
        <v>4707</v>
      </c>
      <c r="J62" s="84">
        <f t="shared" si="8"/>
        <v>71651</v>
      </c>
      <c r="K62" s="84">
        <f>IFERROR(IF(B62="","",IF(C62="","",IF(G62="","",IF($B62="TOTAL",SUM($K$8:K61),SUM(C62-G62))))),"")</f>
        <v>1600</v>
      </c>
      <c r="L62" s="84">
        <f>IFERROR(IF(B62="","",IF(D62="","",IF(H62="","",IF($B62="TOTAL",SUM($L$8:L61),SUM(D62-H62))))),"")</f>
        <v>2065</v>
      </c>
      <c r="M62" s="84">
        <f>IFERROR(IF(B62="","",IF(E62="","",IF(I62="","",IF($B62="TOTAL",SUM($M$8:M61),SUM(E62-I62))))),"")</f>
        <v>144</v>
      </c>
      <c r="N62" s="84">
        <f t="shared" si="9"/>
        <v>3809</v>
      </c>
      <c r="O62" s="84">
        <f>IFERROR(IF(B62="","",IF($B62="TOTAL",SUM($O$8:O61),IF($AN$18=$AN$20,AY63,ROUND((C62+D62)*10%,0)))),"")</f>
        <v>7061</v>
      </c>
      <c r="P62" s="84">
        <f>IFERROR(IF(B62="","",IF(G62="","",IF(H62="","",IF($B62="TOTAL",SUM($P$8:P61),IF($AN$18=$AN$20,$AN$21,ROUND((G62+H62)*10%,0)))))),"")</f>
        <v>6694</v>
      </c>
      <c r="Q62" s="84">
        <f t="shared" si="10"/>
        <v>367</v>
      </c>
      <c r="R62" s="85">
        <f>IFERROR(IF(B62="","",IF($AN$16=$AN$17,0,IF($B62="TOTAL",SUM($R$8:R61),IF($AN$19=$AN$31,0,IF(AND($AN$32=$AN$20,B62=$AN$33),$AN$34,R61))))),"")</f>
        <v>0</v>
      </c>
      <c r="S62" s="85">
        <f>IFERROR(IF(B62="","",IF($AN$16=$AN$17,0,IF($B62="TOTAL",SUM($S$8:S61),IF($AN$19=$AN$20,$AN$24,0)))),"")</f>
        <v>0</v>
      </c>
      <c r="T62" s="84">
        <f t="shared" si="11"/>
        <v>0</v>
      </c>
      <c r="U62" s="84" t="str">
        <f>IF(B62="","",IF($B62="TOTAL",SUM($U$8:U61),IF(AND($AN$2=$AN$20,B62=$AN$1),ROUND(C62/31*$AO$2,0),IF(B62=$AL$6,ROUND((F62)*1/30,0),IF(B62=$AM$6,ROUND((F62)*1/31,0),"")))))</f>
        <v/>
      </c>
      <c r="V62" s="84" t="str">
        <f>IF(B62="","",IF($B62="TOTAL",SUM($V$8:V61),IF(AND($AN$2=$AN$20,B62=$AN$1),ROUND(G62/31*$AO$2,0),IF(B62=$AL$6,ROUND((J62)*1/30,0),IF(B62=$AM$6,ROUND((J62)*1/31,0),"")))))</f>
        <v/>
      </c>
      <c r="W62" s="84" t="str">
        <f t="shared" si="12"/>
        <v/>
      </c>
      <c r="X62" s="84">
        <f>IFERROR(IF($B62="TOTAL",SUM($X$8:X61),IF(BD63="YES",BE63,"")),"")</f>
        <v>1250</v>
      </c>
      <c r="Y62" s="84">
        <f>IFERROR(IF(B62="","",IF($B62="TOTAL",SUM($Y$8:Y61),ROUND(N62*$AN$7%,0))),"")</f>
        <v>0</v>
      </c>
      <c r="Z62" s="84">
        <f>IFERROR(IF(B62="","",IF($B62="TOTAL",SUM($Z$8:Z61),SUM(Q62,T62,W62,X62,Y62))),"")</f>
        <v>1617</v>
      </c>
      <c r="AA62" s="86">
        <f>IFERROR(IF(B62="","",IF($B62="TOTAL",SUM($AA$8:AA61),SUM(N62-Z62))),"")</f>
        <v>2192</v>
      </c>
      <c r="AJ62" s="112">
        <f t="shared" si="13"/>
        <v>17</v>
      </c>
      <c r="AK62" s="112">
        <f t="shared" si="14"/>
        <v>17</v>
      </c>
      <c r="AM62" s="114">
        <v>44348</v>
      </c>
      <c r="AO62" s="114">
        <f t="shared" si="32"/>
        <v>44348</v>
      </c>
      <c r="AP62" s="114">
        <f t="shared" si="16"/>
        <v>44348</v>
      </c>
      <c r="AQ62" s="114">
        <f t="shared" si="41"/>
        <v>44348</v>
      </c>
      <c r="AR62" s="113">
        <f t="shared" si="33"/>
        <v>52300</v>
      </c>
      <c r="AS62" s="113">
        <f t="shared" si="30"/>
        <v>8891</v>
      </c>
      <c r="AT62" s="113">
        <f t="shared" si="34"/>
        <v>4184</v>
      </c>
      <c r="AU62" s="113"/>
      <c r="AV62" s="113">
        <f t="shared" si="35"/>
        <v>50800</v>
      </c>
      <c r="AW62" s="113">
        <f t="shared" si="36"/>
        <v>8636</v>
      </c>
      <c r="AX62" s="113">
        <f t="shared" si="37"/>
        <v>4064</v>
      </c>
      <c r="AY62" s="113">
        <f t="shared" si="38"/>
        <v>3675</v>
      </c>
      <c r="BB62" s="148">
        <f t="shared" si="39"/>
        <v>1875</v>
      </c>
      <c r="BC62" s="113">
        <f t="shared" si="40"/>
        <v>3675</v>
      </c>
      <c r="BD62" s="113" t="str">
        <f t="shared" si="23"/>
        <v/>
      </c>
      <c r="BE62" s="113" t="str">
        <f t="shared" si="24"/>
        <v/>
      </c>
      <c r="BF62" s="113">
        <f t="shared" si="25"/>
        <v>175</v>
      </c>
    </row>
    <row r="63" spans="1:58" ht="21" customHeight="1">
      <c r="A63" s="82">
        <f t="shared" si="26"/>
        <v>56</v>
      </c>
      <c r="B63" s="83">
        <f t="shared" si="27"/>
        <v>44409</v>
      </c>
      <c r="C63" s="84">
        <f>IFERROR(IF($B62="TOTAL","अक्षरें राशि :-",IF($B63="TOTAL",SUM($C$8:C62),IF(AR64="","",AR64))),"")</f>
        <v>53900</v>
      </c>
      <c r="D63" s="84">
        <f>IFERROR(IF($B63="TOTAL",SUM($D$8:D62),IF(AS64="","",AS64)),"")</f>
        <v>16709</v>
      </c>
      <c r="E63" s="84">
        <f>IFERROR(IF($B63="TOTAL",SUM($E$8:E62),IF(OR(B63=$AL$16,B63=$AL$17,B63=$AL$18,B63=$AL$19,B63=$AL$20,B63=$AL$21,B63=$AL$22,B63=$AL$23,B63=$AL$24),0,IF(AT64="","",AT64))),"")</f>
        <v>4851</v>
      </c>
      <c r="F63" s="84">
        <f t="shared" si="28"/>
        <v>75460</v>
      </c>
      <c r="G63" s="84">
        <f>IFERROR(IF($B63="TOTAL",SUM($G$8:G62),IF(AV64="","",AV64)),"")</f>
        <v>52300</v>
      </c>
      <c r="H63" s="84">
        <f>IFERROR(IF($B63="TOTAL",SUM($H$8:H62),IF(AW64="","",AW64)),"")</f>
        <v>14644</v>
      </c>
      <c r="I63" s="84">
        <f>IFERROR(IF($B63="TOTAL",SUM($I$8:I62),IF(OR(B63=$AL$16,B63=$AL$17,B63=$AL$18,B63=$AL$19,B63=$AL$20,B63=$AL$21,B63=$AL$22,B63=$AL$23,B63=$AL$24),0,IF(AX64="","",AX64))),"")</f>
        <v>4707</v>
      </c>
      <c r="J63" s="84">
        <f t="shared" si="8"/>
        <v>71651</v>
      </c>
      <c r="K63" s="84">
        <f>IFERROR(IF(B63="","",IF(C63="","",IF(G63="","",IF($B63="TOTAL",SUM($K$8:K62),SUM(C63-G63))))),"")</f>
        <v>1600</v>
      </c>
      <c r="L63" s="84">
        <f>IFERROR(IF(B63="","",IF(D63="","",IF(H63="","",IF($B63="TOTAL",SUM($L$8:L62),SUM(D63-H63))))),"")</f>
        <v>2065</v>
      </c>
      <c r="M63" s="84">
        <f>IFERROR(IF(B63="","",IF(E63="","",IF(I63="","",IF($B63="TOTAL",SUM($M$8:M62),SUM(E63-I63))))),"")</f>
        <v>144</v>
      </c>
      <c r="N63" s="84">
        <f t="shared" si="9"/>
        <v>3809</v>
      </c>
      <c r="O63" s="84">
        <f>IFERROR(IF(B63="","",IF($B63="TOTAL",SUM($O$8:O62),IF($AN$18=$AN$20,AY64,ROUND((C63+D63)*10%,0)))),"")</f>
        <v>7061</v>
      </c>
      <c r="P63" s="84">
        <f>IFERROR(IF(B63="","",IF(G63="","",IF(H63="","",IF($B63="TOTAL",SUM($P$8:P62),IF($AN$18=$AN$20,$AN$21,ROUND((G63+H63)*10%,0)))))),"")</f>
        <v>6694</v>
      </c>
      <c r="Q63" s="84">
        <f t="shared" si="10"/>
        <v>367</v>
      </c>
      <c r="R63" s="85">
        <f>IFERROR(IF(B63="","",IF($AN$16=$AN$17,0,IF($B63="TOTAL",SUM($R$8:R62),IF($AN$19=$AN$31,0,IF(AND($AN$32=$AN$20,B63=$AN$33),$AN$34,R62))))),"")</f>
        <v>0</v>
      </c>
      <c r="S63" s="85">
        <f>IFERROR(IF(B63="","",IF($AN$16=$AN$17,0,IF($B63="TOTAL",SUM($S$8:S62),IF($AN$19=$AN$20,$AN$24,0)))),"")</f>
        <v>0</v>
      </c>
      <c r="T63" s="84">
        <f t="shared" si="11"/>
        <v>0</v>
      </c>
      <c r="U63" s="84" t="str">
        <f>IF(B63="","",IF($B63="TOTAL",SUM($U$8:U62),IF(AND($AN$2=$AN$20,B63=$AN$1),ROUND(C63/31*$AO$2,0),IF(B63=$AL$6,ROUND((F63)*1/30,0),IF(B63=$AM$6,ROUND((F63)*1/31,0),"")))))</f>
        <v/>
      </c>
      <c r="V63" s="84" t="str">
        <f>IF(B63="","",IF($B63="TOTAL",SUM($V$8:V62),IF(AND($AN$2=$AN$20,B63=$AN$1),ROUND(G63/31*$AO$2,0),IF(B63=$AL$6,ROUND((J63)*1/30,0),IF(B63=$AM$6,ROUND((J63)*1/31,0),"")))))</f>
        <v/>
      </c>
      <c r="W63" s="84" t="str">
        <f t="shared" si="12"/>
        <v/>
      </c>
      <c r="X63" s="84">
        <f>IFERROR(IF($B63="TOTAL",SUM($X$8:X62),IF(BD64="YES",BE64,"")),"")</f>
        <v>1250</v>
      </c>
      <c r="Y63" s="84">
        <f>IFERROR(IF(B63="","",IF($B63="TOTAL",SUM($Y$8:Y62),ROUND(N63*$AN$7%,0))),"")</f>
        <v>0</v>
      </c>
      <c r="Z63" s="84">
        <f>IFERROR(IF(B63="","",IF($B63="TOTAL",SUM($Z$8:Z62),SUM(Q63,T63,W63,X63,Y63))),"")</f>
        <v>1617</v>
      </c>
      <c r="AA63" s="86">
        <f>IFERROR(IF(B63="","",IF($B63="TOTAL",SUM($AA$8:AA62),SUM(N63-Z63))),"")</f>
        <v>2192</v>
      </c>
      <c r="AJ63" s="112">
        <f t="shared" si="13"/>
        <v>31</v>
      </c>
      <c r="AK63" s="112">
        <f>IF(OR(AQ63=$AM$9,AQ63=$AM$10,AQ63=$AM$11,AQ63=$AM$12,AQ63=$AM$13,AQ63=$AM$14),4,IF(OR(AQ63=$AM$15,AQ63=$AM$16,AQ63=$AM$17,AQ63=$AM$18,AQ63=$AM$19,AQ63=$AM$20),5,IF(OR(AQ63=$AM$21,AQ63=$AM$22,AQ63=$AM$23,AQ63=$AM$24,AQ63=$AM$25,AQ63=$AM$26),7,IF(OR(AQ63=$AM$27,AQ63=$AM$28,AQ63=$AM$29,AQ63=$AM$30,AQ63=$AM$31,AQ63=$AM$32),9,IF(OR(AQ63=$AM$33,AQ63=$AM$34,AQ63=$AM$35,AQ63=$AM$36,AQ63=$AM$37,AQ63=$AM$38),12,IF(OR(AQ63=$AM$39,AQ63=$AM$40,AQ63=$AM$41,AQ63=$AM$42,AQ63=$AM$43,AQ63=$AM$44,AQ63=$AM$45,AQ63=$AM$46,AQ63=$AM$47,AQ63=$AM$48,AQ63=$AM$49,AQ63=$AM$50,AQ63=$AM$51,AQ63=$AM$52,AQ63=$AM$53,AQ63=$AM$54,AQ63=$AM$55,AQ63=$AM$56,AQ63=$AM$57,AQ63=$AM$58,AQ63=$AM$59,AQ63=$AM$60,AQ63=$AM$61,AQ63=$AM$62),17,IF(OR(AQ63=$AM$63,AQ63=$AM$64,AQ63=$AM$65),28,31)))))))</f>
        <v>28</v>
      </c>
      <c r="AM63" s="114">
        <v>44378</v>
      </c>
      <c r="AO63" s="114">
        <f t="shared" si="32"/>
        <v>44378</v>
      </c>
      <c r="AP63" s="114">
        <f t="shared" si="16"/>
        <v>44378</v>
      </c>
      <c r="AQ63" s="114">
        <f t="shared" si="41"/>
        <v>44378</v>
      </c>
      <c r="AR63" s="113">
        <f t="shared" si="33"/>
        <v>53900</v>
      </c>
      <c r="AS63" s="113">
        <f t="shared" si="30"/>
        <v>16709</v>
      </c>
      <c r="AT63" s="113">
        <f t="shared" si="34"/>
        <v>4851</v>
      </c>
      <c r="AU63" s="113"/>
      <c r="AV63" s="113">
        <f t="shared" si="35"/>
        <v>52300</v>
      </c>
      <c r="AW63" s="113">
        <f t="shared" si="36"/>
        <v>14644</v>
      </c>
      <c r="AX63" s="113">
        <f t="shared" si="37"/>
        <v>4707</v>
      </c>
      <c r="AY63" s="113">
        <f t="shared" si="38"/>
        <v>3675</v>
      </c>
      <c r="BB63" s="148">
        <f t="shared" si="39"/>
        <v>3809</v>
      </c>
      <c r="BC63" s="113">
        <f t="shared" si="40"/>
        <v>3675</v>
      </c>
      <c r="BD63" s="113" t="str">
        <f t="shared" si="23"/>
        <v>YES</v>
      </c>
      <c r="BE63" s="113">
        <f t="shared" si="24"/>
        <v>1250</v>
      </c>
      <c r="BF63" s="113">
        <f t="shared" si="25"/>
        <v>367</v>
      </c>
    </row>
    <row r="64" spans="1:58" ht="21" customHeight="1">
      <c r="A64" s="82">
        <f t="shared" si="26"/>
        <v>57</v>
      </c>
      <c r="B64" s="83">
        <f t="shared" si="27"/>
        <v>44440</v>
      </c>
      <c r="C64" s="84">
        <f>IFERROR(IF($B63="TOTAL","अक्षरें राशि :-",IF($B64="TOTAL",SUM($C$8:C63),IF(AR65="","",AR65))),"")</f>
        <v>53900</v>
      </c>
      <c r="D64" s="84">
        <f>IFERROR(IF($B64="TOTAL",SUM($D$8:D63),IF(AS65="","",AS65)),"")</f>
        <v>16709</v>
      </c>
      <c r="E64" s="84">
        <f>IFERROR(IF($B64="TOTAL",SUM($E$8:E63),IF(OR(B64=$AL$16,B64=$AL$17,B64=$AL$18,B64=$AL$19,B64=$AL$20,B64=$AL$21,B64=$AL$22,B64=$AL$23,B64=$AL$24),0,IF(AT65="","",AT65))),"")</f>
        <v>4851</v>
      </c>
      <c r="F64" s="84">
        <f t="shared" si="28"/>
        <v>75460</v>
      </c>
      <c r="G64" s="84">
        <f>IFERROR(IF($B64="TOTAL",SUM($G$8:G63),IF(AV65="","",AV65)),"")</f>
        <v>52300</v>
      </c>
      <c r="H64" s="84">
        <f>IFERROR(IF($B64="TOTAL",SUM($H$8:H63),IF(AW65="","",AW65)),"")</f>
        <v>14644</v>
      </c>
      <c r="I64" s="84">
        <f>IFERROR(IF($B64="TOTAL",SUM($I$8:I63),IF(OR(B64=$AL$16,B64=$AL$17,B64=$AL$18,B64=$AL$19,B64=$AL$20,B64=$AL$21,B64=$AL$22,B64=$AL$23,B64=$AL$24),0,IF(AX65="","",AX65))),"")</f>
        <v>4707</v>
      </c>
      <c r="J64" s="84">
        <f t="shared" si="8"/>
        <v>71651</v>
      </c>
      <c r="K64" s="84">
        <f>IFERROR(IF(B64="","",IF(C64="","",IF(G64="","",IF($B64="TOTAL",SUM($K$8:K63),SUM(C64-G64))))),"")</f>
        <v>1600</v>
      </c>
      <c r="L64" s="84">
        <f>IFERROR(IF(B64="","",IF(D64="","",IF(H64="","",IF($B64="TOTAL",SUM($L$8:L63),SUM(D64-H64))))),"")</f>
        <v>2065</v>
      </c>
      <c r="M64" s="84">
        <f>IFERROR(IF(B64="","",IF(E64="","",IF(I64="","",IF($B64="TOTAL",SUM($M$8:M63),SUM(E64-I64))))),"")</f>
        <v>144</v>
      </c>
      <c r="N64" s="84">
        <f t="shared" si="9"/>
        <v>3809</v>
      </c>
      <c r="O64" s="84">
        <f>IFERROR(IF(B64="","",IF($B64="TOTAL",SUM($O$8:O63),IF($AN$18=$AN$20,AY65,ROUND((C64+D64)*10%,0)))),"")</f>
        <v>7061</v>
      </c>
      <c r="P64" s="84">
        <f>IFERROR(IF(B64="","",IF(G64="","",IF(H64="","",IF($B64="TOTAL",SUM($P$8:P63),IF($AN$18=$AN$20,$AN$21,ROUND((G64+H64)*10%,0)))))),"")</f>
        <v>6694</v>
      </c>
      <c r="Q64" s="84">
        <f t="shared" si="10"/>
        <v>367</v>
      </c>
      <c r="R64" s="85">
        <f>IFERROR(IF(B64="","",IF($AN$16=$AN$17,0,IF($B64="TOTAL",SUM($R$8:R63),IF($AN$19=$AN$31,0,IF(AND($AN$32=$AN$20,B64=$AN$33),$AN$34,R63))))),"")</f>
        <v>0</v>
      </c>
      <c r="S64" s="85">
        <f>IFERROR(IF(B64="","",IF($AN$16=$AN$17,0,IF($B64="TOTAL",SUM($S$8:S63),IF($AN$19=$AN$20,$AN$24,0)))),"")</f>
        <v>0</v>
      </c>
      <c r="T64" s="84">
        <f t="shared" si="11"/>
        <v>0</v>
      </c>
      <c r="U64" s="84" t="str">
        <f>IF(B64="","",IF($B64="TOTAL",SUM($U$8:U63),IF(AND($AN$2=$AN$20,B64=$AN$1),ROUND(C64/31*$AO$2,0),IF(B64=$AL$6,ROUND((F64)*1/30,0),IF(B64=$AM$6,ROUND((F64)*1/31,0),"")))))</f>
        <v/>
      </c>
      <c r="V64" s="84" t="str">
        <f>IF(B64="","",IF($B64="TOTAL",SUM($V$8:V63),IF(AND($AN$2=$AN$20,B64=$AN$1),ROUND(G64/31*$AO$2,0),IF(B64=$AL$6,ROUND((J64)*1/30,0),IF(B64=$AM$6,ROUND((J64)*1/31,0),"")))))</f>
        <v/>
      </c>
      <c r="W64" s="84" t="str">
        <f t="shared" si="12"/>
        <v/>
      </c>
      <c r="X64" s="84">
        <f>IFERROR(IF($B64="TOTAL",SUM($X$8:X63),IF(BD65="YES",BE65,"")),"")</f>
        <v>1250</v>
      </c>
      <c r="Y64" s="84">
        <f>IFERROR(IF(B64="","",IF($B64="TOTAL",SUM($Y$8:Y63),ROUND(N64*$AN$7%,0))),"")</f>
        <v>0</v>
      </c>
      <c r="Z64" s="84">
        <f>IFERROR(IF(B64="","",IF($B64="TOTAL",SUM($Z$8:Z63),SUM(Q64,T64,W64,X64,Y64))),"")</f>
        <v>1617</v>
      </c>
      <c r="AA64" s="86">
        <f>IFERROR(IF(B64="","",IF($B64="TOTAL",SUM($AA$8:AA63),SUM(N64-Z64))),"")</f>
        <v>2192</v>
      </c>
      <c r="AJ64" s="112">
        <f t="shared" si="13"/>
        <v>31</v>
      </c>
      <c r="AK64" s="112">
        <f t="shared" si="14"/>
        <v>28</v>
      </c>
      <c r="AM64" s="114">
        <v>44409</v>
      </c>
      <c r="AO64" s="114">
        <f t="shared" si="32"/>
        <v>44409</v>
      </c>
      <c r="AP64" s="114">
        <f t="shared" si="16"/>
        <v>44409</v>
      </c>
      <c r="AQ64" s="114">
        <f t="shared" si="41"/>
        <v>44409</v>
      </c>
      <c r="AR64" s="113">
        <f t="shared" si="33"/>
        <v>53900</v>
      </c>
      <c r="AS64" s="113">
        <f t="shared" si="30"/>
        <v>16709</v>
      </c>
      <c r="AT64" s="113">
        <f t="shared" si="34"/>
        <v>4851</v>
      </c>
      <c r="AU64" s="113"/>
      <c r="AV64" s="113">
        <f t="shared" si="35"/>
        <v>52300</v>
      </c>
      <c r="AW64" s="113">
        <f t="shared" si="36"/>
        <v>14644</v>
      </c>
      <c r="AX64" s="113">
        <f t="shared" si="37"/>
        <v>4707</v>
      </c>
      <c r="AY64" s="113">
        <f t="shared" si="38"/>
        <v>3675</v>
      </c>
      <c r="BB64" s="148">
        <f t="shared" si="39"/>
        <v>3809</v>
      </c>
      <c r="BC64" s="113">
        <f t="shared" si="40"/>
        <v>3675</v>
      </c>
      <c r="BD64" s="113" t="str">
        <f t="shared" si="23"/>
        <v>YES</v>
      </c>
      <c r="BE64" s="113">
        <f t="shared" si="24"/>
        <v>1250</v>
      </c>
      <c r="BF64" s="113">
        <f t="shared" si="25"/>
        <v>367</v>
      </c>
    </row>
    <row r="65" spans="1:58" ht="21" customHeight="1">
      <c r="A65" s="82">
        <f t="shared" si="26"/>
        <v>58</v>
      </c>
      <c r="B65" s="83">
        <f t="shared" si="27"/>
        <v>44470</v>
      </c>
      <c r="C65" s="84">
        <f>IFERROR(IF($B64="TOTAL","अक्षरें राशि :-",IF($B65="TOTAL",SUM($C$8:C64),IF(AR66="","",AR66))),"")</f>
        <v>53900</v>
      </c>
      <c r="D65" s="84">
        <f>IFERROR(IF($B65="TOTAL",SUM($D$8:D64),IF(AS66="","",AS66)),"")</f>
        <v>16709</v>
      </c>
      <c r="E65" s="84">
        <f>IFERROR(IF($B65="TOTAL",SUM($E$8:E64),IF(OR(B65=$AL$16,B65=$AL$17,B65=$AL$18,B65=$AL$19,B65=$AL$20,B65=$AL$21,B65=$AL$22,B65=$AL$23,B65=$AL$24),0,IF(AT66="","",AT66))),"")</f>
        <v>4851</v>
      </c>
      <c r="F65" s="84">
        <f t="shared" si="28"/>
        <v>75460</v>
      </c>
      <c r="G65" s="84">
        <f>IFERROR(IF($B65="TOTAL",SUM($G$8:G64),IF(AV66="","",AV66)),"")</f>
        <v>52300</v>
      </c>
      <c r="H65" s="84">
        <f>IFERROR(IF($B65="TOTAL",SUM($H$8:H64),IF(AW66="","",AW66)),"")</f>
        <v>16213</v>
      </c>
      <c r="I65" s="84">
        <f>IFERROR(IF($B65="TOTAL",SUM($I$8:I64),IF(OR(B65=$AL$16,B65=$AL$17,B65=$AL$18,B65=$AL$19,B65=$AL$20,B65=$AL$21,B65=$AL$22,B65=$AL$23,B65=$AL$24),0,IF(AX66="","",AX66))),"")</f>
        <v>4707</v>
      </c>
      <c r="J65" s="84">
        <f t="shared" si="8"/>
        <v>73220</v>
      </c>
      <c r="K65" s="84">
        <f>IFERROR(IF(B65="","",IF(C65="","",IF(G65="","",IF($B65="TOTAL",SUM($K$8:K64),SUM(C65-G65))))),"")</f>
        <v>1600</v>
      </c>
      <c r="L65" s="84">
        <f>IFERROR(IF(B65="","",IF(D65="","",IF(H65="","",IF($B65="TOTAL",SUM($L$8:L64),SUM(D65-H65))))),"")</f>
        <v>496</v>
      </c>
      <c r="M65" s="84">
        <f>IFERROR(IF(B65="","",IF(E65="","",IF(I65="","",IF($B65="TOTAL",SUM($M$8:M64),SUM(E65-I65))))),"")</f>
        <v>144</v>
      </c>
      <c r="N65" s="84">
        <f t="shared" si="9"/>
        <v>2240</v>
      </c>
      <c r="O65" s="84">
        <f>IFERROR(IF(B65="","",IF($B65="TOTAL",SUM($O$8:O64),IF($AN$18=$AN$20,AY66,ROUND((C65+D65)*10%,0)))),"")</f>
        <v>7061</v>
      </c>
      <c r="P65" s="84">
        <f>IFERROR(IF(B65="","",IF(G65="","",IF(H65="","",IF($B65="TOTAL",SUM($P$8:P64),IF($AN$18=$AN$20,$AN$21,ROUND((G65+H65)*10%,0)))))),"")</f>
        <v>6851</v>
      </c>
      <c r="Q65" s="84">
        <f t="shared" si="10"/>
        <v>210</v>
      </c>
      <c r="R65" s="85">
        <f>IFERROR(IF(B65="","",IF($AN$16=$AN$17,0,IF($B65="TOTAL",SUM($R$8:R64),IF($AN$19=$AN$31,0,IF(AND($AN$32=$AN$20,B65=$AN$33),$AN$34,R64))))),"")</f>
        <v>0</v>
      </c>
      <c r="S65" s="85">
        <f>IFERROR(IF(B65="","",IF($AN$16=$AN$17,0,IF($B65="TOTAL",SUM($S$8:S64),IF($AN$19=$AN$20,$AN$24,0)))),"")</f>
        <v>0</v>
      </c>
      <c r="T65" s="84">
        <f t="shared" si="11"/>
        <v>0</v>
      </c>
      <c r="U65" s="84" t="str">
        <f>IF(B65="","",IF($B65="TOTAL",SUM($U$8:U64),IF(AND($AN$2=$AN$20,B65=$AN$1),ROUND(C65/31*$AO$2,0),IF(B65=$AL$6,ROUND((F65)*1/30,0),IF(B65=$AM$6,ROUND((F65)*1/31,0),"")))))</f>
        <v/>
      </c>
      <c r="V65" s="84" t="str">
        <f>IF(B65="","",IF($B65="TOTAL",SUM($V$8:V64),IF(AND($AN$2=$AN$20,B65=$AN$1),ROUND(G65/31*$AO$2,0),IF(B65=$AL$6,ROUND((J65)*1/30,0),IF(B65=$AM$6,ROUND((J65)*1/31,0),"")))))</f>
        <v/>
      </c>
      <c r="W65" s="84" t="str">
        <f t="shared" si="12"/>
        <v/>
      </c>
      <c r="X65" s="84" t="str">
        <f>IFERROR(IF($B65="TOTAL",SUM($X$8:X64),IF(BD66="YES",BE66,"")),"")</f>
        <v/>
      </c>
      <c r="Y65" s="84">
        <f>IFERROR(IF(B65="","",IF($B65="TOTAL",SUM($Y$8:Y64),ROUND(N65*$AN$7%,0))),"")</f>
        <v>0</v>
      </c>
      <c r="Z65" s="84">
        <f>IFERROR(IF(B65="","",IF($B65="TOTAL",SUM($Z$8:Z64),SUM(Q65,T65,W65,X65,Y65))),"")</f>
        <v>210</v>
      </c>
      <c r="AA65" s="86">
        <f>IFERROR(IF(B65="","",IF($B65="TOTAL",SUM($AA$8:AA64),SUM(N65-Z65))),"")</f>
        <v>2030</v>
      </c>
      <c r="AJ65" s="112">
        <f t="shared" si="13"/>
        <v>31</v>
      </c>
      <c r="AK65" s="112">
        <f t="shared" si="14"/>
        <v>28</v>
      </c>
      <c r="AM65" s="114">
        <v>44440</v>
      </c>
      <c r="AO65" s="114">
        <f t="shared" si="32"/>
        <v>44440</v>
      </c>
      <c r="AP65" s="114">
        <f t="shared" si="16"/>
        <v>44440</v>
      </c>
      <c r="AQ65" s="114">
        <f t="shared" si="41"/>
        <v>44440</v>
      </c>
      <c r="AR65" s="113">
        <f t="shared" si="33"/>
        <v>53900</v>
      </c>
      <c r="AS65" s="113">
        <f t="shared" si="30"/>
        <v>16709</v>
      </c>
      <c r="AT65" s="113">
        <f t="shared" si="34"/>
        <v>4851</v>
      </c>
      <c r="AU65" s="113"/>
      <c r="AV65" s="113">
        <f t="shared" si="35"/>
        <v>52300</v>
      </c>
      <c r="AW65" s="113">
        <f t="shared" si="36"/>
        <v>14644</v>
      </c>
      <c r="AX65" s="113">
        <f t="shared" si="37"/>
        <v>4707</v>
      </c>
      <c r="AY65" s="113">
        <f t="shared" si="38"/>
        <v>3675</v>
      </c>
      <c r="BB65" s="148">
        <f t="shared" si="39"/>
        <v>3809</v>
      </c>
      <c r="BC65" s="113">
        <f t="shared" si="40"/>
        <v>3675</v>
      </c>
      <c r="BD65" s="113" t="str">
        <f t="shared" si="23"/>
        <v>YES</v>
      </c>
      <c r="BE65" s="113">
        <f t="shared" si="24"/>
        <v>1250</v>
      </c>
      <c r="BF65" s="113">
        <f t="shared" si="25"/>
        <v>367</v>
      </c>
    </row>
    <row r="66" spans="1:58" ht="21" customHeight="1">
      <c r="A66" s="82">
        <f t="shared" si="26"/>
        <v>59</v>
      </c>
      <c r="B66" s="83">
        <f t="shared" ref="B66:B68" si="42">IFERROR(IF(AQ67="","",AQ67),"")</f>
        <v>44501</v>
      </c>
      <c r="C66" s="84">
        <f>IFERROR(IF($B65="TOTAL","अक्षरें राशि :-",IF($B66="TOTAL",SUM($C$8:C65),IF(AR67="","",AR67))),"")</f>
        <v>53900</v>
      </c>
      <c r="D66" s="84">
        <f>IFERROR(IF($B66="TOTAL",SUM($D$8:D65),IF(AS67="","",AS67)),"")</f>
        <v>16709</v>
      </c>
      <c r="E66" s="84">
        <f>IFERROR(IF($B66="TOTAL",SUM($E$8:E65),IF(OR(B66=$AL$16,B66=$AL$17,B66=$AL$18,B66=$AL$19,B66=$AL$20,B66=$AL$21,B66=$AL$22,B66=$AL$23,B66=$AL$24),0,IF(AT67="","",AT67))),"")</f>
        <v>4851</v>
      </c>
      <c r="F66" s="84">
        <f t="shared" ref="F66:F68" si="43">IF(B66="","",SUM(C66:E66))</f>
        <v>75460</v>
      </c>
      <c r="G66" s="84">
        <f>IFERROR(IF($B66="TOTAL",SUM($G$8:G65),IF(AV67="","",AV67)),"")</f>
        <v>52300</v>
      </c>
      <c r="H66" s="84">
        <f>IFERROR(IF($B66="TOTAL",SUM($H$8:H65),IF(AW67="","",AW67)),"")</f>
        <v>16213</v>
      </c>
      <c r="I66" s="84">
        <f>IFERROR(IF($B66="TOTAL",SUM($I$8:I65),IF(OR(B66=$AL$16,B66=$AL$17,B66=$AL$18,B66=$AL$19,B66=$AL$20,B66=$AL$21,B66=$AL$22,B66=$AL$23,B66=$AL$24),0,IF(AX67="","",AX67))),"")</f>
        <v>4707</v>
      </c>
      <c r="J66" s="84">
        <f t="shared" si="8"/>
        <v>73220</v>
      </c>
      <c r="K66" s="84">
        <f>IFERROR(IF(B66="","",IF(C66="","",IF(G66="","",IF($B66="TOTAL",SUM($K$8:K65),SUM(C66-G66))))),"")</f>
        <v>1600</v>
      </c>
      <c r="L66" s="84">
        <f>IFERROR(IF(B66="","",IF(D66="","",IF(H66="","",IF($B66="TOTAL",SUM($L$8:L65),SUM(D66-H66))))),"")</f>
        <v>496</v>
      </c>
      <c r="M66" s="84">
        <f>IFERROR(IF(B66="","",IF(E66="","",IF(I66="","",IF($B66="TOTAL",SUM($M$8:M65),SUM(E66-I66))))),"")</f>
        <v>144</v>
      </c>
      <c r="N66" s="84">
        <f t="shared" si="9"/>
        <v>2240</v>
      </c>
      <c r="O66" s="84">
        <f>IFERROR(IF(B66="","",IF($B66="TOTAL",SUM($O$8:O65),IF($AN$18=$AN$20,AY67,ROUND((C66+D66)*10%,0)))),"")</f>
        <v>7061</v>
      </c>
      <c r="P66" s="84">
        <f>IFERROR(IF(B66="","",IF(G66="","",IF(H66="","",IF($B66="TOTAL",SUM($P$8:P65),IF($AN$18=$AN$20,$AN$21,ROUND((G66+H66)*10%,0)))))),"")</f>
        <v>6851</v>
      </c>
      <c r="Q66" s="84">
        <f t="shared" si="10"/>
        <v>210</v>
      </c>
      <c r="R66" s="85">
        <f>IFERROR(IF(B66="","",IF($AN$16=$AN$17,0,IF($B66="TOTAL",SUM($R$8:R65),IF($AN$19=$AN$31,0,IF(AND($AN$32=$AN$20,B66=$AN$33),$AN$34,R65))))),"")</f>
        <v>0</v>
      </c>
      <c r="S66" s="85">
        <f>IFERROR(IF(B66="","",IF($AN$16=$AN$17,0,IF($B66="TOTAL",SUM($S$8:S65),IF($AN$19=$AN$20,$AN$24,0)))),"")</f>
        <v>0</v>
      </c>
      <c r="T66" s="84">
        <f t="shared" si="11"/>
        <v>0</v>
      </c>
      <c r="U66" s="84" t="str">
        <f>IF(B66="","",IF($B66="TOTAL",SUM($U$8:U65),IF(AND($AN$2=$AN$20,B66=$AN$1),ROUND(C66/31*$AO$2,0),IF(B66=$AL$6,ROUND((F66)*1/30,0),IF(B66=$AM$6,ROUND((F66)*1/31,0),"")))))</f>
        <v/>
      </c>
      <c r="V66" s="84" t="str">
        <f>IF(B66="","",IF($B66="TOTAL",SUM($V$8:V65),IF(AND($AN$2=$AN$20,B66=$AN$1),ROUND(G66/31*$AO$2,0),IF(B66=$AL$6,ROUND((J66)*1/30,0),IF(B66=$AM$6,ROUND((J66)*1/31,0),"")))))</f>
        <v/>
      </c>
      <c r="W66" s="84" t="str">
        <f t="shared" si="12"/>
        <v/>
      </c>
      <c r="X66" s="84" t="str">
        <f>IFERROR(IF($B66="TOTAL",SUM($X$8:X65),IF(BD67="YES",BE67,"")),"")</f>
        <v/>
      </c>
      <c r="Y66" s="84">
        <f>IFERROR(IF(B66="","",IF($B66="TOTAL",SUM($Y$8:Y65),ROUND(N66*$AN$7%,0))),"")</f>
        <v>0</v>
      </c>
      <c r="Z66" s="84">
        <f>IFERROR(IF(B66="","",IF($B66="TOTAL",SUM($Z$8:Z65),SUM(Q66,T66,W66,X66,Y66))),"")</f>
        <v>210</v>
      </c>
      <c r="AA66" s="86">
        <f>IFERROR(IF(B66="","",IF($B66="TOTAL",SUM($AA$8:AA65),SUM(N66-Z66))),"")</f>
        <v>2030</v>
      </c>
      <c r="AJ66" s="112">
        <f t="shared" si="13"/>
        <v>31</v>
      </c>
      <c r="AK66" s="112">
        <f t="shared" si="14"/>
        <v>31</v>
      </c>
      <c r="AM66" s="114">
        <v>44470</v>
      </c>
      <c r="AO66" s="114">
        <f t="shared" si="32"/>
        <v>44470</v>
      </c>
      <c r="AP66" s="114">
        <f t="shared" si="16"/>
        <v>44470</v>
      </c>
      <c r="AQ66" s="114">
        <f t="shared" si="41"/>
        <v>44470</v>
      </c>
      <c r="AR66" s="113">
        <f t="shared" si="33"/>
        <v>53900</v>
      </c>
      <c r="AS66" s="113">
        <f t="shared" si="30"/>
        <v>16709</v>
      </c>
      <c r="AT66" s="113">
        <f t="shared" si="34"/>
        <v>4851</v>
      </c>
      <c r="AU66" s="113"/>
      <c r="AV66" s="113">
        <f t="shared" si="35"/>
        <v>52300</v>
      </c>
      <c r="AW66" s="113">
        <f t="shared" si="36"/>
        <v>16213</v>
      </c>
      <c r="AX66" s="113">
        <f t="shared" si="37"/>
        <v>4707</v>
      </c>
      <c r="AY66" s="113">
        <f t="shared" si="38"/>
        <v>3675</v>
      </c>
      <c r="BB66" s="148">
        <f t="shared" si="39"/>
        <v>2240</v>
      </c>
      <c r="BC66" s="113">
        <f t="shared" si="40"/>
        <v>3675</v>
      </c>
      <c r="BD66" s="113" t="str">
        <f t="shared" si="23"/>
        <v/>
      </c>
      <c r="BE66" s="113" t="str">
        <f t="shared" si="24"/>
        <v/>
      </c>
      <c r="BF66" s="113">
        <f t="shared" si="25"/>
        <v>210</v>
      </c>
    </row>
    <row r="67" spans="1:58" ht="21" customHeight="1">
      <c r="A67" s="82">
        <f t="shared" si="26"/>
        <v>60</v>
      </c>
      <c r="B67" s="83">
        <f>IFERROR(IF(AQ68="","",AQ68),"")</f>
        <v>44531</v>
      </c>
      <c r="C67" s="84">
        <f>IFERROR(IF($B66="TOTAL","अक्षरें राशि :-",IF($B67="TOTAL",SUM($C$8:C66),IF(AR68="","",AR68))),"")</f>
        <v>53900</v>
      </c>
      <c r="D67" s="84">
        <f>IFERROR(IF($B67="TOTAL",SUM($D$8:D66),IF(AS68="","",AS68)),"")</f>
        <v>16709</v>
      </c>
      <c r="E67" s="84">
        <f>IFERROR(IF($B67="TOTAL",SUM($E$8:E66),IF(OR(B67=$AL$16,B67=$AL$17,B67=$AL$18,B67=$AL$19,B67=$AL$20,B67=$AL$21,B67=$AL$22,B67=$AL$23,B67=$AL$24),0,IF(AT68="","",AT68))),"")</f>
        <v>4851</v>
      </c>
      <c r="F67" s="84">
        <f t="shared" si="43"/>
        <v>75460</v>
      </c>
      <c r="G67" s="84">
        <f>IFERROR(IF($B67="TOTAL",SUM($G$8:G66),IF(AV68="","",AV68)),"")</f>
        <v>52300</v>
      </c>
      <c r="H67" s="84">
        <f>IFERROR(IF($B67="TOTAL",SUM($H$8:H66),IF(AW68="","",AW68)),"")</f>
        <v>16213</v>
      </c>
      <c r="I67" s="84">
        <f>IFERROR(IF($B67="TOTAL",SUM($I$8:I66),IF(OR(B67=$AL$16,B67=$AL$17,B67=$AL$18,B67=$AL$19,B67=$AL$20,B67=$AL$21,B67=$AL$22,B67=$AL$23,B67=$AL$24),0,IF(AX68="","",AX68))),"")</f>
        <v>4707</v>
      </c>
      <c r="J67" s="84">
        <f t="shared" si="8"/>
        <v>73220</v>
      </c>
      <c r="K67" s="84">
        <f>IFERROR(IF(B67="","",IF(C67="","",IF(G67="","",IF($B67="TOTAL",SUM($K$8:K66),SUM(C67-G67))))),"")</f>
        <v>1600</v>
      </c>
      <c r="L67" s="84">
        <f>IFERROR(IF(B67="","",IF(D67="","",IF(H67="","",IF($B67="TOTAL",SUM($L$8:L66),SUM(D67-H67))))),"")</f>
        <v>496</v>
      </c>
      <c r="M67" s="84">
        <f>IFERROR(IF(B67="","",IF(E67="","",IF(I67="","",IF($B67="TOTAL",SUM($M$8:M66),SUM(E67-I67))))),"")</f>
        <v>144</v>
      </c>
      <c r="N67" s="84">
        <f t="shared" si="9"/>
        <v>2240</v>
      </c>
      <c r="O67" s="84">
        <f>IFERROR(IF(B67="","",IF($B67="TOTAL",SUM($O$8:O66),IF($AN$18=$AN$20,AY68,ROUND((C67+D67)*10%,0)))),"")</f>
        <v>7061</v>
      </c>
      <c r="P67" s="84">
        <f>IFERROR(IF(B67="","",IF(G67="","",IF(H67="","",IF($B67="TOTAL",SUM($P$8:P66),IF($AN$18=$AN$20,$AN$21,ROUND((G67+H67)*10%,0)))))),"")</f>
        <v>6851</v>
      </c>
      <c r="Q67" s="84">
        <f t="shared" si="10"/>
        <v>210</v>
      </c>
      <c r="R67" s="85">
        <f>IFERROR(IF(B67="","",IF($AN$16=$AN$17,0,IF($B67="TOTAL",SUM($R$8:R66),IF($AN$19=$AN$31,0,IF(AND($AN$32=$AN$20,B67=$AN$33),$AN$34,R66))))),"")</f>
        <v>0</v>
      </c>
      <c r="S67" s="85">
        <f>IFERROR(IF(B67="","",IF($AN$16=$AN$17,0,IF($B67="TOTAL",SUM($S$8:S66),IF($AN$19=$AN$20,$AN$24,0)))),"")</f>
        <v>0</v>
      </c>
      <c r="T67" s="84">
        <f t="shared" si="11"/>
        <v>0</v>
      </c>
      <c r="U67" s="84" t="str">
        <f>IF(B67="","",IF($B67="TOTAL",SUM($U$8:U66),IF(AND($AN$2=$AN$20,B67=$AN$1),ROUND(C67/31*$AO$2,0),IF(B67=$AL$6,ROUND((F67)*1/30,0),IF(B67=$AM$6,ROUND((F67)*1/31,0),"")))))</f>
        <v/>
      </c>
      <c r="V67" s="84" t="str">
        <f>IF(B67="","",IF($B67="TOTAL",SUM($V$8:V66),IF(AND($AN$2=$AN$20,B67=$AN$1),ROUND(G67/31*$AO$2,0),IF(B67=$AL$6,ROUND((J67)*1/30,0),IF(B67=$AM$6,ROUND((J67)*1/31,0),"")))))</f>
        <v/>
      </c>
      <c r="W67" s="84" t="str">
        <f t="shared" si="12"/>
        <v/>
      </c>
      <c r="X67" s="84" t="str">
        <f>IFERROR(IF($B67="TOTAL",SUM($X$8:X66),IF(BD68="YES",BE68,"")),"")</f>
        <v/>
      </c>
      <c r="Y67" s="84">
        <f>IFERROR(IF(B67="","",IF($B67="TOTAL",SUM($Y$8:Y66),ROUND(N67*$AN$7%,0))),"")</f>
        <v>0</v>
      </c>
      <c r="Z67" s="84">
        <f>IFERROR(IF(B67="","",IF($B67="TOTAL",SUM($Z$8:Z66),SUM(Q67,T67,W67,X67,Y67))),"")</f>
        <v>210</v>
      </c>
      <c r="AA67" s="86">
        <f>IFERROR(IF(B67="","",IF($B67="TOTAL",SUM($AA$8:AA66),SUM(N67-Z67))),"")</f>
        <v>2030</v>
      </c>
      <c r="AJ67" s="112">
        <f t="shared" si="13"/>
        <v>31</v>
      </c>
      <c r="AK67" s="112">
        <f t="shared" si="14"/>
        <v>31</v>
      </c>
      <c r="AM67" s="114">
        <v>44501</v>
      </c>
      <c r="AO67" s="114">
        <f t="shared" si="32"/>
        <v>44501</v>
      </c>
      <c r="AP67" s="114">
        <f t="shared" si="16"/>
        <v>44501</v>
      </c>
      <c r="AQ67" s="114">
        <f t="shared" si="41"/>
        <v>44501</v>
      </c>
      <c r="AR67" s="113">
        <f t="shared" si="33"/>
        <v>53900</v>
      </c>
      <c r="AS67" s="113">
        <f t="shared" si="30"/>
        <v>16709</v>
      </c>
      <c r="AT67" s="113">
        <f t="shared" si="34"/>
        <v>4851</v>
      </c>
      <c r="AU67" s="113"/>
      <c r="AV67" s="113">
        <f t="shared" si="35"/>
        <v>52300</v>
      </c>
      <c r="AW67" s="113">
        <f t="shared" si="36"/>
        <v>16213</v>
      </c>
      <c r="AX67" s="113">
        <f t="shared" si="37"/>
        <v>4707</v>
      </c>
      <c r="AY67" s="113">
        <f t="shared" si="38"/>
        <v>3675</v>
      </c>
      <c r="BB67" s="148">
        <f t="shared" si="39"/>
        <v>2240</v>
      </c>
      <c r="BC67" s="113">
        <f t="shared" si="40"/>
        <v>3675</v>
      </c>
      <c r="BD67" s="113" t="str">
        <f t="shared" si="23"/>
        <v/>
      </c>
      <c r="BE67" s="113" t="str">
        <f t="shared" si="24"/>
        <v/>
      </c>
      <c r="BF67" s="113">
        <f t="shared" si="25"/>
        <v>210</v>
      </c>
    </row>
    <row r="68" spans="1:58" ht="21" customHeight="1">
      <c r="A68" s="82">
        <f t="shared" si="26"/>
        <v>61</v>
      </c>
      <c r="B68" s="83">
        <f t="shared" si="42"/>
        <v>44562</v>
      </c>
      <c r="C68" s="84">
        <f>IFERROR(IF($B67="TOTAL","अक्षरें राशि :-",IF($B68="TOTAL",SUM($C$8:C67),IF(AR69="","",AR69))),"")</f>
        <v>53900</v>
      </c>
      <c r="D68" s="84">
        <f>IFERROR(IF($B68="TOTAL",SUM($D$8:D67),IF(AS69="","",AS69)),"")</f>
        <v>16709</v>
      </c>
      <c r="E68" s="84">
        <f>IFERROR(IF($B68="TOTAL",SUM($E$8:E67),IF(AT69="","",AT69)),"")</f>
        <v>4851</v>
      </c>
      <c r="F68" s="84">
        <f t="shared" si="43"/>
        <v>75460</v>
      </c>
      <c r="G68" s="84">
        <f>IFERROR(IF($B68="TOTAL",SUM($G$8:G67),IF(AV69="","",AV69)),"")</f>
        <v>52300</v>
      </c>
      <c r="H68" s="84">
        <f>IFERROR(IF($B68="TOTAL",SUM($H$8:H67),IF(AW69="","",AW69)),"")</f>
        <v>16213</v>
      </c>
      <c r="I68" s="84">
        <f>IFERROR(IF($B68="TOTAL",SUM($I$8:I67),IF(AX69="","",AX69)),"")</f>
        <v>4707</v>
      </c>
      <c r="J68" s="84">
        <f t="shared" si="8"/>
        <v>73220</v>
      </c>
      <c r="K68" s="84">
        <f>IFERROR(IF(B68="","",IF(C68="","",IF(G68="","",IF($B68="TOTAL",SUM($K$8:K67),SUM(C68-G68))))),"")</f>
        <v>1600</v>
      </c>
      <c r="L68" s="84">
        <f>IFERROR(IF(B68="","",IF(D68="","",IF(H68="","",IF($B68="TOTAL",SUM($L$8:L67),SUM(D68-H68))))),"")</f>
        <v>496</v>
      </c>
      <c r="M68" s="84">
        <f>IFERROR(IF(B68="","",IF(E68="","",IF(I68="","",IF($B68="TOTAL",SUM($M$8:M67),SUM(E68-I68))))),"")</f>
        <v>144</v>
      </c>
      <c r="N68" s="84">
        <f t="shared" si="9"/>
        <v>2240</v>
      </c>
      <c r="O68" s="84">
        <f>IFERROR(IF(B68="","",IF($B68="TOTAL",SUM($O$8:O67),IF($AN$18=$AN$20,AY69,ROUND((C68+D68)*10%,0)))),"")</f>
        <v>7061</v>
      </c>
      <c r="P68" s="84">
        <f>IFERROR(IF(B68="","",IF(G68="","",IF(H68="","",IF($B68="TOTAL",SUM($P$8:P67),IF($AN$18=$AN$20,$AN$21,ROUND((G68+H68)*10%,0)))))),"")</f>
        <v>6851</v>
      </c>
      <c r="Q68" s="84">
        <f t="shared" si="10"/>
        <v>210</v>
      </c>
      <c r="R68" s="85">
        <f>IFERROR(IF(B68="","",IF($AN$16=$AN$17,0,IF($B68="TOTAL",SUM($R$8:R67),IF($AN$19=$AN$20,$AN$25,0)))),"")</f>
        <v>0</v>
      </c>
      <c r="S68" s="85">
        <f>IFERROR(IF(B68="","",IF($AN$16=$AN$17,0,IF($B68="TOTAL",SUM($S$8:S67),IF($AN$19=$AN$20,$AN$24,0)))),"")</f>
        <v>0</v>
      </c>
      <c r="T68" s="84">
        <f t="shared" si="11"/>
        <v>0</v>
      </c>
      <c r="U68" s="84" t="str">
        <f>IF(B68="","",IF($B68="TOTAL",SUM($U$8:U67),IF(AND($AN$2=$AN$20,B68=$AN$1),ROUND(C68/31*$AO$2,0),IF(B68=$AL$6,ROUND((F68)*1/30,0),IF(B68=$AM$6,ROUND((F68)*1/31,0),"")))))</f>
        <v/>
      </c>
      <c r="V68" s="84" t="str">
        <f>IF(B68="","",IF($B68="TOTAL",SUM($V$8:V67),IF(AND($AN$2=$AN$20,B68=$AN$1),ROUND(G68/31*$AO$2,0),IF(B68=$AL$6,ROUND((J68)*1/30,0),IF(B68=$AM$6,ROUND((J68)*1/31,0),"")))))</f>
        <v/>
      </c>
      <c r="W68" s="84" t="str">
        <f t="shared" si="12"/>
        <v/>
      </c>
      <c r="X68" s="84" t="str">
        <f>IFERROR(IF($B68="TOTAL",SUM($X$8:X67),IF(BD69="YES",BE69,"")),"")</f>
        <v/>
      </c>
      <c r="Y68" s="84">
        <f>IFERROR(IF(B68="","",IF($B68="TOTAL",SUM($Y$8:Y67),ROUND(N68*$AN$7%,0))),"")</f>
        <v>0</v>
      </c>
      <c r="Z68" s="84">
        <f>IFERROR(IF(B68="","",IF($B68="TOTAL",SUM($Z$8:Z67),SUM(Q68,T68,W68,X68,Y68))),"")</f>
        <v>210</v>
      </c>
      <c r="AA68" s="86">
        <f>IFERROR(IF(B68="","",IF($B68="TOTAL",SUM($AA$8:AA67),SUM(N68-Z68))),"")</f>
        <v>2030</v>
      </c>
      <c r="AJ68" s="112">
        <f t="shared" si="13"/>
        <v>31</v>
      </c>
      <c r="AK68" s="112">
        <f t="shared" si="14"/>
        <v>31</v>
      </c>
      <c r="AM68" s="114">
        <v>44531</v>
      </c>
      <c r="AO68" s="114">
        <f t="shared" si="32"/>
        <v>44531</v>
      </c>
      <c r="AP68" s="114">
        <f t="shared" si="16"/>
        <v>44531</v>
      </c>
      <c r="AQ68" s="114">
        <f t="shared" si="41"/>
        <v>44531</v>
      </c>
      <c r="AR68" s="113">
        <f t="shared" si="33"/>
        <v>53900</v>
      </c>
      <c r="AS68" s="113">
        <f t="shared" si="30"/>
        <v>16709</v>
      </c>
      <c r="AT68" s="113">
        <f t="shared" si="34"/>
        <v>4851</v>
      </c>
      <c r="AU68" s="113"/>
      <c r="AV68" s="113">
        <f t="shared" si="35"/>
        <v>52300</v>
      </c>
      <c r="AW68" s="113">
        <f t="shared" si="36"/>
        <v>16213</v>
      </c>
      <c r="AX68" s="113">
        <f t="shared" si="37"/>
        <v>4707</v>
      </c>
      <c r="AY68" s="113">
        <f t="shared" si="38"/>
        <v>3675</v>
      </c>
      <c r="BB68" s="148">
        <f t="shared" si="39"/>
        <v>2240</v>
      </c>
      <c r="BC68" s="113">
        <f t="shared" si="40"/>
        <v>3675</v>
      </c>
      <c r="BD68" s="113" t="str">
        <f t="shared" si="23"/>
        <v/>
      </c>
      <c r="BE68" s="113" t="str">
        <f t="shared" si="24"/>
        <v/>
      </c>
      <c r="BF68" s="113">
        <f t="shared" si="25"/>
        <v>210</v>
      </c>
    </row>
    <row r="69" spans="1:58" ht="15">
      <c r="A69" s="82">
        <f t="shared" si="26"/>
        <v>62</v>
      </c>
      <c r="B69" s="83">
        <f t="shared" ref="B69:B72" si="44">IFERROR(IF(AQ70="","",AQ70),"")</f>
        <v>44593</v>
      </c>
      <c r="C69" s="84">
        <f>IFERROR(IF($B68="TOTAL","अक्षरें राशि :-",IF($B69="TOTAL",SUM($C$8:C68),IF(AR70="","",AR70))),"")</f>
        <v>53900</v>
      </c>
      <c r="D69" s="84">
        <f>IFERROR(IF($B69="TOTAL",SUM($D$8:D68),IF(AS70="","",AS70)),"")</f>
        <v>16709</v>
      </c>
      <c r="E69" s="84">
        <f>IFERROR(IF($B69="TOTAL",SUM($E$8:E68),IF(AT70="","",AT70)),"")</f>
        <v>4851</v>
      </c>
      <c r="F69" s="84">
        <f t="shared" ref="F69:F72" si="45">IF(B69="","",SUM(C69:E69))</f>
        <v>75460</v>
      </c>
      <c r="G69" s="84">
        <f>IFERROR(IF($B69="TOTAL",SUM($G$8:G68),IF(AV70="","",AV70)),"")</f>
        <v>52300</v>
      </c>
      <c r="H69" s="84">
        <f>IFERROR(IF($B69="TOTAL",SUM($H$8:H68),IF(AW70="","",AW70)),"")</f>
        <v>16213</v>
      </c>
      <c r="I69" s="84">
        <f>IFERROR(IF($B69="TOTAL",SUM($I$8:I68),IF(AX70="","",AX70)),"")</f>
        <v>4707</v>
      </c>
      <c r="J69" s="84">
        <f t="shared" ref="J69:J72" si="46">IF(B69="","",SUM(G69:I69))</f>
        <v>73220</v>
      </c>
      <c r="K69" s="84">
        <f>IFERROR(IF(B69="","",IF(C69="","",IF(G69="","",IF($B69="TOTAL",SUM($K$8:K68),SUM(C69-G69))))),"")</f>
        <v>1600</v>
      </c>
      <c r="L69" s="84">
        <f>IFERROR(IF(B69="","",IF(D69="","",IF(H69="","",IF($B69="TOTAL",SUM($L$8:L68),SUM(D69-H69))))),"")</f>
        <v>496</v>
      </c>
      <c r="M69" s="84">
        <f>IFERROR(IF(B69="","",IF(E69="","",IF(I69="","",IF($B69="TOTAL",SUM($M$8:M68),SUM(E69-I69))))),"")</f>
        <v>144</v>
      </c>
      <c r="N69" s="84">
        <f t="shared" ref="N69:N72" si="47">IFERROR(IF(B69="","",IF(F69="","",IF(J69="","",SUM(F69-J69)))),"")</f>
        <v>2240</v>
      </c>
      <c r="O69" s="84">
        <f>IFERROR(IF(B69="","",IF($B69="TOTAL",SUM($O$8:O68),IF($AN$18=$AN$20,AY70,ROUND((C69+D69)*10%,0)))),"")</f>
        <v>7061</v>
      </c>
      <c r="P69" s="84">
        <f>IFERROR(IF(B69="","",IF(G69="","",IF(H69="","",IF($B69="TOTAL",SUM($P$8:P68),IF($AN$18=$AN$20,$AN$21,ROUND((G69+H69)*10%,0)))))),"")</f>
        <v>6851</v>
      </c>
      <c r="Q69" s="84">
        <f t="shared" ref="Q69:Q72" si="48">IFERROR(IF(B69="","",SUM(O69-P69)),"")</f>
        <v>210</v>
      </c>
      <c r="R69" s="85">
        <f>IFERROR(IF(B69="","",IF($AN$16=$AN$17,0,IF($B69="TOTAL",SUM($R$8:R68),IF($AN$19=$AN$20,$AN$25,0)))),"")</f>
        <v>0</v>
      </c>
      <c r="S69" s="85">
        <f>IFERROR(IF(B69="","",IF($AN$16=$AN$17,0,IF($B69="TOTAL",SUM($S$8:S68),IF($AN$19=$AN$20,$AN$24,0)))),"")</f>
        <v>0</v>
      </c>
      <c r="T69" s="84">
        <f t="shared" ref="T69:T72" si="49">IFERROR(IF(B69="","",SUM(R69-S69)),"")</f>
        <v>0</v>
      </c>
      <c r="U69" s="84" t="str">
        <f>IF(B69="","",IF($B69="TOTAL",SUM($U$8:U68),IF(AND($AN$2=$AN$20,B69=$AN$1),ROUND(C69/31*$AO$2,0),IF(B69=$AL$6,ROUND((F69)*1/30,0),IF(B69=$AM$6,ROUND((F69)*1/31,0),"")))))</f>
        <v/>
      </c>
      <c r="V69" s="84" t="str">
        <f>IF(B69="","",IF($B69="TOTAL",SUM($V$8:V68),IF(AND($AN$2=$AN$20,B69=$AN$1),ROUND(G69/31*$AO$2,0),IF(B69=$AL$6,ROUND((J69)*1/30,0),IF(B69=$AM$6,ROUND((J69)*1/31,0),"")))))</f>
        <v/>
      </c>
      <c r="W69" s="84" t="str">
        <f t="shared" ref="W69:W72" si="50">IFERROR(IF(B69="","",SUM(U69-V69)),"")</f>
        <v/>
      </c>
      <c r="X69" s="84" t="str">
        <f>IFERROR(IF($B69="TOTAL",SUM($X$8:X68),IF(BD70="YES",BE70,"")),"")</f>
        <v/>
      </c>
      <c r="Y69" s="84">
        <f>IFERROR(IF(B69="","",IF($B69="TOTAL",SUM($Y$8:Y68),ROUND(N69*$AN$7%,0))),"")</f>
        <v>0</v>
      </c>
      <c r="Z69" s="84">
        <f>IFERROR(IF(B69="","",IF($B69="TOTAL",SUM($Z$8:Z68),SUM(Q69,T69,W69,X69,Y69))),"")</f>
        <v>210</v>
      </c>
      <c r="AA69" s="86">
        <f>IFERROR(IF(B69="","",IF($B69="TOTAL",SUM($AA$8:AA68),SUM(N69-Z69))),"")</f>
        <v>2030</v>
      </c>
      <c r="AJ69" s="112">
        <f t="shared" si="13"/>
        <v>31</v>
      </c>
      <c r="AK69" s="112">
        <f t="shared" si="14"/>
        <v>31</v>
      </c>
      <c r="AM69" s="114">
        <v>44562</v>
      </c>
      <c r="AO69" s="114">
        <f t="shared" si="32"/>
        <v>44562</v>
      </c>
      <c r="AP69" s="114">
        <f t="shared" si="16"/>
        <v>44562</v>
      </c>
      <c r="AQ69" s="114">
        <f t="shared" si="41"/>
        <v>44562</v>
      </c>
      <c r="AR69" s="113">
        <f t="shared" si="33"/>
        <v>53900</v>
      </c>
      <c r="AS69" s="113">
        <f t="shared" si="30"/>
        <v>16709</v>
      </c>
      <c r="AT69" s="113">
        <f t="shared" si="34"/>
        <v>4851</v>
      </c>
      <c r="AU69" s="113"/>
      <c r="AV69" s="113">
        <f t="shared" si="35"/>
        <v>52300</v>
      </c>
      <c r="AW69" s="113">
        <f t="shared" si="36"/>
        <v>16213</v>
      </c>
      <c r="AX69" s="113">
        <f t="shared" si="37"/>
        <v>4707</v>
      </c>
      <c r="AY69" s="113">
        <f t="shared" si="38"/>
        <v>3675</v>
      </c>
      <c r="BB69" s="148">
        <f t="shared" si="39"/>
        <v>2240</v>
      </c>
      <c r="BC69" s="113">
        <f t="shared" si="40"/>
        <v>3675</v>
      </c>
      <c r="BD69" s="113" t="str">
        <f t="shared" si="23"/>
        <v/>
      </c>
      <c r="BE69" s="113" t="str">
        <f t="shared" si="24"/>
        <v/>
      </c>
      <c r="BF69" s="113">
        <f t="shared" si="25"/>
        <v>210</v>
      </c>
    </row>
    <row r="70" spans="1:58" ht="15">
      <c r="A70" s="82" t="str">
        <f t="shared" si="26"/>
        <v/>
      </c>
      <c r="B70" s="83" t="str">
        <f t="shared" si="44"/>
        <v>TOTAL</v>
      </c>
      <c r="C70" s="84">
        <f>IFERROR(IF($B69="TOTAL","अक्षरें राशि :-",IF($B70="TOTAL",SUM($C$8:C69),IF(AR71="","",AR71))),"")</f>
        <v>3113800</v>
      </c>
      <c r="D70" s="84">
        <f>IFERROR(IF($B70="TOTAL",SUM($D$8:D69),IF(AS71="","",AS71)),"")</f>
        <v>451762</v>
      </c>
      <c r="E70" s="84">
        <f>IFERROR(IF($B70="TOTAL",SUM($E$8:E69),IF(AT71="","",AT71)),"")</f>
        <v>219600</v>
      </c>
      <c r="F70" s="84">
        <f t="shared" si="45"/>
        <v>3785162</v>
      </c>
      <c r="G70" s="84">
        <f>IFERROR(IF($B70="TOTAL",SUM($G$8:G69),IF(AV71="","",AV71)),"")</f>
        <v>3023000</v>
      </c>
      <c r="H70" s="84">
        <f>IFERROR(IF($B70="TOTAL",SUM($H$8:H69),IF(AW71="","",AW71)),"")</f>
        <v>433859</v>
      </c>
      <c r="I70" s="84">
        <f>IFERROR(IF($B70="TOTAL",SUM($I$8:I69),IF(AX71="","",AX71)),"")</f>
        <v>213216</v>
      </c>
      <c r="J70" s="84">
        <f t="shared" si="46"/>
        <v>3670075</v>
      </c>
      <c r="K70" s="84">
        <f>IFERROR(IF(B70="","",IF(C70="","",IF(G70="","",IF($B70="TOTAL",SUM($K$8:K69),SUM(C70-G70))))),"")</f>
        <v>90800</v>
      </c>
      <c r="L70" s="84">
        <f>IFERROR(IF(B70="","",IF(D70="","",IF(H70="","",IF($B70="TOTAL",SUM($L$8:L69),SUM(D70-H70))))),"")</f>
        <v>17903</v>
      </c>
      <c r="M70" s="84">
        <f>IFERROR(IF(B70="","",IF(E70="","",IF(I70="","",IF($B70="TOTAL",SUM($M$8:M69),SUM(E70-I70))))),"")</f>
        <v>6384</v>
      </c>
      <c r="N70" s="84">
        <f t="shared" si="47"/>
        <v>115087</v>
      </c>
      <c r="O70" s="84">
        <f>IFERROR(IF(B70="","",IF($B70="TOTAL",SUM($O$8:O69),IF($AN$18=$AN$20,AY71,ROUND((C70+D70)*10%,0)))),"")</f>
        <v>356566</v>
      </c>
      <c r="P70" s="84">
        <f>IFERROR(IF(B70="","",IF(G70="","",IF(H70="","",IF($B70="TOTAL",SUM($P$8:P69),IF($AN$18=$AN$20,$AN$21,ROUND((G70+H70)*10%,0)))))),"")</f>
        <v>345691</v>
      </c>
      <c r="Q70" s="84">
        <f t="shared" si="48"/>
        <v>10875</v>
      </c>
      <c r="R70" s="85">
        <f>IFERROR(IF(B70="","",IF($AN$16=$AN$17,0,IF($B70="TOTAL",SUM($R$8:R69),IF($AN$19=$AN$20,$AN$25,0)))),"")</f>
        <v>0</v>
      </c>
      <c r="S70" s="85">
        <f>IFERROR(IF(B70="","",IF($AN$16=$AN$17,0,IF($B70="TOTAL",SUM($S$8:S69),IF($AN$19=$AN$20,$AN$24,0)))),"")</f>
        <v>0</v>
      </c>
      <c r="T70" s="84">
        <f t="shared" si="49"/>
        <v>0</v>
      </c>
      <c r="U70" s="84">
        <f>IF(B70="","",IF($B70="TOTAL",SUM($U$8:U69),IF(AND($AN$2=$AN$20,B70=$AN$1),ROUND(C70/31*$AO$2,0),IF(B70=$AL$6,ROUND((F70)*1/30,0),IF(B70=$AM$6,ROUND((F70)*1/31,0),"")))))</f>
        <v>4288</v>
      </c>
      <c r="V70" s="84">
        <f>IF(B70="","",IF($B70="TOTAL",SUM($V$8:V69),IF(AND($AN$2=$AN$20,B70=$AN$1),ROUND(G70/31*$AO$2,0),IF(B70=$AL$6,ROUND((J70)*1/30,0),IF(B70=$AM$6,ROUND((J70)*1/31,0),"")))))</f>
        <v>4165</v>
      </c>
      <c r="W70" s="84">
        <f t="shared" si="50"/>
        <v>123</v>
      </c>
      <c r="X70" s="84">
        <f>IFERROR(IF($B70="TOTAL",SUM($X$8:X69),IF(BD71="YES",BE71,"")),"")</f>
        <v>3750</v>
      </c>
      <c r="Y70" s="84">
        <f>IFERROR(IF(B70="","",IF($B70="TOTAL",SUM($Y$8:Y69),ROUND(N70*$AN$7%,0))),"")</f>
        <v>0</v>
      </c>
      <c r="Z70" s="84">
        <f>IFERROR(IF(B70="","",IF($B70="TOTAL",SUM($Z$8:Z69),SUM(Q70,T70,W70,X70,Y70))),"")</f>
        <v>14748</v>
      </c>
      <c r="AA70" s="86">
        <f>IFERROR(IF(B70="","",IF($B70="TOTAL",SUM($AA$8:AA69),SUM(N70-Z70))),"")</f>
        <v>100339</v>
      </c>
      <c r="AJ70" s="112">
        <f t="shared" si="13"/>
        <v>31</v>
      </c>
      <c r="AK70" s="112">
        <f t="shared" si="14"/>
        <v>31</v>
      </c>
      <c r="AM70" s="114">
        <v>44593</v>
      </c>
      <c r="AO70" s="114">
        <f t="shared" si="32"/>
        <v>44593</v>
      </c>
      <c r="AP70" s="114">
        <f t="shared" si="16"/>
        <v>44593</v>
      </c>
      <c r="AQ70" s="114">
        <f t="shared" si="41"/>
        <v>44593</v>
      </c>
      <c r="AR70" s="113">
        <f t="shared" si="33"/>
        <v>53900</v>
      </c>
      <c r="AS70" s="113">
        <f t="shared" si="30"/>
        <v>16709</v>
      </c>
      <c r="AT70" s="113">
        <f t="shared" si="34"/>
        <v>4851</v>
      </c>
      <c r="AU70" s="113"/>
      <c r="AV70" s="113">
        <f t="shared" si="35"/>
        <v>52300</v>
      </c>
      <c r="AW70" s="113">
        <f t="shared" si="36"/>
        <v>16213</v>
      </c>
      <c r="AX70" s="113">
        <f t="shared" si="37"/>
        <v>4707</v>
      </c>
      <c r="AY70" s="113">
        <f t="shared" si="38"/>
        <v>3675</v>
      </c>
      <c r="BB70" s="148">
        <f t="shared" si="39"/>
        <v>2240</v>
      </c>
      <c r="BC70" s="113">
        <f t="shared" si="40"/>
        <v>3675</v>
      </c>
      <c r="BD70" s="113" t="str">
        <f t="shared" si="23"/>
        <v/>
      </c>
      <c r="BE70" s="113" t="str">
        <f t="shared" si="24"/>
        <v/>
      </c>
      <c r="BF70" s="113">
        <f t="shared" si="25"/>
        <v>210</v>
      </c>
    </row>
    <row r="71" spans="1:58" ht="15">
      <c r="A71" s="82">
        <f t="shared" si="26"/>
        <v>0</v>
      </c>
      <c r="B71" s="83" t="str">
        <f t="shared" si="44"/>
        <v/>
      </c>
      <c r="C71" s="84" t="str">
        <f>IFERROR(IF($B70="TOTAL","अक्षरें राशि :-",IF($B71="TOTAL",SUM($C$8:C70),IF(AR72="","",AR72))),"")</f>
        <v>अक्षरें राशि :-</v>
      </c>
      <c r="D71" s="84" t="str">
        <f>IFERROR(IF($B71="TOTAL",SUM($D$8:D70),IF(AS72="","",AS72)),"")</f>
        <v/>
      </c>
      <c r="E71" s="84" t="str">
        <f>IFERROR(IF($B71="TOTAL",SUM($E$8:E70),IF(AT72="","",AT72)),"")</f>
        <v/>
      </c>
      <c r="F71" s="84" t="str">
        <f t="shared" si="45"/>
        <v/>
      </c>
      <c r="G71" s="84" t="str">
        <f>IFERROR(IF($B71="TOTAL",SUM($G$8:G70),IF(AV72="","",AV72)),"")</f>
        <v/>
      </c>
      <c r="H71" s="84" t="str">
        <f>IFERROR(IF($B71="TOTAL",SUM($H$8:H70),IF(AW72="","",AW72)),"")</f>
        <v/>
      </c>
      <c r="I71" s="84" t="str">
        <f>IFERROR(IF($B71="TOTAL",SUM($I$8:I70),IF(AX72="","",AX72)),"")</f>
        <v/>
      </c>
      <c r="J71" s="84" t="str">
        <f t="shared" si="46"/>
        <v/>
      </c>
      <c r="K71" s="84" t="str">
        <f>IFERROR(IF(B71="","",IF(C71="","",IF(G71="","",IF($B71="TOTAL",SUM($K$8:K70),SUM(C71-G71))))),"")</f>
        <v/>
      </c>
      <c r="L71" s="84" t="str">
        <f>IFERROR(IF(B71="","",IF(D71="","",IF(H71="","",IF($B71="TOTAL",SUM($L$8:L70),SUM(D71-H71))))),"")</f>
        <v/>
      </c>
      <c r="M71" s="84" t="str">
        <f>IFERROR(IF(B71="","",IF(E71="","",IF(I71="","",IF($B71="TOTAL",SUM($M$8:M70),SUM(E71-I71))))),"")</f>
        <v/>
      </c>
      <c r="N71" s="84" t="str">
        <f t="shared" si="47"/>
        <v/>
      </c>
      <c r="O71" s="84" t="str">
        <f>IFERROR(IF(B71="","",IF($B71="TOTAL",SUM($O$8:O70),IF($AN$18=$AN$20,AY72,ROUND((C71+D71)*10%,0)))),"")</f>
        <v/>
      </c>
      <c r="P71" s="84" t="str">
        <f>IFERROR(IF(B71="","",IF(G71="","",IF(H71="","",IF($B71="TOTAL",SUM($P$8:P70),IF($AN$18=$AN$20,$AN$21,ROUND((G71+H71)*10%,0)))))),"")</f>
        <v/>
      </c>
      <c r="Q71" s="84" t="str">
        <f t="shared" si="48"/>
        <v/>
      </c>
      <c r="R71" s="85" t="str">
        <f>IFERROR(IF(B71="","",IF($AN$16=$AN$17,0,IF($B71="TOTAL",SUM($R$8:R70),IF($AN$19=$AN$20,$AN$25,0)))),"")</f>
        <v/>
      </c>
      <c r="S71" s="85" t="str">
        <f>IFERROR(IF(B71="","",IF($AN$16=$AN$17,0,IF($B71="TOTAL",SUM($S$8:S70),IF($AN$19=$AN$20,$AN$24,0)))),"")</f>
        <v/>
      </c>
      <c r="T71" s="84" t="str">
        <f t="shared" si="49"/>
        <v/>
      </c>
      <c r="U71" s="84" t="str">
        <f>IF(B71="","",IF($B71="TOTAL",SUM($U$8:U70),IF(AND($AN$2=$AN$20,B71=$AN$1),ROUND(C71/31*$AO$2,0),IF(B71=$AL$6,ROUND((F71)*1/30,0),IF(B71=$AM$6,ROUND((F71)*1/31,0),"")))))</f>
        <v/>
      </c>
      <c r="V71" s="84" t="str">
        <f>IF(B71="","",IF($B71="TOTAL",SUM($V$8:V70),IF(AND($AN$2=$AN$20,B71=$AN$1),ROUND(G71/31*$AO$2,0),IF(B71=$AL$6,ROUND((J71)*1/30,0),IF(B71=$AM$6,ROUND((J71)*1/31,0),"")))))</f>
        <v/>
      </c>
      <c r="W71" s="84" t="str">
        <f t="shared" si="50"/>
        <v/>
      </c>
      <c r="X71" s="84" t="str">
        <f>IFERROR(IF($B71="TOTAL",SUM($X$8:X70),IF(BD72="YES",BE72,"")),"")</f>
        <v/>
      </c>
      <c r="Y71" s="84" t="str">
        <f>IFERROR(IF(B71="","",IF($B71="TOTAL",SUM($Y$8:Y70),ROUND(N71*$AN$7%,0))),"")</f>
        <v/>
      </c>
      <c r="Z71" s="84" t="str">
        <f>IFERROR(IF(B71="","",IF($B71="TOTAL",SUM($Z$8:Z70),SUM(Q71,T71,W71,X71,Y71))),"")</f>
        <v/>
      </c>
      <c r="AA71" s="86" t="str">
        <f>IFERROR(IF(B71="","",IF($B71="TOTAL",SUM($AA$8:AA70),SUM(N71-Z71))),"")</f>
        <v/>
      </c>
      <c r="AJ71" s="112">
        <f t="shared" si="13"/>
        <v>31</v>
      </c>
      <c r="AK71" s="112">
        <f t="shared" si="14"/>
        <v>31</v>
      </c>
      <c r="AM71" s="114">
        <v>44621</v>
      </c>
      <c r="AO71" s="114">
        <f t="shared" si="32"/>
        <v>44621</v>
      </c>
      <c r="AP71" s="114">
        <f>IF(AND(AO71=""),"",IF(AND(AO71=$AM$9),$AM$9,IF(AND(AO71=$AM$10),$AM$10,IF(AND(AO71=$AM$11),$AM$11,IF(AND(AO71=$AM$12),$AM$12,IF(AND(AO71=$AM$13),$AM$13,IF(AND(AO71=$AM$14),$AM$14,IF(AND(AO71=$AM$15),$AM$15,IF(AND(AO71=$AM$16),$AM$16,IF(AND(AO71=$AM$17),$AM$17,IF(AND(AO71=$AM$18),$AM$18,IF(AND(AO71=$AM$19),$AM$19,IF(AND(AO71=$AM$20),$AM$20,IF(AND(AO71=$AM$21),$AM$21,IF(AND(AO71=$AM$22),$AM$22,IF(AND(AO71=$AM$23),$AM$23,IF(AND(AO71=$AM$24),$AM$24,IF(AND(AO71=$AM$25),$AM$25,IF(AND(AO71=$AM$26),$AM$26,IF(AND(AO71=$AM$27),$AM$27,IF(AND(AO71=$AM$28),$AM$28,IF(AND(AO71=$AM$29),$AM$29,IF(AND(AO71=$AM$30),$AM$30,IF(AND(AO71=$AM$31),$AM$31,IF(AND(AO71=$AM$32),$AM$32,IF(AND(AO71=$AM$33),$AM$33,IF(AND(AO71=$AM$34),$AM$34,IF(AND(AO71=$AM$35),$AM$35,IF(AND(AO71=$AM$36),$AM$36,IF(AND(AO71=$AM$37),$AM$37,IF(AND(AO71=$AM$38),$AM$38,IF(AND(AO71=$AM$39),$AM$39,IF(AND(AO71=$AM$40),$AM$40,IF(AND(AO71=$AM$41),$AM$41,IF(AND(AO71=$AM$42),$AM$42,IF(AND(AO71=$AM$43),$AM$43,IF(AND(AO71=$AM$44),$AM$44,IF(AND(AO71=$AM$45),$AM$45,IF(AND(AO71=$AM$46),$AM$46,IF(AND(AO71=$AM$47),$AM$47,IF(AND(AO71=$AM$48),$AM$48,IF(AND(AO71=$AM$49),$AM$49,IF(AND(AO71=$AM$50),$AM$50,IF(AND(AO71=$AM$51),$AM$51,IF(AND(AO71=$AM$52),$AM$52,IF(AND(AO71=$AM$53),$AM$53,IF(AND(AO71=$AM$54),$AM$54,IF(AND(AO71=$AM$55),$AM$55,IF(AND(AO71=$AM$56),$AM$56,IF(AND(AO71=$AM$57),$AM$57,IF(AND(AO71=$AM$58),$AM$58,IF(AND(AO71=$AM$59),$AM$59,IF(AND(AO71=$AM$60),$AM$60,IF(AND(AO71=$AM$61),$AM$61,IF(AND(AO71=$AM$62),$AM$62,IF(AND(AO71=$AM$63),$AM$63,IF(AND(AO71=$AM$64),$AM$64,IF(AND(AO71=$AM$65),$AM$65,IF(AND(AO71=$AM$66),$AM$66,IF(AND(AO71=$AM$67),$AM$67,IF(AND(AO71=$AM$68),$AM$68,IF(AND(AO71=$AM$69),$AM$69,IF(AND(AO71=$AM$70),$AM$70,IF(AND(AO71=$AM$71),$AM$71,""))))))))))))))))))))))))))))))))))))))))))))))))))))))))))))))))</f>
        <v>44621</v>
      </c>
      <c r="AQ71" s="114" t="str">
        <f t="shared" si="41"/>
        <v>TOTAL</v>
      </c>
      <c r="AR71" s="113">
        <f t="shared" si="33"/>
        <v>53900</v>
      </c>
      <c r="AS71" s="113" t="str">
        <f t="shared" si="30"/>
        <v/>
      </c>
      <c r="AT71" s="113" t="str">
        <f t="shared" si="34"/>
        <v/>
      </c>
      <c r="AU71" s="113"/>
      <c r="AV71" s="113" t="str">
        <f t="shared" si="35"/>
        <v/>
      </c>
      <c r="AW71" s="113" t="str">
        <f t="shared" si="36"/>
        <v/>
      </c>
      <c r="AX71" s="113" t="str">
        <f t="shared" si="37"/>
        <v/>
      </c>
      <c r="AY71" s="113" t="str">
        <f t="shared" si="38"/>
        <v/>
      </c>
      <c r="BB71" s="148" t="str">
        <f t="shared" si="39"/>
        <v/>
      </c>
      <c r="BC71" s="113">
        <f t="shared" si="40"/>
        <v>3675</v>
      </c>
      <c r="BD71" s="113" t="str">
        <f t="shared" si="23"/>
        <v/>
      </c>
      <c r="BE71" s="113" t="str">
        <f t="shared" si="24"/>
        <v/>
      </c>
      <c r="BF71" s="113" t="str">
        <f t="shared" si="25"/>
        <v/>
      </c>
    </row>
    <row r="72" spans="1:58" ht="15">
      <c r="A72" s="82">
        <f t="shared" si="26"/>
        <v>0</v>
      </c>
      <c r="B72" s="83" t="str">
        <f t="shared" si="44"/>
        <v/>
      </c>
      <c r="C72" s="84" t="str">
        <f>IFERROR(IF($B71="TOTAL","अक्षरें राशि :-",IF($B72="TOTAL",SUM($C$8:C71),IF(AR73="","",AR73))),"")</f>
        <v/>
      </c>
      <c r="D72" s="84" t="str">
        <f>IFERROR(IF($B72="TOTAL",SUM($D$8:D71),IF(AS73="","",AS73)),"")</f>
        <v/>
      </c>
      <c r="E72" s="84" t="str">
        <f>IFERROR(IF($B72="TOTAL",SUM($E$8:E71),IF(AT73="","",AT73)),"")</f>
        <v/>
      </c>
      <c r="F72" s="84" t="str">
        <f t="shared" si="45"/>
        <v/>
      </c>
      <c r="G72" s="84" t="str">
        <f>IFERROR(IF($B72="TOTAL",SUM($G$8:G71),IF(AV73="","",AV73)),"")</f>
        <v/>
      </c>
      <c r="H72" s="84" t="str">
        <f>IFERROR(IF($B72="TOTAL",SUM($H$8:H71),IF(AW73="","",AW73)),"")</f>
        <v/>
      </c>
      <c r="I72" s="84" t="str">
        <f>IFERROR(IF($B72="TOTAL",SUM($I$8:I71),IF(AX73="","",AX73)),"")</f>
        <v/>
      </c>
      <c r="J72" s="84" t="str">
        <f t="shared" si="46"/>
        <v/>
      </c>
      <c r="K72" s="84" t="str">
        <f>IFERROR(IF(B72="","",IF(C72="","",IF(G72="","",IF($B72="TOTAL",SUM($K$8:K71),SUM(C72-G72))))),"")</f>
        <v/>
      </c>
      <c r="L72" s="84" t="str">
        <f>IFERROR(IF(B72="","",IF(D72="","",IF(H72="","",IF($B72="TOTAL",SUM($L$8:L71),SUM(D72-H72))))),"")</f>
        <v/>
      </c>
      <c r="M72" s="84" t="str">
        <f>IFERROR(IF(B72="","",IF(E72="","",IF(I72="","",IF($B72="TOTAL",SUM($M$8:M71),SUM(E72-I72))))),"")</f>
        <v/>
      </c>
      <c r="N72" s="84" t="str">
        <f t="shared" si="47"/>
        <v/>
      </c>
      <c r="O72" s="84" t="str">
        <f>IFERROR(IF(B72="","",IF($B72="TOTAL",SUM($O$8:O71),IF($AN$18=$AN$20,AY73,ROUND((C72+D72)*10%,0)))),"")</f>
        <v/>
      </c>
      <c r="P72" s="84" t="str">
        <f>IFERROR(IF(B72="","",IF(G72="","",IF(H72="","",IF($B72="TOTAL",SUM($P$8:P71),IF($AN$18=$AN$20,$AN$21,ROUND((G72+H72)*10%,0)))))),"")</f>
        <v/>
      </c>
      <c r="Q72" s="84" t="str">
        <f t="shared" si="48"/>
        <v/>
      </c>
      <c r="R72" s="85" t="str">
        <f>IFERROR(IF(B72="","",IF($AN$16=$AN$17,0,IF($B72="TOTAL",SUM($R$8:R71),IF($AN$19=$AN$20,$AN$25,0)))),"")</f>
        <v/>
      </c>
      <c r="S72" s="85" t="str">
        <f>IFERROR(IF(B72="","",IF($AN$16=$AN$17,0,IF($B72="TOTAL",SUM($S$8:S71),IF($AN$19=$AN$20,$AN$24,0)))),"")</f>
        <v/>
      </c>
      <c r="T72" s="84" t="str">
        <f t="shared" si="49"/>
        <v/>
      </c>
      <c r="U72" s="84" t="str">
        <f>IF(B72="","",IF($B72="TOTAL",SUM($U$8:U71),IF(AND($AN$2=$AN$20,B72=$AN$1),ROUND(C72/31*$AO$2,0),IF(B72=$AL$6,ROUND((F72)*1/30,0),IF(B72=$AM$6,ROUND((F72)*1/31,0),"")))))</f>
        <v/>
      </c>
      <c r="V72" s="84" t="str">
        <f>IF(B72="","",IF($B72="TOTAL",SUM($V$8:V71),IF(AND($AN$2=$AN$20,B72=$AN$1),ROUND(G72/31*$AO$2,0),IF(B72=$AL$6,ROUND((J72)*1/30,0),IF(B72=$AM$6,ROUND((J72)*1/31,0),"")))))</f>
        <v/>
      </c>
      <c r="W72" s="84" t="str">
        <f t="shared" si="50"/>
        <v/>
      </c>
      <c r="X72" s="84" t="str">
        <f>IFERROR(IF($B72="TOTAL",SUM($X$8:X71),IF(BD73="YES",BE73,"")),"")</f>
        <v/>
      </c>
      <c r="Y72" s="84" t="str">
        <f>IFERROR(IF(B72="","",IF($B72="TOTAL",SUM($Y$8:Y71),ROUND(N72*$AN$7%,0))),"")</f>
        <v/>
      </c>
      <c r="Z72" s="84" t="str">
        <f>IFERROR(IF(B72="","",IF($B72="TOTAL",SUM($Z$8:Z71),SUM(Q72,T72,W72,X72,Y72))),"")</f>
        <v/>
      </c>
      <c r="AA72" s="86" t="str">
        <f>IFERROR(IF(B72="","",IF($B72="TOTAL",SUM($AA$8:AA71),SUM(N72-Z72))),"")</f>
        <v/>
      </c>
      <c r="AJ72" s="112">
        <f t="shared" si="13"/>
        <v>31</v>
      </c>
      <c r="AK72" s="112">
        <f t="shared" si="14"/>
        <v>31</v>
      </c>
      <c r="AM72" s="114">
        <v>44652</v>
      </c>
      <c r="AO72" s="114">
        <f t="shared" si="32"/>
        <v>44652</v>
      </c>
      <c r="AP72" s="114" t="str">
        <f t="shared" si="16"/>
        <v/>
      </c>
      <c r="AQ72" s="114" t="str">
        <f t="shared" si="41"/>
        <v/>
      </c>
      <c r="AR72" s="113" t="str">
        <f t="shared" si="33"/>
        <v/>
      </c>
      <c r="AS72" s="113" t="str">
        <f t="shared" si="30"/>
        <v/>
      </c>
      <c r="AT72" s="113" t="str">
        <f t="shared" si="34"/>
        <v/>
      </c>
      <c r="AU72" s="113"/>
      <c r="AV72" s="113" t="str">
        <f t="shared" si="35"/>
        <v/>
      </c>
      <c r="AW72" s="113" t="str">
        <f t="shared" si="36"/>
        <v/>
      </c>
      <c r="AX72" s="113" t="str">
        <f t="shared" si="37"/>
        <v/>
      </c>
      <c r="AY72" s="113" t="str">
        <f t="shared" si="38"/>
        <v/>
      </c>
      <c r="BB72" s="148" t="str">
        <f t="shared" si="39"/>
        <v/>
      </c>
      <c r="BC72" s="113" t="str">
        <f t="shared" si="40"/>
        <v/>
      </c>
      <c r="BD72" s="113" t="str">
        <f t="shared" si="23"/>
        <v/>
      </c>
      <c r="BE72" s="113" t="str">
        <f t="shared" si="24"/>
        <v/>
      </c>
      <c r="BF72" s="113" t="str">
        <f t="shared" si="25"/>
        <v/>
      </c>
    </row>
    <row r="73" spans="1:58" ht="15">
      <c r="A73" s="82">
        <f t="shared" si="26"/>
        <v>0</v>
      </c>
      <c r="X73" s="84" t="str">
        <f>IFERROR(IF($B73="TOTAL",SUM($X$8:X72),IF(BD74="YES",BE74,"")),"")</f>
        <v/>
      </c>
      <c r="AJ73" s="112">
        <f t="shared" si="13"/>
        <v>31</v>
      </c>
      <c r="AK73" s="112">
        <f t="shared" si="14"/>
        <v>31</v>
      </c>
      <c r="AM73" s="114">
        <v>44682</v>
      </c>
      <c r="AO73" s="114">
        <f t="shared" si="32"/>
        <v>44682</v>
      </c>
      <c r="AP73" s="114" t="str">
        <f t="shared" si="16"/>
        <v/>
      </c>
      <c r="AQ73" s="114" t="str">
        <f t="shared" si="41"/>
        <v/>
      </c>
      <c r="AR73" s="113" t="str">
        <f t="shared" si="33"/>
        <v/>
      </c>
      <c r="AS73" s="113" t="str">
        <f t="shared" si="30"/>
        <v/>
      </c>
      <c r="AT73" s="113" t="str">
        <f t="shared" si="34"/>
        <v/>
      </c>
      <c r="AU73" s="113"/>
      <c r="AV73" s="113" t="str">
        <f t="shared" si="35"/>
        <v/>
      </c>
      <c r="AW73" s="113" t="str">
        <f t="shared" si="36"/>
        <v/>
      </c>
      <c r="AX73" s="113" t="str">
        <f t="shared" si="37"/>
        <v/>
      </c>
      <c r="AY73" s="113" t="str">
        <f t="shared" si="38"/>
        <v/>
      </c>
      <c r="BB73" s="148" t="str">
        <f t="shared" si="39"/>
        <v/>
      </c>
      <c r="BC73" s="113" t="str">
        <f t="shared" si="40"/>
        <v/>
      </c>
      <c r="BD73" s="113" t="str">
        <f t="shared" si="23"/>
        <v/>
      </c>
      <c r="BE73" s="113" t="str">
        <f t="shared" si="24"/>
        <v/>
      </c>
      <c r="BF73" s="113" t="str">
        <f t="shared" si="25"/>
        <v/>
      </c>
    </row>
    <row r="74" spans="1:58" ht="15">
      <c r="A74" s="82">
        <f t="shared" si="26"/>
        <v>0</v>
      </c>
      <c r="X74" s="84" t="str">
        <f>IFERROR(IF($B74="TOTAL",SUM($X$8:X73),IF(BD75="YES",BE75,"")),"")</f>
        <v/>
      </c>
      <c r="AJ74" s="112">
        <f t="shared" ref="AJ74:AJ80" si="51">IF(OR(AQ74=$AM$9,AQ74=$AM$10,AQ74=$AM$11,AQ74=$AM$12,AQ74=$AM$13,AQ74=$AM$14),4,IF(OR(AQ74=$AM$15,AQ74=$AM$16,AQ74=$AM$17,AQ74=$AM$18,AQ74=$AM$19,AQ74=$AM$20),5,IF(OR(AQ74=$AM$21,AQ74=$AM$22,AQ74=$AM$23,AQ74=$AM$24,AQ74=$AM$25,AQ74=$AM$26),7,IF(OR(AQ74=$AM$27,AQ74=$AM$28,AQ74=$AM$29,AQ74=$AM$30,AQ74=$AM$31,AQ74=$AM$32),9,IF(OR(AQ74=$AM$33,AQ74=$AM$34,AQ74=$AM$35,AQ74=$AM$36,AQ74=$AM$37,AQ74=$AM$38),12,IF(OR(AQ74=$AM$39,AQ74=$AM$40,AQ74=$AM$41,AQ74=$AM$42,AQ74=$AM$43,AQ74=$AM$44,AQ74=$AM$45,AQ74=$AM$46,AQ74=$AM$47,AQ74=$AM$48,AQ74=$AM$49,AQ74=$AM$50,AQ74=$AM$51,AQ74=$AM$52,AQ74=$AM$53,AQ74=$AM$54,AQ74=$AM$55,AQ74=$AM$56,AQ74=$AM$57,AQ74=$AM$58,AQ74=$AM$59,AQ74=$AM$60,AQ74=$AM$61,AQ74=$AM$62),17,31))))))</f>
        <v>31</v>
      </c>
      <c r="AK74" s="112">
        <f t="shared" ref="AK74:AK80" si="52">IF(OR(AQ74=$AM$9,AQ74=$AM$10,AQ74=$AM$11,AQ74=$AM$12,AQ74=$AM$13,AQ74=$AM$14),4,IF(OR(AQ74=$AM$15,AQ74=$AM$16,AQ74=$AM$17,AQ74=$AM$18,AQ74=$AM$19,AQ74=$AM$20),5,IF(OR(AQ74=$AM$21,AQ74=$AM$22,AQ74=$AM$23,AQ74=$AM$24,AQ74=$AM$25,AQ74=$AM$26),7,IF(OR(AQ74=$AM$27,AQ74=$AM$28,AQ74=$AM$29,AQ74=$AM$30,AQ74=$AM$31,AQ74=$AM$32),9,IF(OR(AQ74=$AM$33,AQ74=$AM$34,AQ74=$AM$35,AQ74=$AM$36,AQ74=$AM$37,AQ74=$AM$38),12,IF(OR(AQ74=$AM$39,AQ74=$AM$40,AQ74=$AM$41,AQ74=$AM$42,AQ74=$AM$43,AQ74=$AM$44,AQ74=$AM$45,AQ74=$AM$46,AQ74=$AM$47,AQ74=$AM$48,AQ74=$AM$49,AQ74=$AM$50,AQ74=$AM$51,AQ74=$AM$52,AQ74=$AM$53,AQ74=$AM$54,AQ74=$AM$55,AQ74=$AM$56,AQ74=$AM$57,AQ74=$AM$58,AQ74=$AM$59,AQ74=$AM$60,AQ74=$AM$61,AQ74=$AM$62),17,IF(OR(AQ74=$AM$63,AQ74=$AM$64,AQ74=$AM$65),28,31)))))))</f>
        <v>31</v>
      </c>
      <c r="AM74" s="114">
        <v>44713</v>
      </c>
      <c r="AO74" s="114">
        <f t="shared" si="32"/>
        <v>44713</v>
      </c>
      <c r="AP74" s="114" t="str">
        <f t="shared" ref="AP74:AP80" si="53">IF(AND(AO74=""),"",IF(AND(AO74=$AM$9),$AM$9,IF(AND(AO74=$AM$10),$AM$10,IF(AND(AO74=$AM$11),$AM$11,IF(AND(AO74=$AM$12),$AM$12,IF(AND(AO74=$AM$13),$AM$13,IF(AND(AO74=$AM$14),$AM$14,IF(AND(AO74=$AM$15),$AM$15,IF(AND(AO74=$AM$16),$AM$16,IF(AND(AO74=$AM$17),$AM$17,IF(AND(AO74=$AM$18),$AM$18,IF(AND(AO74=$AM$19),$AM$19,IF(AND(AO74=$AM$20),$AM$20,IF(AND(AO74=$AM$21),$AM$21,IF(AND(AO74=$AM$22),$AM$22,IF(AND(AO74=$AM$23),$AM$23,IF(AND(AO74=$AM$24),$AM$24,IF(AND(AO74=$AM$25),$AM$25,IF(AND(AO74=$AM$26),$AM$26,IF(AND(AO74=$AM$27),$AM$27,IF(AND(AO74=$AM$28),$AM$28,IF(AND(AO74=$AM$29),$AM$29,IF(AND(AO74=$AM$30),$AM$30,IF(AND(AO74=$AM$31),$AM$31,IF(AND(AO74=$AM$32),$AM$32,IF(AND(AO74=$AM$33),$AM$33,IF(AND(AO74=$AM$34),$AM$34,IF(AND(AO74=$AM$35),$AM$35,IF(AND(AO74=$AM$36),$AM$36,IF(AND(AO74=$AM$37),$AM$37,IF(AND(AO74=$AM$38),$AM$38,IF(AND(AO74=$AM$39),$AM$39,IF(AND(AO74=$AM$40),$AM$40,IF(AND(AO74=$AM$41),$AM$41,IF(AND(AO74=$AM$42),$AM$42,IF(AND(AO74=$AM$43),$AM$43,IF(AND(AO74=$AM$44),$AM$44,IF(AND(AO74=$AM$45),$AM$45,IF(AND(AO74=$AM$46),$AM$46,IF(AND(AO74=$AM$47),$AM$47,IF(AND(AO74=$AM$48),$AM$48,IF(AND(AO74=$AM$49),$AM$49,IF(AND(AO74=$AM$50),$AM$50,IF(AND(AO74=$AM$51),$AM$51,IF(AND(AO74=$AM$52),$AM$52,IF(AND(AO74=$AM$53),$AM$53,IF(AND(AO74=$AM$54),$AM$54,IF(AND(AO74=$AM$55),$AM$55,IF(AND(AO74=$AM$56),$AM$56,IF(AND(AO74=$AM$57),$AM$57,IF(AND(AO74=$AM$58),$AM$58,IF(AND(AO74=$AM$59),$AM$59,IF(AND(AO74=$AM$60),$AM$60,IF(AND(AO74=$AM$61),$AM$61,IF(AND(AO74=$AM$62),$AM$62,IF(AND(AO74=$AM$63),$AM$63,IF(AND(AO74=$AM$64),$AM$64,IF(AND(AO74=$AM$65),$AM$65,IF(AND(AO74=$AM$66),$AM$66,IF(AND(AO74=$AM$67),$AM$67,IF(AND(AO74=$AM$68),$AM$68,IF(AND(AO74=$AM$69),$AM$69,IF(AND(AO74=$AM$70),$AM$70,IF(AND(AO74=$AM$71),$AM$71,""))))))))))))))))))))))))))))))))))))))))))))))))))))))))))))))))</f>
        <v/>
      </c>
      <c r="AQ74" s="114" t="str">
        <f t="shared" ref="AQ74:AQ80" si="54">IFERROR(IF(AP74="","",IF(DATE(YEAR(AP74),MONTH(AP74),DAY(AP74))=DATE(YEAR($AO$6),MONTH($AO$6)+1,DAY($AO$6)),"TOTAL",IF(AP74&gt;$AO$6,"",AP74))),"")</f>
        <v/>
      </c>
      <c r="AR74" s="113" t="str">
        <f t="shared" si="33"/>
        <v/>
      </c>
      <c r="AS74" s="113" t="str">
        <f t="shared" si="30"/>
        <v/>
      </c>
      <c r="AT74" s="113" t="str">
        <f t="shared" si="34"/>
        <v/>
      </c>
      <c r="AU74" s="113"/>
      <c r="AV74" s="113" t="str">
        <f t="shared" si="35"/>
        <v/>
      </c>
      <c r="AW74" s="113" t="str">
        <f t="shared" si="36"/>
        <v/>
      </c>
      <c r="AX74" s="113" t="str">
        <f t="shared" si="37"/>
        <v/>
      </c>
      <c r="AY74" s="113" t="str">
        <f t="shared" si="38"/>
        <v/>
      </c>
      <c r="BB74" s="148" t="str">
        <f t="shared" si="39"/>
        <v/>
      </c>
      <c r="BC74" s="113" t="str">
        <f t="shared" si="40"/>
        <v/>
      </c>
      <c r="BD74" s="113" t="str">
        <f t="shared" ref="BD74:BD80" si="55">IF(OR(AQ74=$AM$63,AQ74=$AM$64,AQ74=$AM$65),"YES","")</f>
        <v/>
      </c>
      <c r="BE74" s="113" t="str">
        <f t="shared" ref="BE74:BE82" si="56">IFERROR(IF(BD74="yes",SUM(ROUND(AR74*3%,0)-BF74),""),"")</f>
        <v/>
      </c>
      <c r="BF74" s="113" t="str">
        <f t="shared" ref="BF74:BF82" si="57">IFERROR(IF($AN$18=$AN$20,Q73,ROUND((AR74+AS74)*10%,0)-ROUND((AV74+AW74)*10%,0)),"")</f>
        <v/>
      </c>
    </row>
    <row r="75" spans="1:58" ht="15">
      <c r="AJ75" s="112">
        <f t="shared" si="51"/>
        <v>31</v>
      </c>
      <c r="AK75" s="112">
        <f t="shared" si="52"/>
        <v>31</v>
      </c>
      <c r="AM75" s="114">
        <v>44743</v>
      </c>
      <c r="AO75" s="114">
        <f t="shared" si="32"/>
        <v>44743</v>
      </c>
      <c r="AP75" s="114" t="str">
        <f t="shared" si="53"/>
        <v/>
      </c>
      <c r="AQ75" s="114" t="str">
        <f t="shared" si="54"/>
        <v/>
      </c>
      <c r="AR75" s="113" t="str">
        <f t="shared" si="33"/>
        <v/>
      </c>
      <c r="AS75" s="113" t="str">
        <f t="shared" ref="AS75:AS80" si="58">IF(AQ75="","",IF(AQ75="TOTAL","",ROUND(AR75*AJ75%,0)))</f>
        <v/>
      </c>
      <c r="AT75" s="113" t="str">
        <f t="shared" si="34"/>
        <v/>
      </c>
      <c r="AU75" s="113"/>
      <c r="AV75" s="113" t="str">
        <f t="shared" si="35"/>
        <v/>
      </c>
      <c r="AW75" s="113" t="str">
        <f t="shared" si="36"/>
        <v/>
      </c>
      <c r="AX75" s="113" t="str">
        <f t="shared" si="37"/>
        <v/>
      </c>
      <c r="AY75" s="113" t="str">
        <f t="shared" si="38"/>
        <v/>
      </c>
      <c r="BB75" s="148" t="str">
        <f t="shared" si="39"/>
        <v/>
      </c>
      <c r="BC75" s="113" t="str">
        <f t="shared" si="40"/>
        <v/>
      </c>
      <c r="BD75" s="113" t="str">
        <f t="shared" si="55"/>
        <v/>
      </c>
      <c r="BE75" s="113" t="str">
        <f t="shared" si="56"/>
        <v/>
      </c>
      <c r="BF75" s="113" t="str">
        <f t="shared" si="57"/>
        <v/>
      </c>
    </row>
    <row r="76" spans="1:58" ht="15">
      <c r="AJ76" s="112">
        <f t="shared" si="51"/>
        <v>31</v>
      </c>
      <c r="AK76" s="112">
        <f t="shared" si="52"/>
        <v>31</v>
      </c>
      <c r="AM76" s="114">
        <v>44774</v>
      </c>
      <c r="AO76" s="114">
        <f t="shared" si="32"/>
        <v>44774</v>
      </c>
      <c r="AP76" s="114" t="str">
        <f t="shared" si="53"/>
        <v/>
      </c>
      <c r="AQ76" s="114" t="str">
        <f t="shared" si="54"/>
        <v/>
      </c>
      <c r="AR76" s="113" t="str">
        <f t="shared" si="33"/>
        <v/>
      </c>
      <c r="AS76" s="113" t="str">
        <f t="shared" si="58"/>
        <v/>
      </c>
      <c r="AT76" s="113" t="str">
        <f t="shared" si="34"/>
        <v/>
      </c>
      <c r="AU76" s="113"/>
      <c r="AV76" s="113" t="str">
        <f t="shared" si="35"/>
        <v/>
      </c>
      <c r="AW76" s="113" t="str">
        <f t="shared" si="36"/>
        <v/>
      </c>
      <c r="AX76" s="113" t="str">
        <f t="shared" si="37"/>
        <v/>
      </c>
      <c r="AY76" s="113" t="str">
        <f t="shared" si="38"/>
        <v/>
      </c>
      <c r="BB76" s="148" t="str">
        <f t="shared" si="39"/>
        <v/>
      </c>
      <c r="BC76" s="113" t="str">
        <f t="shared" si="40"/>
        <v/>
      </c>
      <c r="BD76" s="113" t="str">
        <f t="shared" si="55"/>
        <v/>
      </c>
      <c r="BE76" s="113" t="str">
        <f t="shared" si="56"/>
        <v/>
      </c>
      <c r="BF76" s="113" t="str">
        <f t="shared" si="57"/>
        <v/>
      </c>
    </row>
    <row r="77" spans="1:58" ht="15">
      <c r="AJ77" s="112">
        <f t="shared" si="51"/>
        <v>31</v>
      </c>
      <c r="AK77" s="112">
        <f t="shared" si="52"/>
        <v>31</v>
      </c>
      <c r="AM77" s="114">
        <v>44805</v>
      </c>
      <c r="AO77" s="114">
        <f t="shared" si="32"/>
        <v>44805</v>
      </c>
      <c r="AP77" s="114" t="str">
        <f t="shared" si="53"/>
        <v/>
      </c>
      <c r="AQ77" s="114" t="str">
        <f t="shared" si="54"/>
        <v/>
      </c>
      <c r="AR77" s="113" t="str">
        <f t="shared" si="33"/>
        <v/>
      </c>
      <c r="AS77" s="113" t="str">
        <f t="shared" si="58"/>
        <v/>
      </c>
      <c r="AT77" s="113" t="str">
        <f t="shared" si="34"/>
        <v/>
      </c>
      <c r="AU77" s="113"/>
      <c r="AV77" s="113" t="str">
        <f t="shared" si="35"/>
        <v/>
      </c>
      <c r="AW77" s="113" t="str">
        <f t="shared" si="36"/>
        <v/>
      </c>
      <c r="AX77" s="113" t="str">
        <f t="shared" si="37"/>
        <v/>
      </c>
      <c r="AY77" s="113" t="str">
        <f t="shared" si="38"/>
        <v/>
      </c>
      <c r="BB77" s="148" t="str">
        <f t="shared" si="39"/>
        <v/>
      </c>
      <c r="BC77" s="113" t="str">
        <f t="shared" si="40"/>
        <v/>
      </c>
      <c r="BD77" s="113" t="str">
        <f t="shared" si="55"/>
        <v/>
      </c>
      <c r="BE77" s="113" t="str">
        <f t="shared" si="56"/>
        <v/>
      </c>
      <c r="BF77" s="113" t="str">
        <f t="shared" si="57"/>
        <v/>
      </c>
    </row>
    <row r="78" spans="1:58" ht="15">
      <c r="AJ78" s="112">
        <f t="shared" si="51"/>
        <v>31</v>
      </c>
      <c r="AK78" s="112">
        <f t="shared" si="52"/>
        <v>31</v>
      </c>
      <c r="AM78" s="114">
        <v>44835</v>
      </c>
      <c r="AO78" s="114">
        <f t="shared" si="32"/>
        <v>44835</v>
      </c>
      <c r="AP78" s="114" t="str">
        <f t="shared" si="53"/>
        <v/>
      </c>
      <c r="AQ78" s="114" t="str">
        <f t="shared" si="54"/>
        <v/>
      </c>
      <c r="AR78" s="113" t="str">
        <f t="shared" si="33"/>
        <v/>
      </c>
      <c r="AS78" s="113" t="str">
        <f t="shared" si="58"/>
        <v/>
      </c>
      <c r="AT78" s="113" t="str">
        <f t="shared" si="34"/>
        <v/>
      </c>
      <c r="AU78" s="113"/>
      <c r="AV78" s="113" t="str">
        <f t="shared" si="35"/>
        <v/>
      </c>
      <c r="AW78" s="113" t="str">
        <f t="shared" si="36"/>
        <v/>
      </c>
      <c r="AX78" s="113" t="str">
        <f t="shared" si="37"/>
        <v/>
      </c>
      <c r="AY78" s="113" t="str">
        <f t="shared" si="38"/>
        <v/>
      </c>
      <c r="BB78" s="148" t="str">
        <f t="shared" si="39"/>
        <v/>
      </c>
      <c r="BC78" s="113" t="str">
        <f t="shared" si="40"/>
        <v/>
      </c>
      <c r="BD78" s="113" t="str">
        <f t="shared" si="55"/>
        <v/>
      </c>
      <c r="BE78" s="113" t="str">
        <f t="shared" si="56"/>
        <v/>
      </c>
      <c r="BF78" s="113" t="str">
        <f t="shared" si="57"/>
        <v/>
      </c>
    </row>
    <row r="79" spans="1:58" ht="15">
      <c r="AJ79" s="112">
        <f t="shared" si="51"/>
        <v>31</v>
      </c>
      <c r="AK79" s="112">
        <f t="shared" si="52"/>
        <v>31</v>
      </c>
      <c r="AM79" s="114">
        <v>44866</v>
      </c>
      <c r="AO79" s="114">
        <f t="shared" si="32"/>
        <v>44866</v>
      </c>
      <c r="AP79" s="114" t="str">
        <f t="shared" si="53"/>
        <v/>
      </c>
      <c r="AQ79" s="114" t="str">
        <f t="shared" si="54"/>
        <v/>
      </c>
      <c r="AR79" s="113" t="str">
        <f t="shared" si="33"/>
        <v/>
      </c>
      <c r="AS79" s="113" t="str">
        <f t="shared" si="58"/>
        <v/>
      </c>
      <c r="AT79" s="113" t="str">
        <f t="shared" si="34"/>
        <v/>
      </c>
      <c r="AU79" s="113"/>
      <c r="AV79" s="113" t="str">
        <f t="shared" si="35"/>
        <v/>
      </c>
      <c r="AW79" s="113" t="str">
        <f t="shared" si="36"/>
        <v/>
      </c>
      <c r="AX79" s="113" t="str">
        <f t="shared" si="37"/>
        <v/>
      </c>
      <c r="AY79" s="113" t="str">
        <f t="shared" si="38"/>
        <v/>
      </c>
      <c r="BB79" s="148" t="str">
        <f t="shared" si="39"/>
        <v/>
      </c>
      <c r="BC79" s="113" t="str">
        <f t="shared" si="40"/>
        <v/>
      </c>
      <c r="BD79" s="113" t="str">
        <f t="shared" si="55"/>
        <v/>
      </c>
      <c r="BE79" s="113" t="str">
        <f t="shared" si="56"/>
        <v/>
      </c>
      <c r="BF79" s="113" t="str">
        <f t="shared" si="57"/>
        <v/>
      </c>
    </row>
    <row r="80" spans="1:58" ht="15">
      <c r="AJ80" s="112">
        <f t="shared" si="51"/>
        <v>31</v>
      </c>
      <c r="AK80" s="112">
        <f t="shared" si="52"/>
        <v>31</v>
      </c>
      <c r="AM80" s="114">
        <v>44896</v>
      </c>
      <c r="AO80" s="114">
        <f t="shared" si="32"/>
        <v>44896</v>
      </c>
      <c r="AP80" s="114" t="str">
        <f t="shared" si="53"/>
        <v/>
      </c>
      <c r="AQ80" s="114" t="str">
        <f t="shared" si="54"/>
        <v/>
      </c>
      <c r="AR80" s="113" t="str">
        <f t="shared" si="33"/>
        <v/>
      </c>
      <c r="AS80" s="113" t="str">
        <f t="shared" si="58"/>
        <v/>
      </c>
      <c r="AT80" s="113" t="str">
        <f t="shared" si="34"/>
        <v/>
      </c>
      <c r="AU80" s="113"/>
      <c r="AV80" s="113" t="str">
        <f t="shared" si="35"/>
        <v/>
      </c>
      <c r="AW80" s="113" t="str">
        <f t="shared" si="36"/>
        <v/>
      </c>
      <c r="AX80" s="113" t="str">
        <f t="shared" si="37"/>
        <v/>
      </c>
      <c r="AY80" s="113" t="str">
        <f t="shared" si="38"/>
        <v/>
      </c>
      <c r="BB80" s="148" t="str">
        <f t="shared" si="39"/>
        <v/>
      </c>
      <c r="BC80" s="113" t="str">
        <f t="shared" si="40"/>
        <v/>
      </c>
      <c r="BD80" s="113" t="str">
        <f t="shared" si="55"/>
        <v/>
      </c>
      <c r="BE80" s="113" t="str">
        <f t="shared" si="56"/>
        <v/>
      </c>
      <c r="BF80" s="113" t="str">
        <f t="shared" si="57"/>
        <v/>
      </c>
    </row>
    <row r="81" spans="57:58">
      <c r="BE81" s="113" t="str">
        <f t="shared" si="56"/>
        <v/>
      </c>
      <c r="BF81" s="113">
        <f t="shared" si="57"/>
        <v>0</v>
      </c>
    </row>
    <row r="82" spans="57:58">
      <c r="BE82" s="113" t="str">
        <f t="shared" si="56"/>
        <v/>
      </c>
      <c r="BF82" s="113">
        <f t="shared" si="57"/>
        <v>0</v>
      </c>
    </row>
    <row r="83" spans="57:58"/>
    <row r="84" spans="57:58"/>
    <row r="85" spans="57:58"/>
    <row r="86" spans="57:58"/>
    <row r="87" spans="57:58"/>
    <row r="88" spans="57:58"/>
    <row r="89" spans="57:58"/>
  </sheetData>
  <sheetProtection password="C1FB" sheet="1" objects="1" scenarios="1" formatColumns="0" formatRows="0"/>
  <mergeCells count="30">
    <mergeCell ref="W4:AC4"/>
    <mergeCell ref="S3:U3"/>
    <mergeCell ref="V3:W3"/>
    <mergeCell ref="B4:D4"/>
    <mergeCell ref="G4:L4"/>
    <mergeCell ref="M4:O4"/>
    <mergeCell ref="Q4:S4"/>
    <mergeCell ref="T4:V4"/>
    <mergeCell ref="A6:A7"/>
    <mergeCell ref="Z6:Z7"/>
    <mergeCell ref="AA6:AA7"/>
    <mergeCell ref="AB6:AB7"/>
    <mergeCell ref="AC6:AC7"/>
    <mergeCell ref="X6:X7"/>
    <mergeCell ref="B1:AC1"/>
    <mergeCell ref="B2:AC2"/>
    <mergeCell ref="B6:B7"/>
    <mergeCell ref="C6:F6"/>
    <mergeCell ref="G6:J6"/>
    <mergeCell ref="K6:N6"/>
    <mergeCell ref="O6:Q6"/>
    <mergeCell ref="R6:T6"/>
    <mergeCell ref="U6:W6"/>
    <mergeCell ref="Y6:Y7"/>
    <mergeCell ref="B3:D3"/>
    <mergeCell ref="E3:K3"/>
    <mergeCell ref="N3:R3"/>
    <mergeCell ref="L3:M3"/>
    <mergeCell ref="Y3:AA3"/>
    <mergeCell ref="AB3:AC3"/>
  </mergeCells>
  <conditionalFormatting sqref="B18:B19 A8:A74">
    <cfRule type="expression" dxfId="5" priority="3" stopIfTrue="1">
      <formula>$B8=""</formula>
    </cfRule>
    <cfRule type="cellIs" dxfId="4" priority="5" operator="equal">
      <formula>0</formula>
    </cfRule>
  </conditionalFormatting>
  <conditionalFormatting sqref="A8:AC69 X14:Z70 A69:A74 B69:AC72 X10:X74">
    <cfRule type="expression" dxfId="3" priority="4" stopIfTrue="1">
      <formula>$A8&gt;0</formula>
    </cfRule>
  </conditionalFormatting>
  <conditionalFormatting sqref="B9:AC72 X10:X74">
    <cfRule type="expression" dxfId="2" priority="2" stopIfTrue="1">
      <formula>$B9="TOTAL"</formula>
    </cfRule>
  </conditionalFormatting>
  <conditionalFormatting sqref="C9:C72">
    <cfRule type="expression" dxfId="1" priority="1" stopIfTrue="1">
      <formula>$C9="अक्षरें राशि :-"</formula>
    </cfRule>
  </conditionalFormatting>
  <pageMargins left="0.5" right="0.4" top="0.5" bottom="0.5" header="0.3" footer="0.3"/>
  <pageSetup paperSize="9" scale="69" fitToWidth="2" fitToHeight="2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99"/>
  </sheetPr>
  <dimension ref="A1:AJ86"/>
  <sheetViews>
    <sheetView showGridLines="0" workbookViewId="0">
      <selection activeCell="AB54" sqref="AB54"/>
    </sheetView>
  </sheetViews>
  <sheetFormatPr defaultColWidth="9.125" defaultRowHeight="12.75"/>
  <cols>
    <col min="1" max="1" width="4.75" style="16" customWidth="1"/>
    <col min="2" max="2" width="8.625" style="45" customWidth="1"/>
    <col min="3" max="3" width="8.125" style="46" customWidth="1"/>
    <col min="4" max="14" width="6.625" style="46" customWidth="1"/>
    <col min="15" max="25" width="5.625" style="46" customWidth="1"/>
    <col min="26" max="26" width="7.625" style="16" customWidth="1"/>
    <col min="27" max="27" width="7.375" style="16" customWidth="1"/>
    <col min="28" max="28" width="8.75" style="16" customWidth="1"/>
    <col min="29" max="29" width="9.125" style="16" customWidth="1"/>
    <col min="30" max="35" width="9.125" style="16"/>
    <col min="36" max="36" width="9.125" style="16" customWidth="1"/>
    <col min="37" max="16384" width="9.125" style="16"/>
  </cols>
  <sheetData>
    <row r="1" spans="1:36" ht="22.5">
      <c r="B1" s="196" t="str">
        <f>IF('Master Sheet'!D3="","",CONCATENATE("Office ",'Master Sheet'!D3))</f>
        <v>Office Mahtma Gandhi Government School (English Medium) Bar, PALI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</row>
    <row r="2" spans="1:36" ht="20.25">
      <c r="B2" s="197" t="s">
        <v>23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</row>
    <row r="3" spans="1:36" s="17" customFormat="1" ht="19.5" customHeight="1">
      <c r="B3" s="200" t="s">
        <v>28</v>
      </c>
      <c r="C3" s="200"/>
      <c r="D3" s="200"/>
      <c r="E3" s="201" t="str">
        <f>IFERROR(UPPER('Master Sheet'!D7),"")</f>
        <v>HEERALAL JAT</v>
      </c>
      <c r="F3" s="201"/>
      <c r="G3" s="201"/>
      <c r="H3" s="201"/>
      <c r="I3" s="201"/>
      <c r="J3" s="201"/>
      <c r="K3" s="201"/>
      <c r="L3" s="203" t="s">
        <v>0</v>
      </c>
      <c r="M3" s="203"/>
      <c r="N3" s="202" t="str">
        <f>IFERROR(UPPER('Master Sheet'!G7),"")</f>
        <v>SR. TEACHER</v>
      </c>
      <c r="O3" s="202"/>
      <c r="P3" s="202"/>
      <c r="Q3" s="202"/>
      <c r="R3" s="202"/>
      <c r="S3" s="204" t="s">
        <v>29</v>
      </c>
      <c r="T3" s="204"/>
      <c r="U3" s="204"/>
      <c r="V3" s="209" t="str">
        <f>IFERROR(CONCATENATE("L - ",'Master Sheet'!K7),"")</f>
        <v>L - 11</v>
      </c>
      <c r="W3" s="209"/>
      <c r="X3" s="154"/>
      <c r="Y3" s="204" t="s">
        <v>90</v>
      </c>
      <c r="Z3" s="204"/>
      <c r="AA3" s="204"/>
      <c r="AB3" s="205" t="str">
        <f>IF('Arrear Sheet'!AN18='Arrear Sheet'!AN20,"GPF","NPS")</f>
        <v>NPS</v>
      </c>
      <c r="AC3" s="205"/>
    </row>
    <row r="4" spans="1:36" s="17" customFormat="1" ht="20.25" customHeight="1">
      <c r="B4" s="200"/>
      <c r="C4" s="200"/>
      <c r="D4" s="200"/>
      <c r="E4" s="94"/>
      <c r="F4" s="18"/>
      <c r="G4" s="200" t="s">
        <v>30</v>
      </c>
      <c r="H4" s="200"/>
      <c r="I4" s="200"/>
      <c r="J4" s="200"/>
      <c r="K4" s="200"/>
      <c r="L4" s="200"/>
      <c r="M4" s="210">
        <f>IFERROR('Master Sheet'!D9,"")</f>
        <v>42736</v>
      </c>
      <c r="N4" s="210"/>
      <c r="O4" s="210"/>
      <c r="P4" s="19" t="s">
        <v>31</v>
      </c>
      <c r="Q4" s="210">
        <f>IFERROR('Master Sheet'!G9,"")</f>
        <v>44593</v>
      </c>
      <c r="R4" s="210"/>
      <c r="S4" s="210"/>
      <c r="T4" s="203" t="s">
        <v>32</v>
      </c>
      <c r="U4" s="203"/>
      <c r="V4" s="203"/>
      <c r="W4" s="208"/>
      <c r="X4" s="208"/>
      <c r="Y4" s="208"/>
      <c r="Z4" s="208"/>
      <c r="AA4" s="208"/>
      <c r="AB4" s="208"/>
      <c r="AC4" s="208"/>
    </row>
    <row r="5" spans="1:36" ht="9.75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1"/>
      <c r="N5" s="21"/>
      <c r="O5" s="22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36" ht="33" customHeight="1">
      <c r="A6" s="211" t="s">
        <v>22</v>
      </c>
      <c r="B6" s="198" t="s">
        <v>1</v>
      </c>
      <c r="C6" s="198" t="s">
        <v>2</v>
      </c>
      <c r="D6" s="198"/>
      <c r="E6" s="198"/>
      <c r="F6" s="198"/>
      <c r="G6" s="198" t="s">
        <v>3</v>
      </c>
      <c r="H6" s="198"/>
      <c r="I6" s="198"/>
      <c r="J6" s="198"/>
      <c r="K6" s="198" t="s">
        <v>4</v>
      </c>
      <c r="L6" s="198"/>
      <c r="M6" s="198"/>
      <c r="N6" s="198"/>
      <c r="O6" s="198" t="s">
        <v>20</v>
      </c>
      <c r="P6" s="198"/>
      <c r="Q6" s="198"/>
      <c r="R6" s="198" t="s">
        <v>5</v>
      </c>
      <c r="S6" s="198"/>
      <c r="T6" s="198"/>
      <c r="U6" s="198" t="s">
        <v>21</v>
      </c>
      <c r="V6" s="198"/>
      <c r="W6" s="198"/>
      <c r="X6" s="228" t="s">
        <v>136</v>
      </c>
      <c r="Y6" s="199" t="s">
        <v>6</v>
      </c>
      <c r="Z6" s="199" t="s">
        <v>7</v>
      </c>
      <c r="AA6" s="199" t="s">
        <v>8</v>
      </c>
      <c r="AB6" s="199" t="s">
        <v>9</v>
      </c>
      <c r="AC6" s="199" t="s">
        <v>10</v>
      </c>
    </row>
    <row r="7" spans="1:36" ht="27" customHeight="1">
      <c r="A7" s="212"/>
      <c r="B7" s="198"/>
      <c r="C7" s="23" t="s">
        <v>11</v>
      </c>
      <c r="D7" s="23" t="s">
        <v>12</v>
      </c>
      <c r="E7" s="79" t="s">
        <v>13</v>
      </c>
      <c r="F7" s="79" t="s">
        <v>14</v>
      </c>
      <c r="G7" s="79" t="s">
        <v>11</v>
      </c>
      <c r="H7" s="79" t="s">
        <v>12</v>
      </c>
      <c r="I7" s="79" t="s">
        <v>13</v>
      </c>
      <c r="J7" s="79" t="s">
        <v>14</v>
      </c>
      <c r="K7" s="79" t="s">
        <v>11</v>
      </c>
      <c r="L7" s="79" t="s">
        <v>12</v>
      </c>
      <c r="M7" s="79" t="s">
        <v>13</v>
      </c>
      <c r="N7" s="79" t="s">
        <v>14</v>
      </c>
      <c r="O7" s="79" t="s">
        <v>15</v>
      </c>
      <c r="P7" s="79" t="s">
        <v>16</v>
      </c>
      <c r="Q7" s="79" t="s">
        <v>17</v>
      </c>
      <c r="R7" s="79" t="s">
        <v>15</v>
      </c>
      <c r="S7" s="79" t="s">
        <v>16</v>
      </c>
      <c r="T7" s="79" t="s">
        <v>17</v>
      </c>
      <c r="U7" s="79" t="s">
        <v>15</v>
      </c>
      <c r="V7" s="79" t="s">
        <v>16</v>
      </c>
      <c r="W7" s="79" t="s">
        <v>17</v>
      </c>
      <c r="X7" s="229"/>
      <c r="Y7" s="199"/>
      <c r="Z7" s="199"/>
      <c r="AA7" s="199"/>
      <c r="AB7" s="199"/>
      <c r="AC7" s="199"/>
    </row>
    <row r="8" spans="1:36" s="31" customFormat="1" ht="21" customHeight="1">
      <c r="A8" s="24">
        <v>1</v>
      </c>
      <c r="B8" s="25">
        <v>43160</v>
      </c>
      <c r="C8" s="95"/>
      <c r="D8" s="26">
        <f>IFERROR(IF(B8="","",ROUND(C8*17%,0)),"")</f>
        <v>0</v>
      </c>
      <c r="E8" s="26">
        <f>IFERROR(IF(B8="","",ROUND(C8*8%,0)),"")</f>
        <v>0</v>
      </c>
      <c r="F8" s="27">
        <f>IF(B8="","",SUM(C8:E8))</f>
        <v>0</v>
      </c>
      <c r="G8" s="96"/>
      <c r="H8" s="27">
        <f>IFERROR(IF(B8="","",ROUND(G8*17%,0)),"")</f>
        <v>0</v>
      </c>
      <c r="I8" s="27">
        <f>IFERROR(IF(B8="","",ROUND(G8*8%,0)),"")</f>
        <v>0</v>
      </c>
      <c r="J8" s="27">
        <f>IF(B8="","",SUM(G8:I8))</f>
        <v>0</v>
      </c>
      <c r="K8" s="27" t="str">
        <f>IFERROR(IF(B8="","",IF(C8="","",IF(G8="","",SUM(C8-G8)))),"")</f>
        <v/>
      </c>
      <c r="L8" s="27">
        <f>IFERROR(IF(B8="","",IF(D8="","",IF(H8="","",SUM(D8-H8)))),"")</f>
        <v>0</v>
      </c>
      <c r="M8" s="27">
        <f>IFERROR(IF(B8="","",IF(E8="","",IF(I8="","",SUM(E8-I8)))),"")</f>
        <v>0</v>
      </c>
      <c r="N8" s="27">
        <f>IFERROR(IF(B8="","",IF(F8="","",IF(J8="","",SUM(F8-J8)))),"")</f>
        <v>0</v>
      </c>
      <c r="O8" s="27">
        <f>IFERROR(IF(B8="","",ROUND((C8+D8)*10%,0)),"")</f>
        <v>0</v>
      </c>
      <c r="P8" s="28" t="str">
        <f>IFERROR(IF(B8="","",IF(G8="","",IF(H8="","",ROUND((G8+H8)*10%,0)))),"")</f>
        <v/>
      </c>
      <c r="Q8" s="29" t="str">
        <f>IFERROR(IF(B8="","",SUM(O8-P8)),"")</f>
        <v/>
      </c>
      <c r="R8" s="97"/>
      <c r="S8" s="97"/>
      <c r="T8" s="29">
        <f>IFERROR(IF(B8="","",SUM(R8-S8)),"")</f>
        <v>0</v>
      </c>
      <c r="U8" s="27"/>
      <c r="V8" s="27"/>
      <c r="W8" s="29">
        <f>IFERROR(IF(B8="","",SUM(U8-V8)),"")</f>
        <v>0</v>
      </c>
      <c r="X8" s="27"/>
      <c r="Y8" s="27"/>
      <c r="Z8" s="27">
        <f>IFERROR(IF(B8="","",SUM(Q8,T8,W8,X8,Y8)),"")</f>
        <v>0</v>
      </c>
      <c r="AA8" s="30">
        <f>IFERROR(IF(B8="","",SUM(N8-Z8)),"")</f>
        <v>0</v>
      </c>
      <c r="AB8" s="47"/>
      <c r="AC8" s="48"/>
      <c r="AE8" s="32"/>
      <c r="AF8" s="33"/>
      <c r="AG8" s="33"/>
      <c r="AH8" s="33"/>
      <c r="AI8" s="33"/>
      <c r="AJ8" s="32"/>
    </row>
    <row r="9" spans="1:36" s="35" customFormat="1" ht="21" customHeight="1">
      <c r="A9" s="24">
        <v>2</v>
      </c>
      <c r="B9" s="25">
        <v>43191</v>
      </c>
      <c r="C9" s="26" t="str">
        <f>IFERROR(IF(B9="","",IF(C8="","",C8)),"")</f>
        <v/>
      </c>
      <c r="D9" s="26" t="str">
        <f>IFERROR(IF(B9="","",ROUND(C9*17%,0)),"")</f>
        <v/>
      </c>
      <c r="E9" s="26" t="str">
        <f>IFERROR(IF(B9="","",ROUND(C9*8%,0)),"")</f>
        <v/>
      </c>
      <c r="F9" s="27">
        <f t="shared" ref="F9:F17" si="0">IF(B9="","",SUM(C9:E9))</f>
        <v>0</v>
      </c>
      <c r="G9" s="34" t="str">
        <f>IFERROR(IF(B9="","",IF(G8="","",G8)),"")</f>
        <v/>
      </c>
      <c r="H9" s="27" t="str">
        <f>IFERROR(IF(B9="","",ROUND(G9*17%,0)),"")</f>
        <v/>
      </c>
      <c r="I9" s="27" t="str">
        <f>IFERROR(IF(B9="","",ROUND(G9*8%,0)),"")</f>
        <v/>
      </c>
      <c r="J9" s="27">
        <f t="shared" ref="J9:J17" si="1">IF(B9="","",SUM(G9:I9))</f>
        <v>0</v>
      </c>
      <c r="K9" s="27" t="str">
        <f t="shared" ref="K9:K17" si="2">IFERROR(IF(B9="","",IF(C9="","",IF(G9="","",SUM(C9-G9)))),"")</f>
        <v/>
      </c>
      <c r="L9" s="27" t="str">
        <f t="shared" ref="L9:L17" si="3">IFERROR(IF(B9="","",IF(D9="","",IF(H9="","",SUM(D9-H9)))),"")</f>
        <v/>
      </c>
      <c r="M9" s="27" t="str">
        <f t="shared" ref="M9:M17" si="4">IFERROR(IF(B9="","",IF(E9="","",IF(I9="","",SUM(E9-I9)))),"")</f>
        <v/>
      </c>
      <c r="N9" s="27">
        <f t="shared" ref="N9:N17" si="5">IFERROR(IF(B9="","",IF(F9="","",IF(J9="","",SUM(F9-J9)))),"")</f>
        <v>0</v>
      </c>
      <c r="O9" s="27" t="str">
        <f t="shared" ref="O9:O17" si="6">IFERROR(IF(B9="","",ROUND((C9+D9)*10%,0)),"")</f>
        <v/>
      </c>
      <c r="P9" s="28" t="str">
        <f t="shared" ref="P9:P17" si="7">IFERROR(IF(B9="","",IF(G9="","",IF(H9="","",ROUND((G9+H9)*10%,0)))),"")</f>
        <v/>
      </c>
      <c r="Q9" s="29" t="str">
        <f t="shared" ref="Q9:Q17" si="8">IFERROR(IF(B9="","",SUM(O9-P9)),"")</f>
        <v/>
      </c>
      <c r="R9" s="34">
        <f>IF(B9="","",R8)</f>
        <v>0</v>
      </c>
      <c r="S9" s="34">
        <f>IF(B9="","",S8)</f>
        <v>0</v>
      </c>
      <c r="T9" s="29">
        <f>IFERROR(IF(B9="","",SUM(R9-S9)),"")</f>
        <v>0</v>
      </c>
      <c r="U9" s="27"/>
      <c r="V9" s="27"/>
      <c r="W9" s="29">
        <f t="shared" ref="W9:W17" si="9">IFERROR(IF(B9="","",SUM(U9-V9)),"")</f>
        <v>0</v>
      </c>
      <c r="X9" s="27"/>
      <c r="Y9" s="27"/>
      <c r="Z9" s="27">
        <f t="shared" ref="Z9:Z53" si="10">IFERROR(IF(B9="","",SUM(Q9,T9,W9,X9,Y9)),"")</f>
        <v>0</v>
      </c>
      <c r="AA9" s="30">
        <f t="shared" ref="AA9:AA17" si="11">IFERROR(IF(B9="","",SUM(N9-Z9)),"")</f>
        <v>0</v>
      </c>
      <c r="AB9" s="49"/>
      <c r="AC9" s="49"/>
      <c r="AE9" s="76"/>
      <c r="AF9" s="76"/>
      <c r="AG9" s="76"/>
      <c r="AH9" s="76"/>
      <c r="AI9" s="76"/>
      <c r="AJ9" s="76"/>
    </row>
    <row r="10" spans="1:36" s="35" customFormat="1" ht="21" customHeight="1">
      <c r="A10" s="24">
        <v>3</v>
      </c>
      <c r="B10" s="25">
        <v>43221</v>
      </c>
      <c r="C10" s="26" t="str">
        <f t="shared" ref="C10:C47" si="12">IFERROR(IF(B10="","",IF(C9="","",C9)),"")</f>
        <v/>
      </c>
      <c r="D10" s="26" t="str">
        <f t="shared" ref="D10:D17" si="13">IFERROR(IF(B10="","",ROUND(C10*17%,0)),"")</f>
        <v/>
      </c>
      <c r="E10" s="26" t="str">
        <f t="shared" ref="E10:E17" si="14">IFERROR(IF(B10="","",ROUND(C10*8%,0)),"")</f>
        <v/>
      </c>
      <c r="F10" s="27">
        <f t="shared" si="0"/>
        <v>0</v>
      </c>
      <c r="G10" s="34" t="str">
        <f t="shared" ref="G10:G47" si="15">IFERROR(IF(B10="","",IF(G9="","",G9)),"")</f>
        <v/>
      </c>
      <c r="H10" s="27" t="str">
        <f t="shared" ref="H10:H17" si="16">IFERROR(IF(B10="","",ROUND(G10*17%,0)),"")</f>
        <v/>
      </c>
      <c r="I10" s="27" t="str">
        <f t="shared" ref="I10:I17" si="17">IFERROR(IF(B10="","",ROUND(G10*8%,0)),"")</f>
        <v/>
      </c>
      <c r="J10" s="27">
        <f t="shared" si="1"/>
        <v>0</v>
      </c>
      <c r="K10" s="27" t="str">
        <f t="shared" si="2"/>
        <v/>
      </c>
      <c r="L10" s="27" t="str">
        <f t="shared" si="3"/>
        <v/>
      </c>
      <c r="M10" s="27" t="str">
        <f t="shared" si="4"/>
        <v/>
      </c>
      <c r="N10" s="27">
        <f t="shared" si="5"/>
        <v>0</v>
      </c>
      <c r="O10" s="27" t="str">
        <f t="shared" si="6"/>
        <v/>
      </c>
      <c r="P10" s="28" t="str">
        <f t="shared" si="7"/>
        <v/>
      </c>
      <c r="Q10" s="29" t="str">
        <f t="shared" si="8"/>
        <v/>
      </c>
      <c r="R10" s="34">
        <f t="shared" ref="R10:R47" si="18">IF(B10="","",R9)</f>
        <v>0</v>
      </c>
      <c r="S10" s="34">
        <f t="shared" ref="S10:S47" si="19">IF(B10="","",S9)</f>
        <v>0</v>
      </c>
      <c r="T10" s="29">
        <f t="shared" ref="T10:T17" si="20">IFERROR(IF(B10="","",SUM(R10-S10)),"")</f>
        <v>0</v>
      </c>
      <c r="U10" s="27"/>
      <c r="V10" s="27"/>
      <c r="W10" s="29">
        <f t="shared" si="9"/>
        <v>0</v>
      </c>
      <c r="X10" s="27"/>
      <c r="Y10" s="27"/>
      <c r="Z10" s="27">
        <f t="shared" si="10"/>
        <v>0</v>
      </c>
      <c r="AA10" s="30">
        <f t="shared" si="11"/>
        <v>0</v>
      </c>
      <c r="AB10" s="49"/>
      <c r="AC10" s="49"/>
      <c r="AE10" s="76"/>
      <c r="AF10" s="76"/>
      <c r="AG10" s="76"/>
      <c r="AH10" s="76"/>
      <c r="AI10" s="76"/>
      <c r="AJ10" s="76"/>
    </row>
    <row r="11" spans="1:36" s="35" customFormat="1" ht="21" customHeight="1">
      <c r="A11" s="24">
        <v>4</v>
      </c>
      <c r="B11" s="25">
        <v>43252</v>
      </c>
      <c r="C11" s="26" t="str">
        <f t="shared" si="12"/>
        <v/>
      </c>
      <c r="D11" s="26" t="str">
        <f t="shared" si="13"/>
        <v/>
      </c>
      <c r="E11" s="26" t="str">
        <f t="shared" si="14"/>
        <v/>
      </c>
      <c r="F11" s="27">
        <f t="shared" si="0"/>
        <v>0</v>
      </c>
      <c r="G11" s="34" t="str">
        <f t="shared" si="15"/>
        <v/>
      </c>
      <c r="H11" s="27" t="str">
        <f t="shared" si="16"/>
        <v/>
      </c>
      <c r="I11" s="27" t="str">
        <f t="shared" si="17"/>
        <v/>
      </c>
      <c r="J11" s="27">
        <f t="shared" si="1"/>
        <v>0</v>
      </c>
      <c r="K11" s="27" t="str">
        <f t="shared" si="2"/>
        <v/>
      </c>
      <c r="L11" s="27" t="str">
        <f t="shared" si="3"/>
        <v/>
      </c>
      <c r="M11" s="27" t="str">
        <f t="shared" si="4"/>
        <v/>
      </c>
      <c r="N11" s="27">
        <f t="shared" si="5"/>
        <v>0</v>
      </c>
      <c r="O11" s="27" t="str">
        <f t="shared" si="6"/>
        <v/>
      </c>
      <c r="P11" s="28" t="str">
        <f t="shared" si="7"/>
        <v/>
      </c>
      <c r="Q11" s="29" t="str">
        <f t="shared" si="8"/>
        <v/>
      </c>
      <c r="R11" s="34">
        <f t="shared" si="18"/>
        <v>0</v>
      </c>
      <c r="S11" s="34">
        <f t="shared" si="19"/>
        <v>0</v>
      </c>
      <c r="T11" s="29">
        <f t="shared" si="20"/>
        <v>0</v>
      </c>
      <c r="U11" s="27"/>
      <c r="V11" s="27"/>
      <c r="W11" s="29">
        <f t="shared" si="9"/>
        <v>0</v>
      </c>
      <c r="X11" s="27"/>
      <c r="Y11" s="27"/>
      <c r="Z11" s="27">
        <f t="shared" si="10"/>
        <v>0</v>
      </c>
      <c r="AA11" s="30">
        <f t="shared" si="11"/>
        <v>0</v>
      </c>
      <c r="AB11" s="49"/>
      <c r="AC11" s="49"/>
      <c r="AE11" s="76"/>
      <c r="AF11" s="76"/>
      <c r="AG11" s="76"/>
      <c r="AH11" s="76"/>
      <c r="AI11" s="76"/>
      <c r="AJ11" s="76"/>
    </row>
    <row r="12" spans="1:36" s="35" customFormat="1" ht="21" customHeight="1">
      <c r="A12" s="24">
        <v>5</v>
      </c>
      <c r="B12" s="25">
        <v>43282</v>
      </c>
      <c r="C12" s="26" t="str">
        <f t="shared" si="12"/>
        <v/>
      </c>
      <c r="D12" s="26" t="str">
        <f>IFERROR(IF(B12="","",ROUND(C12*17%,0)),"")</f>
        <v/>
      </c>
      <c r="E12" s="26" t="str">
        <f t="shared" si="14"/>
        <v/>
      </c>
      <c r="F12" s="27">
        <f t="shared" si="0"/>
        <v>0</v>
      </c>
      <c r="G12" s="34" t="str">
        <f t="shared" si="15"/>
        <v/>
      </c>
      <c r="H12" s="27" t="str">
        <f t="shared" si="16"/>
        <v/>
      </c>
      <c r="I12" s="27" t="str">
        <f t="shared" si="17"/>
        <v/>
      </c>
      <c r="J12" s="27">
        <f t="shared" si="1"/>
        <v>0</v>
      </c>
      <c r="K12" s="27" t="str">
        <f t="shared" si="2"/>
        <v/>
      </c>
      <c r="L12" s="27" t="str">
        <f t="shared" si="3"/>
        <v/>
      </c>
      <c r="M12" s="27" t="str">
        <f t="shared" si="4"/>
        <v/>
      </c>
      <c r="N12" s="27">
        <f t="shared" si="5"/>
        <v>0</v>
      </c>
      <c r="O12" s="27" t="str">
        <f t="shared" si="6"/>
        <v/>
      </c>
      <c r="P12" s="28" t="str">
        <f t="shared" si="7"/>
        <v/>
      </c>
      <c r="Q12" s="29" t="str">
        <f t="shared" si="8"/>
        <v/>
      </c>
      <c r="R12" s="34">
        <f t="shared" si="18"/>
        <v>0</v>
      </c>
      <c r="S12" s="34">
        <f t="shared" si="19"/>
        <v>0</v>
      </c>
      <c r="T12" s="29">
        <f t="shared" si="20"/>
        <v>0</v>
      </c>
      <c r="U12" s="27"/>
      <c r="V12" s="27"/>
      <c r="W12" s="29">
        <f t="shared" si="9"/>
        <v>0</v>
      </c>
      <c r="X12" s="27"/>
      <c r="Y12" s="27"/>
      <c r="Z12" s="27">
        <f t="shared" si="10"/>
        <v>0</v>
      </c>
      <c r="AA12" s="30">
        <f t="shared" si="11"/>
        <v>0</v>
      </c>
      <c r="AB12" s="49"/>
      <c r="AC12" s="49"/>
      <c r="AE12" s="76"/>
      <c r="AF12" s="76"/>
      <c r="AG12" s="76"/>
      <c r="AH12" s="76"/>
      <c r="AI12" s="76"/>
      <c r="AJ12" s="76"/>
    </row>
    <row r="13" spans="1:36" s="35" customFormat="1" ht="21" customHeight="1">
      <c r="A13" s="24">
        <v>6</v>
      </c>
      <c r="B13" s="25">
        <v>43313</v>
      </c>
      <c r="C13" s="26" t="str">
        <f t="shared" si="12"/>
        <v/>
      </c>
      <c r="D13" s="26" t="str">
        <f t="shared" si="13"/>
        <v/>
      </c>
      <c r="E13" s="26" t="str">
        <f t="shared" si="14"/>
        <v/>
      </c>
      <c r="F13" s="27">
        <f t="shared" si="0"/>
        <v>0</v>
      </c>
      <c r="G13" s="34" t="str">
        <f t="shared" si="15"/>
        <v/>
      </c>
      <c r="H13" s="27" t="str">
        <f t="shared" si="16"/>
        <v/>
      </c>
      <c r="I13" s="27" t="str">
        <f t="shared" si="17"/>
        <v/>
      </c>
      <c r="J13" s="27">
        <f t="shared" si="1"/>
        <v>0</v>
      </c>
      <c r="K13" s="27" t="str">
        <f t="shared" si="2"/>
        <v/>
      </c>
      <c r="L13" s="27" t="str">
        <f t="shared" si="3"/>
        <v/>
      </c>
      <c r="M13" s="27" t="str">
        <f t="shared" si="4"/>
        <v/>
      </c>
      <c r="N13" s="27">
        <f t="shared" si="5"/>
        <v>0</v>
      </c>
      <c r="O13" s="27" t="str">
        <f t="shared" si="6"/>
        <v/>
      </c>
      <c r="P13" s="28" t="str">
        <f t="shared" si="7"/>
        <v/>
      </c>
      <c r="Q13" s="29" t="str">
        <f t="shared" si="8"/>
        <v/>
      </c>
      <c r="R13" s="34">
        <f t="shared" si="18"/>
        <v>0</v>
      </c>
      <c r="S13" s="34">
        <f t="shared" si="19"/>
        <v>0</v>
      </c>
      <c r="T13" s="29">
        <f t="shared" si="20"/>
        <v>0</v>
      </c>
      <c r="U13" s="27"/>
      <c r="V13" s="27"/>
      <c r="W13" s="29">
        <f t="shared" si="9"/>
        <v>0</v>
      </c>
      <c r="X13" s="27"/>
      <c r="Y13" s="27"/>
      <c r="Z13" s="27">
        <f t="shared" si="10"/>
        <v>0</v>
      </c>
      <c r="AA13" s="30">
        <f t="shared" si="11"/>
        <v>0</v>
      </c>
      <c r="AB13" s="49"/>
      <c r="AC13" s="49"/>
      <c r="AE13" s="76"/>
      <c r="AF13" s="76"/>
      <c r="AG13" s="76"/>
      <c r="AH13" s="76"/>
      <c r="AI13" s="76"/>
      <c r="AJ13" s="76"/>
    </row>
    <row r="14" spans="1:36" s="35" customFormat="1" ht="21" customHeight="1">
      <c r="A14" s="24">
        <v>7</v>
      </c>
      <c r="B14" s="25">
        <v>43344</v>
      </c>
      <c r="C14" s="26" t="str">
        <f t="shared" si="12"/>
        <v/>
      </c>
      <c r="D14" s="26" t="str">
        <f t="shared" si="13"/>
        <v/>
      </c>
      <c r="E14" s="26" t="str">
        <f t="shared" si="14"/>
        <v/>
      </c>
      <c r="F14" s="27">
        <f t="shared" si="0"/>
        <v>0</v>
      </c>
      <c r="G14" s="34" t="str">
        <f t="shared" si="15"/>
        <v/>
      </c>
      <c r="H14" s="27" t="str">
        <f t="shared" si="16"/>
        <v/>
      </c>
      <c r="I14" s="27" t="str">
        <f t="shared" si="17"/>
        <v/>
      </c>
      <c r="J14" s="27">
        <f t="shared" si="1"/>
        <v>0</v>
      </c>
      <c r="K14" s="27" t="str">
        <f t="shared" si="2"/>
        <v/>
      </c>
      <c r="L14" s="27" t="str">
        <f t="shared" si="3"/>
        <v/>
      </c>
      <c r="M14" s="27" t="str">
        <f t="shared" si="4"/>
        <v/>
      </c>
      <c r="N14" s="27">
        <f t="shared" si="5"/>
        <v>0</v>
      </c>
      <c r="O14" s="27" t="str">
        <f t="shared" si="6"/>
        <v/>
      </c>
      <c r="P14" s="28" t="str">
        <f t="shared" si="7"/>
        <v/>
      </c>
      <c r="Q14" s="29" t="str">
        <f t="shared" si="8"/>
        <v/>
      </c>
      <c r="R14" s="34">
        <f t="shared" si="18"/>
        <v>0</v>
      </c>
      <c r="S14" s="34">
        <f t="shared" si="19"/>
        <v>0</v>
      </c>
      <c r="T14" s="29">
        <f t="shared" si="20"/>
        <v>0</v>
      </c>
      <c r="U14" s="27"/>
      <c r="V14" s="27"/>
      <c r="W14" s="29">
        <f t="shared" si="9"/>
        <v>0</v>
      </c>
      <c r="X14" s="27"/>
      <c r="Y14" s="27"/>
      <c r="Z14" s="27">
        <f t="shared" si="10"/>
        <v>0</v>
      </c>
      <c r="AA14" s="30">
        <f t="shared" si="11"/>
        <v>0</v>
      </c>
      <c r="AB14" s="49"/>
      <c r="AC14" s="49"/>
      <c r="AE14" s="76"/>
      <c r="AF14" s="76"/>
      <c r="AG14" s="76"/>
      <c r="AH14" s="76"/>
      <c r="AI14" s="76"/>
      <c r="AJ14" s="76"/>
    </row>
    <row r="15" spans="1:36" s="35" customFormat="1" ht="21" customHeight="1">
      <c r="A15" s="24">
        <v>8</v>
      </c>
      <c r="B15" s="25">
        <v>43374</v>
      </c>
      <c r="C15" s="26" t="str">
        <f t="shared" si="12"/>
        <v/>
      </c>
      <c r="D15" s="26" t="str">
        <f t="shared" si="13"/>
        <v/>
      </c>
      <c r="E15" s="26" t="str">
        <f t="shared" si="14"/>
        <v/>
      </c>
      <c r="F15" s="27">
        <f t="shared" si="0"/>
        <v>0</v>
      </c>
      <c r="G15" s="34" t="str">
        <f t="shared" si="15"/>
        <v/>
      </c>
      <c r="H15" s="27" t="str">
        <f t="shared" si="16"/>
        <v/>
      </c>
      <c r="I15" s="27" t="str">
        <f t="shared" si="17"/>
        <v/>
      </c>
      <c r="J15" s="27">
        <f t="shared" si="1"/>
        <v>0</v>
      </c>
      <c r="K15" s="27" t="str">
        <f t="shared" si="2"/>
        <v/>
      </c>
      <c r="L15" s="27" t="str">
        <f t="shared" si="3"/>
        <v/>
      </c>
      <c r="M15" s="27" t="str">
        <f t="shared" si="4"/>
        <v/>
      </c>
      <c r="N15" s="27">
        <f t="shared" si="5"/>
        <v>0</v>
      </c>
      <c r="O15" s="27" t="str">
        <f t="shared" si="6"/>
        <v/>
      </c>
      <c r="P15" s="28" t="str">
        <f t="shared" si="7"/>
        <v/>
      </c>
      <c r="Q15" s="29" t="str">
        <f t="shared" si="8"/>
        <v/>
      </c>
      <c r="R15" s="34">
        <f t="shared" si="18"/>
        <v>0</v>
      </c>
      <c r="S15" s="34">
        <f t="shared" si="19"/>
        <v>0</v>
      </c>
      <c r="T15" s="29">
        <f t="shared" si="20"/>
        <v>0</v>
      </c>
      <c r="U15" s="27"/>
      <c r="V15" s="27"/>
      <c r="W15" s="29">
        <f t="shared" si="9"/>
        <v>0</v>
      </c>
      <c r="X15" s="27"/>
      <c r="Y15" s="27"/>
      <c r="Z15" s="27">
        <f t="shared" si="10"/>
        <v>0</v>
      </c>
      <c r="AA15" s="30">
        <f t="shared" si="11"/>
        <v>0</v>
      </c>
      <c r="AB15" s="49"/>
      <c r="AC15" s="49"/>
      <c r="AE15" s="76"/>
      <c r="AF15" s="76"/>
      <c r="AG15" s="76"/>
      <c r="AH15" s="76"/>
      <c r="AI15" s="76"/>
      <c r="AJ15" s="76"/>
    </row>
    <row r="16" spans="1:36" s="35" customFormat="1" ht="21" customHeight="1">
      <c r="A16" s="24">
        <v>9</v>
      </c>
      <c r="B16" s="25">
        <v>43405</v>
      </c>
      <c r="C16" s="26" t="str">
        <f t="shared" si="12"/>
        <v/>
      </c>
      <c r="D16" s="26" t="str">
        <f t="shared" si="13"/>
        <v/>
      </c>
      <c r="E16" s="26" t="str">
        <f t="shared" si="14"/>
        <v/>
      </c>
      <c r="F16" s="27">
        <f t="shared" si="0"/>
        <v>0</v>
      </c>
      <c r="G16" s="34" t="str">
        <f t="shared" si="15"/>
        <v/>
      </c>
      <c r="H16" s="27" t="str">
        <f t="shared" si="16"/>
        <v/>
      </c>
      <c r="I16" s="27" t="str">
        <f t="shared" si="17"/>
        <v/>
      </c>
      <c r="J16" s="27">
        <f t="shared" si="1"/>
        <v>0</v>
      </c>
      <c r="K16" s="27" t="str">
        <f t="shared" si="2"/>
        <v/>
      </c>
      <c r="L16" s="27" t="str">
        <f t="shared" si="3"/>
        <v/>
      </c>
      <c r="M16" s="27" t="str">
        <f t="shared" si="4"/>
        <v/>
      </c>
      <c r="N16" s="27">
        <f t="shared" si="5"/>
        <v>0</v>
      </c>
      <c r="O16" s="27" t="str">
        <f t="shared" si="6"/>
        <v/>
      </c>
      <c r="P16" s="28" t="str">
        <f t="shared" si="7"/>
        <v/>
      </c>
      <c r="Q16" s="29" t="str">
        <f t="shared" si="8"/>
        <v/>
      </c>
      <c r="R16" s="34">
        <f t="shared" si="18"/>
        <v>0</v>
      </c>
      <c r="S16" s="34">
        <f t="shared" si="19"/>
        <v>0</v>
      </c>
      <c r="T16" s="29">
        <f t="shared" si="20"/>
        <v>0</v>
      </c>
      <c r="U16" s="27"/>
      <c r="V16" s="27"/>
      <c r="W16" s="29">
        <f t="shared" si="9"/>
        <v>0</v>
      </c>
      <c r="X16" s="27"/>
      <c r="Y16" s="27"/>
      <c r="Z16" s="27">
        <f t="shared" si="10"/>
        <v>0</v>
      </c>
      <c r="AA16" s="30">
        <f t="shared" si="11"/>
        <v>0</v>
      </c>
      <c r="AB16" s="49"/>
      <c r="AC16" s="49"/>
      <c r="AE16" s="76"/>
      <c r="AF16" s="76"/>
      <c r="AG16" s="76"/>
      <c r="AH16" s="76"/>
      <c r="AI16" s="76"/>
      <c r="AJ16" s="76"/>
    </row>
    <row r="17" spans="1:36" s="35" customFormat="1" ht="21" customHeight="1">
      <c r="A17" s="24">
        <v>10</v>
      </c>
      <c r="B17" s="25">
        <v>43435</v>
      </c>
      <c r="C17" s="26" t="str">
        <f t="shared" si="12"/>
        <v/>
      </c>
      <c r="D17" s="26" t="str">
        <f t="shared" si="13"/>
        <v/>
      </c>
      <c r="E17" s="26" t="str">
        <f t="shared" si="14"/>
        <v/>
      </c>
      <c r="F17" s="27">
        <f t="shared" si="0"/>
        <v>0</v>
      </c>
      <c r="G17" s="34" t="str">
        <f t="shared" si="15"/>
        <v/>
      </c>
      <c r="H17" s="27" t="str">
        <f t="shared" si="16"/>
        <v/>
      </c>
      <c r="I17" s="27" t="str">
        <f t="shared" si="17"/>
        <v/>
      </c>
      <c r="J17" s="27">
        <f t="shared" si="1"/>
        <v>0</v>
      </c>
      <c r="K17" s="27" t="str">
        <f t="shared" si="2"/>
        <v/>
      </c>
      <c r="L17" s="27" t="str">
        <f t="shared" si="3"/>
        <v/>
      </c>
      <c r="M17" s="27" t="str">
        <f t="shared" si="4"/>
        <v/>
      </c>
      <c r="N17" s="27">
        <f t="shared" si="5"/>
        <v>0</v>
      </c>
      <c r="O17" s="27" t="str">
        <f t="shared" si="6"/>
        <v/>
      </c>
      <c r="P17" s="28" t="str">
        <f t="shared" si="7"/>
        <v/>
      </c>
      <c r="Q17" s="29" t="str">
        <f t="shared" si="8"/>
        <v/>
      </c>
      <c r="R17" s="34">
        <f t="shared" si="18"/>
        <v>0</v>
      </c>
      <c r="S17" s="34">
        <f t="shared" si="19"/>
        <v>0</v>
      </c>
      <c r="T17" s="29">
        <f t="shared" si="20"/>
        <v>0</v>
      </c>
      <c r="U17" s="27"/>
      <c r="V17" s="27"/>
      <c r="W17" s="29">
        <f t="shared" si="9"/>
        <v>0</v>
      </c>
      <c r="X17" s="27"/>
      <c r="Y17" s="27"/>
      <c r="Z17" s="27">
        <f t="shared" si="10"/>
        <v>0</v>
      </c>
      <c r="AA17" s="30">
        <f t="shared" si="11"/>
        <v>0</v>
      </c>
      <c r="AB17" s="49"/>
      <c r="AC17" s="49"/>
      <c r="AE17" s="76"/>
      <c r="AF17" s="76"/>
      <c r="AG17" s="76"/>
      <c r="AH17" s="76"/>
      <c r="AI17" s="76"/>
      <c r="AJ17" s="76"/>
    </row>
    <row r="18" spans="1:36" s="35" customFormat="1" ht="21" customHeight="1">
      <c r="A18" s="24">
        <v>11</v>
      </c>
      <c r="B18" s="25">
        <v>43466</v>
      </c>
      <c r="C18" s="26" t="str">
        <f t="shared" si="12"/>
        <v/>
      </c>
      <c r="D18" s="26" t="str">
        <f t="shared" ref="D18:D47" si="21">IFERROR(IF(B18="","",ROUND(C18*17%,0)),"")</f>
        <v/>
      </c>
      <c r="E18" s="26" t="str">
        <f t="shared" ref="E18:E47" si="22">IFERROR(IF(B18="","",ROUND(C18*8%,0)),"")</f>
        <v/>
      </c>
      <c r="F18" s="27">
        <f t="shared" ref="F18:F47" si="23">IF(B18="","",SUM(C18:E18))</f>
        <v>0</v>
      </c>
      <c r="G18" s="34" t="str">
        <f t="shared" si="15"/>
        <v/>
      </c>
      <c r="H18" s="27" t="str">
        <f t="shared" ref="H18:H47" si="24">IFERROR(IF(B18="","",ROUND(G18*17%,0)),"")</f>
        <v/>
      </c>
      <c r="I18" s="27" t="str">
        <f t="shared" ref="I18:I47" si="25">IFERROR(IF(B18="","",ROUND(G18*8%,0)),"")</f>
        <v/>
      </c>
      <c r="J18" s="27">
        <f t="shared" ref="J18:J47" si="26">IF(B18="","",SUM(G18:I18))</f>
        <v>0</v>
      </c>
      <c r="K18" s="27" t="str">
        <f t="shared" ref="K18:K47" si="27">IFERROR(IF(B18="","",IF(C18="","",IF(G18="","",SUM(C18-G18)))),"")</f>
        <v/>
      </c>
      <c r="L18" s="27" t="str">
        <f t="shared" ref="L18:L47" si="28">IFERROR(IF(B18="","",IF(D18="","",IF(H18="","",SUM(D18-H18)))),"")</f>
        <v/>
      </c>
      <c r="M18" s="27" t="str">
        <f t="shared" ref="M18:M47" si="29">IFERROR(IF(B18="","",IF(E18="","",IF(I18="","",SUM(E18-I18)))),"")</f>
        <v/>
      </c>
      <c r="N18" s="27">
        <f t="shared" ref="N18:N47" si="30">IFERROR(IF(B18="","",IF(F18="","",IF(J18="","",SUM(F18-J18)))),"")</f>
        <v>0</v>
      </c>
      <c r="O18" s="27" t="str">
        <f t="shared" ref="O18:O47" si="31">IFERROR(IF(B18="","",ROUND((C18+D18)*10%,0)),"")</f>
        <v/>
      </c>
      <c r="P18" s="28" t="str">
        <f t="shared" ref="P18:P47" si="32">IFERROR(IF(B18="","",IF(G18="","",IF(H18="","",ROUND((G18+H18)*10%,0)))),"")</f>
        <v/>
      </c>
      <c r="Q18" s="29" t="str">
        <f t="shared" ref="Q18:Q47" si="33">IFERROR(IF(B18="","",SUM(O18-P18)),"")</f>
        <v/>
      </c>
      <c r="R18" s="34">
        <f t="shared" si="18"/>
        <v>0</v>
      </c>
      <c r="S18" s="34">
        <f t="shared" si="19"/>
        <v>0</v>
      </c>
      <c r="T18" s="29">
        <f t="shared" ref="T18:T47" si="34">IFERROR(IF(B18="","",SUM(R18-S18)),"")</f>
        <v>0</v>
      </c>
      <c r="U18" s="27"/>
      <c r="V18" s="27"/>
      <c r="W18" s="29">
        <f t="shared" ref="W18:W47" si="35">IFERROR(IF(B18="","",SUM(U18-V18)),"")</f>
        <v>0</v>
      </c>
      <c r="X18" s="27"/>
      <c r="Y18" s="27"/>
      <c r="Z18" s="27">
        <f t="shared" si="10"/>
        <v>0</v>
      </c>
      <c r="AA18" s="30">
        <f t="shared" ref="AA18:AA47" si="36">IFERROR(IF(B18="","",SUM(N18-Z18)),"")</f>
        <v>0</v>
      </c>
      <c r="AB18" s="49"/>
      <c r="AC18" s="49"/>
      <c r="AE18" s="92"/>
      <c r="AF18" s="92"/>
      <c r="AG18" s="92"/>
      <c r="AH18" s="92"/>
      <c r="AI18" s="92"/>
      <c r="AJ18" s="92"/>
    </row>
    <row r="19" spans="1:36" s="35" customFormat="1" ht="21" customHeight="1">
      <c r="A19" s="24">
        <v>12</v>
      </c>
      <c r="B19" s="25">
        <v>43497</v>
      </c>
      <c r="C19" s="26" t="str">
        <f t="shared" si="12"/>
        <v/>
      </c>
      <c r="D19" s="26" t="str">
        <f t="shared" si="21"/>
        <v/>
      </c>
      <c r="E19" s="26" t="str">
        <f t="shared" si="22"/>
        <v/>
      </c>
      <c r="F19" s="27">
        <f t="shared" si="23"/>
        <v>0</v>
      </c>
      <c r="G19" s="34" t="str">
        <f t="shared" si="15"/>
        <v/>
      </c>
      <c r="H19" s="27" t="str">
        <f t="shared" si="24"/>
        <v/>
      </c>
      <c r="I19" s="27" t="str">
        <f t="shared" si="25"/>
        <v/>
      </c>
      <c r="J19" s="27">
        <f t="shared" si="26"/>
        <v>0</v>
      </c>
      <c r="K19" s="27" t="str">
        <f t="shared" si="27"/>
        <v/>
      </c>
      <c r="L19" s="27" t="str">
        <f t="shared" si="28"/>
        <v/>
      </c>
      <c r="M19" s="27" t="str">
        <f t="shared" si="29"/>
        <v/>
      </c>
      <c r="N19" s="27">
        <f t="shared" si="30"/>
        <v>0</v>
      </c>
      <c r="O19" s="27" t="str">
        <f t="shared" si="31"/>
        <v/>
      </c>
      <c r="P19" s="28" t="str">
        <f t="shared" si="32"/>
        <v/>
      </c>
      <c r="Q19" s="29" t="str">
        <f t="shared" si="33"/>
        <v/>
      </c>
      <c r="R19" s="34">
        <f t="shared" si="18"/>
        <v>0</v>
      </c>
      <c r="S19" s="34">
        <f t="shared" si="19"/>
        <v>0</v>
      </c>
      <c r="T19" s="29">
        <f t="shared" si="34"/>
        <v>0</v>
      </c>
      <c r="U19" s="27"/>
      <c r="V19" s="27"/>
      <c r="W19" s="29">
        <f t="shared" si="35"/>
        <v>0</v>
      </c>
      <c r="X19" s="27"/>
      <c r="Y19" s="27"/>
      <c r="Z19" s="27">
        <f t="shared" si="10"/>
        <v>0</v>
      </c>
      <c r="AA19" s="30">
        <f t="shared" si="36"/>
        <v>0</v>
      </c>
      <c r="AB19" s="49"/>
      <c r="AC19" s="49"/>
      <c r="AE19" s="92"/>
      <c r="AF19" s="92"/>
      <c r="AG19" s="92"/>
      <c r="AH19" s="92"/>
      <c r="AI19" s="92"/>
      <c r="AJ19" s="92"/>
    </row>
    <row r="20" spans="1:36" s="35" customFormat="1" ht="21" customHeight="1">
      <c r="A20" s="24">
        <v>13</v>
      </c>
      <c r="B20" s="25">
        <v>43525</v>
      </c>
      <c r="C20" s="26" t="str">
        <f t="shared" si="12"/>
        <v/>
      </c>
      <c r="D20" s="26" t="str">
        <f t="shared" si="21"/>
        <v/>
      </c>
      <c r="E20" s="26" t="str">
        <f t="shared" si="22"/>
        <v/>
      </c>
      <c r="F20" s="27">
        <f t="shared" si="23"/>
        <v>0</v>
      </c>
      <c r="G20" s="34" t="str">
        <f t="shared" si="15"/>
        <v/>
      </c>
      <c r="H20" s="27" t="str">
        <f t="shared" si="24"/>
        <v/>
      </c>
      <c r="I20" s="27" t="str">
        <f t="shared" si="25"/>
        <v/>
      </c>
      <c r="J20" s="27">
        <f t="shared" si="26"/>
        <v>0</v>
      </c>
      <c r="K20" s="27" t="str">
        <f t="shared" si="27"/>
        <v/>
      </c>
      <c r="L20" s="27" t="str">
        <f t="shared" si="28"/>
        <v/>
      </c>
      <c r="M20" s="27" t="str">
        <f t="shared" si="29"/>
        <v/>
      </c>
      <c r="N20" s="27">
        <f t="shared" si="30"/>
        <v>0</v>
      </c>
      <c r="O20" s="27" t="str">
        <f t="shared" si="31"/>
        <v/>
      </c>
      <c r="P20" s="28" t="str">
        <f t="shared" si="32"/>
        <v/>
      </c>
      <c r="Q20" s="29" t="str">
        <f t="shared" si="33"/>
        <v/>
      </c>
      <c r="R20" s="34">
        <f t="shared" si="18"/>
        <v>0</v>
      </c>
      <c r="S20" s="34">
        <f t="shared" si="19"/>
        <v>0</v>
      </c>
      <c r="T20" s="29">
        <f t="shared" si="34"/>
        <v>0</v>
      </c>
      <c r="U20" s="27"/>
      <c r="V20" s="27"/>
      <c r="W20" s="29">
        <f t="shared" si="35"/>
        <v>0</v>
      </c>
      <c r="X20" s="27"/>
      <c r="Y20" s="27"/>
      <c r="Z20" s="27">
        <f t="shared" si="10"/>
        <v>0</v>
      </c>
      <c r="AA20" s="30">
        <f t="shared" si="36"/>
        <v>0</v>
      </c>
      <c r="AB20" s="49"/>
      <c r="AC20" s="49"/>
      <c r="AE20" s="92"/>
      <c r="AF20" s="92"/>
      <c r="AG20" s="92"/>
      <c r="AH20" s="92"/>
      <c r="AI20" s="92"/>
      <c r="AJ20" s="92"/>
    </row>
    <row r="21" spans="1:36" s="35" customFormat="1" ht="21" customHeight="1">
      <c r="A21" s="24">
        <v>14</v>
      </c>
      <c r="B21" s="25">
        <v>43556</v>
      </c>
      <c r="C21" s="26" t="str">
        <f t="shared" si="12"/>
        <v/>
      </c>
      <c r="D21" s="26" t="str">
        <f t="shared" si="21"/>
        <v/>
      </c>
      <c r="E21" s="26" t="str">
        <f t="shared" si="22"/>
        <v/>
      </c>
      <c r="F21" s="27">
        <f t="shared" si="23"/>
        <v>0</v>
      </c>
      <c r="G21" s="34" t="str">
        <f t="shared" si="15"/>
        <v/>
      </c>
      <c r="H21" s="27" t="str">
        <f t="shared" si="24"/>
        <v/>
      </c>
      <c r="I21" s="27" t="str">
        <f t="shared" si="25"/>
        <v/>
      </c>
      <c r="J21" s="27">
        <f t="shared" si="26"/>
        <v>0</v>
      </c>
      <c r="K21" s="27" t="str">
        <f t="shared" si="27"/>
        <v/>
      </c>
      <c r="L21" s="27" t="str">
        <f t="shared" si="28"/>
        <v/>
      </c>
      <c r="M21" s="27" t="str">
        <f t="shared" si="29"/>
        <v/>
      </c>
      <c r="N21" s="27">
        <f t="shared" si="30"/>
        <v>0</v>
      </c>
      <c r="O21" s="27" t="str">
        <f t="shared" si="31"/>
        <v/>
      </c>
      <c r="P21" s="28" t="str">
        <f t="shared" si="32"/>
        <v/>
      </c>
      <c r="Q21" s="29" t="str">
        <f t="shared" si="33"/>
        <v/>
      </c>
      <c r="R21" s="34">
        <f t="shared" si="18"/>
        <v>0</v>
      </c>
      <c r="S21" s="34">
        <f t="shared" si="19"/>
        <v>0</v>
      </c>
      <c r="T21" s="29">
        <f t="shared" si="34"/>
        <v>0</v>
      </c>
      <c r="U21" s="27"/>
      <c r="V21" s="27"/>
      <c r="W21" s="29">
        <f t="shared" si="35"/>
        <v>0</v>
      </c>
      <c r="X21" s="27"/>
      <c r="Y21" s="27"/>
      <c r="Z21" s="27">
        <f t="shared" si="10"/>
        <v>0</v>
      </c>
      <c r="AA21" s="30">
        <f t="shared" si="36"/>
        <v>0</v>
      </c>
      <c r="AB21" s="49"/>
      <c r="AC21" s="49"/>
      <c r="AE21" s="92"/>
      <c r="AF21" s="92"/>
      <c r="AG21" s="92"/>
      <c r="AH21" s="92"/>
      <c r="AI21" s="92"/>
      <c r="AJ21" s="92"/>
    </row>
    <row r="22" spans="1:36" s="35" customFormat="1" ht="21" customHeight="1">
      <c r="A22" s="24">
        <v>15</v>
      </c>
      <c r="B22" s="25">
        <v>43586</v>
      </c>
      <c r="C22" s="26" t="str">
        <f t="shared" si="12"/>
        <v/>
      </c>
      <c r="D22" s="26" t="str">
        <f t="shared" si="21"/>
        <v/>
      </c>
      <c r="E22" s="26" t="str">
        <f t="shared" si="22"/>
        <v/>
      </c>
      <c r="F22" s="27">
        <f t="shared" si="23"/>
        <v>0</v>
      </c>
      <c r="G22" s="34" t="str">
        <f t="shared" si="15"/>
        <v/>
      </c>
      <c r="H22" s="27" t="str">
        <f t="shared" si="24"/>
        <v/>
      </c>
      <c r="I22" s="27" t="str">
        <f t="shared" si="25"/>
        <v/>
      </c>
      <c r="J22" s="27">
        <f t="shared" si="26"/>
        <v>0</v>
      </c>
      <c r="K22" s="27" t="str">
        <f t="shared" si="27"/>
        <v/>
      </c>
      <c r="L22" s="27" t="str">
        <f t="shared" si="28"/>
        <v/>
      </c>
      <c r="M22" s="27" t="str">
        <f t="shared" si="29"/>
        <v/>
      </c>
      <c r="N22" s="27">
        <f t="shared" si="30"/>
        <v>0</v>
      </c>
      <c r="O22" s="27" t="str">
        <f t="shared" si="31"/>
        <v/>
      </c>
      <c r="P22" s="28" t="str">
        <f t="shared" si="32"/>
        <v/>
      </c>
      <c r="Q22" s="29" t="str">
        <f t="shared" si="33"/>
        <v/>
      </c>
      <c r="R22" s="34">
        <f t="shared" si="18"/>
        <v>0</v>
      </c>
      <c r="S22" s="34">
        <f t="shared" si="19"/>
        <v>0</v>
      </c>
      <c r="T22" s="29">
        <f t="shared" si="34"/>
        <v>0</v>
      </c>
      <c r="U22" s="27"/>
      <c r="V22" s="27"/>
      <c r="W22" s="29">
        <f t="shared" si="35"/>
        <v>0</v>
      </c>
      <c r="X22" s="27"/>
      <c r="Y22" s="27"/>
      <c r="Z22" s="27">
        <f t="shared" si="10"/>
        <v>0</v>
      </c>
      <c r="AA22" s="30">
        <f t="shared" si="36"/>
        <v>0</v>
      </c>
      <c r="AB22" s="49"/>
      <c r="AC22" s="49"/>
      <c r="AE22" s="92"/>
      <c r="AF22" s="92"/>
      <c r="AG22" s="92"/>
      <c r="AH22" s="92"/>
      <c r="AI22" s="92"/>
      <c r="AJ22" s="92"/>
    </row>
    <row r="23" spans="1:36" s="35" customFormat="1" ht="21" customHeight="1">
      <c r="A23" s="24">
        <v>16</v>
      </c>
      <c r="B23" s="25">
        <v>43617</v>
      </c>
      <c r="C23" s="26" t="str">
        <f t="shared" si="12"/>
        <v/>
      </c>
      <c r="D23" s="26" t="str">
        <f t="shared" si="21"/>
        <v/>
      </c>
      <c r="E23" s="26" t="str">
        <f t="shared" si="22"/>
        <v/>
      </c>
      <c r="F23" s="27">
        <f t="shared" si="23"/>
        <v>0</v>
      </c>
      <c r="G23" s="34" t="str">
        <f t="shared" si="15"/>
        <v/>
      </c>
      <c r="H23" s="27" t="str">
        <f t="shared" si="24"/>
        <v/>
      </c>
      <c r="I23" s="27" t="str">
        <f t="shared" si="25"/>
        <v/>
      </c>
      <c r="J23" s="27">
        <f t="shared" si="26"/>
        <v>0</v>
      </c>
      <c r="K23" s="27" t="str">
        <f t="shared" si="27"/>
        <v/>
      </c>
      <c r="L23" s="27" t="str">
        <f t="shared" si="28"/>
        <v/>
      </c>
      <c r="M23" s="27" t="str">
        <f t="shared" si="29"/>
        <v/>
      </c>
      <c r="N23" s="27">
        <f t="shared" si="30"/>
        <v>0</v>
      </c>
      <c r="O23" s="27" t="str">
        <f t="shared" si="31"/>
        <v/>
      </c>
      <c r="P23" s="28" t="str">
        <f t="shared" si="32"/>
        <v/>
      </c>
      <c r="Q23" s="29" t="str">
        <f t="shared" si="33"/>
        <v/>
      </c>
      <c r="R23" s="34">
        <f t="shared" si="18"/>
        <v>0</v>
      </c>
      <c r="S23" s="34">
        <f t="shared" si="19"/>
        <v>0</v>
      </c>
      <c r="T23" s="29">
        <f t="shared" si="34"/>
        <v>0</v>
      </c>
      <c r="U23" s="27"/>
      <c r="V23" s="27"/>
      <c r="W23" s="29">
        <f t="shared" si="35"/>
        <v>0</v>
      </c>
      <c r="X23" s="27"/>
      <c r="Y23" s="27"/>
      <c r="Z23" s="27">
        <f t="shared" si="10"/>
        <v>0</v>
      </c>
      <c r="AA23" s="30">
        <f t="shared" si="36"/>
        <v>0</v>
      </c>
      <c r="AB23" s="49"/>
      <c r="AC23" s="49"/>
      <c r="AE23" s="92"/>
      <c r="AF23" s="92"/>
      <c r="AG23" s="92"/>
      <c r="AH23" s="92"/>
      <c r="AI23" s="92"/>
      <c r="AJ23" s="92"/>
    </row>
    <row r="24" spans="1:36" s="35" customFormat="1" ht="21" customHeight="1">
      <c r="A24" s="24">
        <v>17</v>
      </c>
      <c r="B24" s="25">
        <v>43647</v>
      </c>
      <c r="C24" s="26" t="str">
        <f t="shared" si="12"/>
        <v/>
      </c>
      <c r="D24" s="26" t="str">
        <f t="shared" si="21"/>
        <v/>
      </c>
      <c r="E24" s="26" t="str">
        <f t="shared" si="22"/>
        <v/>
      </c>
      <c r="F24" s="27">
        <f t="shared" si="23"/>
        <v>0</v>
      </c>
      <c r="G24" s="34" t="str">
        <f t="shared" si="15"/>
        <v/>
      </c>
      <c r="H24" s="27" t="str">
        <f t="shared" si="24"/>
        <v/>
      </c>
      <c r="I24" s="27" t="str">
        <f t="shared" si="25"/>
        <v/>
      </c>
      <c r="J24" s="27">
        <f t="shared" si="26"/>
        <v>0</v>
      </c>
      <c r="K24" s="27" t="str">
        <f t="shared" si="27"/>
        <v/>
      </c>
      <c r="L24" s="27" t="str">
        <f t="shared" si="28"/>
        <v/>
      </c>
      <c r="M24" s="27" t="str">
        <f t="shared" si="29"/>
        <v/>
      </c>
      <c r="N24" s="27">
        <f t="shared" si="30"/>
        <v>0</v>
      </c>
      <c r="O24" s="27" t="str">
        <f t="shared" si="31"/>
        <v/>
      </c>
      <c r="P24" s="28" t="str">
        <f t="shared" si="32"/>
        <v/>
      </c>
      <c r="Q24" s="29" t="str">
        <f t="shared" si="33"/>
        <v/>
      </c>
      <c r="R24" s="34">
        <f t="shared" si="18"/>
        <v>0</v>
      </c>
      <c r="S24" s="34">
        <f t="shared" si="19"/>
        <v>0</v>
      </c>
      <c r="T24" s="29">
        <f t="shared" si="34"/>
        <v>0</v>
      </c>
      <c r="U24" s="27"/>
      <c r="V24" s="27"/>
      <c r="W24" s="29">
        <f t="shared" si="35"/>
        <v>0</v>
      </c>
      <c r="X24" s="27"/>
      <c r="Y24" s="27"/>
      <c r="Z24" s="27">
        <f t="shared" si="10"/>
        <v>0</v>
      </c>
      <c r="AA24" s="30">
        <f t="shared" si="36"/>
        <v>0</v>
      </c>
      <c r="AB24" s="49"/>
      <c r="AC24" s="49"/>
      <c r="AE24" s="92"/>
      <c r="AF24" s="92"/>
      <c r="AG24" s="92"/>
      <c r="AH24" s="92"/>
      <c r="AI24" s="92"/>
      <c r="AJ24" s="92"/>
    </row>
    <row r="25" spans="1:36" s="35" customFormat="1" ht="21" customHeight="1">
      <c r="A25" s="24">
        <v>18</v>
      </c>
      <c r="B25" s="25">
        <v>43678</v>
      </c>
      <c r="C25" s="26" t="str">
        <f t="shared" si="12"/>
        <v/>
      </c>
      <c r="D25" s="26" t="str">
        <f t="shared" si="21"/>
        <v/>
      </c>
      <c r="E25" s="26" t="str">
        <f t="shared" si="22"/>
        <v/>
      </c>
      <c r="F25" s="27">
        <f t="shared" si="23"/>
        <v>0</v>
      </c>
      <c r="G25" s="34" t="str">
        <f t="shared" si="15"/>
        <v/>
      </c>
      <c r="H25" s="27" t="str">
        <f t="shared" si="24"/>
        <v/>
      </c>
      <c r="I25" s="27" t="str">
        <f t="shared" si="25"/>
        <v/>
      </c>
      <c r="J25" s="27">
        <f t="shared" si="26"/>
        <v>0</v>
      </c>
      <c r="K25" s="27" t="str">
        <f t="shared" si="27"/>
        <v/>
      </c>
      <c r="L25" s="27" t="str">
        <f t="shared" si="28"/>
        <v/>
      </c>
      <c r="M25" s="27" t="str">
        <f t="shared" si="29"/>
        <v/>
      </c>
      <c r="N25" s="27">
        <f t="shared" si="30"/>
        <v>0</v>
      </c>
      <c r="O25" s="27" t="str">
        <f t="shared" si="31"/>
        <v/>
      </c>
      <c r="P25" s="28" t="str">
        <f t="shared" si="32"/>
        <v/>
      </c>
      <c r="Q25" s="29" t="str">
        <f t="shared" si="33"/>
        <v/>
      </c>
      <c r="R25" s="34">
        <f t="shared" si="18"/>
        <v>0</v>
      </c>
      <c r="S25" s="34">
        <f t="shared" si="19"/>
        <v>0</v>
      </c>
      <c r="T25" s="29">
        <f t="shared" si="34"/>
        <v>0</v>
      </c>
      <c r="U25" s="27"/>
      <c r="V25" s="27"/>
      <c r="W25" s="29">
        <f t="shared" si="35"/>
        <v>0</v>
      </c>
      <c r="X25" s="27"/>
      <c r="Y25" s="27"/>
      <c r="Z25" s="27">
        <f t="shared" si="10"/>
        <v>0</v>
      </c>
      <c r="AA25" s="30">
        <f t="shared" si="36"/>
        <v>0</v>
      </c>
      <c r="AB25" s="49"/>
      <c r="AC25" s="49"/>
      <c r="AE25" s="92"/>
      <c r="AF25" s="92"/>
      <c r="AG25" s="92"/>
      <c r="AH25" s="92"/>
      <c r="AI25" s="92"/>
      <c r="AJ25" s="92"/>
    </row>
    <row r="26" spans="1:36" s="35" customFormat="1" ht="21" customHeight="1">
      <c r="A26" s="24">
        <v>19</v>
      </c>
      <c r="B26" s="25">
        <v>43709</v>
      </c>
      <c r="C26" s="26" t="str">
        <f t="shared" si="12"/>
        <v/>
      </c>
      <c r="D26" s="26" t="str">
        <f t="shared" si="21"/>
        <v/>
      </c>
      <c r="E26" s="26" t="str">
        <f t="shared" si="22"/>
        <v/>
      </c>
      <c r="F26" s="27">
        <f t="shared" si="23"/>
        <v>0</v>
      </c>
      <c r="G26" s="34" t="str">
        <f t="shared" si="15"/>
        <v/>
      </c>
      <c r="H26" s="27" t="str">
        <f t="shared" si="24"/>
        <v/>
      </c>
      <c r="I26" s="27" t="str">
        <f t="shared" si="25"/>
        <v/>
      </c>
      <c r="J26" s="27">
        <f t="shared" si="26"/>
        <v>0</v>
      </c>
      <c r="K26" s="27" t="str">
        <f t="shared" si="27"/>
        <v/>
      </c>
      <c r="L26" s="27" t="str">
        <f t="shared" si="28"/>
        <v/>
      </c>
      <c r="M26" s="27" t="str">
        <f t="shared" si="29"/>
        <v/>
      </c>
      <c r="N26" s="27">
        <f t="shared" si="30"/>
        <v>0</v>
      </c>
      <c r="O26" s="27" t="str">
        <f t="shared" si="31"/>
        <v/>
      </c>
      <c r="P26" s="28" t="str">
        <f t="shared" si="32"/>
        <v/>
      </c>
      <c r="Q26" s="29" t="str">
        <f t="shared" si="33"/>
        <v/>
      </c>
      <c r="R26" s="34">
        <f t="shared" si="18"/>
        <v>0</v>
      </c>
      <c r="S26" s="34">
        <f t="shared" si="19"/>
        <v>0</v>
      </c>
      <c r="T26" s="29">
        <f t="shared" si="34"/>
        <v>0</v>
      </c>
      <c r="U26" s="27"/>
      <c r="V26" s="27"/>
      <c r="W26" s="29">
        <f t="shared" si="35"/>
        <v>0</v>
      </c>
      <c r="X26" s="27"/>
      <c r="Y26" s="27"/>
      <c r="Z26" s="27">
        <f t="shared" si="10"/>
        <v>0</v>
      </c>
      <c r="AA26" s="30">
        <f t="shared" si="36"/>
        <v>0</v>
      </c>
      <c r="AB26" s="49"/>
      <c r="AC26" s="49"/>
      <c r="AE26" s="92"/>
      <c r="AF26" s="92"/>
      <c r="AG26" s="92"/>
      <c r="AH26" s="92"/>
      <c r="AI26" s="92"/>
      <c r="AJ26" s="92"/>
    </row>
    <row r="27" spans="1:36" s="35" customFormat="1" ht="21" customHeight="1">
      <c r="A27" s="24">
        <v>20</v>
      </c>
      <c r="B27" s="25">
        <v>43739</v>
      </c>
      <c r="C27" s="26" t="str">
        <f t="shared" si="12"/>
        <v/>
      </c>
      <c r="D27" s="26" t="str">
        <f t="shared" si="21"/>
        <v/>
      </c>
      <c r="E27" s="26" t="str">
        <f t="shared" si="22"/>
        <v/>
      </c>
      <c r="F27" s="27">
        <f t="shared" si="23"/>
        <v>0</v>
      </c>
      <c r="G27" s="34" t="str">
        <f t="shared" si="15"/>
        <v/>
      </c>
      <c r="H27" s="27" t="str">
        <f t="shared" si="24"/>
        <v/>
      </c>
      <c r="I27" s="27" t="str">
        <f t="shared" si="25"/>
        <v/>
      </c>
      <c r="J27" s="27">
        <f t="shared" si="26"/>
        <v>0</v>
      </c>
      <c r="K27" s="27" t="str">
        <f t="shared" si="27"/>
        <v/>
      </c>
      <c r="L27" s="27" t="str">
        <f t="shared" si="28"/>
        <v/>
      </c>
      <c r="M27" s="27" t="str">
        <f t="shared" si="29"/>
        <v/>
      </c>
      <c r="N27" s="27">
        <f t="shared" si="30"/>
        <v>0</v>
      </c>
      <c r="O27" s="27" t="str">
        <f t="shared" si="31"/>
        <v/>
      </c>
      <c r="P27" s="28" t="str">
        <f t="shared" si="32"/>
        <v/>
      </c>
      <c r="Q27" s="29" t="str">
        <f t="shared" si="33"/>
        <v/>
      </c>
      <c r="R27" s="34">
        <f t="shared" si="18"/>
        <v>0</v>
      </c>
      <c r="S27" s="34">
        <f t="shared" si="19"/>
        <v>0</v>
      </c>
      <c r="T27" s="29">
        <f t="shared" si="34"/>
        <v>0</v>
      </c>
      <c r="U27" s="27"/>
      <c r="V27" s="27"/>
      <c r="W27" s="29">
        <f t="shared" si="35"/>
        <v>0</v>
      </c>
      <c r="X27" s="27"/>
      <c r="Y27" s="27"/>
      <c r="Z27" s="27">
        <f t="shared" si="10"/>
        <v>0</v>
      </c>
      <c r="AA27" s="30">
        <f t="shared" si="36"/>
        <v>0</v>
      </c>
      <c r="AB27" s="49"/>
      <c r="AC27" s="49"/>
      <c r="AE27" s="92"/>
      <c r="AF27" s="92"/>
      <c r="AG27" s="92"/>
      <c r="AH27" s="92"/>
      <c r="AI27" s="92"/>
      <c r="AJ27" s="92"/>
    </row>
    <row r="28" spans="1:36" s="35" customFormat="1" ht="21" customHeight="1">
      <c r="A28" s="24">
        <v>21</v>
      </c>
      <c r="B28" s="25">
        <v>43770</v>
      </c>
      <c r="C28" s="26" t="str">
        <f t="shared" si="12"/>
        <v/>
      </c>
      <c r="D28" s="26" t="str">
        <f t="shared" si="21"/>
        <v/>
      </c>
      <c r="E28" s="26" t="str">
        <f t="shared" si="22"/>
        <v/>
      </c>
      <c r="F28" s="27">
        <f t="shared" si="23"/>
        <v>0</v>
      </c>
      <c r="G28" s="34" t="str">
        <f t="shared" si="15"/>
        <v/>
      </c>
      <c r="H28" s="27" t="str">
        <f t="shared" si="24"/>
        <v/>
      </c>
      <c r="I28" s="27" t="str">
        <f t="shared" si="25"/>
        <v/>
      </c>
      <c r="J28" s="27">
        <f t="shared" si="26"/>
        <v>0</v>
      </c>
      <c r="K28" s="27" t="str">
        <f t="shared" si="27"/>
        <v/>
      </c>
      <c r="L28" s="27" t="str">
        <f t="shared" si="28"/>
        <v/>
      </c>
      <c r="M28" s="27" t="str">
        <f t="shared" si="29"/>
        <v/>
      </c>
      <c r="N28" s="27">
        <f t="shared" si="30"/>
        <v>0</v>
      </c>
      <c r="O28" s="27" t="str">
        <f t="shared" si="31"/>
        <v/>
      </c>
      <c r="P28" s="28" t="str">
        <f t="shared" si="32"/>
        <v/>
      </c>
      <c r="Q28" s="29" t="str">
        <f t="shared" si="33"/>
        <v/>
      </c>
      <c r="R28" s="34">
        <f t="shared" si="18"/>
        <v>0</v>
      </c>
      <c r="S28" s="34">
        <f t="shared" si="19"/>
        <v>0</v>
      </c>
      <c r="T28" s="29">
        <f t="shared" si="34"/>
        <v>0</v>
      </c>
      <c r="U28" s="27"/>
      <c r="V28" s="27"/>
      <c r="W28" s="29">
        <f t="shared" si="35"/>
        <v>0</v>
      </c>
      <c r="X28" s="27"/>
      <c r="Y28" s="27"/>
      <c r="Z28" s="27">
        <f t="shared" si="10"/>
        <v>0</v>
      </c>
      <c r="AA28" s="30">
        <f t="shared" si="36"/>
        <v>0</v>
      </c>
      <c r="AB28" s="49"/>
      <c r="AC28" s="49"/>
      <c r="AE28" s="92"/>
      <c r="AF28" s="92"/>
      <c r="AG28" s="92"/>
      <c r="AH28" s="92"/>
      <c r="AI28" s="92"/>
      <c r="AJ28" s="92"/>
    </row>
    <row r="29" spans="1:36" s="35" customFormat="1" ht="21" customHeight="1">
      <c r="A29" s="24">
        <v>22</v>
      </c>
      <c r="B29" s="25">
        <v>43800</v>
      </c>
      <c r="C29" s="26" t="str">
        <f t="shared" si="12"/>
        <v/>
      </c>
      <c r="D29" s="26" t="str">
        <f t="shared" si="21"/>
        <v/>
      </c>
      <c r="E29" s="26" t="str">
        <f t="shared" si="22"/>
        <v/>
      </c>
      <c r="F29" s="27">
        <f t="shared" si="23"/>
        <v>0</v>
      </c>
      <c r="G29" s="34" t="str">
        <f t="shared" si="15"/>
        <v/>
      </c>
      <c r="H29" s="27" t="str">
        <f t="shared" si="24"/>
        <v/>
      </c>
      <c r="I29" s="27" t="str">
        <f t="shared" si="25"/>
        <v/>
      </c>
      <c r="J29" s="27">
        <f t="shared" si="26"/>
        <v>0</v>
      </c>
      <c r="K29" s="27" t="str">
        <f t="shared" si="27"/>
        <v/>
      </c>
      <c r="L29" s="27" t="str">
        <f t="shared" si="28"/>
        <v/>
      </c>
      <c r="M29" s="27" t="str">
        <f t="shared" si="29"/>
        <v/>
      </c>
      <c r="N29" s="27">
        <f t="shared" si="30"/>
        <v>0</v>
      </c>
      <c r="O29" s="27" t="str">
        <f t="shared" si="31"/>
        <v/>
      </c>
      <c r="P29" s="28" t="str">
        <f t="shared" si="32"/>
        <v/>
      </c>
      <c r="Q29" s="29" t="str">
        <f t="shared" si="33"/>
        <v/>
      </c>
      <c r="R29" s="34">
        <f t="shared" si="18"/>
        <v>0</v>
      </c>
      <c r="S29" s="34">
        <f t="shared" si="19"/>
        <v>0</v>
      </c>
      <c r="T29" s="29">
        <f t="shared" si="34"/>
        <v>0</v>
      </c>
      <c r="U29" s="27"/>
      <c r="V29" s="27"/>
      <c r="W29" s="29">
        <f t="shared" si="35"/>
        <v>0</v>
      </c>
      <c r="X29" s="27"/>
      <c r="Y29" s="27"/>
      <c r="Z29" s="27">
        <f t="shared" si="10"/>
        <v>0</v>
      </c>
      <c r="AA29" s="30">
        <f t="shared" si="36"/>
        <v>0</v>
      </c>
      <c r="AB29" s="49"/>
      <c r="AC29" s="49"/>
      <c r="AE29" s="92"/>
      <c r="AF29" s="92"/>
      <c r="AG29" s="92"/>
      <c r="AH29" s="92"/>
      <c r="AI29" s="92"/>
      <c r="AJ29" s="92"/>
    </row>
    <row r="30" spans="1:36" s="35" customFormat="1" ht="21" customHeight="1">
      <c r="A30" s="24">
        <v>23</v>
      </c>
      <c r="B30" s="25">
        <v>43831</v>
      </c>
      <c r="C30" s="26" t="str">
        <f t="shared" si="12"/>
        <v/>
      </c>
      <c r="D30" s="26" t="str">
        <f t="shared" si="21"/>
        <v/>
      </c>
      <c r="E30" s="26" t="str">
        <f t="shared" si="22"/>
        <v/>
      </c>
      <c r="F30" s="27">
        <f t="shared" si="23"/>
        <v>0</v>
      </c>
      <c r="G30" s="34" t="str">
        <f t="shared" si="15"/>
        <v/>
      </c>
      <c r="H30" s="27" t="str">
        <f t="shared" si="24"/>
        <v/>
      </c>
      <c r="I30" s="27" t="str">
        <f t="shared" si="25"/>
        <v/>
      </c>
      <c r="J30" s="27">
        <f t="shared" si="26"/>
        <v>0</v>
      </c>
      <c r="K30" s="27" t="str">
        <f t="shared" si="27"/>
        <v/>
      </c>
      <c r="L30" s="27" t="str">
        <f t="shared" si="28"/>
        <v/>
      </c>
      <c r="M30" s="27" t="str">
        <f t="shared" si="29"/>
        <v/>
      </c>
      <c r="N30" s="27">
        <f t="shared" si="30"/>
        <v>0</v>
      </c>
      <c r="O30" s="27" t="str">
        <f t="shared" si="31"/>
        <v/>
      </c>
      <c r="P30" s="28" t="str">
        <f t="shared" si="32"/>
        <v/>
      </c>
      <c r="Q30" s="29" t="str">
        <f t="shared" si="33"/>
        <v/>
      </c>
      <c r="R30" s="34">
        <f t="shared" si="18"/>
        <v>0</v>
      </c>
      <c r="S30" s="34">
        <f t="shared" si="19"/>
        <v>0</v>
      </c>
      <c r="T30" s="29">
        <f t="shared" si="34"/>
        <v>0</v>
      </c>
      <c r="U30" s="27"/>
      <c r="V30" s="27"/>
      <c r="W30" s="29">
        <f t="shared" si="35"/>
        <v>0</v>
      </c>
      <c r="X30" s="27"/>
      <c r="Y30" s="27"/>
      <c r="Z30" s="27">
        <f t="shared" si="10"/>
        <v>0</v>
      </c>
      <c r="AA30" s="30">
        <f t="shared" si="36"/>
        <v>0</v>
      </c>
      <c r="AB30" s="49"/>
      <c r="AC30" s="49"/>
      <c r="AE30" s="92"/>
      <c r="AF30" s="92"/>
      <c r="AG30" s="92"/>
      <c r="AH30" s="92"/>
      <c r="AI30" s="92"/>
      <c r="AJ30" s="92"/>
    </row>
    <row r="31" spans="1:36" s="35" customFormat="1" ht="21" customHeight="1">
      <c r="A31" s="24">
        <v>24</v>
      </c>
      <c r="B31" s="25">
        <v>43862</v>
      </c>
      <c r="C31" s="26" t="str">
        <f t="shared" si="12"/>
        <v/>
      </c>
      <c r="D31" s="26" t="str">
        <f t="shared" si="21"/>
        <v/>
      </c>
      <c r="E31" s="26" t="str">
        <f t="shared" si="22"/>
        <v/>
      </c>
      <c r="F31" s="27">
        <f t="shared" si="23"/>
        <v>0</v>
      </c>
      <c r="G31" s="34" t="str">
        <f t="shared" si="15"/>
        <v/>
      </c>
      <c r="H31" s="27" t="str">
        <f t="shared" si="24"/>
        <v/>
      </c>
      <c r="I31" s="27" t="str">
        <f t="shared" si="25"/>
        <v/>
      </c>
      <c r="J31" s="27">
        <f t="shared" si="26"/>
        <v>0</v>
      </c>
      <c r="K31" s="27" t="str">
        <f t="shared" si="27"/>
        <v/>
      </c>
      <c r="L31" s="27" t="str">
        <f t="shared" si="28"/>
        <v/>
      </c>
      <c r="M31" s="27" t="str">
        <f t="shared" si="29"/>
        <v/>
      </c>
      <c r="N31" s="27">
        <f t="shared" si="30"/>
        <v>0</v>
      </c>
      <c r="O31" s="27" t="str">
        <f t="shared" si="31"/>
        <v/>
      </c>
      <c r="P31" s="28" t="str">
        <f t="shared" si="32"/>
        <v/>
      </c>
      <c r="Q31" s="29" t="str">
        <f t="shared" si="33"/>
        <v/>
      </c>
      <c r="R31" s="34">
        <f t="shared" si="18"/>
        <v>0</v>
      </c>
      <c r="S31" s="34">
        <f t="shared" si="19"/>
        <v>0</v>
      </c>
      <c r="T31" s="29">
        <f t="shared" si="34"/>
        <v>0</v>
      </c>
      <c r="U31" s="27"/>
      <c r="V31" s="27"/>
      <c r="W31" s="29">
        <f t="shared" si="35"/>
        <v>0</v>
      </c>
      <c r="X31" s="27"/>
      <c r="Y31" s="27"/>
      <c r="Z31" s="27">
        <f t="shared" si="10"/>
        <v>0</v>
      </c>
      <c r="AA31" s="30">
        <f t="shared" si="36"/>
        <v>0</v>
      </c>
      <c r="AB31" s="49"/>
      <c r="AC31" s="49"/>
      <c r="AE31" s="92"/>
      <c r="AF31" s="92"/>
      <c r="AG31" s="92"/>
      <c r="AH31" s="92"/>
      <c r="AI31" s="92"/>
      <c r="AJ31" s="92"/>
    </row>
    <row r="32" spans="1:36" s="35" customFormat="1" ht="21" customHeight="1">
      <c r="A32" s="24">
        <v>25</v>
      </c>
      <c r="B32" s="25">
        <v>43891</v>
      </c>
      <c r="C32" s="26" t="str">
        <f t="shared" si="12"/>
        <v/>
      </c>
      <c r="D32" s="26" t="str">
        <f t="shared" si="21"/>
        <v/>
      </c>
      <c r="E32" s="26" t="str">
        <f t="shared" si="22"/>
        <v/>
      </c>
      <c r="F32" s="27">
        <f t="shared" si="23"/>
        <v>0</v>
      </c>
      <c r="G32" s="34" t="str">
        <f t="shared" si="15"/>
        <v/>
      </c>
      <c r="H32" s="27" t="str">
        <f t="shared" si="24"/>
        <v/>
      </c>
      <c r="I32" s="27" t="str">
        <f t="shared" si="25"/>
        <v/>
      </c>
      <c r="J32" s="27">
        <f t="shared" si="26"/>
        <v>0</v>
      </c>
      <c r="K32" s="27" t="str">
        <f t="shared" si="27"/>
        <v/>
      </c>
      <c r="L32" s="27" t="str">
        <f t="shared" si="28"/>
        <v/>
      </c>
      <c r="M32" s="27" t="str">
        <f t="shared" si="29"/>
        <v/>
      </c>
      <c r="N32" s="27">
        <f t="shared" si="30"/>
        <v>0</v>
      </c>
      <c r="O32" s="27" t="str">
        <f t="shared" si="31"/>
        <v/>
      </c>
      <c r="P32" s="28" t="str">
        <f t="shared" si="32"/>
        <v/>
      </c>
      <c r="Q32" s="29" t="str">
        <f t="shared" si="33"/>
        <v/>
      </c>
      <c r="R32" s="34">
        <f t="shared" si="18"/>
        <v>0</v>
      </c>
      <c r="S32" s="34">
        <f t="shared" si="19"/>
        <v>0</v>
      </c>
      <c r="T32" s="29">
        <f t="shared" si="34"/>
        <v>0</v>
      </c>
      <c r="U32" s="27"/>
      <c r="V32" s="27"/>
      <c r="W32" s="29">
        <f t="shared" si="35"/>
        <v>0</v>
      </c>
      <c r="X32" s="27"/>
      <c r="Y32" s="27"/>
      <c r="Z32" s="27">
        <f t="shared" si="10"/>
        <v>0</v>
      </c>
      <c r="AA32" s="30">
        <f t="shared" si="36"/>
        <v>0</v>
      </c>
      <c r="AB32" s="49"/>
      <c r="AC32" s="49"/>
      <c r="AE32" s="92"/>
      <c r="AF32" s="92"/>
      <c r="AG32" s="92"/>
      <c r="AH32" s="92"/>
      <c r="AI32" s="92"/>
      <c r="AJ32" s="92"/>
    </row>
    <row r="33" spans="1:36" s="35" customFormat="1" ht="21" customHeight="1">
      <c r="A33" s="24">
        <v>26</v>
      </c>
      <c r="B33" s="25">
        <v>43922</v>
      </c>
      <c r="C33" s="26" t="str">
        <f t="shared" si="12"/>
        <v/>
      </c>
      <c r="D33" s="26" t="str">
        <f t="shared" si="21"/>
        <v/>
      </c>
      <c r="E33" s="26" t="str">
        <f t="shared" si="22"/>
        <v/>
      </c>
      <c r="F33" s="27">
        <f t="shared" si="23"/>
        <v>0</v>
      </c>
      <c r="G33" s="34" t="str">
        <f t="shared" si="15"/>
        <v/>
      </c>
      <c r="H33" s="27" t="str">
        <f t="shared" si="24"/>
        <v/>
      </c>
      <c r="I33" s="27" t="str">
        <f t="shared" si="25"/>
        <v/>
      </c>
      <c r="J33" s="27">
        <f t="shared" si="26"/>
        <v>0</v>
      </c>
      <c r="K33" s="27" t="str">
        <f t="shared" si="27"/>
        <v/>
      </c>
      <c r="L33" s="27" t="str">
        <f t="shared" si="28"/>
        <v/>
      </c>
      <c r="M33" s="27" t="str">
        <f t="shared" si="29"/>
        <v/>
      </c>
      <c r="N33" s="27">
        <f t="shared" si="30"/>
        <v>0</v>
      </c>
      <c r="O33" s="27" t="str">
        <f t="shared" si="31"/>
        <v/>
      </c>
      <c r="P33" s="28" t="str">
        <f t="shared" si="32"/>
        <v/>
      </c>
      <c r="Q33" s="29" t="str">
        <f t="shared" si="33"/>
        <v/>
      </c>
      <c r="R33" s="34">
        <f t="shared" si="18"/>
        <v>0</v>
      </c>
      <c r="S33" s="34">
        <f t="shared" si="19"/>
        <v>0</v>
      </c>
      <c r="T33" s="29">
        <f t="shared" si="34"/>
        <v>0</v>
      </c>
      <c r="U33" s="27"/>
      <c r="V33" s="27"/>
      <c r="W33" s="29">
        <f t="shared" si="35"/>
        <v>0</v>
      </c>
      <c r="X33" s="27"/>
      <c r="Y33" s="27"/>
      <c r="Z33" s="27">
        <f t="shared" si="10"/>
        <v>0</v>
      </c>
      <c r="AA33" s="30">
        <f t="shared" si="36"/>
        <v>0</v>
      </c>
      <c r="AB33" s="49"/>
      <c r="AC33" s="49"/>
      <c r="AE33" s="92"/>
      <c r="AF33" s="92"/>
      <c r="AG33" s="92"/>
      <c r="AH33" s="92"/>
      <c r="AI33" s="92"/>
      <c r="AJ33" s="92"/>
    </row>
    <row r="34" spans="1:36" s="35" customFormat="1" ht="21" customHeight="1">
      <c r="A34" s="24">
        <v>27</v>
      </c>
      <c r="B34" s="25">
        <v>43952</v>
      </c>
      <c r="C34" s="26" t="str">
        <f t="shared" si="12"/>
        <v/>
      </c>
      <c r="D34" s="26" t="str">
        <f t="shared" si="21"/>
        <v/>
      </c>
      <c r="E34" s="26" t="str">
        <f t="shared" si="22"/>
        <v/>
      </c>
      <c r="F34" s="27">
        <f t="shared" si="23"/>
        <v>0</v>
      </c>
      <c r="G34" s="34" t="str">
        <f t="shared" si="15"/>
        <v/>
      </c>
      <c r="H34" s="27" t="str">
        <f t="shared" si="24"/>
        <v/>
      </c>
      <c r="I34" s="27" t="str">
        <f t="shared" si="25"/>
        <v/>
      </c>
      <c r="J34" s="27">
        <f t="shared" si="26"/>
        <v>0</v>
      </c>
      <c r="K34" s="27" t="str">
        <f t="shared" si="27"/>
        <v/>
      </c>
      <c r="L34" s="27" t="str">
        <f t="shared" si="28"/>
        <v/>
      </c>
      <c r="M34" s="27" t="str">
        <f t="shared" si="29"/>
        <v/>
      </c>
      <c r="N34" s="27">
        <f t="shared" si="30"/>
        <v>0</v>
      </c>
      <c r="O34" s="27" t="str">
        <f t="shared" si="31"/>
        <v/>
      </c>
      <c r="P34" s="28" t="str">
        <f t="shared" si="32"/>
        <v/>
      </c>
      <c r="Q34" s="29" t="str">
        <f t="shared" si="33"/>
        <v/>
      </c>
      <c r="R34" s="34">
        <f t="shared" si="18"/>
        <v>0</v>
      </c>
      <c r="S34" s="34">
        <f t="shared" si="19"/>
        <v>0</v>
      </c>
      <c r="T34" s="29">
        <f t="shared" si="34"/>
        <v>0</v>
      </c>
      <c r="U34" s="27"/>
      <c r="V34" s="27"/>
      <c r="W34" s="29">
        <f t="shared" si="35"/>
        <v>0</v>
      </c>
      <c r="X34" s="27"/>
      <c r="Y34" s="27"/>
      <c r="Z34" s="27">
        <f t="shared" si="10"/>
        <v>0</v>
      </c>
      <c r="AA34" s="30">
        <f t="shared" si="36"/>
        <v>0</v>
      </c>
      <c r="AB34" s="49"/>
      <c r="AC34" s="49"/>
      <c r="AE34" s="92"/>
      <c r="AF34" s="92"/>
      <c r="AG34" s="92"/>
      <c r="AH34" s="92"/>
      <c r="AI34" s="92"/>
      <c r="AJ34" s="92"/>
    </row>
    <row r="35" spans="1:36" s="35" customFormat="1" ht="21" customHeight="1">
      <c r="A35" s="24">
        <v>28</v>
      </c>
      <c r="B35" s="25">
        <v>43983</v>
      </c>
      <c r="C35" s="26" t="str">
        <f t="shared" si="12"/>
        <v/>
      </c>
      <c r="D35" s="26" t="str">
        <f t="shared" si="21"/>
        <v/>
      </c>
      <c r="E35" s="26" t="str">
        <f t="shared" si="22"/>
        <v/>
      </c>
      <c r="F35" s="27">
        <f t="shared" si="23"/>
        <v>0</v>
      </c>
      <c r="G35" s="34" t="str">
        <f t="shared" si="15"/>
        <v/>
      </c>
      <c r="H35" s="27" t="str">
        <f t="shared" si="24"/>
        <v/>
      </c>
      <c r="I35" s="27" t="str">
        <f t="shared" si="25"/>
        <v/>
      </c>
      <c r="J35" s="27">
        <f t="shared" si="26"/>
        <v>0</v>
      </c>
      <c r="K35" s="27" t="str">
        <f t="shared" si="27"/>
        <v/>
      </c>
      <c r="L35" s="27" t="str">
        <f t="shared" si="28"/>
        <v/>
      </c>
      <c r="M35" s="27" t="str">
        <f t="shared" si="29"/>
        <v/>
      </c>
      <c r="N35" s="27">
        <f t="shared" si="30"/>
        <v>0</v>
      </c>
      <c r="O35" s="27" t="str">
        <f t="shared" si="31"/>
        <v/>
      </c>
      <c r="P35" s="28" t="str">
        <f t="shared" si="32"/>
        <v/>
      </c>
      <c r="Q35" s="29" t="str">
        <f t="shared" si="33"/>
        <v/>
      </c>
      <c r="R35" s="34">
        <f t="shared" si="18"/>
        <v>0</v>
      </c>
      <c r="S35" s="34">
        <f t="shared" si="19"/>
        <v>0</v>
      </c>
      <c r="T35" s="29">
        <f t="shared" si="34"/>
        <v>0</v>
      </c>
      <c r="U35" s="27"/>
      <c r="V35" s="27"/>
      <c r="W35" s="29">
        <f t="shared" si="35"/>
        <v>0</v>
      </c>
      <c r="X35" s="27"/>
      <c r="Y35" s="27"/>
      <c r="Z35" s="27">
        <f t="shared" si="10"/>
        <v>0</v>
      </c>
      <c r="AA35" s="30">
        <f t="shared" si="36"/>
        <v>0</v>
      </c>
      <c r="AB35" s="49"/>
      <c r="AC35" s="49"/>
      <c r="AE35" s="92"/>
      <c r="AF35" s="92"/>
      <c r="AG35" s="92"/>
      <c r="AH35" s="92"/>
      <c r="AI35" s="92"/>
      <c r="AJ35" s="92"/>
    </row>
    <row r="36" spans="1:36" s="35" customFormat="1" ht="21" customHeight="1">
      <c r="A36" s="24">
        <v>29</v>
      </c>
      <c r="B36" s="25">
        <v>44013</v>
      </c>
      <c r="C36" s="26" t="str">
        <f t="shared" si="12"/>
        <v/>
      </c>
      <c r="D36" s="26" t="str">
        <f t="shared" si="21"/>
        <v/>
      </c>
      <c r="E36" s="26" t="str">
        <f t="shared" si="22"/>
        <v/>
      </c>
      <c r="F36" s="27">
        <f t="shared" si="23"/>
        <v>0</v>
      </c>
      <c r="G36" s="34" t="str">
        <f t="shared" si="15"/>
        <v/>
      </c>
      <c r="H36" s="27" t="str">
        <f t="shared" si="24"/>
        <v/>
      </c>
      <c r="I36" s="27" t="str">
        <f t="shared" si="25"/>
        <v/>
      </c>
      <c r="J36" s="27">
        <f t="shared" si="26"/>
        <v>0</v>
      </c>
      <c r="K36" s="27" t="str">
        <f t="shared" si="27"/>
        <v/>
      </c>
      <c r="L36" s="27" t="str">
        <f t="shared" si="28"/>
        <v/>
      </c>
      <c r="M36" s="27" t="str">
        <f t="shared" si="29"/>
        <v/>
      </c>
      <c r="N36" s="27">
        <f t="shared" si="30"/>
        <v>0</v>
      </c>
      <c r="O36" s="27" t="str">
        <f t="shared" si="31"/>
        <v/>
      </c>
      <c r="P36" s="28" t="str">
        <f t="shared" si="32"/>
        <v/>
      </c>
      <c r="Q36" s="29" t="str">
        <f t="shared" si="33"/>
        <v/>
      </c>
      <c r="R36" s="34">
        <f t="shared" si="18"/>
        <v>0</v>
      </c>
      <c r="S36" s="34">
        <f t="shared" si="19"/>
        <v>0</v>
      </c>
      <c r="T36" s="29">
        <f t="shared" si="34"/>
        <v>0</v>
      </c>
      <c r="U36" s="27"/>
      <c r="V36" s="27"/>
      <c r="W36" s="29">
        <f t="shared" si="35"/>
        <v>0</v>
      </c>
      <c r="X36" s="27"/>
      <c r="Y36" s="27"/>
      <c r="Z36" s="27">
        <f t="shared" si="10"/>
        <v>0</v>
      </c>
      <c r="AA36" s="30">
        <f t="shared" si="36"/>
        <v>0</v>
      </c>
      <c r="AB36" s="49"/>
      <c r="AC36" s="49"/>
      <c r="AE36" s="92"/>
      <c r="AF36" s="92"/>
      <c r="AG36" s="92"/>
      <c r="AH36" s="92"/>
      <c r="AI36" s="92"/>
      <c r="AJ36" s="92"/>
    </row>
    <row r="37" spans="1:36" s="35" customFormat="1" ht="21" customHeight="1">
      <c r="A37" s="24">
        <v>30</v>
      </c>
      <c r="B37" s="25">
        <v>44044</v>
      </c>
      <c r="C37" s="26" t="str">
        <f t="shared" si="12"/>
        <v/>
      </c>
      <c r="D37" s="26" t="str">
        <f t="shared" si="21"/>
        <v/>
      </c>
      <c r="E37" s="26" t="str">
        <f t="shared" si="22"/>
        <v/>
      </c>
      <c r="F37" s="27">
        <f t="shared" si="23"/>
        <v>0</v>
      </c>
      <c r="G37" s="34" t="str">
        <f t="shared" si="15"/>
        <v/>
      </c>
      <c r="H37" s="27" t="str">
        <f t="shared" si="24"/>
        <v/>
      </c>
      <c r="I37" s="27" t="str">
        <f t="shared" si="25"/>
        <v/>
      </c>
      <c r="J37" s="27">
        <f t="shared" si="26"/>
        <v>0</v>
      </c>
      <c r="K37" s="27" t="str">
        <f t="shared" si="27"/>
        <v/>
      </c>
      <c r="L37" s="27" t="str">
        <f t="shared" si="28"/>
        <v/>
      </c>
      <c r="M37" s="27" t="str">
        <f t="shared" si="29"/>
        <v/>
      </c>
      <c r="N37" s="27">
        <f t="shared" si="30"/>
        <v>0</v>
      </c>
      <c r="O37" s="27" t="str">
        <f t="shared" si="31"/>
        <v/>
      </c>
      <c r="P37" s="28" t="str">
        <f t="shared" si="32"/>
        <v/>
      </c>
      <c r="Q37" s="29" t="str">
        <f t="shared" si="33"/>
        <v/>
      </c>
      <c r="R37" s="34">
        <f t="shared" si="18"/>
        <v>0</v>
      </c>
      <c r="S37" s="34">
        <f t="shared" si="19"/>
        <v>0</v>
      </c>
      <c r="T37" s="29">
        <f t="shared" si="34"/>
        <v>0</v>
      </c>
      <c r="U37" s="27"/>
      <c r="V37" s="27"/>
      <c r="W37" s="29">
        <f t="shared" si="35"/>
        <v>0</v>
      </c>
      <c r="X37" s="27"/>
      <c r="Y37" s="27"/>
      <c r="Z37" s="27">
        <f t="shared" si="10"/>
        <v>0</v>
      </c>
      <c r="AA37" s="30">
        <f t="shared" si="36"/>
        <v>0</v>
      </c>
      <c r="AB37" s="49"/>
      <c r="AC37" s="49"/>
      <c r="AE37" s="92"/>
      <c r="AF37" s="92"/>
      <c r="AG37" s="92"/>
      <c r="AH37" s="92"/>
      <c r="AI37" s="92"/>
      <c r="AJ37" s="92"/>
    </row>
    <row r="38" spans="1:36" s="35" customFormat="1" ht="21" customHeight="1">
      <c r="A38" s="24">
        <v>31</v>
      </c>
      <c r="B38" s="25">
        <v>44075</v>
      </c>
      <c r="C38" s="26" t="str">
        <f t="shared" si="12"/>
        <v/>
      </c>
      <c r="D38" s="26" t="str">
        <f t="shared" si="21"/>
        <v/>
      </c>
      <c r="E38" s="26" t="str">
        <f t="shared" si="22"/>
        <v/>
      </c>
      <c r="F38" s="27">
        <f t="shared" si="23"/>
        <v>0</v>
      </c>
      <c r="G38" s="34" t="str">
        <f t="shared" si="15"/>
        <v/>
      </c>
      <c r="H38" s="27" t="str">
        <f t="shared" si="24"/>
        <v/>
      </c>
      <c r="I38" s="27" t="str">
        <f t="shared" si="25"/>
        <v/>
      </c>
      <c r="J38" s="27">
        <f t="shared" si="26"/>
        <v>0</v>
      </c>
      <c r="K38" s="27" t="str">
        <f t="shared" si="27"/>
        <v/>
      </c>
      <c r="L38" s="27" t="str">
        <f t="shared" si="28"/>
        <v/>
      </c>
      <c r="M38" s="27" t="str">
        <f t="shared" si="29"/>
        <v/>
      </c>
      <c r="N38" s="27">
        <f t="shared" si="30"/>
        <v>0</v>
      </c>
      <c r="O38" s="27" t="str">
        <f t="shared" si="31"/>
        <v/>
      </c>
      <c r="P38" s="28" t="str">
        <f t="shared" si="32"/>
        <v/>
      </c>
      <c r="Q38" s="29" t="str">
        <f t="shared" si="33"/>
        <v/>
      </c>
      <c r="R38" s="34">
        <f t="shared" si="18"/>
        <v>0</v>
      </c>
      <c r="S38" s="34">
        <f t="shared" si="19"/>
        <v>0</v>
      </c>
      <c r="T38" s="29">
        <f t="shared" si="34"/>
        <v>0</v>
      </c>
      <c r="U38" s="27"/>
      <c r="V38" s="27"/>
      <c r="W38" s="29">
        <f t="shared" si="35"/>
        <v>0</v>
      </c>
      <c r="X38" s="27"/>
      <c r="Y38" s="27"/>
      <c r="Z38" s="27">
        <f t="shared" si="10"/>
        <v>0</v>
      </c>
      <c r="AA38" s="30">
        <f t="shared" si="36"/>
        <v>0</v>
      </c>
      <c r="AB38" s="49"/>
      <c r="AC38" s="49"/>
      <c r="AE38" s="92"/>
      <c r="AF38" s="92"/>
      <c r="AG38" s="92"/>
      <c r="AH38" s="92"/>
      <c r="AI38" s="92"/>
      <c r="AJ38" s="92"/>
    </row>
    <row r="39" spans="1:36" s="35" customFormat="1" ht="21" customHeight="1">
      <c r="A39" s="24">
        <v>32</v>
      </c>
      <c r="B39" s="25">
        <v>44105</v>
      </c>
      <c r="C39" s="26" t="str">
        <f t="shared" si="12"/>
        <v/>
      </c>
      <c r="D39" s="26" t="str">
        <f t="shared" si="21"/>
        <v/>
      </c>
      <c r="E39" s="26" t="str">
        <f t="shared" si="22"/>
        <v/>
      </c>
      <c r="F39" s="27">
        <f t="shared" si="23"/>
        <v>0</v>
      </c>
      <c r="G39" s="34" t="str">
        <f t="shared" si="15"/>
        <v/>
      </c>
      <c r="H39" s="27" t="str">
        <f t="shared" si="24"/>
        <v/>
      </c>
      <c r="I39" s="27" t="str">
        <f t="shared" si="25"/>
        <v/>
      </c>
      <c r="J39" s="27">
        <f t="shared" si="26"/>
        <v>0</v>
      </c>
      <c r="K39" s="27" t="str">
        <f t="shared" si="27"/>
        <v/>
      </c>
      <c r="L39" s="27" t="str">
        <f t="shared" si="28"/>
        <v/>
      </c>
      <c r="M39" s="27" t="str">
        <f t="shared" si="29"/>
        <v/>
      </c>
      <c r="N39" s="27">
        <f t="shared" si="30"/>
        <v>0</v>
      </c>
      <c r="O39" s="27" t="str">
        <f t="shared" si="31"/>
        <v/>
      </c>
      <c r="P39" s="28" t="str">
        <f t="shared" si="32"/>
        <v/>
      </c>
      <c r="Q39" s="29" t="str">
        <f t="shared" si="33"/>
        <v/>
      </c>
      <c r="R39" s="34">
        <f t="shared" si="18"/>
        <v>0</v>
      </c>
      <c r="S39" s="34">
        <f t="shared" si="19"/>
        <v>0</v>
      </c>
      <c r="T39" s="29">
        <f t="shared" si="34"/>
        <v>0</v>
      </c>
      <c r="U39" s="27"/>
      <c r="V39" s="27"/>
      <c r="W39" s="29">
        <f t="shared" si="35"/>
        <v>0</v>
      </c>
      <c r="X39" s="27"/>
      <c r="Y39" s="27"/>
      <c r="Z39" s="27">
        <f t="shared" si="10"/>
        <v>0</v>
      </c>
      <c r="AA39" s="30">
        <f t="shared" si="36"/>
        <v>0</v>
      </c>
      <c r="AB39" s="49"/>
      <c r="AC39" s="49"/>
      <c r="AE39" s="92"/>
      <c r="AF39" s="92"/>
      <c r="AG39" s="92"/>
      <c r="AH39" s="92"/>
      <c r="AI39" s="92"/>
      <c r="AJ39" s="92"/>
    </row>
    <row r="40" spans="1:36" s="35" customFormat="1" ht="21" customHeight="1">
      <c r="A40" s="24">
        <v>33</v>
      </c>
      <c r="B40" s="25">
        <v>44136</v>
      </c>
      <c r="C40" s="26" t="str">
        <f t="shared" si="12"/>
        <v/>
      </c>
      <c r="D40" s="26" t="str">
        <f t="shared" si="21"/>
        <v/>
      </c>
      <c r="E40" s="26" t="str">
        <f t="shared" si="22"/>
        <v/>
      </c>
      <c r="F40" s="27">
        <f t="shared" si="23"/>
        <v>0</v>
      </c>
      <c r="G40" s="34" t="str">
        <f t="shared" si="15"/>
        <v/>
      </c>
      <c r="H40" s="27" t="str">
        <f t="shared" si="24"/>
        <v/>
      </c>
      <c r="I40" s="27" t="str">
        <f t="shared" si="25"/>
        <v/>
      </c>
      <c r="J40" s="27">
        <f t="shared" si="26"/>
        <v>0</v>
      </c>
      <c r="K40" s="27" t="str">
        <f t="shared" si="27"/>
        <v/>
      </c>
      <c r="L40" s="27" t="str">
        <f t="shared" si="28"/>
        <v/>
      </c>
      <c r="M40" s="27" t="str">
        <f t="shared" si="29"/>
        <v/>
      </c>
      <c r="N40" s="27">
        <f t="shared" si="30"/>
        <v>0</v>
      </c>
      <c r="O40" s="27" t="str">
        <f t="shared" si="31"/>
        <v/>
      </c>
      <c r="P40" s="28" t="str">
        <f t="shared" si="32"/>
        <v/>
      </c>
      <c r="Q40" s="29" t="str">
        <f t="shared" si="33"/>
        <v/>
      </c>
      <c r="R40" s="34">
        <f t="shared" si="18"/>
        <v>0</v>
      </c>
      <c r="S40" s="34">
        <f t="shared" si="19"/>
        <v>0</v>
      </c>
      <c r="T40" s="29">
        <f t="shared" si="34"/>
        <v>0</v>
      </c>
      <c r="U40" s="27"/>
      <c r="V40" s="27"/>
      <c r="W40" s="29">
        <f t="shared" si="35"/>
        <v>0</v>
      </c>
      <c r="X40" s="27"/>
      <c r="Y40" s="27"/>
      <c r="Z40" s="27">
        <f t="shared" si="10"/>
        <v>0</v>
      </c>
      <c r="AA40" s="30">
        <f t="shared" si="36"/>
        <v>0</v>
      </c>
      <c r="AB40" s="49"/>
      <c r="AC40" s="49"/>
      <c r="AE40" s="92"/>
      <c r="AF40" s="92"/>
      <c r="AG40" s="92"/>
      <c r="AH40" s="92"/>
      <c r="AI40" s="92"/>
      <c r="AJ40" s="92"/>
    </row>
    <row r="41" spans="1:36" s="35" customFormat="1" ht="21" customHeight="1">
      <c r="A41" s="24">
        <v>34</v>
      </c>
      <c r="B41" s="25">
        <v>44166</v>
      </c>
      <c r="C41" s="26" t="str">
        <f t="shared" si="12"/>
        <v/>
      </c>
      <c r="D41" s="26" t="str">
        <f t="shared" si="21"/>
        <v/>
      </c>
      <c r="E41" s="26" t="str">
        <f t="shared" si="22"/>
        <v/>
      </c>
      <c r="F41" s="27">
        <f t="shared" si="23"/>
        <v>0</v>
      </c>
      <c r="G41" s="34" t="str">
        <f t="shared" si="15"/>
        <v/>
      </c>
      <c r="H41" s="27" t="str">
        <f t="shared" si="24"/>
        <v/>
      </c>
      <c r="I41" s="27" t="str">
        <f t="shared" si="25"/>
        <v/>
      </c>
      <c r="J41" s="27">
        <f t="shared" si="26"/>
        <v>0</v>
      </c>
      <c r="K41" s="27" t="str">
        <f t="shared" si="27"/>
        <v/>
      </c>
      <c r="L41" s="27" t="str">
        <f t="shared" si="28"/>
        <v/>
      </c>
      <c r="M41" s="27" t="str">
        <f t="shared" si="29"/>
        <v/>
      </c>
      <c r="N41" s="27">
        <f t="shared" si="30"/>
        <v>0</v>
      </c>
      <c r="O41" s="27" t="str">
        <f t="shared" si="31"/>
        <v/>
      </c>
      <c r="P41" s="28" t="str">
        <f t="shared" si="32"/>
        <v/>
      </c>
      <c r="Q41" s="29" t="str">
        <f t="shared" si="33"/>
        <v/>
      </c>
      <c r="R41" s="34">
        <f t="shared" si="18"/>
        <v>0</v>
      </c>
      <c r="S41" s="34">
        <f t="shared" si="19"/>
        <v>0</v>
      </c>
      <c r="T41" s="29">
        <f t="shared" si="34"/>
        <v>0</v>
      </c>
      <c r="U41" s="27"/>
      <c r="V41" s="27"/>
      <c r="W41" s="29">
        <f t="shared" si="35"/>
        <v>0</v>
      </c>
      <c r="X41" s="27"/>
      <c r="Y41" s="27"/>
      <c r="Z41" s="27">
        <f t="shared" si="10"/>
        <v>0</v>
      </c>
      <c r="AA41" s="30">
        <f t="shared" si="36"/>
        <v>0</v>
      </c>
      <c r="AB41" s="49"/>
      <c r="AC41" s="49"/>
      <c r="AE41" s="92"/>
      <c r="AF41" s="92"/>
      <c r="AG41" s="92"/>
      <c r="AH41" s="92"/>
      <c r="AI41" s="92"/>
      <c r="AJ41" s="92"/>
    </row>
    <row r="42" spans="1:36" s="35" customFormat="1" ht="21" customHeight="1">
      <c r="A42" s="24">
        <v>35</v>
      </c>
      <c r="B42" s="25">
        <v>44197</v>
      </c>
      <c r="C42" s="26" t="str">
        <f t="shared" si="12"/>
        <v/>
      </c>
      <c r="D42" s="26" t="str">
        <f t="shared" si="21"/>
        <v/>
      </c>
      <c r="E42" s="26" t="str">
        <f t="shared" si="22"/>
        <v/>
      </c>
      <c r="F42" s="27">
        <f t="shared" si="23"/>
        <v>0</v>
      </c>
      <c r="G42" s="34" t="str">
        <f t="shared" si="15"/>
        <v/>
      </c>
      <c r="H42" s="27" t="str">
        <f t="shared" si="24"/>
        <v/>
      </c>
      <c r="I42" s="27" t="str">
        <f t="shared" si="25"/>
        <v/>
      </c>
      <c r="J42" s="27">
        <f t="shared" si="26"/>
        <v>0</v>
      </c>
      <c r="K42" s="27" t="str">
        <f t="shared" si="27"/>
        <v/>
      </c>
      <c r="L42" s="27" t="str">
        <f t="shared" si="28"/>
        <v/>
      </c>
      <c r="M42" s="27" t="str">
        <f t="shared" si="29"/>
        <v/>
      </c>
      <c r="N42" s="27">
        <f t="shared" si="30"/>
        <v>0</v>
      </c>
      <c r="O42" s="27" t="str">
        <f t="shared" si="31"/>
        <v/>
      </c>
      <c r="P42" s="28" t="str">
        <f t="shared" si="32"/>
        <v/>
      </c>
      <c r="Q42" s="29" t="str">
        <f t="shared" si="33"/>
        <v/>
      </c>
      <c r="R42" s="34">
        <f t="shared" si="18"/>
        <v>0</v>
      </c>
      <c r="S42" s="34">
        <f t="shared" si="19"/>
        <v>0</v>
      </c>
      <c r="T42" s="29">
        <f t="shared" si="34"/>
        <v>0</v>
      </c>
      <c r="U42" s="27"/>
      <c r="V42" s="27"/>
      <c r="W42" s="29">
        <f t="shared" si="35"/>
        <v>0</v>
      </c>
      <c r="X42" s="27"/>
      <c r="Y42" s="27"/>
      <c r="Z42" s="27">
        <f t="shared" si="10"/>
        <v>0</v>
      </c>
      <c r="AA42" s="30">
        <f t="shared" si="36"/>
        <v>0</v>
      </c>
      <c r="AB42" s="49"/>
      <c r="AC42" s="49"/>
      <c r="AE42" s="92"/>
      <c r="AF42" s="92"/>
      <c r="AG42" s="92"/>
      <c r="AH42" s="92"/>
      <c r="AI42" s="92"/>
      <c r="AJ42" s="92"/>
    </row>
    <row r="43" spans="1:36" s="35" customFormat="1" ht="21" customHeight="1">
      <c r="A43" s="24">
        <v>36</v>
      </c>
      <c r="B43" s="25">
        <v>44228</v>
      </c>
      <c r="C43" s="26" t="str">
        <f t="shared" si="12"/>
        <v/>
      </c>
      <c r="D43" s="26" t="str">
        <f t="shared" si="21"/>
        <v/>
      </c>
      <c r="E43" s="26" t="str">
        <f t="shared" si="22"/>
        <v/>
      </c>
      <c r="F43" s="27">
        <f t="shared" si="23"/>
        <v>0</v>
      </c>
      <c r="G43" s="34" t="str">
        <f t="shared" si="15"/>
        <v/>
      </c>
      <c r="H43" s="27" t="str">
        <f t="shared" si="24"/>
        <v/>
      </c>
      <c r="I43" s="27" t="str">
        <f t="shared" si="25"/>
        <v/>
      </c>
      <c r="J43" s="27">
        <f t="shared" si="26"/>
        <v>0</v>
      </c>
      <c r="K43" s="27" t="str">
        <f t="shared" si="27"/>
        <v/>
      </c>
      <c r="L43" s="27" t="str">
        <f t="shared" si="28"/>
        <v/>
      </c>
      <c r="M43" s="27" t="str">
        <f t="shared" si="29"/>
        <v/>
      </c>
      <c r="N43" s="27">
        <f t="shared" si="30"/>
        <v>0</v>
      </c>
      <c r="O43" s="27" t="str">
        <f t="shared" si="31"/>
        <v/>
      </c>
      <c r="P43" s="28" t="str">
        <f t="shared" si="32"/>
        <v/>
      </c>
      <c r="Q43" s="29" t="str">
        <f t="shared" si="33"/>
        <v/>
      </c>
      <c r="R43" s="34">
        <f t="shared" si="18"/>
        <v>0</v>
      </c>
      <c r="S43" s="34">
        <f t="shared" si="19"/>
        <v>0</v>
      </c>
      <c r="T43" s="29">
        <f t="shared" si="34"/>
        <v>0</v>
      </c>
      <c r="U43" s="27"/>
      <c r="V43" s="27"/>
      <c r="W43" s="29">
        <f t="shared" si="35"/>
        <v>0</v>
      </c>
      <c r="X43" s="27"/>
      <c r="Y43" s="27"/>
      <c r="Z43" s="27">
        <f t="shared" si="10"/>
        <v>0</v>
      </c>
      <c r="AA43" s="30">
        <f t="shared" si="36"/>
        <v>0</v>
      </c>
      <c r="AB43" s="49"/>
      <c r="AC43" s="49"/>
      <c r="AE43" s="92"/>
      <c r="AF43" s="92"/>
      <c r="AG43" s="92"/>
      <c r="AH43" s="92"/>
      <c r="AI43" s="92"/>
      <c r="AJ43" s="92"/>
    </row>
    <row r="44" spans="1:36" s="35" customFormat="1" ht="21" customHeight="1">
      <c r="A44" s="24">
        <v>37</v>
      </c>
      <c r="B44" s="25">
        <v>44256</v>
      </c>
      <c r="C44" s="26" t="str">
        <f t="shared" si="12"/>
        <v/>
      </c>
      <c r="D44" s="26" t="str">
        <f t="shared" si="21"/>
        <v/>
      </c>
      <c r="E44" s="26" t="str">
        <f t="shared" si="22"/>
        <v/>
      </c>
      <c r="F44" s="27">
        <f t="shared" si="23"/>
        <v>0</v>
      </c>
      <c r="G44" s="34" t="str">
        <f t="shared" si="15"/>
        <v/>
      </c>
      <c r="H44" s="27" t="str">
        <f t="shared" si="24"/>
        <v/>
      </c>
      <c r="I44" s="27" t="str">
        <f t="shared" si="25"/>
        <v/>
      </c>
      <c r="J44" s="27">
        <f t="shared" si="26"/>
        <v>0</v>
      </c>
      <c r="K44" s="27" t="str">
        <f t="shared" si="27"/>
        <v/>
      </c>
      <c r="L44" s="27" t="str">
        <f t="shared" si="28"/>
        <v/>
      </c>
      <c r="M44" s="27" t="str">
        <f t="shared" si="29"/>
        <v/>
      </c>
      <c r="N44" s="27">
        <f t="shared" si="30"/>
        <v>0</v>
      </c>
      <c r="O44" s="27" t="str">
        <f t="shared" si="31"/>
        <v/>
      </c>
      <c r="P44" s="28" t="str">
        <f t="shared" si="32"/>
        <v/>
      </c>
      <c r="Q44" s="29" t="str">
        <f t="shared" si="33"/>
        <v/>
      </c>
      <c r="R44" s="34">
        <f t="shared" si="18"/>
        <v>0</v>
      </c>
      <c r="S44" s="34">
        <f t="shared" si="19"/>
        <v>0</v>
      </c>
      <c r="T44" s="29">
        <f t="shared" si="34"/>
        <v>0</v>
      </c>
      <c r="U44" s="27"/>
      <c r="V44" s="27"/>
      <c r="W44" s="29">
        <f t="shared" si="35"/>
        <v>0</v>
      </c>
      <c r="X44" s="27"/>
      <c r="Y44" s="27"/>
      <c r="Z44" s="27">
        <f t="shared" si="10"/>
        <v>0</v>
      </c>
      <c r="AA44" s="30">
        <f t="shared" si="36"/>
        <v>0</v>
      </c>
      <c r="AB44" s="49"/>
      <c r="AC44" s="49"/>
      <c r="AE44" s="92"/>
      <c r="AF44" s="92"/>
      <c r="AG44" s="92"/>
      <c r="AH44" s="92"/>
      <c r="AI44" s="92"/>
      <c r="AJ44" s="92"/>
    </row>
    <row r="45" spans="1:36" s="35" customFormat="1" ht="21" customHeight="1">
      <c r="A45" s="24">
        <v>38</v>
      </c>
      <c r="B45" s="25">
        <v>44287</v>
      </c>
      <c r="C45" s="26" t="str">
        <f t="shared" si="12"/>
        <v/>
      </c>
      <c r="D45" s="26" t="str">
        <f t="shared" si="21"/>
        <v/>
      </c>
      <c r="E45" s="26" t="str">
        <f t="shared" si="22"/>
        <v/>
      </c>
      <c r="F45" s="27">
        <f t="shared" si="23"/>
        <v>0</v>
      </c>
      <c r="G45" s="34" t="str">
        <f t="shared" si="15"/>
        <v/>
      </c>
      <c r="H45" s="27" t="str">
        <f t="shared" si="24"/>
        <v/>
      </c>
      <c r="I45" s="27" t="str">
        <f t="shared" si="25"/>
        <v/>
      </c>
      <c r="J45" s="27">
        <f t="shared" si="26"/>
        <v>0</v>
      </c>
      <c r="K45" s="27" t="str">
        <f t="shared" si="27"/>
        <v/>
      </c>
      <c r="L45" s="27" t="str">
        <f t="shared" si="28"/>
        <v/>
      </c>
      <c r="M45" s="27" t="str">
        <f t="shared" si="29"/>
        <v/>
      </c>
      <c r="N45" s="27">
        <f t="shared" si="30"/>
        <v>0</v>
      </c>
      <c r="O45" s="27" t="str">
        <f t="shared" si="31"/>
        <v/>
      </c>
      <c r="P45" s="28" t="str">
        <f t="shared" si="32"/>
        <v/>
      </c>
      <c r="Q45" s="29" t="str">
        <f t="shared" si="33"/>
        <v/>
      </c>
      <c r="R45" s="34">
        <f t="shared" si="18"/>
        <v>0</v>
      </c>
      <c r="S45" s="34">
        <f t="shared" si="19"/>
        <v>0</v>
      </c>
      <c r="T45" s="29">
        <f t="shared" si="34"/>
        <v>0</v>
      </c>
      <c r="U45" s="27"/>
      <c r="V45" s="27"/>
      <c r="W45" s="29">
        <f t="shared" si="35"/>
        <v>0</v>
      </c>
      <c r="X45" s="27"/>
      <c r="Y45" s="27"/>
      <c r="Z45" s="27">
        <f t="shared" si="10"/>
        <v>0</v>
      </c>
      <c r="AA45" s="30">
        <f t="shared" si="36"/>
        <v>0</v>
      </c>
      <c r="AB45" s="49"/>
      <c r="AC45" s="49"/>
      <c r="AE45" s="92"/>
      <c r="AF45" s="92"/>
      <c r="AG45" s="92"/>
      <c r="AH45" s="92"/>
      <c r="AI45" s="92"/>
      <c r="AJ45" s="92"/>
    </row>
    <row r="46" spans="1:36" s="35" customFormat="1" ht="21" customHeight="1">
      <c r="A46" s="24">
        <v>39</v>
      </c>
      <c r="B46" s="25">
        <v>44317</v>
      </c>
      <c r="C46" s="26" t="str">
        <f t="shared" si="12"/>
        <v/>
      </c>
      <c r="D46" s="26" t="str">
        <f t="shared" si="21"/>
        <v/>
      </c>
      <c r="E46" s="26" t="str">
        <f t="shared" si="22"/>
        <v/>
      </c>
      <c r="F46" s="27">
        <f t="shared" si="23"/>
        <v>0</v>
      </c>
      <c r="G46" s="34" t="str">
        <f t="shared" si="15"/>
        <v/>
      </c>
      <c r="H46" s="27" t="str">
        <f t="shared" si="24"/>
        <v/>
      </c>
      <c r="I46" s="27" t="str">
        <f t="shared" si="25"/>
        <v/>
      </c>
      <c r="J46" s="27">
        <f t="shared" si="26"/>
        <v>0</v>
      </c>
      <c r="K46" s="27" t="str">
        <f t="shared" si="27"/>
        <v/>
      </c>
      <c r="L46" s="27" t="str">
        <f t="shared" si="28"/>
        <v/>
      </c>
      <c r="M46" s="27" t="str">
        <f t="shared" si="29"/>
        <v/>
      </c>
      <c r="N46" s="27">
        <f t="shared" si="30"/>
        <v>0</v>
      </c>
      <c r="O46" s="27" t="str">
        <f t="shared" si="31"/>
        <v/>
      </c>
      <c r="P46" s="28" t="str">
        <f t="shared" si="32"/>
        <v/>
      </c>
      <c r="Q46" s="29" t="str">
        <f t="shared" si="33"/>
        <v/>
      </c>
      <c r="R46" s="34">
        <f t="shared" si="18"/>
        <v>0</v>
      </c>
      <c r="S46" s="34">
        <f t="shared" si="19"/>
        <v>0</v>
      </c>
      <c r="T46" s="29">
        <f t="shared" si="34"/>
        <v>0</v>
      </c>
      <c r="U46" s="27"/>
      <c r="V46" s="27"/>
      <c r="W46" s="29">
        <f t="shared" si="35"/>
        <v>0</v>
      </c>
      <c r="X46" s="27"/>
      <c r="Y46" s="27"/>
      <c r="Z46" s="27">
        <f t="shared" si="10"/>
        <v>0</v>
      </c>
      <c r="AA46" s="30">
        <f t="shared" si="36"/>
        <v>0</v>
      </c>
      <c r="AB46" s="49"/>
      <c r="AC46" s="49"/>
      <c r="AE46" s="92"/>
      <c r="AF46" s="92"/>
      <c r="AG46" s="92"/>
      <c r="AH46" s="92"/>
      <c r="AI46" s="92"/>
      <c r="AJ46" s="92"/>
    </row>
    <row r="47" spans="1:36" s="35" customFormat="1" ht="21" customHeight="1">
      <c r="A47" s="24">
        <v>40</v>
      </c>
      <c r="B47" s="25">
        <v>44348</v>
      </c>
      <c r="C47" s="26" t="str">
        <f t="shared" si="12"/>
        <v/>
      </c>
      <c r="D47" s="26" t="str">
        <f t="shared" si="21"/>
        <v/>
      </c>
      <c r="E47" s="26" t="str">
        <f t="shared" si="22"/>
        <v/>
      </c>
      <c r="F47" s="27">
        <f t="shared" si="23"/>
        <v>0</v>
      </c>
      <c r="G47" s="34" t="str">
        <f t="shared" si="15"/>
        <v/>
      </c>
      <c r="H47" s="27" t="str">
        <f t="shared" si="24"/>
        <v/>
      </c>
      <c r="I47" s="27" t="str">
        <f t="shared" si="25"/>
        <v/>
      </c>
      <c r="J47" s="27">
        <f t="shared" si="26"/>
        <v>0</v>
      </c>
      <c r="K47" s="27" t="str">
        <f t="shared" si="27"/>
        <v/>
      </c>
      <c r="L47" s="27" t="str">
        <f t="shared" si="28"/>
        <v/>
      </c>
      <c r="M47" s="27" t="str">
        <f t="shared" si="29"/>
        <v/>
      </c>
      <c r="N47" s="27">
        <f t="shared" si="30"/>
        <v>0</v>
      </c>
      <c r="O47" s="27" t="str">
        <f t="shared" si="31"/>
        <v/>
      </c>
      <c r="P47" s="28" t="str">
        <f t="shared" si="32"/>
        <v/>
      </c>
      <c r="Q47" s="29" t="str">
        <f t="shared" si="33"/>
        <v/>
      </c>
      <c r="R47" s="34">
        <f t="shared" si="18"/>
        <v>0</v>
      </c>
      <c r="S47" s="34">
        <f t="shared" si="19"/>
        <v>0</v>
      </c>
      <c r="T47" s="29">
        <f t="shared" si="34"/>
        <v>0</v>
      </c>
      <c r="U47" s="27"/>
      <c r="V47" s="27"/>
      <c r="W47" s="29">
        <f t="shared" si="35"/>
        <v>0</v>
      </c>
      <c r="X47" s="27"/>
      <c r="Y47" s="27"/>
      <c r="Z47" s="27">
        <f t="shared" si="10"/>
        <v>0</v>
      </c>
      <c r="AA47" s="30">
        <f t="shared" si="36"/>
        <v>0</v>
      </c>
      <c r="AB47" s="49"/>
      <c r="AC47" s="49"/>
      <c r="AE47" s="92"/>
      <c r="AF47" s="92"/>
      <c r="AG47" s="92"/>
      <c r="AH47" s="92"/>
      <c r="AI47" s="92"/>
      <c r="AJ47" s="92"/>
    </row>
    <row r="48" spans="1:36" s="35" customFormat="1" ht="21" customHeight="1">
      <c r="A48" s="24">
        <v>41</v>
      </c>
      <c r="B48" s="25">
        <v>44378</v>
      </c>
      <c r="C48" s="26" t="str">
        <f t="shared" ref="C48:C53" si="37">IFERROR(IF(B48="","",IF(C47="","",C47)),"")</f>
        <v/>
      </c>
      <c r="D48" s="26" t="str">
        <f>IFERROR(IF(B48="","",ROUND(C48*31%,0)),"")</f>
        <v/>
      </c>
      <c r="E48" s="26" t="str">
        <f>IFERROR(IF(B48="","",ROUND(C48*9%,0)),"")</f>
        <v/>
      </c>
      <c r="F48" s="27">
        <f t="shared" ref="F48:F53" si="38">IF(B48="","",SUM(C48:E48))</f>
        <v>0</v>
      </c>
      <c r="G48" s="34" t="str">
        <f t="shared" ref="G48:G53" si="39">IFERROR(IF(B48="","",IF(G47="","",G47)),"")</f>
        <v/>
      </c>
      <c r="H48" s="27" t="str">
        <f>IFERROR(IF(B48="","",ROUND(G48*28%,0)),"")</f>
        <v/>
      </c>
      <c r="I48" s="27" t="str">
        <f>IFERROR(IF(B48="","",ROUND(G48*9%,0)),"")</f>
        <v/>
      </c>
      <c r="J48" s="27">
        <f t="shared" ref="J48:J53" si="40">IF(B48="","",SUM(G48:I48))</f>
        <v>0</v>
      </c>
      <c r="K48" s="27" t="str">
        <f t="shared" ref="K48:K53" si="41">IFERROR(IF(B48="","",IF(C48="","",IF(G48="","",SUM(C48-G48)))),"")</f>
        <v/>
      </c>
      <c r="L48" s="27" t="str">
        <f t="shared" ref="L48:L53" si="42">IFERROR(IF(B48="","",IF(D48="","",IF(H48="","",SUM(D48-H48)))),"")</f>
        <v/>
      </c>
      <c r="M48" s="27" t="str">
        <f t="shared" ref="M48:M53" si="43">IFERROR(IF(B48="","",IF(E48="","",IF(I48="","",SUM(E48-I48)))),"")</f>
        <v/>
      </c>
      <c r="N48" s="27">
        <f t="shared" ref="N48:N53" si="44">IFERROR(IF(B48="","",IF(F48="","",IF(J48="","",SUM(F48-J48)))),"")</f>
        <v>0</v>
      </c>
      <c r="O48" s="27" t="str">
        <f t="shared" ref="O48:O53" si="45">IFERROR(IF(B48="","",ROUND((C48+D48)*10%,0)),"")</f>
        <v/>
      </c>
      <c r="P48" s="28" t="str">
        <f t="shared" ref="P48:P53" si="46">IFERROR(IF(B48="","",IF(G48="","",IF(H48="","",ROUND((G48+H48)*10%,0)))),"")</f>
        <v/>
      </c>
      <c r="Q48" s="29" t="str">
        <f t="shared" ref="Q48:Q53" si="47">IFERROR(IF(B48="","",SUM(O48-P48)),"")</f>
        <v/>
      </c>
      <c r="R48" s="34">
        <f t="shared" ref="R48:R53" si="48">IF(B48="","",R47)</f>
        <v>0</v>
      </c>
      <c r="S48" s="34">
        <f t="shared" ref="S48:S53" si="49">IF(B48="","",S47)</f>
        <v>0</v>
      </c>
      <c r="T48" s="29">
        <f t="shared" ref="T48:T53" si="50">IFERROR(IF(B48="","",SUM(R48-S48)),"")</f>
        <v>0</v>
      </c>
      <c r="U48" s="27"/>
      <c r="V48" s="27"/>
      <c r="W48" s="29">
        <f t="shared" ref="W48:W53" si="51">IFERROR(IF(B48="","",SUM(U48-V48)),"")</f>
        <v>0</v>
      </c>
      <c r="X48" s="27"/>
      <c r="Y48" s="27"/>
      <c r="Z48" s="27">
        <f t="shared" si="10"/>
        <v>0</v>
      </c>
      <c r="AA48" s="30">
        <f t="shared" ref="AA48:AA53" si="52">IFERROR(IF(B48="","",SUM(N48-Z48)),"")</f>
        <v>0</v>
      </c>
      <c r="AB48" s="49"/>
      <c r="AC48" s="49"/>
      <c r="AE48" s="152"/>
      <c r="AF48" s="152"/>
      <c r="AG48" s="152"/>
      <c r="AH48" s="152"/>
      <c r="AI48" s="152"/>
      <c r="AJ48" s="152"/>
    </row>
    <row r="49" spans="1:36" s="35" customFormat="1" ht="21" customHeight="1">
      <c r="A49" s="24">
        <v>42</v>
      </c>
      <c r="B49" s="25">
        <v>44409</v>
      </c>
      <c r="C49" s="26" t="str">
        <f t="shared" si="37"/>
        <v/>
      </c>
      <c r="D49" s="26" t="str">
        <f t="shared" ref="D49:D53" si="53">IFERROR(IF(B49="","",ROUND(C49*31%,0)),"")</f>
        <v/>
      </c>
      <c r="E49" s="26" t="str">
        <f t="shared" ref="E49:E53" si="54">IFERROR(IF(B49="","",ROUND(C49*9%,0)),"")</f>
        <v/>
      </c>
      <c r="F49" s="27">
        <f t="shared" si="38"/>
        <v>0</v>
      </c>
      <c r="G49" s="34" t="str">
        <f t="shared" si="39"/>
        <v/>
      </c>
      <c r="H49" s="27" t="str">
        <f t="shared" ref="H49:H50" si="55">IFERROR(IF(B49="","",ROUND(G49*28%,0)),"")</f>
        <v/>
      </c>
      <c r="I49" s="27" t="str">
        <f t="shared" ref="I49:I53" si="56">IFERROR(IF(B49="","",ROUND(G49*9%,0)),"")</f>
        <v/>
      </c>
      <c r="J49" s="27">
        <f t="shared" si="40"/>
        <v>0</v>
      </c>
      <c r="K49" s="27" t="str">
        <f t="shared" si="41"/>
        <v/>
      </c>
      <c r="L49" s="27" t="str">
        <f t="shared" si="42"/>
        <v/>
      </c>
      <c r="M49" s="27" t="str">
        <f t="shared" si="43"/>
        <v/>
      </c>
      <c r="N49" s="27">
        <f t="shared" si="44"/>
        <v>0</v>
      </c>
      <c r="O49" s="27" t="str">
        <f t="shared" si="45"/>
        <v/>
      </c>
      <c r="P49" s="28" t="str">
        <f t="shared" si="46"/>
        <v/>
      </c>
      <c r="Q49" s="29" t="str">
        <f t="shared" si="47"/>
        <v/>
      </c>
      <c r="R49" s="34">
        <f t="shared" si="48"/>
        <v>0</v>
      </c>
      <c r="S49" s="34">
        <f t="shared" si="49"/>
        <v>0</v>
      </c>
      <c r="T49" s="29">
        <f t="shared" si="50"/>
        <v>0</v>
      </c>
      <c r="U49" s="27"/>
      <c r="V49" s="27"/>
      <c r="W49" s="29">
        <f t="shared" si="51"/>
        <v>0</v>
      </c>
      <c r="X49" s="27"/>
      <c r="Y49" s="27"/>
      <c r="Z49" s="27">
        <f t="shared" si="10"/>
        <v>0</v>
      </c>
      <c r="AA49" s="30">
        <f t="shared" si="52"/>
        <v>0</v>
      </c>
      <c r="AB49" s="49"/>
      <c r="AC49" s="49"/>
      <c r="AE49" s="152"/>
      <c r="AF49" s="152"/>
      <c r="AG49" s="152"/>
      <c r="AH49" s="152"/>
      <c r="AI49" s="152"/>
      <c r="AJ49" s="152"/>
    </row>
    <row r="50" spans="1:36" s="35" customFormat="1" ht="21" customHeight="1">
      <c r="A50" s="24">
        <v>43</v>
      </c>
      <c r="B50" s="25">
        <v>44440</v>
      </c>
      <c r="C50" s="26" t="str">
        <f t="shared" si="37"/>
        <v/>
      </c>
      <c r="D50" s="26" t="str">
        <f t="shared" si="53"/>
        <v/>
      </c>
      <c r="E50" s="26" t="str">
        <f t="shared" si="54"/>
        <v/>
      </c>
      <c r="F50" s="27">
        <f t="shared" si="38"/>
        <v>0</v>
      </c>
      <c r="G50" s="34" t="str">
        <f t="shared" si="39"/>
        <v/>
      </c>
      <c r="H50" s="27" t="str">
        <f t="shared" si="55"/>
        <v/>
      </c>
      <c r="I50" s="27" t="str">
        <f t="shared" si="56"/>
        <v/>
      </c>
      <c r="J50" s="27">
        <f t="shared" si="40"/>
        <v>0</v>
      </c>
      <c r="K50" s="27" t="str">
        <f t="shared" si="41"/>
        <v/>
      </c>
      <c r="L50" s="27" t="str">
        <f t="shared" si="42"/>
        <v/>
      </c>
      <c r="M50" s="27" t="str">
        <f t="shared" si="43"/>
        <v/>
      </c>
      <c r="N50" s="27">
        <f t="shared" si="44"/>
        <v>0</v>
      </c>
      <c r="O50" s="27" t="str">
        <f t="shared" si="45"/>
        <v/>
      </c>
      <c r="P50" s="28" t="str">
        <f t="shared" si="46"/>
        <v/>
      </c>
      <c r="Q50" s="29" t="str">
        <f t="shared" si="47"/>
        <v/>
      </c>
      <c r="R50" s="34">
        <f t="shared" si="48"/>
        <v>0</v>
      </c>
      <c r="S50" s="34">
        <f t="shared" si="49"/>
        <v>0</v>
      </c>
      <c r="T50" s="29">
        <f t="shared" si="50"/>
        <v>0</v>
      </c>
      <c r="U50" s="27"/>
      <c r="V50" s="27"/>
      <c r="W50" s="29">
        <f t="shared" si="51"/>
        <v>0</v>
      </c>
      <c r="X50" s="27"/>
      <c r="Y50" s="27"/>
      <c r="Z50" s="27">
        <f t="shared" si="10"/>
        <v>0</v>
      </c>
      <c r="AA50" s="30">
        <f t="shared" si="52"/>
        <v>0</v>
      </c>
      <c r="AB50" s="49"/>
      <c r="AC50" s="49"/>
      <c r="AE50" s="152"/>
      <c r="AF50" s="152"/>
      <c r="AG50" s="152"/>
      <c r="AH50" s="152"/>
      <c r="AI50" s="152"/>
      <c r="AJ50" s="152"/>
    </row>
    <row r="51" spans="1:36" s="35" customFormat="1" ht="21" customHeight="1">
      <c r="A51" s="24">
        <v>44</v>
      </c>
      <c r="B51" s="25">
        <v>44470</v>
      </c>
      <c r="C51" s="26" t="str">
        <f t="shared" si="37"/>
        <v/>
      </c>
      <c r="D51" s="26" t="str">
        <f t="shared" si="53"/>
        <v/>
      </c>
      <c r="E51" s="26" t="str">
        <f t="shared" si="54"/>
        <v/>
      </c>
      <c r="F51" s="27">
        <f t="shared" si="38"/>
        <v>0</v>
      </c>
      <c r="G51" s="34" t="str">
        <f t="shared" si="39"/>
        <v/>
      </c>
      <c r="H51" s="27" t="str">
        <f>IFERROR(IF(B51="","",ROUND(G51*31%,0)),"")</f>
        <v/>
      </c>
      <c r="I51" s="27" t="str">
        <f t="shared" si="56"/>
        <v/>
      </c>
      <c r="J51" s="27">
        <f t="shared" si="40"/>
        <v>0</v>
      </c>
      <c r="K51" s="27" t="str">
        <f t="shared" si="41"/>
        <v/>
      </c>
      <c r="L51" s="27" t="str">
        <f t="shared" si="42"/>
        <v/>
      </c>
      <c r="M51" s="27" t="str">
        <f t="shared" si="43"/>
        <v/>
      </c>
      <c r="N51" s="27">
        <f t="shared" si="44"/>
        <v>0</v>
      </c>
      <c r="O51" s="27" t="str">
        <f t="shared" si="45"/>
        <v/>
      </c>
      <c r="P51" s="28" t="str">
        <f t="shared" si="46"/>
        <v/>
      </c>
      <c r="Q51" s="29" t="str">
        <f t="shared" si="47"/>
        <v/>
      </c>
      <c r="R51" s="34">
        <f t="shared" si="48"/>
        <v>0</v>
      </c>
      <c r="S51" s="34">
        <f t="shared" si="49"/>
        <v>0</v>
      </c>
      <c r="T51" s="29">
        <f t="shared" si="50"/>
        <v>0</v>
      </c>
      <c r="U51" s="27"/>
      <c r="V51" s="27"/>
      <c r="W51" s="29">
        <f t="shared" si="51"/>
        <v>0</v>
      </c>
      <c r="X51" s="27"/>
      <c r="Y51" s="27"/>
      <c r="Z51" s="27">
        <f t="shared" si="10"/>
        <v>0</v>
      </c>
      <c r="AA51" s="30">
        <f t="shared" si="52"/>
        <v>0</v>
      </c>
      <c r="AB51" s="49"/>
      <c r="AC51" s="49"/>
      <c r="AE51" s="152"/>
      <c r="AF51" s="152"/>
      <c r="AG51" s="152"/>
      <c r="AH51" s="152"/>
      <c r="AI51" s="152"/>
      <c r="AJ51" s="152"/>
    </row>
    <row r="52" spans="1:36" s="35" customFormat="1" ht="21" customHeight="1">
      <c r="A52" s="24">
        <v>45</v>
      </c>
      <c r="B52" s="25">
        <v>44501</v>
      </c>
      <c r="C52" s="26" t="str">
        <f t="shared" si="37"/>
        <v/>
      </c>
      <c r="D52" s="26" t="str">
        <f t="shared" si="53"/>
        <v/>
      </c>
      <c r="E52" s="26" t="str">
        <f t="shared" si="54"/>
        <v/>
      </c>
      <c r="F52" s="27">
        <f t="shared" si="38"/>
        <v>0</v>
      </c>
      <c r="G52" s="34" t="str">
        <f t="shared" si="39"/>
        <v/>
      </c>
      <c r="H52" s="27" t="str">
        <f t="shared" ref="H52:H53" si="57">IFERROR(IF(B52="","",ROUND(G52*31%,0)),"")</f>
        <v/>
      </c>
      <c r="I52" s="27" t="str">
        <f t="shared" si="56"/>
        <v/>
      </c>
      <c r="J52" s="27">
        <f t="shared" si="40"/>
        <v>0</v>
      </c>
      <c r="K52" s="27" t="str">
        <f t="shared" si="41"/>
        <v/>
      </c>
      <c r="L52" s="27" t="str">
        <f t="shared" si="42"/>
        <v/>
      </c>
      <c r="M52" s="27" t="str">
        <f t="shared" si="43"/>
        <v/>
      </c>
      <c r="N52" s="27">
        <f t="shared" si="44"/>
        <v>0</v>
      </c>
      <c r="O52" s="27" t="str">
        <f t="shared" si="45"/>
        <v/>
      </c>
      <c r="P52" s="28" t="str">
        <f t="shared" si="46"/>
        <v/>
      </c>
      <c r="Q52" s="29" t="str">
        <f t="shared" si="47"/>
        <v/>
      </c>
      <c r="R52" s="34">
        <f t="shared" si="48"/>
        <v>0</v>
      </c>
      <c r="S52" s="34">
        <f t="shared" si="49"/>
        <v>0</v>
      </c>
      <c r="T52" s="29">
        <f t="shared" si="50"/>
        <v>0</v>
      </c>
      <c r="U52" s="27"/>
      <c r="V52" s="27"/>
      <c r="W52" s="29">
        <f t="shared" si="51"/>
        <v>0</v>
      </c>
      <c r="X52" s="27"/>
      <c r="Y52" s="27"/>
      <c r="Z52" s="27">
        <f t="shared" si="10"/>
        <v>0</v>
      </c>
      <c r="AA52" s="30">
        <f t="shared" si="52"/>
        <v>0</v>
      </c>
      <c r="AB52" s="49"/>
      <c r="AC52" s="49"/>
      <c r="AE52" s="152"/>
      <c r="AF52" s="152"/>
      <c r="AG52" s="152"/>
      <c r="AH52" s="152"/>
      <c r="AI52" s="152"/>
      <c r="AJ52" s="152"/>
    </row>
    <row r="53" spans="1:36" s="35" customFormat="1" ht="21" customHeight="1">
      <c r="A53" s="24">
        <v>46</v>
      </c>
      <c r="B53" s="25">
        <v>44531</v>
      </c>
      <c r="C53" s="26" t="str">
        <f t="shared" si="37"/>
        <v/>
      </c>
      <c r="D53" s="26" t="str">
        <f t="shared" si="53"/>
        <v/>
      </c>
      <c r="E53" s="26" t="str">
        <f t="shared" si="54"/>
        <v/>
      </c>
      <c r="F53" s="27">
        <f t="shared" si="38"/>
        <v>0</v>
      </c>
      <c r="G53" s="34" t="str">
        <f t="shared" si="39"/>
        <v/>
      </c>
      <c r="H53" s="27" t="str">
        <f t="shared" si="57"/>
        <v/>
      </c>
      <c r="I53" s="27" t="str">
        <f t="shared" si="56"/>
        <v/>
      </c>
      <c r="J53" s="27">
        <f t="shared" si="40"/>
        <v>0</v>
      </c>
      <c r="K53" s="27" t="str">
        <f t="shared" si="41"/>
        <v/>
      </c>
      <c r="L53" s="27" t="str">
        <f t="shared" si="42"/>
        <v/>
      </c>
      <c r="M53" s="27" t="str">
        <f t="shared" si="43"/>
        <v/>
      </c>
      <c r="N53" s="27">
        <f t="shared" si="44"/>
        <v>0</v>
      </c>
      <c r="O53" s="27" t="str">
        <f t="shared" si="45"/>
        <v/>
      </c>
      <c r="P53" s="28" t="str">
        <f t="shared" si="46"/>
        <v/>
      </c>
      <c r="Q53" s="29" t="str">
        <f t="shared" si="47"/>
        <v/>
      </c>
      <c r="R53" s="34">
        <f t="shared" si="48"/>
        <v>0</v>
      </c>
      <c r="S53" s="34">
        <f t="shared" si="49"/>
        <v>0</v>
      </c>
      <c r="T53" s="29">
        <f t="shared" si="50"/>
        <v>0</v>
      </c>
      <c r="U53" s="27"/>
      <c r="V53" s="27"/>
      <c r="W53" s="29">
        <f t="shared" si="51"/>
        <v>0</v>
      </c>
      <c r="X53" s="27"/>
      <c r="Y53" s="27"/>
      <c r="Z53" s="27">
        <f t="shared" si="10"/>
        <v>0</v>
      </c>
      <c r="AA53" s="30">
        <f t="shared" si="52"/>
        <v>0</v>
      </c>
      <c r="AB53" s="49"/>
      <c r="AC53" s="49"/>
      <c r="AE53" s="152"/>
      <c r="AF53" s="152"/>
      <c r="AG53" s="152"/>
      <c r="AH53" s="152"/>
      <c r="AI53" s="152"/>
      <c r="AJ53" s="152"/>
    </row>
    <row r="54" spans="1:36" s="35" customFormat="1" ht="32.25" customHeight="1">
      <c r="A54" s="213" t="s">
        <v>18</v>
      </c>
      <c r="B54" s="214"/>
      <c r="C54" s="36">
        <f>IF($E$3="","",SUM(C8:C53))</f>
        <v>0</v>
      </c>
      <c r="D54" s="36">
        <f t="shared" ref="D54:AA54" si="58">IF($E$3="","",SUM(D8:D53))</f>
        <v>0</v>
      </c>
      <c r="E54" s="36">
        <f t="shared" si="58"/>
        <v>0</v>
      </c>
      <c r="F54" s="36">
        <f t="shared" si="58"/>
        <v>0</v>
      </c>
      <c r="G54" s="36">
        <f t="shared" si="58"/>
        <v>0</v>
      </c>
      <c r="H54" s="36">
        <f t="shared" si="58"/>
        <v>0</v>
      </c>
      <c r="I54" s="36">
        <f t="shared" si="58"/>
        <v>0</v>
      </c>
      <c r="J54" s="36">
        <f t="shared" si="58"/>
        <v>0</v>
      </c>
      <c r="K54" s="36">
        <f t="shared" si="58"/>
        <v>0</v>
      </c>
      <c r="L54" s="36">
        <f t="shared" si="58"/>
        <v>0</v>
      </c>
      <c r="M54" s="36">
        <f t="shared" si="58"/>
        <v>0</v>
      </c>
      <c r="N54" s="36">
        <f t="shared" si="58"/>
        <v>0</v>
      </c>
      <c r="O54" s="36">
        <f t="shared" si="58"/>
        <v>0</v>
      </c>
      <c r="P54" s="36">
        <f t="shared" si="58"/>
        <v>0</v>
      </c>
      <c r="Q54" s="36">
        <f t="shared" si="58"/>
        <v>0</v>
      </c>
      <c r="R54" s="36">
        <f t="shared" si="58"/>
        <v>0</v>
      </c>
      <c r="S54" s="36">
        <f t="shared" si="58"/>
        <v>0</v>
      </c>
      <c r="T54" s="36">
        <f t="shared" si="58"/>
        <v>0</v>
      </c>
      <c r="U54" s="36">
        <f t="shared" si="58"/>
        <v>0</v>
      </c>
      <c r="V54" s="36">
        <f t="shared" si="58"/>
        <v>0</v>
      </c>
      <c r="W54" s="36">
        <f t="shared" si="58"/>
        <v>0</v>
      </c>
      <c r="X54" s="36">
        <f t="shared" si="58"/>
        <v>0</v>
      </c>
      <c r="Y54" s="36">
        <f t="shared" si="58"/>
        <v>0</v>
      </c>
      <c r="Z54" s="36">
        <f t="shared" si="58"/>
        <v>0</v>
      </c>
      <c r="AA54" s="36">
        <f>IF($E$3="","",SUM(AA8:AA53))</f>
        <v>0</v>
      </c>
      <c r="AB54" s="37"/>
      <c r="AC54" s="37"/>
      <c r="AE54" s="215"/>
      <c r="AF54" s="216"/>
      <c r="AG54" s="216"/>
      <c r="AH54" s="216"/>
      <c r="AI54" s="216"/>
      <c r="AJ54" s="215"/>
    </row>
    <row r="55" spans="1:36" s="35" customFormat="1" ht="18.75">
      <c r="A55" s="38"/>
      <c r="B55" s="38"/>
      <c r="C55" s="39"/>
      <c r="D55" s="39"/>
      <c r="E55" s="39"/>
      <c r="F55" s="39"/>
      <c r="G55" s="217" t="s">
        <v>41</v>
      </c>
      <c r="H55" s="217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40"/>
      <c r="AE55" s="215"/>
      <c r="AF55" s="216"/>
      <c r="AG55" s="216"/>
      <c r="AH55" s="216"/>
      <c r="AI55" s="216"/>
      <c r="AJ55" s="215"/>
    </row>
    <row r="56" spans="1:36" s="35" customFormat="1" ht="18.75">
      <c r="A56" s="38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219"/>
      <c r="V56" s="219"/>
      <c r="W56" s="219"/>
      <c r="X56" s="219"/>
      <c r="Y56" s="219"/>
      <c r="Z56" s="219"/>
      <c r="AA56" s="219"/>
      <c r="AB56" s="219"/>
      <c r="AC56" s="40"/>
      <c r="AE56" s="215"/>
      <c r="AF56" s="216"/>
      <c r="AG56" s="216"/>
      <c r="AH56" s="216"/>
      <c r="AI56" s="216"/>
      <c r="AJ56" s="215"/>
    </row>
    <row r="57" spans="1:36" s="35" customFormat="1" ht="18.75">
      <c r="A57" s="2"/>
      <c r="B57" s="3" t="s">
        <v>35</v>
      </c>
      <c r="C57" s="220"/>
      <c r="D57" s="220"/>
      <c r="E57" s="220"/>
      <c r="F57" s="220"/>
      <c r="G57" s="220"/>
      <c r="H57" s="4"/>
      <c r="I57" s="5" t="s">
        <v>36</v>
      </c>
      <c r="J57" s="221"/>
      <c r="K57" s="221"/>
      <c r="L57" s="39"/>
      <c r="M57" s="39"/>
      <c r="N57" s="39"/>
      <c r="O57" s="39"/>
      <c r="P57" s="39"/>
      <c r="Q57" s="39"/>
      <c r="R57" s="39"/>
      <c r="S57" s="39"/>
      <c r="T57" s="39"/>
      <c r="U57" s="222"/>
      <c r="V57" s="222"/>
      <c r="W57" s="222"/>
      <c r="X57" s="222"/>
      <c r="Y57" s="222"/>
      <c r="Z57" s="222"/>
      <c r="AA57" s="222"/>
      <c r="AB57" s="222"/>
      <c r="AC57" s="40"/>
      <c r="AE57" s="215"/>
      <c r="AF57" s="216"/>
      <c r="AG57" s="216"/>
      <c r="AH57" s="216"/>
      <c r="AI57" s="216"/>
      <c r="AJ57" s="215"/>
    </row>
    <row r="58" spans="1:36" s="35" customFormat="1" ht="18.75">
      <c r="A58" s="2"/>
      <c r="B58" s="225" t="s">
        <v>37</v>
      </c>
      <c r="C58" s="225"/>
      <c r="D58" s="225"/>
      <c r="E58" s="225"/>
      <c r="F58" s="225"/>
      <c r="G58" s="225"/>
      <c r="H58" s="225"/>
      <c r="I58" s="7"/>
      <c r="J58" s="76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41"/>
      <c r="AB58" s="40"/>
      <c r="AC58" s="40"/>
      <c r="AE58" s="215"/>
      <c r="AF58" s="216"/>
      <c r="AG58" s="216"/>
      <c r="AH58" s="216"/>
      <c r="AI58" s="216"/>
      <c r="AJ58" s="215"/>
    </row>
    <row r="59" spans="1:36" s="35" customFormat="1" ht="18.75">
      <c r="A59" s="8">
        <v>1</v>
      </c>
      <c r="B59" s="226" t="s">
        <v>38</v>
      </c>
      <c r="C59" s="226"/>
      <c r="D59" s="226"/>
      <c r="E59" s="226"/>
      <c r="F59" s="226"/>
      <c r="G59" s="226"/>
      <c r="H59" s="4"/>
      <c r="I59" s="2"/>
      <c r="J59" s="76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219" t="str">
        <f>IF(AND(E3=""),"",CONCATENATE("( ",'Master Sheet'!D5," ) "))</f>
        <v xml:space="preserve">( USHA PALIYA ) </v>
      </c>
      <c r="V59" s="219"/>
      <c r="W59" s="219"/>
      <c r="X59" s="219"/>
      <c r="Y59" s="219"/>
      <c r="Z59" s="219"/>
      <c r="AA59" s="219"/>
      <c r="AB59" s="219"/>
      <c r="AC59" s="40"/>
      <c r="AE59" s="215"/>
      <c r="AF59" s="216"/>
      <c r="AG59" s="216"/>
      <c r="AH59" s="216"/>
      <c r="AI59" s="216"/>
      <c r="AJ59" s="215"/>
    </row>
    <row r="60" spans="1:36" s="35" customFormat="1" ht="18.75">
      <c r="A60" s="9">
        <v>2</v>
      </c>
      <c r="B60" s="223" t="s">
        <v>39</v>
      </c>
      <c r="C60" s="223"/>
      <c r="D60" s="223"/>
      <c r="E60" s="223"/>
      <c r="F60" s="227" t="str">
        <f>CONCATENATE(E3,",","  ",N3)</f>
        <v>HEERALAL JAT,  SR. TEACHER</v>
      </c>
      <c r="G60" s="227"/>
      <c r="H60" s="227"/>
      <c r="I60" s="227"/>
      <c r="J60" s="227"/>
      <c r="K60" s="227"/>
      <c r="L60" s="227"/>
      <c r="M60" s="227"/>
      <c r="N60" s="227"/>
      <c r="O60" s="227"/>
      <c r="P60" s="39"/>
      <c r="Q60" s="39"/>
      <c r="R60" s="42"/>
      <c r="S60" s="39"/>
      <c r="T60" s="39"/>
      <c r="U60" s="222" t="s">
        <v>34</v>
      </c>
      <c r="V60" s="222"/>
      <c r="W60" s="222"/>
      <c r="X60" s="222"/>
      <c r="Y60" s="222"/>
      <c r="Z60" s="222"/>
      <c r="AA60" s="222"/>
      <c r="AB60" s="222"/>
      <c r="AC60" s="40"/>
      <c r="AE60" s="215"/>
      <c r="AF60" s="216"/>
      <c r="AG60" s="216"/>
      <c r="AH60" s="216"/>
      <c r="AI60" s="216"/>
      <c r="AJ60" s="215"/>
    </row>
    <row r="61" spans="1:36" s="35" customFormat="1" ht="18.75">
      <c r="A61" s="8">
        <v>3</v>
      </c>
      <c r="B61" s="223" t="s">
        <v>40</v>
      </c>
      <c r="C61" s="223"/>
      <c r="D61" s="10"/>
      <c r="E61" s="10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39"/>
      <c r="Q61" s="39"/>
      <c r="R61" s="39"/>
      <c r="S61" s="39"/>
      <c r="T61" s="39"/>
      <c r="U61" s="224" t="str">
        <f>IF('Master Sheet'!D3="","",'Master Sheet'!D3)</f>
        <v>Mahtma Gandhi Government School (English Medium) Bar, PALI</v>
      </c>
      <c r="V61" s="224"/>
      <c r="W61" s="224"/>
      <c r="X61" s="224"/>
      <c r="Y61" s="224"/>
      <c r="Z61" s="224"/>
      <c r="AA61" s="224"/>
      <c r="AB61" s="224"/>
      <c r="AC61" s="40"/>
      <c r="AE61" s="215"/>
      <c r="AF61" s="216"/>
      <c r="AG61" s="216"/>
      <c r="AH61" s="216"/>
      <c r="AI61" s="216"/>
      <c r="AJ61" s="215"/>
    </row>
    <row r="62" spans="1:36" s="35" customFormat="1" ht="18.75">
      <c r="A62" s="8"/>
      <c r="B62" s="77"/>
      <c r="C62" s="77"/>
      <c r="D62" s="10"/>
      <c r="E62" s="1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39"/>
      <c r="Q62" s="39"/>
      <c r="R62" s="39"/>
      <c r="S62" s="39"/>
      <c r="T62" s="39"/>
      <c r="U62" s="224"/>
      <c r="V62" s="224"/>
      <c r="W62" s="224"/>
      <c r="X62" s="224"/>
      <c r="Y62" s="224"/>
      <c r="Z62" s="224"/>
      <c r="AA62" s="224"/>
      <c r="AB62" s="224"/>
      <c r="AC62" s="40"/>
      <c r="AE62" s="215"/>
      <c r="AF62" s="216"/>
      <c r="AG62" s="216"/>
      <c r="AH62" s="216"/>
      <c r="AI62" s="216"/>
      <c r="AJ62" s="215"/>
    </row>
    <row r="63" spans="1:36" s="35" customFormat="1" ht="18.75">
      <c r="A63" s="8"/>
      <c r="B63" s="223"/>
      <c r="C63" s="223"/>
      <c r="D63" s="11"/>
      <c r="E63" s="11"/>
      <c r="F63" s="2"/>
      <c r="G63" s="2"/>
      <c r="H63" s="12"/>
      <c r="I63" s="13"/>
      <c r="J63" s="76"/>
      <c r="K63" s="43" t="s">
        <v>19</v>
      </c>
      <c r="L63" s="43"/>
      <c r="M63" s="43"/>
      <c r="N63" s="43"/>
      <c r="O63" s="43"/>
      <c r="P63" s="43"/>
      <c r="Q63" s="43"/>
      <c r="R63" s="43"/>
      <c r="S63" s="1"/>
      <c r="T63" s="43"/>
      <c r="U63" s="43"/>
      <c r="V63" s="43"/>
      <c r="W63" s="43"/>
      <c r="X63" s="43"/>
      <c r="Y63" s="43"/>
      <c r="Z63" s="43"/>
      <c r="AA63" s="44"/>
      <c r="AB63" s="43"/>
      <c r="AC63" s="43"/>
      <c r="AE63" s="216"/>
      <c r="AF63" s="216"/>
      <c r="AG63" s="216"/>
      <c r="AH63" s="216"/>
      <c r="AI63" s="216"/>
      <c r="AJ63" s="216"/>
    </row>
    <row r="64" spans="1:36" s="35" customFormat="1">
      <c r="B64" s="4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2:29" s="35" customFormat="1">
      <c r="B65" s="4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2:29" s="35" customFormat="1">
      <c r="B66" s="4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2:29" s="35" customFormat="1">
      <c r="B67" s="4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2:29" s="35" customFormat="1">
      <c r="B68" s="4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2:29" s="35" customFormat="1">
      <c r="B69" s="4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2:29" s="35" customFormat="1">
      <c r="B70" s="4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2:29" s="35" customFormat="1">
      <c r="B71" s="4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2:29" s="35" customFormat="1">
      <c r="B72" s="4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2:29" s="35" customFormat="1">
      <c r="B73" s="4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2:29" s="35" customFormat="1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16"/>
      <c r="AA74" s="16"/>
      <c r="AB74" s="16"/>
      <c r="AC74" s="16"/>
    </row>
    <row r="75" spans="2:29" s="35" customFormat="1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16"/>
      <c r="AA75" s="16"/>
      <c r="AB75" s="16"/>
      <c r="AC75" s="16"/>
    </row>
    <row r="76" spans="2:29" s="35" customFormat="1"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16"/>
      <c r="AA76" s="16"/>
      <c r="AB76" s="16"/>
      <c r="AC76" s="16"/>
    </row>
    <row r="77" spans="2:29" s="35" customForma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16"/>
      <c r="AA77" s="16"/>
      <c r="AB77" s="16"/>
      <c r="AC77" s="16"/>
    </row>
    <row r="78" spans="2:29" s="35" customFormat="1">
      <c r="B78" s="45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6"/>
      <c r="AA78" s="16"/>
      <c r="AB78" s="16"/>
      <c r="AC78" s="16"/>
    </row>
    <row r="79" spans="2:29" s="35" customFormat="1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16"/>
      <c r="AA79" s="16"/>
      <c r="AB79" s="16"/>
      <c r="AC79" s="16"/>
    </row>
    <row r="80" spans="2:29" s="35" customFormat="1">
      <c r="B80" s="45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16"/>
      <c r="AA80" s="16"/>
      <c r="AB80" s="16"/>
      <c r="AC80" s="16"/>
    </row>
    <row r="81" spans="2:29" s="35" customForma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16"/>
      <c r="AA81" s="16"/>
      <c r="AB81" s="16"/>
      <c r="AC81" s="16"/>
    </row>
    <row r="82" spans="2:29" s="35" customFormat="1">
      <c r="B82" s="45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16"/>
      <c r="AA82" s="16"/>
      <c r="AB82" s="16"/>
      <c r="AC82" s="16"/>
    </row>
    <row r="83" spans="2:29" s="35" customFormat="1">
      <c r="B83" s="45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16"/>
      <c r="AA83" s="16"/>
      <c r="AB83" s="16"/>
      <c r="AC83" s="16"/>
    </row>
    <row r="84" spans="2:29" s="35" customFormat="1">
      <c r="B84" s="45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16"/>
      <c r="AA84" s="16"/>
      <c r="AB84" s="16"/>
      <c r="AC84" s="16"/>
    </row>
    <row r="85" spans="2:29" s="35" customFormat="1">
      <c r="B85" s="45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16"/>
      <c r="AA85" s="16"/>
      <c r="AB85" s="16"/>
      <c r="AC85" s="16"/>
    </row>
    <row r="86" spans="2:29" s="35" customFormat="1">
      <c r="B86" s="45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16"/>
      <c r="AA86" s="16"/>
      <c r="AB86" s="16"/>
      <c r="AC86" s="16"/>
    </row>
  </sheetData>
  <mergeCells count="48">
    <mergeCell ref="X6:X7"/>
    <mergeCell ref="B61:C61"/>
    <mergeCell ref="U61:AB62"/>
    <mergeCell ref="B63:C63"/>
    <mergeCell ref="B58:H58"/>
    <mergeCell ref="B59:G59"/>
    <mergeCell ref="U59:AB59"/>
    <mergeCell ref="B60:E60"/>
    <mergeCell ref="F60:O60"/>
    <mergeCell ref="U60:AB60"/>
    <mergeCell ref="AC6:AC7"/>
    <mergeCell ref="A54:B54"/>
    <mergeCell ref="AE54:AI63"/>
    <mergeCell ref="AJ54:AJ63"/>
    <mergeCell ref="G55:H55"/>
    <mergeCell ref="I55:AB55"/>
    <mergeCell ref="U56:AB56"/>
    <mergeCell ref="C57:G57"/>
    <mergeCell ref="J57:K57"/>
    <mergeCell ref="U57:AB57"/>
    <mergeCell ref="R6:T6"/>
    <mergeCell ref="U6:W6"/>
    <mergeCell ref="Y6:Y7"/>
    <mergeCell ref="Z6:Z7"/>
    <mergeCell ref="AA6:AA7"/>
    <mergeCell ref="AB6:AB7"/>
    <mergeCell ref="A6:A7"/>
    <mergeCell ref="B6:B7"/>
    <mergeCell ref="C6:F6"/>
    <mergeCell ref="G6:J6"/>
    <mergeCell ref="K6:N6"/>
    <mergeCell ref="O6:Q6"/>
    <mergeCell ref="B4:D4"/>
    <mergeCell ref="G4:L4"/>
    <mergeCell ref="M4:O4"/>
    <mergeCell ref="Q4:S4"/>
    <mergeCell ref="T4:V4"/>
    <mergeCell ref="W4:AC4"/>
    <mergeCell ref="B1:AC1"/>
    <mergeCell ref="B2:AC2"/>
    <mergeCell ref="B3:D3"/>
    <mergeCell ref="E3:K3"/>
    <mergeCell ref="L3:M3"/>
    <mergeCell ref="N3:R3"/>
    <mergeCell ref="S3:U3"/>
    <mergeCell ref="V3:W3"/>
    <mergeCell ref="Y3:AA3"/>
    <mergeCell ref="AB3:AC3"/>
  </mergeCells>
  <conditionalFormatting sqref="A8:A53">
    <cfRule type="cellIs" dxfId="0" priority="1" operator="equal">
      <formula>0</formula>
    </cfRule>
  </conditionalFormatting>
  <pageMargins left="0.4" right="0.3" top="0.5" bottom="0.5" header="0.3" footer="0.3"/>
  <pageSetup paperSize="9" scale="75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How to Use</vt:lpstr>
      <vt:lpstr>Master Sheet</vt:lpstr>
      <vt:lpstr>Arrear Sheet</vt:lpstr>
      <vt:lpstr>Unlock sheet</vt:lpstr>
      <vt:lpstr>month</vt:lpstr>
      <vt:lpstr>post</vt:lpstr>
      <vt:lpstr>'Arrear Sheet'!Print_Area</vt:lpstr>
      <vt:lpstr>'Unlock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2021-12-26T14:33:37Z</dcterms:modified>
</cp:coreProperties>
</file>