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Sheet'!$AG$3:$AG$81</definedName>
    <definedName name="post">Table1[Post]</definedName>
    <definedName name="_xlnm.Print_Area" localSheetId="2">'Arrear Sheet'!$B$1:$AD$95</definedName>
    <definedName name="_xlnm.Print_Area" localSheetId="3">'Unlock sheet'!$A$1:$AC$95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U17" i="10"/>
  <c r="X4" i="2"/>
  <c r="P92"/>
  <c r="Q92"/>
  <c r="P93"/>
  <c r="Q93"/>
  <c r="BH93"/>
  <c r="P94"/>
  <c r="P95"/>
  <c r="Q94"/>
  <c r="Q95"/>
  <c r="Y92"/>
  <c r="Y93"/>
  <c r="Y94"/>
  <c r="Y95"/>
  <c r="AA92"/>
  <c r="AA93"/>
  <c r="AA94"/>
  <c r="AA95"/>
  <c r="AS1"/>
  <c r="BG93"/>
  <c r="BB93"/>
  <c r="BA93"/>
  <c r="J92" s="1"/>
  <c r="AZ93"/>
  <c r="I92" s="1"/>
  <c r="B89"/>
  <c r="B90"/>
  <c r="B91"/>
  <c r="B92"/>
  <c r="C92"/>
  <c r="E92"/>
  <c r="F92"/>
  <c r="G92"/>
  <c r="H92"/>
  <c r="K92"/>
  <c r="L92"/>
  <c r="M92"/>
  <c r="N92"/>
  <c r="O92"/>
  <c r="R92"/>
  <c r="S92"/>
  <c r="T92"/>
  <c r="U92"/>
  <c r="V92"/>
  <c r="W92"/>
  <c r="X92"/>
  <c r="Z92"/>
  <c r="AB92"/>
  <c r="B93"/>
  <c r="C93"/>
  <c r="E93" s="1"/>
  <c r="G93"/>
  <c r="K93"/>
  <c r="O93"/>
  <c r="S93"/>
  <c r="W93"/>
  <c r="B94"/>
  <c r="C94"/>
  <c r="F94" s="1"/>
  <c r="D94"/>
  <c r="G94"/>
  <c r="H94"/>
  <c r="K94"/>
  <c r="L94"/>
  <c r="O94"/>
  <c r="S94"/>
  <c r="T94"/>
  <c r="W94"/>
  <c r="X94"/>
  <c r="AB94"/>
  <c r="B95"/>
  <c r="C95"/>
  <c r="F95" s="1"/>
  <c r="D95"/>
  <c r="E95"/>
  <c r="G95"/>
  <c r="H95"/>
  <c r="I95"/>
  <c r="K95"/>
  <c r="L95"/>
  <c r="M95"/>
  <c r="O95"/>
  <c r="S95"/>
  <c r="T95"/>
  <c r="U95"/>
  <c r="W95"/>
  <c r="X95"/>
  <c r="AB95"/>
  <c r="D29" i="9"/>
  <c r="AU7" i="2" s="1"/>
  <c r="J83" i="10"/>
  <c r="W4"/>
  <c r="Q4"/>
  <c r="AM7" i="2"/>
  <c r="AL7" s="1"/>
  <c r="AO7"/>
  <c r="AQ7"/>
  <c r="AO38"/>
  <c r="AO37"/>
  <c r="AO36"/>
  <c r="AO34"/>
  <c r="AO33"/>
  <c r="AO32"/>
  <c r="Z93" l="1"/>
  <c r="V93"/>
  <c r="R93"/>
  <c r="N93"/>
  <c r="J93"/>
  <c r="F93"/>
  <c r="Z95"/>
  <c r="V95"/>
  <c r="R95"/>
  <c r="N95"/>
  <c r="J95"/>
  <c r="U94"/>
  <c r="M94"/>
  <c r="I94"/>
  <c r="E94"/>
  <c r="AB93"/>
  <c r="X93"/>
  <c r="T93"/>
  <c r="L93"/>
  <c r="H93"/>
  <c r="D93"/>
  <c r="Z94"/>
  <c r="V94"/>
  <c r="R94"/>
  <c r="N94"/>
  <c r="J94"/>
  <c r="U93"/>
  <c r="M93"/>
  <c r="I93"/>
  <c r="AP2"/>
  <c r="AO2"/>
  <c r="AO30"/>
  <c r="AO29"/>
  <c r="AO28"/>
  <c r="AO3" l="1"/>
  <c r="AP4"/>
  <c r="AO26"/>
  <c r="AO27"/>
  <c r="V3" i="10"/>
  <c r="W3" i="2"/>
  <c r="C1"/>
  <c r="U87" i="10"/>
  <c r="M4"/>
  <c r="N3"/>
  <c r="E3"/>
  <c r="B1"/>
  <c r="R4" i="2"/>
  <c r="N4"/>
  <c r="O3"/>
  <c r="F3"/>
  <c r="AO25"/>
  <c r="AO24"/>
  <c r="AO22"/>
  <c r="AO21"/>
  <c r="AO19"/>
  <c r="AO18"/>
  <c r="AO16"/>
  <c r="AO9"/>
  <c r="AO10"/>
  <c r="AO14"/>
  <c r="AO13"/>
  <c r="AC3" l="1"/>
  <c r="BO93" s="1"/>
  <c r="P6"/>
  <c r="O6" i="10" s="1"/>
  <c r="BJ93" i="2"/>
  <c r="BI93"/>
  <c r="AQ2"/>
  <c r="AU2" s="1"/>
  <c r="AQ4"/>
  <c r="AQ6"/>
  <c r="U85" i="10"/>
  <c r="AB3"/>
  <c r="F86"/>
  <c r="AP6" i="2"/>
  <c r="AO6"/>
  <c r="AQ3" s="1"/>
  <c r="AL4" l="1"/>
  <c r="Y6" s="1"/>
  <c r="AP9"/>
  <c r="AR9" s="1"/>
  <c r="AU6"/>
  <c r="G13" i="9" s="1"/>
  <c r="AU3" i="2"/>
  <c r="AO12" s="1"/>
  <c r="AM4"/>
  <c r="AQ9" l="1"/>
  <c r="AP10"/>
  <c r="AR10" s="1"/>
  <c r="AU4"/>
  <c r="AO11"/>
  <c r="AS9" l="1"/>
  <c r="AT9" s="1"/>
  <c r="AQ10"/>
  <c r="AS10" s="1"/>
  <c r="AT10" s="1"/>
  <c r="BH9" l="1"/>
  <c r="BG9"/>
  <c r="BO9"/>
  <c r="AK9"/>
  <c r="AL9"/>
  <c r="BH10"/>
  <c r="BO10"/>
  <c r="AL10"/>
  <c r="AK10"/>
  <c r="AU10"/>
  <c r="AU9"/>
  <c r="AY9"/>
  <c r="C8"/>
  <c r="Y8" l="1"/>
  <c r="BI9"/>
  <c r="B8" i="10"/>
  <c r="BK9" i="2"/>
  <c r="BJ9"/>
  <c r="A8"/>
  <c r="B8" s="1"/>
  <c r="A8" i="10" s="1"/>
  <c r="AW9" i="2"/>
  <c r="F8" s="1"/>
  <c r="E8" i="10" s="1"/>
  <c r="BA9" i="2"/>
  <c r="J8" s="1"/>
  <c r="I8" i="10" s="1"/>
  <c r="H8" i="2"/>
  <c r="G8" i="10" s="1"/>
  <c r="AV9" i="2"/>
  <c r="AZ9"/>
  <c r="I8" s="1"/>
  <c r="D8"/>
  <c r="V8"/>
  <c r="W8"/>
  <c r="S8"/>
  <c r="R8" i="10" s="1"/>
  <c r="T8" i="2"/>
  <c r="S8" i="10" s="1"/>
  <c r="Q8" i="2" l="1"/>
  <c r="P8" i="10" s="1"/>
  <c r="C8"/>
  <c r="H8"/>
  <c r="V8"/>
  <c r="U8"/>
  <c r="X8"/>
  <c r="L8" i="2"/>
  <c r="K8" i="10" s="1"/>
  <c r="K8" i="2"/>
  <c r="J8" i="10" s="1"/>
  <c r="AM12" i="2" l="1"/>
  <c r="AM3" l="1"/>
  <c r="AP11"/>
  <c r="AR11" s="1"/>
  <c r="U8"/>
  <c r="T8" i="10" l="1"/>
  <c r="AQ11" i="2"/>
  <c r="BG10"/>
  <c r="N8"/>
  <c r="M8" i="10" s="1"/>
  <c r="AP12" i="2"/>
  <c r="AR12" s="1"/>
  <c r="BI10" l="1"/>
  <c r="BJ10"/>
  <c r="AS11"/>
  <c r="AT11" s="1"/>
  <c r="AQ12"/>
  <c r="BD10"/>
  <c r="AY10" s="1"/>
  <c r="BC10"/>
  <c r="AM11"/>
  <c r="C9"/>
  <c r="AP13"/>
  <c r="AR13" s="1"/>
  <c r="BH11" l="1"/>
  <c r="BO11"/>
  <c r="AL11"/>
  <c r="AK11"/>
  <c r="BD11"/>
  <c r="AY11"/>
  <c r="BA11" s="1"/>
  <c r="AU11"/>
  <c r="AW11" s="1"/>
  <c r="Y9"/>
  <c r="X9" i="10" s="1"/>
  <c r="B9"/>
  <c r="A9" i="2"/>
  <c r="B9" s="1"/>
  <c r="A9" i="10" s="1"/>
  <c r="BG11" i="2"/>
  <c r="AS12"/>
  <c r="AT12" s="1"/>
  <c r="C10"/>
  <c r="AQ13"/>
  <c r="AV10"/>
  <c r="E9" s="1"/>
  <c r="D9" i="10" s="1"/>
  <c r="AW10" i="2"/>
  <c r="AZ10"/>
  <c r="I9" s="1"/>
  <c r="V9"/>
  <c r="W9"/>
  <c r="F9"/>
  <c r="BF9"/>
  <c r="BF10" s="1"/>
  <c r="S9"/>
  <c r="R9" i="10" s="1"/>
  <c r="BC11" i="2"/>
  <c r="T9"/>
  <c r="S9" i="10" s="1"/>
  <c r="D9" i="2"/>
  <c r="E8"/>
  <c r="AP14"/>
  <c r="AR14" s="1"/>
  <c r="BH12" l="1"/>
  <c r="BO12"/>
  <c r="AL12"/>
  <c r="AK12"/>
  <c r="AY12"/>
  <c r="BA12" s="1"/>
  <c r="AU12"/>
  <c r="AW12" s="1"/>
  <c r="S10"/>
  <c r="R10" i="10" s="1"/>
  <c r="Y10" i="2"/>
  <c r="C9" i="10"/>
  <c r="E9"/>
  <c r="V9"/>
  <c r="H9"/>
  <c r="U9"/>
  <c r="B10"/>
  <c r="D8"/>
  <c r="BI11" i="2"/>
  <c r="BJ11"/>
  <c r="A10"/>
  <c r="B10" s="1"/>
  <c r="A10" i="10" s="1"/>
  <c r="T10" i="2"/>
  <c r="S10" i="10" s="1"/>
  <c r="C11" i="2"/>
  <c r="BG12"/>
  <c r="AS13"/>
  <c r="AT13" s="1"/>
  <c r="AQ14"/>
  <c r="AV11"/>
  <c r="E10" s="1"/>
  <c r="D10" i="10" s="1"/>
  <c r="F10" i="2"/>
  <c r="E10" i="10" s="1"/>
  <c r="BA10" i="2"/>
  <c r="J9" s="1"/>
  <c r="I9" i="10" s="1"/>
  <c r="H9" i="2"/>
  <c r="Q9" s="1"/>
  <c r="M8"/>
  <c r="L8" i="10" s="1"/>
  <c r="T11" i="2"/>
  <c r="S11" i="10" s="1"/>
  <c r="X9" i="2"/>
  <c r="U9"/>
  <c r="T9" i="10" s="1"/>
  <c r="M9" i="2"/>
  <c r="L9" i="10" s="1"/>
  <c r="D10" i="2"/>
  <c r="G8"/>
  <c r="F8" i="10" s="1"/>
  <c r="G9" i="2"/>
  <c r="X8"/>
  <c r="AP15"/>
  <c r="AR15" s="1"/>
  <c r="F9" i="10" l="1"/>
  <c r="C12" i="2"/>
  <c r="BO13"/>
  <c r="AL13"/>
  <c r="AK13"/>
  <c r="AY13"/>
  <c r="AZ13" s="1"/>
  <c r="BH13"/>
  <c r="AU13"/>
  <c r="AW13" s="1"/>
  <c r="AV13"/>
  <c r="Y11"/>
  <c r="X11" i="10" s="1"/>
  <c r="BF11" i="2"/>
  <c r="BF12" s="1"/>
  <c r="C10" i="10"/>
  <c r="W9"/>
  <c r="X10"/>
  <c r="G9"/>
  <c r="P9"/>
  <c r="B11"/>
  <c r="W8"/>
  <c r="B12"/>
  <c r="A11" i="2"/>
  <c r="B11" s="1"/>
  <c r="A11" i="10" s="1"/>
  <c r="S11" i="2"/>
  <c r="U10"/>
  <c r="T10" i="10" s="1"/>
  <c r="BI7" i="2"/>
  <c r="N9"/>
  <c r="M9" i="10" s="1"/>
  <c r="BJ12" i="2"/>
  <c r="BI12"/>
  <c r="BG13"/>
  <c r="AS14"/>
  <c r="AT14" s="1"/>
  <c r="AQ15"/>
  <c r="AS15" s="1"/>
  <c r="AT15" s="1"/>
  <c r="A12"/>
  <c r="B12" s="1"/>
  <c r="A12" i="10" s="1"/>
  <c r="H10" i="2"/>
  <c r="AV12"/>
  <c r="K9"/>
  <c r="AZ11"/>
  <c r="I10" s="1"/>
  <c r="J10"/>
  <c r="L9"/>
  <c r="K9" i="10" s="1"/>
  <c r="S12" i="2"/>
  <c r="R12" i="10" s="1"/>
  <c r="T12" i="2"/>
  <c r="S12" i="10" s="1"/>
  <c r="D11" i="2"/>
  <c r="O8"/>
  <c r="N8" i="10" s="1"/>
  <c r="F11" i="2"/>
  <c r="E11" i="10" s="1"/>
  <c r="G10" i="2"/>
  <c r="AP16"/>
  <c r="AR16" s="1"/>
  <c r="BJ13" l="1"/>
  <c r="BI13"/>
  <c r="Y12"/>
  <c r="X12" i="10" s="1"/>
  <c r="F10"/>
  <c r="Q10" i="2"/>
  <c r="P10" i="10" s="1"/>
  <c r="AY14" i="2"/>
  <c r="AY15" s="1"/>
  <c r="BA15" s="1"/>
  <c r="BH14"/>
  <c r="BO14"/>
  <c r="AL14"/>
  <c r="AK14"/>
  <c r="AU14"/>
  <c r="AV14" s="1"/>
  <c r="BH15"/>
  <c r="BO15"/>
  <c r="AL15"/>
  <c r="AK15"/>
  <c r="J9" i="10"/>
  <c r="BA13" i="2"/>
  <c r="C11" i="10"/>
  <c r="R11"/>
  <c r="E11" i="2"/>
  <c r="D11" i="10" s="1"/>
  <c r="I10"/>
  <c r="H10"/>
  <c r="G10"/>
  <c r="U11" i="2"/>
  <c r="T11" i="10" s="1"/>
  <c r="BG15" i="2"/>
  <c r="V10"/>
  <c r="O9"/>
  <c r="N9" i="10" s="1"/>
  <c r="BG14" i="2"/>
  <c r="M10"/>
  <c r="L10" i="10" s="1"/>
  <c r="L10" i="2"/>
  <c r="K10" i="10" s="1"/>
  <c r="C13" i="2"/>
  <c r="AQ16"/>
  <c r="AS16" s="1"/>
  <c r="AT16" s="1"/>
  <c r="K10"/>
  <c r="N10"/>
  <c r="M10" i="10" s="1"/>
  <c r="J11" i="2"/>
  <c r="I11" i="10" s="1"/>
  <c r="AZ12" i="2"/>
  <c r="I11" s="1"/>
  <c r="H11" i="10" s="1"/>
  <c r="H11" i="2"/>
  <c r="U12"/>
  <c r="T12" i="10" s="1"/>
  <c r="F12" i="2"/>
  <c r="E12" i="10" s="1"/>
  <c r="Z8" i="2"/>
  <c r="D12"/>
  <c r="G11"/>
  <c r="C14"/>
  <c r="AP17"/>
  <c r="AR17" s="1"/>
  <c r="AZ14" l="1"/>
  <c r="AZ15"/>
  <c r="AW14"/>
  <c r="J10" i="10"/>
  <c r="AU15" i="2"/>
  <c r="AW15" s="1"/>
  <c r="BA14"/>
  <c r="BH16"/>
  <c r="BO16"/>
  <c r="AL16"/>
  <c r="AK16"/>
  <c r="BJ14"/>
  <c r="BI14"/>
  <c r="BJ15"/>
  <c r="BI15"/>
  <c r="AY16"/>
  <c r="Q11"/>
  <c r="P11" i="10" s="1"/>
  <c r="Y14" i="2"/>
  <c r="X14" i="10" s="1"/>
  <c r="S13" i="2"/>
  <c r="R13" i="10" s="1"/>
  <c r="Y13" i="2"/>
  <c r="X13" i="10" s="1"/>
  <c r="BF13" i="2"/>
  <c r="BF14" s="1"/>
  <c r="F11" i="10"/>
  <c r="U10"/>
  <c r="B14"/>
  <c r="G11"/>
  <c r="Y8"/>
  <c r="C12"/>
  <c r="B13"/>
  <c r="F13" i="2"/>
  <c r="E13" i="10" s="1"/>
  <c r="V13" i="2"/>
  <c r="U13" i="10" s="1"/>
  <c r="T13" i="2"/>
  <c r="S13" i="10" s="1"/>
  <c r="W13" i="2"/>
  <c r="V13" i="10" s="1"/>
  <c r="Z9" i="2"/>
  <c r="A13"/>
  <c r="B13" s="1"/>
  <c r="A13" i="10" s="1"/>
  <c r="V11" i="2"/>
  <c r="U11" i="10" s="1"/>
  <c r="N11" i="2"/>
  <c r="M11" i="10" s="1"/>
  <c r="BG16" i="2"/>
  <c r="M11"/>
  <c r="L11" i="10" s="1"/>
  <c r="BE9" i="2"/>
  <c r="BB9" s="1"/>
  <c r="L11"/>
  <c r="K11" i="10" s="1"/>
  <c r="W10" i="2"/>
  <c r="AQ17"/>
  <c r="AS17" s="1"/>
  <c r="AT17" s="1"/>
  <c r="A14"/>
  <c r="B14" s="1"/>
  <c r="A14" i="10" s="1"/>
  <c r="O10" i="2"/>
  <c r="J12"/>
  <c r="I12" i="10" s="1"/>
  <c r="I12" i="2"/>
  <c r="H12" i="10" s="1"/>
  <c r="H12" i="2"/>
  <c r="K11"/>
  <c r="W14"/>
  <c r="V14" i="10" s="1"/>
  <c r="V14" i="2"/>
  <c r="U14" i="10" s="1"/>
  <c r="S14" i="2"/>
  <c r="D13"/>
  <c r="T14"/>
  <c r="S14" i="10" s="1"/>
  <c r="E12" i="2"/>
  <c r="F14"/>
  <c r="E14" i="10" s="1"/>
  <c r="C15" i="2"/>
  <c r="AP18"/>
  <c r="AR18" s="1"/>
  <c r="J11" i="10" l="1"/>
  <c r="P8" i="2"/>
  <c r="O8" i="10" s="1"/>
  <c r="AV15" i="2"/>
  <c r="BE10"/>
  <c r="BB10" s="1"/>
  <c r="P9" s="1"/>
  <c r="O9" i="10" s="1"/>
  <c r="Y9"/>
  <c r="AY17" i="2"/>
  <c r="BA17" s="1"/>
  <c r="AU16"/>
  <c r="AV16" s="1"/>
  <c r="BO17"/>
  <c r="AL17"/>
  <c r="AK17"/>
  <c r="BG17"/>
  <c r="BH17"/>
  <c r="Y15"/>
  <c r="X15" i="10" s="1"/>
  <c r="BJ16" i="2"/>
  <c r="BI16"/>
  <c r="BA16"/>
  <c r="AZ16"/>
  <c r="BF15"/>
  <c r="U13"/>
  <c r="T13" i="10" s="1"/>
  <c r="Q12" i="2"/>
  <c r="P12" i="10" s="1"/>
  <c r="C13"/>
  <c r="R14"/>
  <c r="N10"/>
  <c r="V10"/>
  <c r="D12"/>
  <c r="B15"/>
  <c r="G12"/>
  <c r="N12" i="2"/>
  <c r="M12" i="10" s="1"/>
  <c r="V12" i="2"/>
  <c r="U12" i="10" s="1"/>
  <c r="L12" i="2"/>
  <c r="K12" i="10" s="1"/>
  <c r="X10" i="2"/>
  <c r="W11"/>
  <c r="V11" i="10" s="1"/>
  <c r="E14" i="2"/>
  <c r="D14" i="10" s="1"/>
  <c r="AQ18" i="2"/>
  <c r="A15"/>
  <c r="B15" s="1"/>
  <c r="A15" i="10" s="1"/>
  <c r="Z10" i="2"/>
  <c r="Y10" i="10" s="1"/>
  <c r="M12" i="2"/>
  <c r="L12" i="10" s="1"/>
  <c r="W12" i="2"/>
  <c r="V12" i="10" s="1"/>
  <c r="O11" i="2"/>
  <c r="N11" i="10" s="1"/>
  <c r="K12" i="2"/>
  <c r="J12" i="10" s="1"/>
  <c r="J13" i="2"/>
  <c r="I13" i="10" s="1"/>
  <c r="I13" i="2"/>
  <c r="H13" i="10" s="1"/>
  <c r="H13" i="2"/>
  <c r="W15"/>
  <c r="V15" i="10" s="1"/>
  <c r="V15" i="2"/>
  <c r="U15" i="10" s="1"/>
  <c r="S15" i="2"/>
  <c r="R15" i="10" s="1"/>
  <c r="D14" i="2"/>
  <c r="E13"/>
  <c r="D13" i="10" s="1"/>
  <c r="T15" i="2"/>
  <c r="S15" i="10" s="1"/>
  <c r="G12" i="2"/>
  <c r="U14"/>
  <c r="T14" i="10" s="1"/>
  <c r="D15" i="2"/>
  <c r="F15"/>
  <c r="E15" i="10" s="1"/>
  <c r="AP19" i="2"/>
  <c r="AR19" s="1"/>
  <c r="F12" i="10" l="1"/>
  <c r="AZ17" i="2"/>
  <c r="R8"/>
  <c r="AA8" s="1"/>
  <c r="Z8" i="10" s="1"/>
  <c r="AU17" i="2"/>
  <c r="AW17" s="1"/>
  <c r="AW16"/>
  <c r="Q13"/>
  <c r="P13" i="10" s="1"/>
  <c r="BJ17" i="2"/>
  <c r="BI17"/>
  <c r="C15" i="10"/>
  <c r="W10"/>
  <c r="BE11" i="2"/>
  <c r="BB11" s="1"/>
  <c r="P10" s="1"/>
  <c r="G13" i="10"/>
  <c r="C14"/>
  <c r="G13" i="2"/>
  <c r="F13" i="10" s="1"/>
  <c r="R9" i="2"/>
  <c r="L13"/>
  <c r="K13" i="10" s="1"/>
  <c r="N13" i="2"/>
  <c r="M13" i="10" s="1"/>
  <c r="X11" i="2"/>
  <c r="AS18"/>
  <c r="AT18" s="1"/>
  <c r="AQ19"/>
  <c r="Z11"/>
  <c r="Y11" i="10" s="1"/>
  <c r="K13" i="2"/>
  <c r="J13" i="10" s="1"/>
  <c r="J14" i="2"/>
  <c r="I14" i="10" s="1"/>
  <c r="H14" i="2"/>
  <c r="I14"/>
  <c r="H14" i="10" s="1"/>
  <c r="X13" i="2"/>
  <c r="O12"/>
  <c r="X12"/>
  <c r="M13"/>
  <c r="L13" i="10" s="1"/>
  <c r="E15" i="2"/>
  <c r="D15" i="10" s="1"/>
  <c r="U15" i="2"/>
  <c r="T15" i="10" s="1"/>
  <c r="G14" i="2"/>
  <c r="C16"/>
  <c r="AP20"/>
  <c r="AR20" s="1"/>
  <c r="Q8" i="10" l="1"/>
  <c r="AV17" i="2"/>
  <c r="Q9" i="10"/>
  <c r="AA9" i="2"/>
  <c r="Z9" i="10" s="1"/>
  <c r="Q14" i="2"/>
  <c r="P14" i="10" s="1"/>
  <c r="BG18" i="2"/>
  <c r="BH18"/>
  <c r="BO18"/>
  <c r="AL18"/>
  <c r="AK18"/>
  <c r="AU18"/>
  <c r="AW18" s="1"/>
  <c r="AY18"/>
  <c r="Y16"/>
  <c r="X16" i="10" s="1"/>
  <c r="BF16" i="2"/>
  <c r="F14" i="10"/>
  <c r="W11"/>
  <c r="N12"/>
  <c r="W12"/>
  <c r="W13"/>
  <c r="C17" i="2"/>
  <c r="B16" i="10"/>
  <c r="G14"/>
  <c r="Z12" i="2"/>
  <c r="Y12" i="10" s="1"/>
  <c r="N14" i="2"/>
  <c r="M14" i="10" s="1"/>
  <c r="BE12" i="2"/>
  <c r="BB12" s="1"/>
  <c r="P11" s="1"/>
  <c r="L14"/>
  <c r="K14" i="10" s="1"/>
  <c r="O10"/>
  <c r="O13" i="2"/>
  <c r="AS19"/>
  <c r="AT19" s="1"/>
  <c r="A16"/>
  <c r="B16" s="1"/>
  <c r="AP21"/>
  <c r="AR21" s="1"/>
  <c r="AQ20"/>
  <c r="AS20" s="1"/>
  <c r="AT20" s="1"/>
  <c r="E16"/>
  <c r="D16" i="10" s="1"/>
  <c r="K14" i="2"/>
  <c r="J14" i="10" s="1"/>
  <c r="M14" i="2"/>
  <c r="L14" i="10" s="1"/>
  <c r="J15" i="2"/>
  <c r="I15" i="10" s="1"/>
  <c r="H15" i="2"/>
  <c r="I15"/>
  <c r="H15" i="10" s="1"/>
  <c r="W16" i="2"/>
  <c r="V16"/>
  <c r="U16" i="10" s="1"/>
  <c r="S16" i="2"/>
  <c r="X14"/>
  <c r="G15"/>
  <c r="F15" i="10" s="1"/>
  <c r="T16" i="2"/>
  <c r="S16" i="10" s="1"/>
  <c r="H16" i="2"/>
  <c r="G16" i="10" s="1"/>
  <c r="D16" i="2"/>
  <c r="F16"/>
  <c r="E16" i="10" s="1"/>
  <c r="C18" i="2"/>
  <c r="AY19" l="1"/>
  <c r="AY20" s="1"/>
  <c r="BA20" s="1"/>
  <c r="BH20"/>
  <c r="BO20"/>
  <c r="AL20"/>
  <c r="AK20"/>
  <c r="BG20"/>
  <c r="AV18"/>
  <c r="BJ18"/>
  <c r="BI18"/>
  <c r="B17" i="10"/>
  <c r="Y17" i="2"/>
  <c r="X17" i="10" s="1"/>
  <c r="BF17" i="2"/>
  <c r="BF18" s="1"/>
  <c r="BB18" s="1"/>
  <c r="BA19"/>
  <c r="BH19"/>
  <c r="BO19"/>
  <c r="AL19"/>
  <c r="AZ19" s="1"/>
  <c r="AK19"/>
  <c r="BG19"/>
  <c r="AU19"/>
  <c r="AW19" s="1"/>
  <c r="BA18"/>
  <c r="Q15"/>
  <c r="P15" i="10" s="1"/>
  <c r="AZ18" i="2"/>
  <c r="I17" s="1"/>
  <c r="C16" i="10"/>
  <c r="R16"/>
  <c r="BE13" i="2"/>
  <c r="BB13" s="1"/>
  <c r="P12" s="1"/>
  <c r="O12" i="10" s="1"/>
  <c r="W14"/>
  <c r="N13"/>
  <c r="V16"/>
  <c r="B18"/>
  <c r="G15"/>
  <c r="Z13" i="2"/>
  <c r="BE14" s="1"/>
  <c r="BB14" s="1"/>
  <c r="P13" s="1"/>
  <c r="S17"/>
  <c r="R17" i="10" s="1"/>
  <c r="V17" i="2"/>
  <c r="N15"/>
  <c r="M15" i="10" s="1"/>
  <c r="A17" i="2"/>
  <c r="B17" s="1"/>
  <c r="A17" i="10" s="1"/>
  <c r="A16"/>
  <c r="X15" i="2"/>
  <c r="O14"/>
  <c r="AB9"/>
  <c r="O11" i="10"/>
  <c r="T17" i="2"/>
  <c r="S17" i="10" s="1"/>
  <c r="M15" i="2"/>
  <c r="L15" i="10" s="1"/>
  <c r="R10" i="2"/>
  <c r="W17"/>
  <c r="V17" i="10" s="1"/>
  <c r="D17" i="2"/>
  <c r="AQ21"/>
  <c r="AS21" s="1"/>
  <c r="AT21" s="1"/>
  <c r="AY21" s="1"/>
  <c r="AP22"/>
  <c r="I16"/>
  <c r="J16"/>
  <c r="I16" i="10" s="1"/>
  <c r="F17" i="2"/>
  <c r="E17" i="10" s="1"/>
  <c r="E17" i="2"/>
  <c r="D17" i="10" s="1"/>
  <c r="L15" i="2"/>
  <c r="K15" i="10" s="1"/>
  <c r="K15" i="2"/>
  <c r="J15" i="10" s="1"/>
  <c r="W18" i="2"/>
  <c r="V18" i="10" s="1"/>
  <c r="V18" i="2"/>
  <c r="U18" i="10" s="1"/>
  <c r="S18" i="2"/>
  <c r="R18" i="10" s="1"/>
  <c r="H17" i="2"/>
  <c r="T18"/>
  <c r="S18" i="10" s="1"/>
  <c r="U16" i="2"/>
  <c r="T16" i="10" s="1"/>
  <c r="J17" i="2"/>
  <c r="I17" i="10" s="1"/>
  <c r="L16" i="2"/>
  <c r="K16" i="10" s="1"/>
  <c r="C19" i="2"/>
  <c r="G16"/>
  <c r="F16" i="10" s="1"/>
  <c r="Q10" l="1"/>
  <c r="AA10" i="2"/>
  <c r="Z10" i="10" s="1"/>
  <c r="A18" i="2"/>
  <c r="B18" s="1"/>
  <c r="A18" i="10" s="1"/>
  <c r="Y18" i="2"/>
  <c r="X18" i="10" s="1"/>
  <c r="P17" i="2"/>
  <c r="O17" i="10" s="1"/>
  <c r="AZ20" i="2"/>
  <c r="H17" i="10"/>
  <c r="Q17" i="2"/>
  <c r="P17" i="10" s="1"/>
  <c r="BF19" i="2"/>
  <c r="BB19" s="1"/>
  <c r="H16" i="10"/>
  <c r="Q16" i="2"/>
  <c r="BJ20"/>
  <c r="BI20"/>
  <c r="Y19"/>
  <c r="X19" i="10" s="1"/>
  <c r="AU20" i="2"/>
  <c r="BO21"/>
  <c r="AL21"/>
  <c r="AZ21" s="1"/>
  <c r="AK21"/>
  <c r="BG21"/>
  <c r="BA21"/>
  <c r="BH21"/>
  <c r="AU21"/>
  <c r="AW21" s="1"/>
  <c r="BJ19"/>
  <c r="BI19"/>
  <c r="AV19"/>
  <c r="U17"/>
  <c r="T17" i="10" s="1"/>
  <c r="W15"/>
  <c r="N14"/>
  <c r="Y13"/>
  <c r="AA9"/>
  <c r="B19"/>
  <c r="G17"/>
  <c r="C17"/>
  <c r="M16" i="2"/>
  <c r="L16" i="10" s="1"/>
  <c r="O13"/>
  <c r="Z14" i="2"/>
  <c r="BE15" s="1"/>
  <c r="BB15" s="1"/>
  <c r="P14" s="1"/>
  <c r="R12"/>
  <c r="R11"/>
  <c r="X17"/>
  <c r="O15"/>
  <c r="A19"/>
  <c r="B19" s="1"/>
  <c r="A19" i="10" s="1"/>
  <c r="AP23" i="2"/>
  <c r="AR23" s="1"/>
  <c r="AR22"/>
  <c r="P16" i="10"/>
  <c r="K16" i="2"/>
  <c r="J16" i="10" s="1"/>
  <c r="AQ23" i="2"/>
  <c r="AS23" s="1"/>
  <c r="AT23" s="1"/>
  <c r="AQ22"/>
  <c r="N16"/>
  <c r="M16" i="10" s="1"/>
  <c r="E18" i="2"/>
  <c r="D18" i="10" s="1"/>
  <c r="D18" i="2"/>
  <c r="F18"/>
  <c r="E18" i="10" s="1"/>
  <c r="W19" i="2"/>
  <c r="V19" i="10" s="1"/>
  <c r="V19" i="2"/>
  <c r="U19" i="10" s="1"/>
  <c r="S19" i="2"/>
  <c r="R19" i="10" s="1"/>
  <c r="H18" i="2"/>
  <c r="X16"/>
  <c r="T19"/>
  <c r="S19" i="10" s="1"/>
  <c r="U18" i="2"/>
  <c r="T18" i="10" s="1"/>
  <c r="X18" i="2"/>
  <c r="D19"/>
  <c r="K17"/>
  <c r="I18"/>
  <c r="H18" i="10" s="1"/>
  <c r="J18" i="2"/>
  <c r="I18" i="10" s="1"/>
  <c r="G17" i="2"/>
  <c r="L17"/>
  <c r="K17" i="10" s="1"/>
  <c r="C20" i="2"/>
  <c r="N17"/>
  <c r="M17" i="10" s="1"/>
  <c r="M17" i="2"/>
  <c r="L17" i="10" s="1"/>
  <c r="AP24" i="2"/>
  <c r="AR24" s="1"/>
  <c r="F17" i="10" l="1"/>
  <c r="J17"/>
  <c r="P18" i="2"/>
  <c r="O18" i="10" s="1"/>
  <c r="Q12"/>
  <c r="AA12" i="2"/>
  <c r="Z12" i="10" s="1"/>
  <c r="Q11"/>
  <c r="AA11" i="2"/>
  <c r="Z11" i="10" s="1"/>
  <c r="Y20" i="2"/>
  <c r="X20" i="10" s="1"/>
  <c r="BF20" i="2"/>
  <c r="BB20" s="1"/>
  <c r="Q18"/>
  <c r="P18" i="10" s="1"/>
  <c r="AV21" i="2"/>
  <c r="E20" s="1"/>
  <c r="D20" i="10" s="1"/>
  <c r="BH23" i="2"/>
  <c r="BO23"/>
  <c r="AL23"/>
  <c r="AK23"/>
  <c r="BG23"/>
  <c r="BJ21"/>
  <c r="BI21"/>
  <c r="AW20"/>
  <c r="F19" s="1"/>
  <c r="E19" i="10" s="1"/>
  <c r="AV20" i="2"/>
  <c r="E19" s="1"/>
  <c r="D19" i="10" s="1"/>
  <c r="C19"/>
  <c r="W16"/>
  <c r="W18"/>
  <c r="W17"/>
  <c r="N15"/>
  <c r="Y14"/>
  <c r="Z15" i="2"/>
  <c r="B20" i="10"/>
  <c r="G18"/>
  <c r="C18"/>
  <c r="R13" i="2"/>
  <c r="A20"/>
  <c r="B20" s="1"/>
  <c r="A20" i="10" s="1"/>
  <c r="O16" i="2"/>
  <c r="O14" i="10"/>
  <c r="AB10" i="2"/>
  <c r="AS22"/>
  <c r="AT22" s="1"/>
  <c r="AQ24"/>
  <c r="AS24" s="1"/>
  <c r="AT24" s="1"/>
  <c r="J19"/>
  <c r="I19" i="10" s="1"/>
  <c r="I19" i="2"/>
  <c r="H19" i="10" s="1"/>
  <c r="G18" i="2"/>
  <c r="F20"/>
  <c r="E20" i="10" s="1"/>
  <c r="L18" i="2"/>
  <c r="K18" i="10" s="1"/>
  <c r="W20" i="2"/>
  <c r="V20" i="10" s="1"/>
  <c r="V20" i="2"/>
  <c r="U20" i="10" s="1"/>
  <c r="S20" i="2"/>
  <c r="R20" i="10" s="1"/>
  <c r="X19" i="2"/>
  <c r="T20"/>
  <c r="S20" i="10" s="1"/>
  <c r="U19" i="2"/>
  <c r="T19" i="10" s="1"/>
  <c r="K18" i="2"/>
  <c r="J18" i="10" s="1"/>
  <c r="D20" i="2"/>
  <c r="H19"/>
  <c r="N18"/>
  <c r="M18" i="10" s="1"/>
  <c r="M18" i="2"/>
  <c r="L18" i="10" s="1"/>
  <c r="AP25" i="2"/>
  <c r="AR25" s="1"/>
  <c r="Q13" i="10" l="1"/>
  <c r="AA13" i="2"/>
  <c r="Z13" i="10" s="1"/>
  <c r="P19" i="2"/>
  <c r="O19" i="10" s="1"/>
  <c r="BJ23" i="2"/>
  <c r="BI23"/>
  <c r="F18" i="10"/>
  <c r="BG22" i="2"/>
  <c r="BH22"/>
  <c r="BO22"/>
  <c r="AL22"/>
  <c r="AK22"/>
  <c r="AU22"/>
  <c r="AU23" s="1"/>
  <c r="AU24" s="1"/>
  <c r="AY22"/>
  <c r="AY23" s="1"/>
  <c r="BH24"/>
  <c r="BO24"/>
  <c r="AL24"/>
  <c r="AK24"/>
  <c r="BG24"/>
  <c r="Q19"/>
  <c r="P19" i="10" s="1"/>
  <c r="G19" i="2"/>
  <c r="F19" i="10" s="1"/>
  <c r="C20"/>
  <c r="W19"/>
  <c r="N16"/>
  <c r="Y15"/>
  <c r="BE16" i="2"/>
  <c r="BB16" s="1"/>
  <c r="P15" s="1"/>
  <c r="O15" i="10" s="1"/>
  <c r="AA10"/>
  <c r="G19"/>
  <c r="AB11" i="2"/>
  <c r="AA11" i="10" s="1"/>
  <c r="Z16" i="2"/>
  <c r="BE17" s="1"/>
  <c r="BB17" s="1"/>
  <c r="P16" s="1"/>
  <c r="C21"/>
  <c r="V21" s="1"/>
  <c r="U21" i="10" s="1"/>
  <c r="R14" i="2"/>
  <c r="M19"/>
  <c r="L19" i="10" s="1"/>
  <c r="R17" i="2"/>
  <c r="Q17" i="10" s="1"/>
  <c r="AQ25" i="2"/>
  <c r="AS25" s="1"/>
  <c r="AT25" s="1"/>
  <c r="R18"/>
  <c r="Q18" i="10" s="1"/>
  <c r="W21" i="2"/>
  <c r="V21" i="10" s="1"/>
  <c r="S21" i="2"/>
  <c r="R21" i="10" s="1"/>
  <c r="K19" i="2"/>
  <c r="H20"/>
  <c r="X20"/>
  <c r="U20"/>
  <c r="T20" i="10" s="1"/>
  <c r="L19" i="2"/>
  <c r="K19" i="10" s="1"/>
  <c r="J20" i="2"/>
  <c r="I20" i="10" s="1"/>
  <c r="I20" i="2"/>
  <c r="H20" i="10" s="1"/>
  <c r="O17" i="2"/>
  <c r="G20"/>
  <c r="C22"/>
  <c r="O18"/>
  <c r="AP26"/>
  <c r="AR26" s="1"/>
  <c r="F20" i="10" l="1"/>
  <c r="Q14"/>
  <c r="AA14" i="2"/>
  <c r="Z14" i="10" s="1"/>
  <c r="A21" i="2"/>
  <c r="B21" s="1"/>
  <c r="A21" i="10" s="1"/>
  <c r="BA22" i="2"/>
  <c r="T21"/>
  <c r="S21" i="10" s="1"/>
  <c r="AV24" i="2"/>
  <c r="AW24"/>
  <c r="BO25"/>
  <c r="AL25"/>
  <c r="AK25"/>
  <c r="BG25"/>
  <c r="BH25"/>
  <c r="AU25"/>
  <c r="BJ24"/>
  <c r="BI24"/>
  <c r="AV22"/>
  <c r="E21" s="1"/>
  <c r="D21" i="10" s="1"/>
  <c r="AV23" i="2"/>
  <c r="AW23"/>
  <c r="Y21"/>
  <c r="BF21"/>
  <c r="BB21" s="1"/>
  <c r="P20" s="1"/>
  <c r="O20" i="10" s="1"/>
  <c r="D21" i="2"/>
  <c r="J19" i="10"/>
  <c r="AW22" i="2"/>
  <c r="F21" s="1"/>
  <c r="E21" i="10" s="1"/>
  <c r="AZ22" i="2"/>
  <c r="Y22"/>
  <c r="X22" i="10" s="1"/>
  <c r="BF22" i="2"/>
  <c r="BB22" s="1"/>
  <c r="AY24"/>
  <c r="BA23"/>
  <c r="AZ23"/>
  <c r="BJ22"/>
  <c r="BI22"/>
  <c r="Q20"/>
  <c r="P20" i="10" s="1"/>
  <c r="C21"/>
  <c r="N17"/>
  <c r="W20"/>
  <c r="Y16"/>
  <c r="N18"/>
  <c r="G20"/>
  <c r="B21"/>
  <c r="B22"/>
  <c r="O16"/>
  <c r="AB13" i="2"/>
  <c r="Z17"/>
  <c r="BE18" s="1"/>
  <c r="A22"/>
  <c r="B22" s="1"/>
  <c r="A22" i="10" s="1"/>
  <c r="R19" i="2"/>
  <c r="Q19" i="10" s="1"/>
  <c r="R15" i="2"/>
  <c r="X21" i="10"/>
  <c r="Z18" i="2"/>
  <c r="O19"/>
  <c r="AQ26"/>
  <c r="AS26" s="1"/>
  <c r="AT26" s="1"/>
  <c r="F22"/>
  <c r="E22" i="10" s="1"/>
  <c r="W22" i="2"/>
  <c r="V22" i="10" s="1"/>
  <c r="V22" i="2"/>
  <c r="U22" i="10" s="1"/>
  <c r="L20" i="2"/>
  <c r="K20" i="10" s="1"/>
  <c r="S22" i="2"/>
  <c r="R22" i="10" s="1"/>
  <c r="N19" i="2"/>
  <c r="M19" i="10" s="1"/>
  <c r="N20" i="2"/>
  <c r="M20" i="10" s="1"/>
  <c r="T22" i="2"/>
  <c r="S22" i="10" s="1"/>
  <c r="X21" i="2"/>
  <c r="U21"/>
  <c r="T21" i="10" s="1"/>
  <c r="D22" i="2"/>
  <c r="H21"/>
  <c r="G21" i="10" s="1"/>
  <c r="M20" i="2"/>
  <c r="L20" i="10" s="1"/>
  <c r="J21" i="2"/>
  <c r="I21" i="10" s="1"/>
  <c r="I21" i="2"/>
  <c r="H21" i="10" s="1"/>
  <c r="C23" i="2"/>
  <c r="Y23" s="1"/>
  <c r="X23" i="10" s="1"/>
  <c r="AP27" i="2"/>
  <c r="AR27" s="1"/>
  <c r="Q15" i="10" l="1"/>
  <c r="AA15" i="2"/>
  <c r="Z15" i="10" s="1"/>
  <c r="AV25" i="2"/>
  <c r="BG26"/>
  <c r="BH26"/>
  <c r="BO26"/>
  <c r="AL26"/>
  <c r="AK26"/>
  <c r="AU26"/>
  <c r="AV26" s="1"/>
  <c r="AY25"/>
  <c r="BA24"/>
  <c r="AZ24"/>
  <c r="Q21"/>
  <c r="P21" i="10" s="1"/>
  <c r="AW25" i="2"/>
  <c r="BF23"/>
  <c r="BB23" s="1"/>
  <c r="BJ25"/>
  <c r="BI25"/>
  <c r="P21"/>
  <c r="O21" i="10" s="1"/>
  <c r="C22"/>
  <c r="Y17"/>
  <c r="AA17" i="2"/>
  <c r="Z17" i="10" s="1"/>
  <c r="W21"/>
  <c r="Y18"/>
  <c r="AA18" i="2"/>
  <c r="Z18" i="10" s="1"/>
  <c r="BE19" i="2"/>
  <c r="AA13" i="10"/>
  <c r="B23"/>
  <c r="R16" i="2"/>
  <c r="N19" i="10"/>
  <c r="AB14" i="2"/>
  <c r="AA14" i="10" s="1"/>
  <c r="A23" i="2"/>
  <c r="B23" s="1"/>
  <c r="A23" i="10" s="1"/>
  <c r="R20" i="2"/>
  <c r="Q20" i="10" s="1"/>
  <c r="L21" i="2"/>
  <c r="K21" i="10" s="1"/>
  <c r="Z19" i="2"/>
  <c r="AQ27"/>
  <c r="AS27" s="1"/>
  <c r="AT27" s="1"/>
  <c r="I22"/>
  <c r="H22" i="10" s="1"/>
  <c r="J22" i="2"/>
  <c r="I22" i="10" s="1"/>
  <c r="W23" i="2"/>
  <c r="V23" i="10" s="1"/>
  <c r="V23" i="2"/>
  <c r="U23" i="10" s="1"/>
  <c r="F23" i="2"/>
  <c r="E23" i="10" s="1"/>
  <c r="K20" i="2"/>
  <c r="J20" i="10" s="1"/>
  <c r="S23" i="2"/>
  <c r="R23" i="10" s="1"/>
  <c r="H22" i="2"/>
  <c r="N21"/>
  <c r="M21" i="10" s="1"/>
  <c r="G21" i="2"/>
  <c r="F21" i="10" s="1"/>
  <c r="T23" i="2"/>
  <c r="S23" i="10" s="1"/>
  <c r="X22" i="2"/>
  <c r="M21"/>
  <c r="L21" i="10" s="1"/>
  <c r="D23" i="2"/>
  <c r="U22"/>
  <c r="T22" i="10" s="1"/>
  <c r="E22" i="2"/>
  <c r="D22" i="10" s="1"/>
  <c r="C24" i="2"/>
  <c r="AP28"/>
  <c r="AR28" s="1"/>
  <c r="Q16" i="10" l="1"/>
  <c r="AA16" i="2"/>
  <c r="Z16" i="10" s="1"/>
  <c r="Q22" i="2"/>
  <c r="AW26"/>
  <c r="P22"/>
  <c r="O22" i="10" s="1"/>
  <c r="AY26" i="2"/>
  <c r="BA25"/>
  <c r="AZ25"/>
  <c r="BJ26"/>
  <c r="BI26"/>
  <c r="BH27"/>
  <c r="BO27"/>
  <c r="AL27"/>
  <c r="AK27"/>
  <c r="BG27"/>
  <c r="AU27"/>
  <c r="AW27" s="1"/>
  <c r="Y24"/>
  <c r="X24" i="10" s="1"/>
  <c r="BF24" i="2"/>
  <c r="BB24" s="1"/>
  <c r="C23" i="10"/>
  <c r="W22"/>
  <c r="Y19"/>
  <c r="AA19" i="2"/>
  <c r="Z19" i="10" s="1"/>
  <c r="BE20" i="2"/>
  <c r="B24" i="10"/>
  <c r="G22"/>
  <c r="P22"/>
  <c r="L22" i="2"/>
  <c r="K22" i="10" s="1"/>
  <c r="O20" i="2"/>
  <c r="AB15"/>
  <c r="AA15" i="10" s="1"/>
  <c r="A24" i="2"/>
  <c r="B24" s="1"/>
  <c r="A24" i="10" s="1"/>
  <c r="R21" i="2"/>
  <c r="Q21" i="10" s="1"/>
  <c r="I23" i="2"/>
  <c r="H23" i="10" s="1"/>
  <c r="F24" i="2"/>
  <c r="E24" i="10" s="1"/>
  <c r="AQ28" i="2"/>
  <c r="AS28" s="1"/>
  <c r="AT28" s="1"/>
  <c r="H23"/>
  <c r="J23"/>
  <c r="I23" i="10" s="1"/>
  <c r="W24" i="2"/>
  <c r="V24" i="10" s="1"/>
  <c r="V24" i="2"/>
  <c r="U24" i="10" s="1"/>
  <c r="J24" i="2"/>
  <c r="I24" i="10" s="1"/>
  <c r="S24" i="2"/>
  <c r="R24" i="10" s="1"/>
  <c r="K21" i="2"/>
  <c r="J21" i="10" s="1"/>
  <c r="K22" i="2"/>
  <c r="N22"/>
  <c r="M22" i="10" s="1"/>
  <c r="G22" i="2"/>
  <c r="F22" i="10" s="1"/>
  <c r="T24" i="2"/>
  <c r="S24" i="10" s="1"/>
  <c r="U23" i="2"/>
  <c r="T23" i="10" s="1"/>
  <c r="M22" i="2"/>
  <c r="L22" i="10" s="1"/>
  <c r="X23" i="2"/>
  <c r="D24"/>
  <c r="E23"/>
  <c r="D23" i="10" s="1"/>
  <c r="I24" i="2"/>
  <c r="H24" i="10" s="1"/>
  <c r="C25" i="2"/>
  <c r="AP29"/>
  <c r="AR29" s="1"/>
  <c r="P23" l="1"/>
  <c r="O23" i="10" s="1"/>
  <c r="BH28" i="2"/>
  <c r="BO28"/>
  <c r="AL28"/>
  <c r="AK28"/>
  <c r="BG28"/>
  <c r="AU28"/>
  <c r="AW28" s="1"/>
  <c r="BJ27"/>
  <c r="BI27"/>
  <c r="AY27"/>
  <c r="BA26"/>
  <c r="AZ26"/>
  <c r="I25" s="1"/>
  <c r="H25" i="10" s="1"/>
  <c r="J22"/>
  <c r="AV27" i="2"/>
  <c r="Y25"/>
  <c r="X25" i="10" s="1"/>
  <c r="BF25" i="2"/>
  <c r="BB25" s="1"/>
  <c r="Q23"/>
  <c r="P23" i="10" s="1"/>
  <c r="C24"/>
  <c r="W23"/>
  <c r="N20"/>
  <c r="B25"/>
  <c r="G23"/>
  <c r="Z20" i="2"/>
  <c r="A25"/>
  <c r="B25" s="1"/>
  <c r="A25" i="10" s="1"/>
  <c r="O21" i="2"/>
  <c r="R22"/>
  <c r="Q22" i="10" s="1"/>
  <c r="AB19" i="2"/>
  <c r="H24"/>
  <c r="Q24" s="1"/>
  <c r="AQ29"/>
  <c r="AS29" s="1"/>
  <c r="AT29" s="1"/>
  <c r="F25"/>
  <c r="E25" i="10" s="1"/>
  <c r="L23" i="2"/>
  <c r="K23" i="10" s="1"/>
  <c r="N23" i="2"/>
  <c r="M23" i="10" s="1"/>
  <c r="K23" i="2"/>
  <c r="W25"/>
  <c r="V25" i="10" s="1"/>
  <c r="V25" i="2"/>
  <c r="U25" i="10" s="1"/>
  <c r="S25" i="2"/>
  <c r="R25" i="10" s="1"/>
  <c r="N24" i="2"/>
  <c r="M24" i="10" s="1"/>
  <c r="O22" i="2"/>
  <c r="M23"/>
  <c r="L23" i="10" s="1"/>
  <c r="G23" i="2"/>
  <c r="F23" i="10" s="1"/>
  <c r="T25" i="2"/>
  <c r="S25" i="10" s="1"/>
  <c r="D25" i="2"/>
  <c r="U24"/>
  <c r="T24" i="10" s="1"/>
  <c r="X24" i="2"/>
  <c r="E24"/>
  <c r="D24" i="10" s="1"/>
  <c r="C26" i="2"/>
  <c r="AP30"/>
  <c r="AR30" s="1"/>
  <c r="AV28" l="1"/>
  <c r="P24"/>
  <c r="O24" i="10" s="1"/>
  <c r="Y26" i="2"/>
  <c r="X26" i="10" s="1"/>
  <c r="BF26" i="2"/>
  <c r="BB26" s="1"/>
  <c r="BJ28"/>
  <c r="BI28"/>
  <c r="BO29"/>
  <c r="AL29"/>
  <c r="AK29"/>
  <c r="BG29"/>
  <c r="BH29"/>
  <c r="AU29"/>
  <c r="AW29" s="1"/>
  <c r="AY28"/>
  <c r="AZ27"/>
  <c r="BA27"/>
  <c r="J23" i="10"/>
  <c r="AA19"/>
  <c r="C25"/>
  <c r="Y20"/>
  <c r="AA20" i="2"/>
  <c r="Z20" i="10" s="1"/>
  <c r="N22"/>
  <c r="BE21" i="2"/>
  <c r="N21" i="10"/>
  <c r="W24"/>
  <c r="B26"/>
  <c r="G24"/>
  <c r="P24"/>
  <c r="Z21" i="2"/>
  <c r="R23"/>
  <c r="Q23" i="10" s="1"/>
  <c r="L24" i="2"/>
  <c r="K24" i="10" s="1"/>
  <c r="Z22" i="2"/>
  <c r="BE23" s="1"/>
  <c r="K24"/>
  <c r="J25"/>
  <c r="I25" i="10" s="1"/>
  <c r="J26" i="2"/>
  <c r="I26" i="10" s="1"/>
  <c r="H25" i="2"/>
  <c r="Q25" s="1"/>
  <c r="A26"/>
  <c r="B26" s="1"/>
  <c r="A26" i="10" s="1"/>
  <c r="AQ30" i="2"/>
  <c r="AS30" s="1"/>
  <c r="AT30" s="1"/>
  <c r="O23"/>
  <c r="W26"/>
  <c r="V26" i="10" s="1"/>
  <c r="V26" i="2"/>
  <c r="U26" i="10" s="1"/>
  <c r="S26" i="2"/>
  <c r="R26" i="10" s="1"/>
  <c r="G24" i="2"/>
  <c r="F24" i="10" s="1"/>
  <c r="E25" i="2"/>
  <c r="D25" i="10" s="1"/>
  <c r="M24" i="2"/>
  <c r="L24" i="10" s="1"/>
  <c r="T26" i="2"/>
  <c r="S26" i="10" s="1"/>
  <c r="U25" i="2"/>
  <c r="T25" i="10" s="1"/>
  <c r="X25" i="2"/>
  <c r="D26"/>
  <c r="F26"/>
  <c r="E26" i="10" s="1"/>
  <c r="C27" i="2"/>
  <c r="C28"/>
  <c r="AP31"/>
  <c r="AR31" s="1"/>
  <c r="J24" i="10" l="1"/>
  <c r="BG30" i="2"/>
  <c r="BH30"/>
  <c r="BO30"/>
  <c r="AL30"/>
  <c r="AK30"/>
  <c r="AU30"/>
  <c r="AV30" s="1"/>
  <c r="AY29"/>
  <c r="BA28"/>
  <c r="AZ28"/>
  <c r="P25"/>
  <c r="O25" i="10" s="1"/>
  <c r="BF27" i="2"/>
  <c r="BB27" s="1"/>
  <c r="Y27"/>
  <c r="X27" i="10" s="1"/>
  <c r="Y28" i="2"/>
  <c r="X28" i="10" s="1"/>
  <c r="AV29" i="2"/>
  <c r="BJ29"/>
  <c r="BI29"/>
  <c r="C26" i="10"/>
  <c r="N23"/>
  <c r="Y22"/>
  <c r="AA22" i="2"/>
  <c r="Z22" i="10" s="1"/>
  <c r="W25"/>
  <c r="Y21"/>
  <c r="AA21" i="2"/>
  <c r="Z21" i="10" s="1"/>
  <c r="BE22" i="2"/>
  <c r="B27" i="10"/>
  <c r="B28"/>
  <c r="G25"/>
  <c r="L25" i="2"/>
  <c r="K25" i="10" s="1"/>
  <c r="R24" i="2"/>
  <c r="Q24" i="10" s="1"/>
  <c r="Z23" i="2"/>
  <c r="N25"/>
  <c r="M25" i="10" s="1"/>
  <c r="I26" i="2"/>
  <c r="H26" i="10" s="1"/>
  <c r="H26" i="2"/>
  <c r="K25"/>
  <c r="P25" i="10"/>
  <c r="O24" i="2"/>
  <c r="J27"/>
  <c r="I27" i="10" s="1"/>
  <c r="A27" i="2"/>
  <c r="B27" s="1"/>
  <c r="A27" i="10" s="1"/>
  <c r="AQ31" i="2"/>
  <c r="AS31" s="1"/>
  <c r="AT31" s="1"/>
  <c r="F27"/>
  <c r="E27" i="10" s="1"/>
  <c r="I27" i="2"/>
  <c r="H27" i="10" s="1"/>
  <c r="W27" i="2"/>
  <c r="V27" i="10" s="1"/>
  <c r="V27" i="2"/>
  <c r="U27" i="10" s="1"/>
  <c r="W28" i="2"/>
  <c r="V28" i="10" s="1"/>
  <c r="V28" i="2"/>
  <c r="U28" i="10" s="1"/>
  <c r="S27" i="2"/>
  <c r="R27" i="10" s="1"/>
  <c r="G25" i="2"/>
  <c r="F25" i="10" s="1"/>
  <c r="M25" i="2"/>
  <c r="L25" i="10" s="1"/>
  <c r="N26" i="2"/>
  <c r="M26" i="10" s="1"/>
  <c r="T27" i="2"/>
  <c r="S27" i="10" s="1"/>
  <c r="T28" i="2"/>
  <c r="S28" i="10" s="1"/>
  <c r="L26" i="2"/>
  <c r="K26" i="10" s="1"/>
  <c r="X26" i="2"/>
  <c r="U26"/>
  <c r="T26" i="10" s="1"/>
  <c r="H27" i="2"/>
  <c r="G27" i="10" s="1"/>
  <c r="D27" i="2"/>
  <c r="E26"/>
  <c r="D26" i="10" s="1"/>
  <c r="C29" i="2"/>
  <c r="AP32"/>
  <c r="AR32" s="1"/>
  <c r="Q26" l="1"/>
  <c r="J25" i="10"/>
  <c r="BF28" i="2"/>
  <c r="BB28" s="1"/>
  <c r="AW30"/>
  <c r="P26"/>
  <c r="O26" i="10" s="1"/>
  <c r="AY30" i="2"/>
  <c r="AZ29"/>
  <c r="I28" s="1"/>
  <c r="H28" i="10" s="1"/>
  <c r="BA29" i="2"/>
  <c r="BJ30"/>
  <c r="BI30"/>
  <c r="Y29"/>
  <c r="X29" i="10" s="1"/>
  <c r="Q27" i="2"/>
  <c r="P27" i="10" s="1"/>
  <c r="BH31" i="2"/>
  <c r="BO31"/>
  <c r="AL31"/>
  <c r="AK31"/>
  <c r="BG31"/>
  <c r="AU31"/>
  <c r="AV31" s="1"/>
  <c r="C27" i="10"/>
  <c r="W26"/>
  <c r="N24"/>
  <c r="Y23"/>
  <c r="AA23" i="2"/>
  <c r="Z23" i="10" s="1"/>
  <c r="BE24" i="2"/>
  <c r="G26" i="10"/>
  <c r="P26"/>
  <c r="B29"/>
  <c r="AB22" i="2"/>
  <c r="AB21"/>
  <c r="R25"/>
  <c r="Q25" i="10" s="1"/>
  <c r="S28" i="2"/>
  <c r="R28" i="10" s="1"/>
  <c r="Z24" i="2"/>
  <c r="BE25" s="1"/>
  <c r="K26"/>
  <c r="M26"/>
  <c r="L26" i="10" s="1"/>
  <c r="O25" i="2"/>
  <c r="A28"/>
  <c r="B28" s="1"/>
  <c r="D28"/>
  <c r="AQ32"/>
  <c r="AS32" s="1"/>
  <c r="AT32" s="1"/>
  <c r="F28"/>
  <c r="E28" i="10" s="1"/>
  <c r="J28" i="2"/>
  <c r="I28" i="10" s="1"/>
  <c r="H29" i="2"/>
  <c r="G29" i="10" s="1"/>
  <c r="W29" i="2"/>
  <c r="V29" i="10" s="1"/>
  <c r="V29" i="2"/>
  <c r="U29" i="10" s="1"/>
  <c r="L27" i="2"/>
  <c r="K27" i="10" s="1"/>
  <c r="T29" i="2"/>
  <c r="S29" i="10" s="1"/>
  <c r="X27" i="2"/>
  <c r="H28"/>
  <c r="N27"/>
  <c r="M27" i="10" s="1"/>
  <c r="K27" i="2"/>
  <c r="J27" i="10" s="1"/>
  <c r="X28" i="2"/>
  <c r="U27"/>
  <c r="T27" i="10" s="1"/>
  <c r="G26" i="2"/>
  <c r="F26" i="10" s="1"/>
  <c r="E27" i="2"/>
  <c r="D27" i="10" s="1"/>
  <c r="C30" i="2"/>
  <c r="AP33"/>
  <c r="AR33" s="1"/>
  <c r="S29" l="1"/>
  <c r="R29" i="10" s="1"/>
  <c r="AW31" i="2"/>
  <c r="BF29"/>
  <c r="BB29" s="1"/>
  <c r="J26" i="10"/>
  <c r="P27" i="2"/>
  <c r="O27" i="10" s="1"/>
  <c r="Y30" i="2"/>
  <c r="X30" i="10" s="1"/>
  <c r="BF30" i="2"/>
  <c r="BH32"/>
  <c r="BO32"/>
  <c r="AL32"/>
  <c r="AK32"/>
  <c r="BG32"/>
  <c r="AU32"/>
  <c r="AV32" s="1"/>
  <c r="AY31"/>
  <c r="BA30"/>
  <c r="BB30"/>
  <c r="AZ30"/>
  <c r="I29" s="1"/>
  <c r="H29" i="10" s="1"/>
  <c r="BJ31" i="2"/>
  <c r="BI31"/>
  <c r="Q28"/>
  <c r="P28" i="10" s="1"/>
  <c r="AA21"/>
  <c r="AA22"/>
  <c r="W27"/>
  <c r="W28"/>
  <c r="N25"/>
  <c r="Y24"/>
  <c r="AA24" i="2"/>
  <c r="Z24" i="10" s="1"/>
  <c r="B30"/>
  <c r="G28"/>
  <c r="C28"/>
  <c r="U28" i="2"/>
  <c r="T28" i="10" s="1"/>
  <c r="R26" i="2"/>
  <c r="Q26" i="10" s="1"/>
  <c r="A29" i="2"/>
  <c r="B29" s="1"/>
  <c r="A29" i="10" s="1"/>
  <c r="A28"/>
  <c r="Z25" i="2"/>
  <c r="BE26" s="1"/>
  <c r="O26"/>
  <c r="L28"/>
  <c r="K28" i="10" s="1"/>
  <c r="AQ33" i="2"/>
  <c r="AS33" s="1"/>
  <c r="AT33" s="1"/>
  <c r="J29"/>
  <c r="I29" i="10" s="1"/>
  <c r="F29" i="2"/>
  <c r="E29" i="10" s="1"/>
  <c r="W30" i="2"/>
  <c r="V30" i="10" s="1"/>
  <c r="V30" i="2"/>
  <c r="U30" i="10" s="1"/>
  <c r="S30" i="2"/>
  <c r="R30" i="10" s="1"/>
  <c r="M27" i="2"/>
  <c r="L27" i="10" s="1"/>
  <c r="N28" i="2"/>
  <c r="M28" i="10" s="1"/>
  <c r="T30" i="2"/>
  <c r="S30" i="10" s="1"/>
  <c r="X29" i="2"/>
  <c r="U29"/>
  <c r="T29" i="10" s="1"/>
  <c r="G27" i="2"/>
  <c r="F27" i="10" s="1"/>
  <c r="D29" i="2"/>
  <c r="E28"/>
  <c r="D28" i="10" s="1"/>
  <c r="K28" i="2"/>
  <c r="C31"/>
  <c r="AP34"/>
  <c r="AR34" s="1"/>
  <c r="AW32" l="1"/>
  <c r="P28"/>
  <c r="O28" i="10" s="1"/>
  <c r="Q29" i="2"/>
  <c r="P29" i="10" s="1"/>
  <c r="BF31" i="2"/>
  <c r="AY32"/>
  <c r="AZ31"/>
  <c r="I30" s="1"/>
  <c r="H30" i="10" s="1"/>
  <c r="BB31" i="2"/>
  <c r="BA31"/>
  <c r="A30"/>
  <c r="B30" s="1"/>
  <c r="A30" i="10" s="1"/>
  <c r="Y31" i="2"/>
  <c r="X31" i="10" s="1"/>
  <c r="BO33" i="2"/>
  <c r="AL33"/>
  <c r="AK33"/>
  <c r="BG33"/>
  <c r="BH33"/>
  <c r="AU33"/>
  <c r="AV33" s="1"/>
  <c r="BJ32"/>
  <c r="BI32"/>
  <c r="J28" i="10"/>
  <c r="N26"/>
  <c r="W29"/>
  <c r="Y25"/>
  <c r="AA25" i="2"/>
  <c r="Z25" i="10" s="1"/>
  <c r="C29"/>
  <c r="B31"/>
  <c r="R27" i="2"/>
  <c r="Q27" i="10" s="1"/>
  <c r="Z26" i="2"/>
  <c r="O27"/>
  <c r="D30"/>
  <c r="AQ34"/>
  <c r="AS34" s="1"/>
  <c r="AT34" s="1"/>
  <c r="J30"/>
  <c r="I30" i="10" s="1"/>
  <c r="F30" i="2"/>
  <c r="E30" i="10" s="1"/>
  <c r="E30" i="2"/>
  <c r="D30" i="10" s="1"/>
  <c r="W31" i="2"/>
  <c r="V31" i="10" s="1"/>
  <c r="V31" i="2"/>
  <c r="U31" i="10" s="1"/>
  <c r="H30" i="2"/>
  <c r="S31"/>
  <c r="R31" i="10" s="1"/>
  <c r="K29" i="2"/>
  <c r="J29" i="10" s="1"/>
  <c r="L29" i="2"/>
  <c r="K29" i="10" s="1"/>
  <c r="N29" i="2"/>
  <c r="M29" i="10" s="1"/>
  <c r="G28" i="2"/>
  <c r="F28" i="10" s="1"/>
  <c r="M28" i="2"/>
  <c r="L28" i="10" s="1"/>
  <c r="T31" i="2"/>
  <c r="S31" i="10" s="1"/>
  <c r="X30" i="2"/>
  <c r="U30"/>
  <c r="T30" i="10" s="1"/>
  <c r="E29" i="2"/>
  <c r="D29" i="10" s="1"/>
  <c r="C32" i="2"/>
  <c r="AP35"/>
  <c r="AR35" s="1"/>
  <c r="P30" l="1"/>
  <c r="P29"/>
  <c r="O29" i="10" s="1"/>
  <c r="AY33" i="2"/>
  <c r="AZ32"/>
  <c r="BA32"/>
  <c r="BG34"/>
  <c r="BH34"/>
  <c r="BO34"/>
  <c r="AL34"/>
  <c r="AK34"/>
  <c r="AU34"/>
  <c r="AW34" s="1"/>
  <c r="BJ33"/>
  <c r="BI33"/>
  <c r="AW33"/>
  <c r="Y32"/>
  <c r="X32" i="10" s="1"/>
  <c r="BF32" i="2"/>
  <c r="BB32" s="1"/>
  <c r="Q30"/>
  <c r="P30" i="10" s="1"/>
  <c r="A31" i="2"/>
  <c r="B31" s="1"/>
  <c r="A31" i="10" s="1"/>
  <c r="W30"/>
  <c r="Y26"/>
  <c r="AA26" i="2"/>
  <c r="Z26" i="10" s="1"/>
  <c r="N27"/>
  <c r="BE27" i="2"/>
  <c r="G30" i="10"/>
  <c r="C30"/>
  <c r="B32"/>
  <c r="R28" i="2"/>
  <c r="Q28" i="10" s="1"/>
  <c r="Z27" i="2"/>
  <c r="AB25"/>
  <c r="AA25" i="10" s="1"/>
  <c r="M29" i="2"/>
  <c r="L29" i="10" s="1"/>
  <c r="O28" i="2"/>
  <c r="L30"/>
  <c r="K30" i="10" s="1"/>
  <c r="D31" i="2"/>
  <c r="N30"/>
  <c r="M30" i="10" s="1"/>
  <c r="AQ35" i="2"/>
  <c r="AS35" s="1"/>
  <c r="AT35" s="1"/>
  <c r="F31"/>
  <c r="E31" i="10" s="1"/>
  <c r="E31" i="2"/>
  <c r="D31" i="10" s="1"/>
  <c r="D32" i="2"/>
  <c r="I31"/>
  <c r="H31" i="10" s="1"/>
  <c r="J31" i="2"/>
  <c r="I31" i="10" s="1"/>
  <c r="H32" i="2"/>
  <c r="G32" i="10" s="1"/>
  <c r="H31" i="2"/>
  <c r="W32"/>
  <c r="V32" i="10" s="1"/>
  <c r="V32" i="2"/>
  <c r="U32" i="10" s="1"/>
  <c r="K30" i="2"/>
  <c r="S32"/>
  <c r="R32" i="10" s="1"/>
  <c r="G29" i="2"/>
  <c r="F29" i="10" s="1"/>
  <c r="M30" i="2"/>
  <c r="L30" i="10" s="1"/>
  <c r="T32" i="2"/>
  <c r="S32" i="10" s="1"/>
  <c r="U31" i="2"/>
  <c r="T31" i="10" s="1"/>
  <c r="X31" i="2"/>
  <c r="G30"/>
  <c r="C33"/>
  <c r="AP36"/>
  <c r="AR36" s="1"/>
  <c r="F30" i="10" l="1"/>
  <c r="J30"/>
  <c r="BJ34" i="2"/>
  <c r="BI34"/>
  <c r="AY34"/>
  <c r="BA33"/>
  <c r="J32" s="1"/>
  <c r="I32" i="10" s="1"/>
  <c r="AZ33" i="2"/>
  <c r="A32"/>
  <c r="B32" s="1"/>
  <c r="A32" i="10" s="1"/>
  <c r="Y33" i="2"/>
  <c r="BF33"/>
  <c r="BB33" s="1"/>
  <c r="P31"/>
  <c r="Q31"/>
  <c r="P31" i="10" s="1"/>
  <c r="AV34" i="2"/>
  <c r="BH35"/>
  <c r="BO35"/>
  <c r="AL35"/>
  <c r="AK35"/>
  <c r="BG35"/>
  <c r="AU35"/>
  <c r="AW35" s="1"/>
  <c r="C32" i="10"/>
  <c r="N28"/>
  <c r="Y27"/>
  <c r="AA27" i="2"/>
  <c r="Z27" i="10" s="1"/>
  <c r="BE28" i="2"/>
  <c r="W31" i="10"/>
  <c r="O30"/>
  <c r="Z28" i="2"/>
  <c r="R29"/>
  <c r="Q29" i="10" s="1"/>
  <c r="C31"/>
  <c r="G31"/>
  <c r="B33"/>
  <c r="AB26" i="2"/>
  <c r="X33" i="10"/>
  <c r="O29" i="2"/>
  <c r="R30"/>
  <c r="Q30" i="10" s="1"/>
  <c r="A33" i="2"/>
  <c r="B33" s="1"/>
  <c r="A33" i="10" s="1"/>
  <c r="G31" i="2"/>
  <c r="M31"/>
  <c r="L31" i="10" s="1"/>
  <c r="AQ36" i="2"/>
  <c r="AS36" s="1"/>
  <c r="AT36" s="1"/>
  <c r="N31"/>
  <c r="M31" i="10" s="1"/>
  <c r="I32" i="2"/>
  <c r="H32" i="10" s="1"/>
  <c r="H33" i="2"/>
  <c r="G33" i="10" s="1"/>
  <c r="E32" i="2"/>
  <c r="D32" i="10" s="1"/>
  <c r="F32" i="2"/>
  <c r="E32" i="10" s="1"/>
  <c r="K31" i="2"/>
  <c r="L31"/>
  <c r="K31" i="10" s="1"/>
  <c r="W33" i="2"/>
  <c r="V33" i="10" s="1"/>
  <c r="V33" i="2"/>
  <c r="U33" i="10" s="1"/>
  <c r="O30" i="2"/>
  <c r="S33"/>
  <c r="R33" i="10" s="1"/>
  <c r="T33" i="2"/>
  <c r="S33" i="10" s="1"/>
  <c r="X32" i="2"/>
  <c r="U32"/>
  <c r="T32" i="10" s="1"/>
  <c r="L32" i="2"/>
  <c r="K32" i="10" s="1"/>
  <c r="C34" i="2"/>
  <c r="AP37"/>
  <c r="AR37" s="1"/>
  <c r="AV35" l="1"/>
  <c r="Y34"/>
  <c r="X34" i="10" s="1"/>
  <c r="BF34" i="2"/>
  <c r="P32"/>
  <c r="BJ35"/>
  <c r="BI35"/>
  <c r="BH36"/>
  <c r="BO36"/>
  <c r="AL36"/>
  <c r="AK36"/>
  <c r="BG36"/>
  <c r="AU36"/>
  <c r="AW36" s="1"/>
  <c r="AY35"/>
  <c r="AZ34"/>
  <c r="I33" s="1"/>
  <c r="BA34"/>
  <c r="BB34"/>
  <c r="Q32"/>
  <c r="AA26" i="10"/>
  <c r="F31"/>
  <c r="Y28"/>
  <c r="AA28" i="2"/>
  <c r="Z28" i="10" s="1"/>
  <c r="W32"/>
  <c r="N30"/>
  <c r="N29"/>
  <c r="BE29" i="2"/>
  <c r="J31" i="10"/>
  <c r="O31"/>
  <c r="B34"/>
  <c r="P32"/>
  <c r="AB27" i="2"/>
  <c r="AA27" i="10" s="1"/>
  <c r="Z29" i="2"/>
  <c r="BE30" s="1"/>
  <c r="R31"/>
  <c r="Q31" i="10" s="1"/>
  <c r="O31" i="2"/>
  <c r="A34"/>
  <c r="B34" s="1"/>
  <c r="A34" i="10" s="1"/>
  <c r="N32" i="2"/>
  <c r="M32" i="10" s="1"/>
  <c r="D33" i="2"/>
  <c r="M32"/>
  <c r="L32" i="10" s="1"/>
  <c r="AQ37" i="2"/>
  <c r="AS37" s="1"/>
  <c r="AT37" s="1"/>
  <c r="G32"/>
  <c r="F32" i="10" s="1"/>
  <c r="K32" i="2"/>
  <c r="J32" i="10" s="1"/>
  <c r="Z30" i="2"/>
  <c r="BE31" s="1"/>
  <c r="E33"/>
  <c r="D33" i="10" s="1"/>
  <c r="F33" i="2"/>
  <c r="E33" i="10" s="1"/>
  <c r="D34" i="2"/>
  <c r="J33"/>
  <c r="I33" i="10" s="1"/>
  <c r="H34" i="2"/>
  <c r="G34" i="10" s="1"/>
  <c r="W34" i="2"/>
  <c r="V34" i="10" s="1"/>
  <c r="V34" i="2"/>
  <c r="U34" i="10" s="1"/>
  <c r="S34" i="2"/>
  <c r="R34" i="10" s="1"/>
  <c r="T34" i="2"/>
  <c r="S34" i="10" s="1"/>
  <c r="U33" i="2"/>
  <c r="T33" i="10" s="1"/>
  <c r="X33" i="2"/>
  <c r="C35"/>
  <c r="AP38"/>
  <c r="AR38" s="1"/>
  <c r="AV36" l="1"/>
  <c r="H33" i="10"/>
  <c r="Q33" i="2"/>
  <c r="P33" i="10" s="1"/>
  <c r="BF35" i="2"/>
  <c r="BB35" s="1"/>
  <c r="AY36"/>
  <c r="BA35"/>
  <c r="AZ35"/>
  <c r="Y35"/>
  <c r="X35" i="10" s="1"/>
  <c r="BO37" i="2"/>
  <c r="AL37"/>
  <c r="AK37"/>
  <c r="BG37"/>
  <c r="BH37"/>
  <c r="AU37"/>
  <c r="AW37" s="1"/>
  <c r="BJ36"/>
  <c r="BI36"/>
  <c r="P33"/>
  <c r="C34" i="10"/>
  <c r="W33"/>
  <c r="Y30"/>
  <c r="AA30" i="2"/>
  <c r="Z30" i="10" s="1"/>
  <c r="N31"/>
  <c r="Y29"/>
  <c r="AA29" i="2"/>
  <c r="Z29" i="10" s="1"/>
  <c r="AB28" i="2"/>
  <c r="Z31"/>
  <c r="BE32" s="1"/>
  <c r="C33" i="10"/>
  <c r="B35"/>
  <c r="O32"/>
  <c r="L33" i="2"/>
  <c r="K33" i="10" s="1"/>
  <c r="A35" i="2"/>
  <c r="B35" s="1"/>
  <c r="A35" i="10" s="1"/>
  <c r="AQ38" i="2"/>
  <c r="AS38" s="1"/>
  <c r="AT38" s="1"/>
  <c r="O32"/>
  <c r="K33"/>
  <c r="J33" i="10" s="1"/>
  <c r="N33" i="2"/>
  <c r="M33" i="10" s="1"/>
  <c r="E34" i="2"/>
  <c r="D34" i="10" s="1"/>
  <c r="F34" i="2"/>
  <c r="E34" i="10" s="1"/>
  <c r="I34" i="2"/>
  <c r="H34" i="10" s="1"/>
  <c r="J34" i="2"/>
  <c r="I34" i="10" s="1"/>
  <c r="H35" i="2"/>
  <c r="G35" i="10" s="1"/>
  <c r="W35" i="2"/>
  <c r="V35" i="10" s="1"/>
  <c r="V35" i="2"/>
  <c r="U35" i="10" s="1"/>
  <c r="L34" i="2"/>
  <c r="K34" i="10" s="1"/>
  <c r="S35" i="2"/>
  <c r="R35" i="10" s="1"/>
  <c r="M33" i="2"/>
  <c r="L33" i="10" s="1"/>
  <c r="T35" i="2"/>
  <c r="S35" i="10" s="1"/>
  <c r="U34" i="2"/>
  <c r="T34" i="10" s="1"/>
  <c r="G33" i="2"/>
  <c r="F33" i="10" s="1"/>
  <c r="X34" i="2"/>
  <c r="C36"/>
  <c r="AP39"/>
  <c r="AR39" s="1"/>
  <c r="P34" l="1"/>
  <c r="BG38"/>
  <c r="BH38"/>
  <c r="BO38"/>
  <c r="AL38"/>
  <c r="AK38"/>
  <c r="AU38"/>
  <c r="AW38" s="1"/>
  <c r="AY37"/>
  <c r="BA36"/>
  <c r="J35" s="1"/>
  <c r="I35" i="10" s="1"/>
  <c r="AZ36" i="2"/>
  <c r="AV37"/>
  <c r="Y36"/>
  <c r="X36" i="10" s="1"/>
  <c r="BF36" i="2"/>
  <c r="BB36" s="1"/>
  <c r="BJ37"/>
  <c r="BI37"/>
  <c r="Q34"/>
  <c r="P34" i="10" s="1"/>
  <c r="AA28"/>
  <c r="Y31"/>
  <c r="AA31" i="2"/>
  <c r="Z31" i="10" s="1"/>
  <c r="W34"/>
  <c r="N32"/>
  <c r="B36"/>
  <c r="AB29" i="2"/>
  <c r="R32"/>
  <c r="Q32" i="10" s="1"/>
  <c r="O33"/>
  <c r="Z32" i="2"/>
  <c r="BE33" s="1"/>
  <c r="AB30"/>
  <c r="O33"/>
  <c r="A36"/>
  <c r="B36" s="1"/>
  <c r="A36" i="10" s="1"/>
  <c r="G34" i="2"/>
  <c r="F34" i="10" s="1"/>
  <c r="D35" i="2"/>
  <c r="AQ39"/>
  <c r="AS39" s="1"/>
  <c r="AT39" s="1"/>
  <c r="M34"/>
  <c r="L34" i="10" s="1"/>
  <c r="K34" i="2"/>
  <c r="J34" i="10" s="1"/>
  <c r="N34" i="2"/>
  <c r="M34" i="10" s="1"/>
  <c r="F35" i="2"/>
  <c r="E35" i="10" s="1"/>
  <c r="E35" i="2"/>
  <c r="D35" i="10" s="1"/>
  <c r="I35" i="2"/>
  <c r="H35" i="10" s="1"/>
  <c r="H36" i="2"/>
  <c r="G36" i="10" s="1"/>
  <c r="W36" i="2"/>
  <c r="V36" i="10" s="1"/>
  <c r="V36" i="2"/>
  <c r="U36" i="10" s="1"/>
  <c r="S36" i="2"/>
  <c r="R36" i="10" s="1"/>
  <c r="U35" i="2"/>
  <c r="T35" i="10" s="1"/>
  <c r="T36" i="2"/>
  <c r="S36" i="10" s="1"/>
  <c r="X35" i="2"/>
  <c r="C37"/>
  <c r="AP40"/>
  <c r="AR40" s="1"/>
  <c r="AV38" l="1"/>
  <c r="Y37"/>
  <c r="X37" i="10" s="1"/>
  <c r="BF37" i="2"/>
  <c r="AY38"/>
  <c r="BB37"/>
  <c r="AZ37"/>
  <c r="BA37"/>
  <c r="BJ38"/>
  <c r="BI38"/>
  <c r="P35"/>
  <c r="Q35"/>
  <c r="P35" i="10" s="1"/>
  <c r="BH39" i="2"/>
  <c r="BO39"/>
  <c r="AL39"/>
  <c r="AK39"/>
  <c r="BG39"/>
  <c r="AU39"/>
  <c r="AW39" s="1"/>
  <c r="AA30" i="10"/>
  <c r="N33"/>
  <c r="W35"/>
  <c r="Y32"/>
  <c r="AA32" i="2"/>
  <c r="Z32" i="10" s="1"/>
  <c r="AB31" i="2"/>
  <c r="AA31" i="10" s="1"/>
  <c r="Z33" i="2"/>
  <c r="BE34" s="1"/>
  <c r="B37" i="10"/>
  <c r="C35"/>
  <c r="AA29"/>
  <c r="R33" i="2"/>
  <c r="Q33" i="10" s="1"/>
  <c r="L35" i="2"/>
  <c r="K35" i="10" s="1"/>
  <c r="O34"/>
  <c r="M35" i="2"/>
  <c r="L35" i="10" s="1"/>
  <c r="O34" i="2"/>
  <c r="A37"/>
  <c r="B37" s="1"/>
  <c r="A37" i="10" s="1"/>
  <c r="N35" i="2"/>
  <c r="M35" i="10" s="1"/>
  <c r="D36" i="2"/>
  <c r="AQ40"/>
  <c r="AS40" s="1"/>
  <c r="AT40" s="1"/>
  <c r="K35"/>
  <c r="J35" i="10" s="1"/>
  <c r="G35" i="2"/>
  <c r="J36"/>
  <c r="I36" i="10" s="1"/>
  <c r="I36" i="2"/>
  <c r="H36" i="10" s="1"/>
  <c r="H37" i="2"/>
  <c r="G37" i="10" s="1"/>
  <c r="E36" i="2"/>
  <c r="D36" i="10" s="1"/>
  <c r="F36" i="2"/>
  <c r="E36" i="10" s="1"/>
  <c r="D37" i="2"/>
  <c r="W37"/>
  <c r="V37" i="10" s="1"/>
  <c r="V37" i="2"/>
  <c r="U37" i="10" s="1"/>
  <c r="S37" i="2"/>
  <c r="R37" i="10" s="1"/>
  <c r="T37" i="2"/>
  <c r="S37" i="10" s="1"/>
  <c r="U36" i="2"/>
  <c r="T36" i="10" s="1"/>
  <c r="X36" i="2"/>
  <c r="C38"/>
  <c r="AP41"/>
  <c r="AR41" s="1"/>
  <c r="AV39" l="1"/>
  <c r="Q36"/>
  <c r="P36" i="10" s="1"/>
  <c r="P36" i="2"/>
  <c r="BH40"/>
  <c r="BO40"/>
  <c r="AL40"/>
  <c r="AK40"/>
  <c r="BG40"/>
  <c r="AU40"/>
  <c r="AW40" s="1"/>
  <c r="Y38"/>
  <c r="X38" i="10" s="1"/>
  <c r="BF38" i="2"/>
  <c r="AY39"/>
  <c r="BA38"/>
  <c r="J37" s="1"/>
  <c r="I37" i="10" s="1"/>
  <c r="BB38" i="2"/>
  <c r="AZ38"/>
  <c r="BJ39"/>
  <c r="BI39"/>
  <c r="F35" i="10"/>
  <c r="C37"/>
  <c r="W36"/>
  <c r="N34"/>
  <c r="Y33"/>
  <c r="AA33" i="2"/>
  <c r="Z33" i="10" s="1"/>
  <c r="O35"/>
  <c r="B38"/>
  <c r="C36"/>
  <c r="L36" i="2"/>
  <c r="K36" i="10" s="1"/>
  <c r="Z34" i="2"/>
  <c r="BE35" s="1"/>
  <c r="R34"/>
  <c r="Q34" i="10" s="1"/>
  <c r="AB32" i="2"/>
  <c r="R35"/>
  <c r="Q35" i="10" s="1"/>
  <c r="M36" i="2"/>
  <c r="L36" i="10" s="1"/>
  <c r="A38" i="2"/>
  <c r="B38" s="1"/>
  <c r="A38" i="10" s="1"/>
  <c r="G36" i="2"/>
  <c r="F36" i="10" s="1"/>
  <c r="O35" i="2"/>
  <c r="AQ41"/>
  <c r="AS41" s="1"/>
  <c r="AT41" s="1"/>
  <c r="N36"/>
  <c r="M36" i="10" s="1"/>
  <c r="K36" i="2"/>
  <c r="J36" i="10" s="1"/>
  <c r="E37" i="2"/>
  <c r="D37" i="10" s="1"/>
  <c r="F37" i="2"/>
  <c r="E37" i="10" s="1"/>
  <c r="I37" i="2"/>
  <c r="H37" i="10" s="1"/>
  <c r="H38" i="2"/>
  <c r="G38" i="10" s="1"/>
  <c r="W38" i="2"/>
  <c r="V38" i="10" s="1"/>
  <c r="V38" i="2"/>
  <c r="U38" i="10" s="1"/>
  <c r="S38" i="2"/>
  <c r="R38" i="10" s="1"/>
  <c r="U37" i="2"/>
  <c r="T37" i="10" s="1"/>
  <c r="T38" i="2"/>
  <c r="S38" i="10" s="1"/>
  <c r="X37" i="2"/>
  <c r="L37"/>
  <c r="K37" i="10" s="1"/>
  <c r="C39" i="2"/>
  <c r="AP42"/>
  <c r="AR42" s="1"/>
  <c r="AV40" l="1"/>
  <c r="Q37"/>
  <c r="P37" i="10" s="1"/>
  <c r="P37" i="2"/>
  <c r="AY40"/>
  <c r="H39" s="1"/>
  <c r="G39" i="10" s="1"/>
  <c r="AZ39" i="2"/>
  <c r="BA39"/>
  <c r="J38" s="1"/>
  <c r="I38" i="10" s="1"/>
  <c r="Y39" i="2"/>
  <c r="X39" i="10" s="1"/>
  <c r="BO41" i="2"/>
  <c r="AL41"/>
  <c r="AK41"/>
  <c r="BG41"/>
  <c r="BH41"/>
  <c r="AU41"/>
  <c r="AW41" s="1"/>
  <c r="BJ40"/>
  <c r="BI40"/>
  <c r="BF39"/>
  <c r="BB39" s="1"/>
  <c r="AA32" i="10"/>
  <c r="N35"/>
  <c r="Y34"/>
  <c r="AA34" i="2"/>
  <c r="Z34" i="10" s="1"/>
  <c r="W37"/>
  <c r="AB33" i="2"/>
  <c r="B39" i="10"/>
  <c r="Z35" i="2"/>
  <c r="BE36" s="1"/>
  <c r="O36" i="10"/>
  <c r="A39" i="2"/>
  <c r="B39" s="1"/>
  <c r="A39" i="10" s="1"/>
  <c r="O36" i="2"/>
  <c r="N37"/>
  <c r="M37" i="10" s="1"/>
  <c r="D38" i="2"/>
  <c r="L38" s="1"/>
  <c r="K38" i="10" s="1"/>
  <c r="M37" i="2"/>
  <c r="L37" i="10" s="1"/>
  <c r="K37" i="2"/>
  <c r="J37" i="10" s="1"/>
  <c r="AQ42" i="2"/>
  <c r="AS42" s="1"/>
  <c r="AT42" s="1"/>
  <c r="G37"/>
  <c r="F37" i="10" s="1"/>
  <c r="E38" i="2"/>
  <c r="D38" i="10" s="1"/>
  <c r="F38" i="2"/>
  <c r="E38" i="10" s="1"/>
  <c r="I38" i="2"/>
  <c r="H38" i="10" s="1"/>
  <c r="W39" i="2"/>
  <c r="V39" i="10" s="1"/>
  <c r="V39" i="2"/>
  <c r="U39" i="10" s="1"/>
  <c r="S39" i="2"/>
  <c r="R39" i="10" s="1"/>
  <c r="T39" i="2"/>
  <c r="S39" i="10" s="1"/>
  <c r="X38" i="2"/>
  <c r="U38"/>
  <c r="T38" i="10" s="1"/>
  <c r="C40" i="2"/>
  <c r="AP43"/>
  <c r="AR43" s="1"/>
  <c r="AV41" l="1"/>
  <c r="P38"/>
  <c r="O38" i="10" s="1"/>
  <c r="Y40" i="2"/>
  <c r="X40" i="10" s="1"/>
  <c r="BF40" i="2"/>
  <c r="AY41"/>
  <c r="H40" s="1"/>
  <c r="G40" i="10" s="1"/>
  <c r="AZ40" i="2"/>
  <c r="BB40"/>
  <c r="BA40"/>
  <c r="Q38"/>
  <c r="BJ41"/>
  <c r="BI41"/>
  <c r="BG42"/>
  <c r="BH42"/>
  <c r="BO42"/>
  <c r="AL42"/>
  <c r="AK42"/>
  <c r="AU42"/>
  <c r="AW42" s="1"/>
  <c r="AA33" i="10"/>
  <c r="N36"/>
  <c r="Y35"/>
  <c r="AA35" i="2"/>
  <c r="Z35" i="10" s="1"/>
  <c r="W38"/>
  <c r="O37"/>
  <c r="B40"/>
  <c r="P38"/>
  <c r="C38"/>
  <c r="AB34" i="2"/>
  <c r="AA34" i="10" s="1"/>
  <c r="R37" i="2"/>
  <c r="Q37" i="10" s="1"/>
  <c r="R36" i="2"/>
  <c r="Q36" i="10" s="1"/>
  <c r="Z36" i="2"/>
  <c r="O37"/>
  <c r="N38"/>
  <c r="M38" i="10" s="1"/>
  <c r="G38" i="2"/>
  <c r="A40"/>
  <c r="B40" s="1"/>
  <c r="A40" i="10" s="1"/>
  <c r="M38" i="2"/>
  <c r="L38" i="10" s="1"/>
  <c r="D39" i="2"/>
  <c r="AQ43"/>
  <c r="AS43" s="1"/>
  <c r="AT43" s="1"/>
  <c r="K38"/>
  <c r="J38" i="10" s="1"/>
  <c r="I39" i="2"/>
  <c r="H39" i="10" s="1"/>
  <c r="J39" i="2"/>
  <c r="I39" i="10" s="1"/>
  <c r="F39" i="2"/>
  <c r="E39" i="10" s="1"/>
  <c r="E39" i="2"/>
  <c r="D39" i="10" s="1"/>
  <c r="W40" i="2"/>
  <c r="V40" i="10" s="1"/>
  <c r="V40" i="2"/>
  <c r="U40" i="10" s="1"/>
  <c r="S40" i="2"/>
  <c r="R40" i="10" s="1"/>
  <c r="X39" i="2"/>
  <c r="T40"/>
  <c r="S40" i="10" s="1"/>
  <c r="U39" i="2"/>
  <c r="T39" i="10" s="1"/>
  <c r="C41" i="2"/>
  <c r="AP44"/>
  <c r="AR44" s="1"/>
  <c r="P39" l="1"/>
  <c r="O39" i="10" s="1"/>
  <c r="AV42" i="2"/>
  <c r="BH43"/>
  <c r="BO43"/>
  <c r="AL43"/>
  <c r="AK43"/>
  <c r="BG43"/>
  <c r="AU43"/>
  <c r="Y41"/>
  <c r="X41" i="10" s="1"/>
  <c r="BF41" i="2"/>
  <c r="BB41" s="1"/>
  <c r="Q39"/>
  <c r="P39" i="10" s="1"/>
  <c r="BJ42" i="2"/>
  <c r="BI42"/>
  <c r="AY42"/>
  <c r="H41" s="1"/>
  <c r="G41" i="10" s="1"/>
  <c r="BA41" i="2"/>
  <c r="AZ41"/>
  <c r="F38" i="10"/>
  <c r="W39"/>
  <c r="N37"/>
  <c r="Y36"/>
  <c r="AA36" i="2"/>
  <c r="Z36" i="10" s="1"/>
  <c r="BE37" i="2"/>
  <c r="C39" i="10"/>
  <c r="B41"/>
  <c r="AB35" i="2"/>
  <c r="L39"/>
  <c r="K39" i="10" s="1"/>
  <c r="Z37" i="2"/>
  <c r="BE38" s="1"/>
  <c r="R38"/>
  <c r="Q38" i="10" s="1"/>
  <c r="O38" i="2"/>
  <c r="A41"/>
  <c r="B41" s="1"/>
  <c r="A41" i="10" s="1"/>
  <c r="N39" i="2"/>
  <c r="M39" i="10" s="1"/>
  <c r="D40" i="2"/>
  <c r="M39"/>
  <c r="L39" i="10" s="1"/>
  <c r="AQ44" i="2"/>
  <c r="AS44" s="1"/>
  <c r="AT44" s="1"/>
  <c r="G39"/>
  <c r="K39"/>
  <c r="J39" i="10" s="1"/>
  <c r="J40" i="2"/>
  <c r="I40" i="10" s="1"/>
  <c r="I40" i="2"/>
  <c r="H40" i="10" s="1"/>
  <c r="E40" i="2"/>
  <c r="D40" i="10" s="1"/>
  <c r="F40" i="2"/>
  <c r="E40" i="10" s="1"/>
  <c r="D41" i="2"/>
  <c r="W41"/>
  <c r="V41" i="10" s="1"/>
  <c r="V41" i="2"/>
  <c r="U41" i="10" s="1"/>
  <c r="S41" i="2"/>
  <c r="R41" i="10" s="1"/>
  <c r="U40" i="2"/>
  <c r="T40" i="10" s="1"/>
  <c r="T41" i="2"/>
  <c r="S41" i="10" s="1"/>
  <c r="X40" i="2"/>
  <c r="C42"/>
  <c r="AP45"/>
  <c r="AR45" s="1"/>
  <c r="AV43" l="1"/>
  <c r="P40"/>
  <c r="O40" i="10" s="1"/>
  <c r="Y42" i="2"/>
  <c r="BF42"/>
  <c r="BB42" s="1"/>
  <c r="BH44"/>
  <c r="BO44"/>
  <c r="AL44"/>
  <c r="AK44"/>
  <c r="BG44"/>
  <c r="AU44"/>
  <c r="AW44" s="1"/>
  <c r="BJ43"/>
  <c r="BI43"/>
  <c r="AW43"/>
  <c r="AY43"/>
  <c r="BA42"/>
  <c r="AZ42"/>
  <c r="I41" s="1"/>
  <c r="F39" i="10"/>
  <c r="Q40" i="2"/>
  <c r="P40" i="10" s="1"/>
  <c r="C41"/>
  <c r="AA35"/>
  <c r="W40"/>
  <c r="N38"/>
  <c r="Y37"/>
  <c r="AA37" i="2"/>
  <c r="Z37" i="10" s="1"/>
  <c r="C40"/>
  <c r="B42"/>
  <c r="AB36" i="2"/>
  <c r="AA36" i="10" s="1"/>
  <c r="L40" i="2"/>
  <c r="K40" i="10" s="1"/>
  <c r="Z38" i="2"/>
  <c r="R39"/>
  <c r="Q39" i="10" s="1"/>
  <c r="X42"/>
  <c r="K40" i="2"/>
  <c r="J40" i="10" s="1"/>
  <c r="A42" i="2"/>
  <c r="B42" s="1"/>
  <c r="A42" i="10" s="1"/>
  <c r="O39" i="2"/>
  <c r="M40"/>
  <c r="L40" i="10" s="1"/>
  <c r="N40" i="2"/>
  <c r="M40" i="10" s="1"/>
  <c r="AQ45" i="2"/>
  <c r="AS45" s="1"/>
  <c r="AT45" s="1"/>
  <c r="G40"/>
  <c r="E41"/>
  <c r="D41" i="10" s="1"/>
  <c r="F41" i="2"/>
  <c r="E41" i="10" s="1"/>
  <c r="J41" i="2"/>
  <c r="I41" i="10" s="1"/>
  <c r="W42" i="2"/>
  <c r="V42" i="10" s="1"/>
  <c r="V42" i="2"/>
  <c r="U42" i="10" s="1"/>
  <c r="S42" i="2"/>
  <c r="R42" i="10" s="1"/>
  <c r="T42" i="2"/>
  <c r="S42" i="10" s="1"/>
  <c r="X41" i="2"/>
  <c r="L41"/>
  <c r="K41" i="10" s="1"/>
  <c r="U41" i="2"/>
  <c r="T41" i="10" s="1"/>
  <c r="C43" i="2"/>
  <c r="AP46"/>
  <c r="AR46" s="1"/>
  <c r="F40" i="10" l="1"/>
  <c r="AV44" i="2"/>
  <c r="H41" i="10"/>
  <c r="Q41" i="2"/>
  <c r="P41" i="10" s="1"/>
  <c r="BO45" i="2"/>
  <c r="AL45"/>
  <c r="AK45"/>
  <c r="BG45"/>
  <c r="BH45"/>
  <c r="AU45"/>
  <c r="AW45" s="1"/>
  <c r="P41"/>
  <c r="O41" i="10" s="1"/>
  <c r="AY44" i="2"/>
  <c r="BB43"/>
  <c r="AZ43"/>
  <c r="I42" s="1"/>
  <c r="H42" i="10" s="1"/>
  <c r="BA43" i="2"/>
  <c r="BF43"/>
  <c r="H42"/>
  <c r="Y43"/>
  <c r="X43" i="10" s="1"/>
  <c r="BJ44" i="2"/>
  <c r="BI44"/>
  <c r="W41" i="10"/>
  <c r="Y38"/>
  <c r="AA38" i="2"/>
  <c r="Z38" i="10" s="1"/>
  <c r="N39"/>
  <c r="BE39" i="2"/>
  <c r="B43" i="10"/>
  <c r="Z39" i="2"/>
  <c r="BE40" s="1"/>
  <c r="R40"/>
  <c r="Q40" i="10" s="1"/>
  <c r="AB37" i="2"/>
  <c r="AA37" i="10" s="1"/>
  <c r="O40" i="2"/>
  <c r="A43"/>
  <c r="B43" s="1"/>
  <c r="A43" i="10" s="1"/>
  <c r="D42" i="2"/>
  <c r="M41"/>
  <c r="L41" i="10" s="1"/>
  <c r="AQ46" i="2"/>
  <c r="AS46" s="1"/>
  <c r="AT46" s="1"/>
  <c r="K41"/>
  <c r="J41" i="10" s="1"/>
  <c r="N41" i="2"/>
  <c r="M41" i="10" s="1"/>
  <c r="G41" i="2"/>
  <c r="F41" i="10" s="1"/>
  <c r="E42" i="2"/>
  <c r="D42" i="10" s="1"/>
  <c r="F42" i="2"/>
  <c r="E42" i="10" s="1"/>
  <c r="D43" i="2"/>
  <c r="J42"/>
  <c r="I42" i="10" s="1"/>
  <c r="H43" i="2"/>
  <c r="G43" i="10" s="1"/>
  <c r="W43" i="2"/>
  <c r="V43" i="10" s="1"/>
  <c r="V43" i="2"/>
  <c r="U43" i="10" s="1"/>
  <c r="S43" i="2"/>
  <c r="R43" i="10" s="1"/>
  <c r="T43" i="2"/>
  <c r="S43" i="10" s="1"/>
  <c r="U42" i="2"/>
  <c r="T42" i="10" s="1"/>
  <c r="X42" i="2"/>
  <c r="C44"/>
  <c r="AP47"/>
  <c r="AR47" s="1"/>
  <c r="AV45" l="1"/>
  <c r="BG46"/>
  <c r="BH46"/>
  <c r="BO46"/>
  <c r="AL46"/>
  <c r="AK46"/>
  <c r="AU46"/>
  <c r="AW46" s="1"/>
  <c r="BJ45"/>
  <c r="BI45"/>
  <c r="G42" i="10"/>
  <c r="Q42" i="2"/>
  <c r="P42" i="10" s="1"/>
  <c r="P42" i="2"/>
  <c r="O42" i="10" s="1"/>
  <c r="Y44" i="2"/>
  <c r="X44" i="10" s="1"/>
  <c r="BF44" i="2"/>
  <c r="BB44" s="1"/>
  <c r="AY45"/>
  <c r="H44" s="1"/>
  <c r="G44" i="10" s="1"/>
  <c r="AZ44" i="2"/>
  <c r="BA44"/>
  <c r="J43" s="1"/>
  <c r="I43" i="10" s="1"/>
  <c r="C43"/>
  <c r="W42"/>
  <c r="N40"/>
  <c r="Y39"/>
  <c r="AA39" i="2"/>
  <c r="Z39" i="10" s="1"/>
  <c r="B44"/>
  <c r="C42"/>
  <c r="AB38" i="2"/>
  <c r="L42"/>
  <c r="K42" i="10" s="1"/>
  <c r="R41" i="2"/>
  <c r="Q41" i="10" s="1"/>
  <c r="A44" i="2"/>
  <c r="B44" s="1"/>
  <c r="A44" i="10" s="1"/>
  <c r="Z40" i="2"/>
  <c r="BE41" s="1"/>
  <c r="O41"/>
  <c r="N42"/>
  <c r="M42" i="10" s="1"/>
  <c r="AQ47" i="2"/>
  <c r="AS47" s="1"/>
  <c r="AT47" s="1"/>
  <c r="K42"/>
  <c r="J42" i="10" s="1"/>
  <c r="F43" i="2"/>
  <c r="E43" i="10" s="1"/>
  <c r="E43" i="2"/>
  <c r="D43" i="10" s="1"/>
  <c r="W44" i="2"/>
  <c r="V44" i="10" s="1"/>
  <c r="V44" i="2"/>
  <c r="U44" i="10" s="1"/>
  <c r="S44" i="2"/>
  <c r="R44" i="10" s="1"/>
  <c r="M42" i="2"/>
  <c r="L42" i="10" s="1"/>
  <c r="G42" i="2"/>
  <c r="T44"/>
  <c r="S44" i="10" s="1"/>
  <c r="U43" i="2"/>
  <c r="T43" i="10" s="1"/>
  <c r="X43" i="2"/>
  <c r="L43"/>
  <c r="K43" i="10" s="1"/>
  <c r="C45" i="2"/>
  <c r="AP48"/>
  <c r="AR48" s="1"/>
  <c r="F42" i="10" l="1"/>
  <c r="BH47" i="2"/>
  <c r="BO47"/>
  <c r="AL47"/>
  <c r="AK47"/>
  <c r="BG47"/>
  <c r="AU47"/>
  <c r="AW47" s="1"/>
  <c r="AV46"/>
  <c r="P43"/>
  <c r="O43" i="10" s="1"/>
  <c r="Y45" i="2"/>
  <c r="X45" i="10" s="1"/>
  <c r="BF45" i="2"/>
  <c r="BB45" s="1"/>
  <c r="BJ46"/>
  <c r="BI46"/>
  <c r="AY46"/>
  <c r="BA45"/>
  <c r="AZ45"/>
  <c r="I44" s="1"/>
  <c r="H44" i="10" s="1"/>
  <c r="AA38"/>
  <c r="W43"/>
  <c r="N41"/>
  <c r="Y40"/>
  <c r="AA40" i="2"/>
  <c r="Z40" i="10" s="1"/>
  <c r="AB39" i="2"/>
  <c r="B45" i="10"/>
  <c r="R42" i="2"/>
  <c r="Q42" i="10" s="1"/>
  <c r="Z41" i="2"/>
  <c r="BE42" s="1"/>
  <c r="I43"/>
  <c r="Q43" s="1"/>
  <c r="A45"/>
  <c r="B45" s="1"/>
  <c r="A45" i="10" s="1"/>
  <c r="G43" i="2"/>
  <c r="F43" i="10" s="1"/>
  <c r="D44" i="2"/>
  <c r="O42"/>
  <c r="AQ48"/>
  <c r="AS48" s="1"/>
  <c r="AT48" s="1"/>
  <c r="N43"/>
  <c r="M43" i="10" s="1"/>
  <c r="J44" i="2"/>
  <c r="I44" i="10" s="1"/>
  <c r="H45" i="2"/>
  <c r="G45" i="10" s="1"/>
  <c r="E44" i="2"/>
  <c r="D44" i="10" s="1"/>
  <c r="F44" i="2"/>
  <c r="E44" i="10" s="1"/>
  <c r="W45" i="2"/>
  <c r="V45" i="10" s="1"/>
  <c r="V45" i="2"/>
  <c r="U45" i="10" s="1"/>
  <c r="S45" i="2"/>
  <c r="R45" i="10" s="1"/>
  <c r="L44" i="2"/>
  <c r="K44" i="10" s="1"/>
  <c r="T45" i="2"/>
  <c r="S45" i="10" s="1"/>
  <c r="U44" i="2"/>
  <c r="T44" i="10" s="1"/>
  <c r="X44" i="2"/>
  <c r="C46"/>
  <c r="AP49"/>
  <c r="AR49" s="1"/>
  <c r="Q44" l="1"/>
  <c r="P44" i="10" s="1"/>
  <c r="P44" i="2"/>
  <c r="AY47"/>
  <c r="BA46"/>
  <c r="J45" s="1"/>
  <c r="I45" i="10" s="1"/>
  <c r="AZ46" i="2"/>
  <c r="Y46"/>
  <c r="X46" i="10" s="1"/>
  <c r="BF46" i="2"/>
  <c r="BB46" s="1"/>
  <c r="BJ47"/>
  <c r="BI47"/>
  <c r="AV47"/>
  <c r="BH48"/>
  <c r="BO48"/>
  <c r="AL48"/>
  <c r="AK48"/>
  <c r="AV48" s="1"/>
  <c r="BG48"/>
  <c r="AU48"/>
  <c r="AW48" s="1"/>
  <c r="AA39" i="10"/>
  <c r="N42"/>
  <c r="Y41"/>
  <c r="AA41" i="2"/>
  <c r="Z41" i="10" s="1"/>
  <c r="W44"/>
  <c r="H43"/>
  <c r="P43"/>
  <c r="B46"/>
  <c r="C44"/>
  <c r="O44"/>
  <c r="AB40" i="2"/>
  <c r="AA40" i="10" s="1"/>
  <c r="Z42" i="2"/>
  <c r="AA42" s="1"/>
  <c r="Z42" i="10" s="1"/>
  <c r="M43" i="2"/>
  <c r="L43" i="10" s="1"/>
  <c r="K43" i="2"/>
  <c r="A46"/>
  <c r="B46" s="1"/>
  <c r="A46" i="10" s="1"/>
  <c r="N44" i="2"/>
  <c r="M44" i="10" s="1"/>
  <c r="G44" i="2"/>
  <c r="D45"/>
  <c r="M44"/>
  <c r="L44" i="10" s="1"/>
  <c r="K44" i="2"/>
  <c r="J44" i="10" s="1"/>
  <c r="AQ49" i="2"/>
  <c r="AS49" s="1"/>
  <c r="AT49" s="1"/>
  <c r="E45"/>
  <c r="D45" i="10" s="1"/>
  <c r="F45" i="2"/>
  <c r="E45" i="10" s="1"/>
  <c r="I45" i="2"/>
  <c r="H45" i="10" s="1"/>
  <c r="H46" i="2"/>
  <c r="G46" i="10" s="1"/>
  <c r="S46" i="2"/>
  <c r="R46" i="10" s="1"/>
  <c r="T46" i="2"/>
  <c r="S46" i="10" s="1"/>
  <c r="U45" i="2"/>
  <c r="T45" i="10" s="1"/>
  <c r="X45" i="2"/>
  <c r="C47"/>
  <c r="AP50"/>
  <c r="AR50" s="1"/>
  <c r="W46" l="1"/>
  <c r="V46" i="10" s="1"/>
  <c r="BO49" i="2"/>
  <c r="AL49"/>
  <c r="AK49"/>
  <c r="BG49"/>
  <c r="BH49"/>
  <c r="AU49"/>
  <c r="AW49" s="1"/>
  <c r="BJ48"/>
  <c r="BI48"/>
  <c r="AY48"/>
  <c r="H47" s="1"/>
  <c r="G47" i="10" s="1"/>
  <c r="BB47" i="2"/>
  <c r="AZ47"/>
  <c r="BA47"/>
  <c r="Q45"/>
  <c r="P45" i="10" s="1"/>
  <c r="P45" i="2"/>
  <c r="O45" i="10" s="1"/>
  <c r="J43"/>
  <c r="BF47" i="2"/>
  <c r="Y47"/>
  <c r="X47" i="10" s="1"/>
  <c r="F44"/>
  <c r="BE43" i="2"/>
  <c r="W45" i="10"/>
  <c r="B47"/>
  <c r="C45"/>
  <c r="L45" i="2"/>
  <c r="K45" i="10" s="1"/>
  <c r="R44" i="2"/>
  <c r="Q44" i="10" s="1"/>
  <c r="Y42"/>
  <c r="AB41" i="2"/>
  <c r="O43"/>
  <c r="R43"/>
  <c r="Q43" i="10" s="1"/>
  <c r="A47" i="2"/>
  <c r="B47" s="1"/>
  <c r="A47" i="10" s="1"/>
  <c r="O44" i="2"/>
  <c r="G45"/>
  <c r="M45"/>
  <c r="L45" i="10" s="1"/>
  <c r="D46" i="2"/>
  <c r="V46" s="1"/>
  <c r="U46" i="10" s="1"/>
  <c r="N45" i="2"/>
  <c r="M45" i="10" s="1"/>
  <c r="AQ50" i="2"/>
  <c r="AS50" s="1"/>
  <c r="AT50" s="1"/>
  <c r="K45"/>
  <c r="J45" i="10" s="1"/>
  <c r="E46" i="2"/>
  <c r="D46" i="10" s="1"/>
  <c r="F46" i="2"/>
  <c r="E46" i="10" s="1"/>
  <c r="I46" i="2"/>
  <c r="H46" i="10" s="1"/>
  <c r="J46" i="2"/>
  <c r="I46" i="10" s="1"/>
  <c r="W47" i="2"/>
  <c r="V47" i="10" s="1"/>
  <c r="V47" i="2"/>
  <c r="U47" i="10" s="1"/>
  <c r="S47" i="2"/>
  <c r="R47" i="10" s="1"/>
  <c r="T47" i="2"/>
  <c r="S47" i="10" s="1"/>
  <c r="X46" i="2"/>
  <c r="U46"/>
  <c r="T46" i="10" s="1"/>
  <c r="C48" i="2"/>
  <c r="AP51"/>
  <c r="AR51" s="1"/>
  <c r="F45" i="10" l="1"/>
  <c r="BG50" i="2"/>
  <c r="BH50"/>
  <c r="BO50"/>
  <c r="AL50"/>
  <c r="AK50"/>
  <c r="AU50"/>
  <c r="Q46"/>
  <c r="P46" i="10" s="1"/>
  <c r="AY49" i="2"/>
  <c r="H48" s="1"/>
  <c r="BA48"/>
  <c r="AZ48"/>
  <c r="I47" s="1"/>
  <c r="P46"/>
  <c r="O46" i="10" s="1"/>
  <c r="AV49" i="2"/>
  <c r="Y48"/>
  <c r="X48" i="10" s="1"/>
  <c r="BF48" i="2"/>
  <c r="BB48" s="1"/>
  <c r="BJ49"/>
  <c r="BI49"/>
  <c r="AA41" i="10"/>
  <c r="N43"/>
  <c r="W46"/>
  <c r="N44"/>
  <c r="C46"/>
  <c r="B48"/>
  <c r="R45" i="2"/>
  <c r="Q45" i="10" s="1"/>
  <c r="L46" i="2"/>
  <c r="K46" i="10" s="1"/>
  <c r="O45" i="2"/>
  <c r="Z44"/>
  <c r="Z43"/>
  <c r="BE44" s="1"/>
  <c r="AB42"/>
  <c r="A48"/>
  <c r="B48" s="1"/>
  <c r="A48" i="10" s="1"/>
  <c r="K46" i="2"/>
  <c r="J46" i="10" s="1"/>
  <c r="AQ51" i="2"/>
  <c r="AS51" s="1"/>
  <c r="AT51" s="1"/>
  <c r="N46"/>
  <c r="M46" i="10" s="1"/>
  <c r="F47" i="2"/>
  <c r="E47" i="10" s="1"/>
  <c r="E47" i="2"/>
  <c r="D47" i="10" s="1"/>
  <c r="J47" i="2"/>
  <c r="I47" i="10" s="1"/>
  <c r="D47" i="2"/>
  <c r="W48"/>
  <c r="V48" i="10" s="1"/>
  <c r="V48" i="2"/>
  <c r="U48" i="10" s="1"/>
  <c r="S48" i="2"/>
  <c r="R48" i="10" s="1"/>
  <c r="M46" i="2"/>
  <c r="L46" i="10" s="1"/>
  <c r="T48" i="2"/>
  <c r="S48" i="10" s="1"/>
  <c r="G46" i="2"/>
  <c r="X47"/>
  <c r="U47"/>
  <c r="T47" i="10" s="1"/>
  <c r="C49" i="2"/>
  <c r="AP52"/>
  <c r="AR52" s="1"/>
  <c r="AV50" l="1"/>
  <c r="P47"/>
  <c r="O47" i="10" s="1"/>
  <c r="H47"/>
  <c r="Q47" i="2"/>
  <c r="G48" i="10"/>
  <c r="Y49" i="2"/>
  <c r="X49" i="10" s="1"/>
  <c r="BF49" i="2"/>
  <c r="BJ50"/>
  <c r="BI50"/>
  <c r="BH51"/>
  <c r="BO51"/>
  <c r="AL51"/>
  <c r="AK51"/>
  <c r="BG51"/>
  <c r="AU51"/>
  <c r="AW51" s="1"/>
  <c r="F46" i="10"/>
  <c r="AW50" i="2"/>
  <c r="AY50"/>
  <c r="H49" s="1"/>
  <c r="G49" i="10" s="1"/>
  <c r="BB49" i="2"/>
  <c r="AZ49"/>
  <c r="I48" s="1"/>
  <c r="H48" i="10" s="1"/>
  <c r="BA49" i="2"/>
  <c r="J48" s="1"/>
  <c r="I48" i="10" s="1"/>
  <c r="N45"/>
  <c r="W47"/>
  <c r="Y44"/>
  <c r="AA44" i="2"/>
  <c r="Z44" i="10" s="1"/>
  <c r="BE45" i="2"/>
  <c r="Y43" i="10"/>
  <c r="AA43" i="2"/>
  <c r="Z43" i="10" s="1"/>
  <c r="AA42"/>
  <c r="C47"/>
  <c r="Z45" i="2"/>
  <c r="BE46" s="1"/>
  <c r="R46"/>
  <c r="Q46" i="10" s="1"/>
  <c r="B49"/>
  <c r="O46" i="2"/>
  <c r="L47"/>
  <c r="K47" i="10" s="1"/>
  <c r="A49" i="2"/>
  <c r="B49" s="1"/>
  <c r="A49" i="10" s="1"/>
  <c r="D48" i="2"/>
  <c r="K47"/>
  <c r="J47" i="10" s="1"/>
  <c r="N47" i="2"/>
  <c r="M47" i="10" s="1"/>
  <c r="P47"/>
  <c r="AQ52" i="2"/>
  <c r="AS52" s="1"/>
  <c r="AT52" s="1"/>
  <c r="F48"/>
  <c r="E48" i="10" s="1"/>
  <c r="E48" i="2"/>
  <c r="D48" i="10" s="1"/>
  <c r="W49" i="2"/>
  <c r="V49" i="10" s="1"/>
  <c r="V49" i="2"/>
  <c r="U49" i="10" s="1"/>
  <c r="G47" i="2"/>
  <c r="F47" i="10" s="1"/>
  <c r="S49" i="2"/>
  <c r="R49" i="10" s="1"/>
  <c r="M47" i="2"/>
  <c r="L47" i="10" s="1"/>
  <c r="T49" i="2"/>
  <c r="S49" i="10" s="1"/>
  <c r="X48" i="2"/>
  <c r="U48"/>
  <c r="T48" i="10" s="1"/>
  <c r="C50" i="2"/>
  <c r="AP53"/>
  <c r="AR53" s="1"/>
  <c r="Q48" l="1"/>
  <c r="P48" i="10" s="1"/>
  <c r="AV51" i="2"/>
  <c r="Y50"/>
  <c r="BF50"/>
  <c r="BB50" s="1"/>
  <c r="AY51"/>
  <c r="AZ50"/>
  <c r="BA50"/>
  <c r="BJ51"/>
  <c r="BI51"/>
  <c r="BH52"/>
  <c r="BO52"/>
  <c r="AL52"/>
  <c r="AK52"/>
  <c r="BG52"/>
  <c r="AU52"/>
  <c r="AW52" s="1"/>
  <c r="P48"/>
  <c r="O48" i="10" s="1"/>
  <c r="W48"/>
  <c r="Y45"/>
  <c r="AA45" i="2"/>
  <c r="Z45" i="10" s="1"/>
  <c r="N46"/>
  <c r="Z46" i="2"/>
  <c r="B50" i="10"/>
  <c r="C48"/>
  <c r="R47" i="2"/>
  <c r="Q47" i="10" s="1"/>
  <c r="D50" i="2"/>
  <c r="AB44"/>
  <c r="AA44" i="10" s="1"/>
  <c r="O47" i="2"/>
  <c r="X50" i="10"/>
  <c r="L48" i="2"/>
  <c r="K48" i="10" s="1"/>
  <c r="A50" i="2"/>
  <c r="B50" s="1"/>
  <c r="A50" i="10" s="1"/>
  <c r="K48" i="2"/>
  <c r="J48" i="10" s="1"/>
  <c r="D49" i="2"/>
  <c r="M48"/>
  <c r="L48" i="10" s="1"/>
  <c r="G48" i="2"/>
  <c r="AQ53"/>
  <c r="AS53" s="1"/>
  <c r="AT53" s="1"/>
  <c r="N48"/>
  <c r="M48" i="10" s="1"/>
  <c r="J49" i="2"/>
  <c r="I49" i="10" s="1"/>
  <c r="I49" i="2"/>
  <c r="H49" i="10" s="1"/>
  <c r="H50" i="2"/>
  <c r="G50" i="10" s="1"/>
  <c r="F49" i="2"/>
  <c r="E49" i="10" s="1"/>
  <c r="E49" i="2"/>
  <c r="D49" i="10" s="1"/>
  <c r="W50" i="2"/>
  <c r="V50" i="10" s="1"/>
  <c r="V50" i="2"/>
  <c r="U50" i="10" s="1"/>
  <c r="S50" i="2"/>
  <c r="R50" i="10" s="1"/>
  <c r="X49" i="2"/>
  <c r="T50"/>
  <c r="S50" i="10" s="1"/>
  <c r="U49" i="2"/>
  <c r="T49" i="10" s="1"/>
  <c r="C51" i="2"/>
  <c r="AP54"/>
  <c r="AR54" s="1"/>
  <c r="F48" i="10" l="1"/>
  <c r="AV52" i="2"/>
  <c r="P49"/>
  <c r="O49" i="10" s="1"/>
  <c r="BJ52" i="2"/>
  <c r="BI52"/>
  <c r="AY52"/>
  <c r="H51" s="1"/>
  <c r="BA51"/>
  <c r="J50" s="1"/>
  <c r="I50" i="10" s="1"/>
  <c r="BB51" i="2"/>
  <c r="AZ51"/>
  <c r="BF51"/>
  <c r="BO53"/>
  <c r="AL53"/>
  <c r="AK53"/>
  <c r="BG53"/>
  <c r="BH53"/>
  <c r="AU53"/>
  <c r="AW53" s="1"/>
  <c r="Q49"/>
  <c r="P49" i="10" s="1"/>
  <c r="Y51" i="2"/>
  <c r="X51" i="10" s="1"/>
  <c r="C50"/>
  <c r="W49"/>
  <c r="Y46"/>
  <c r="AA46" i="2"/>
  <c r="Z46" i="10" s="1"/>
  <c r="N47"/>
  <c r="BE47" i="2"/>
  <c r="Z47"/>
  <c r="BE48" s="1"/>
  <c r="B51" i="10"/>
  <c r="C49"/>
  <c r="R48" i="2"/>
  <c r="Q48" i="10" s="1"/>
  <c r="AB45" i="2"/>
  <c r="L49"/>
  <c r="K49" i="10" s="1"/>
  <c r="O48" i="2"/>
  <c r="Z48" s="1"/>
  <c r="A51"/>
  <c r="B51" s="1"/>
  <c r="A51" i="10" s="1"/>
  <c r="K49" i="2"/>
  <c r="J49" i="10" s="1"/>
  <c r="G49" i="2"/>
  <c r="N49"/>
  <c r="M49" i="10" s="1"/>
  <c r="AQ54" i="2"/>
  <c r="AS54" s="1"/>
  <c r="AT54" s="1"/>
  <c r="M49"/>
  <c r="L49" i="10" s="1"/>
  <c r="F50" i="2"/>
  <c r="E50" i="10" s="1"/>
  <c r="E50" i="2"/>
  <c r="D50" i="10" s="1"/>
  <c r="D51" i="2"/>
  <c r="I50"/>
  <c r="H50" i="10" s="1"/>
  <c r="S51" i="2"/>
  <c r="R51" i="10" s="1"/>
  <c r="T51" i="2"/>
  <c r="S51" i="10" s="1"/>
  <c r="U50" i="2"/>
  <c r="T50" i="10" s="1"/>
  <c r="X50" i="2"/>
  <c r="C52"/>
  <c r="AP55"/>
  <c r="AR55" s="1"/>
  <c r="AV53" l="1"/>
  <c r="Q50"/>
  <c r="P50" i="10" s="1"/>
  <c r="G51"/>
  <c r="BG54" i="2"/>
  <c r="BH54"/>
  <c r="BO54"/>
  <c r="AL54"/>
  <c r="AK54"/>
  <c r="AU54"/>
  <c r="AV54" s="1"/>
  <c r="P50"/>
  <c r="O50" i="10" s="1"/>
  <c r="Y52" i="2"/>
  <c r="X52" i="10" s="1"/>
  <c r="BF52" i="2"/>
  <c r="BB52" s="1"/>
  <c r="BJ53"/>
  <c r="BI53"/>
  <c r="F49" i="10"/>
  <c r="AY53" i="2"/>
  <c r="BA52"/>
  <c r="J51" s="1"/>
  <c r="I51" i="10" s="1"/>
  <c r="AZ52" i="2"/>
  <c r="I51" s="1"/>
  <c r="H51" i="10" s="1"/>
  <c r="AA45"/>
  <c r="C51"/>
  <c r="Y48"/>
  <c r="AA48" i="2"/>
  <c r="Z48" i="10" s="1"/>
  <c r="W50"/>
  <c r="Y47"/>
  <c r="AA47" i="2"/>
  <c r="Z47" i="10" s="1"/>
  <c r="N48"/>
  <c r="BE49" i="2"/>
  <c r="B52" i="10"/>
  <c r="R49" i="2"/>
  <c r="Q49" i="10" s="1"/>
  <c r="L50" i="2"/>
  <c r="K50" i="10" s="1"/>
  <c r="O49" i="2"/>
  <c r="A52"/>
  <c r="B52" s="1"/>
  <c r="A52" i="10" s="1"/>
  <c r="K50" i="2"/>
  <c r="J50" i="10" s="1"/>
  <c r="N50" i="2"/>
  <c r="M50" i="10" s="1"/>
  <c r="AQ55" i="2"/>
  <c r="AS55" s="1"/>
  <c r="AT55" s="1"/>
  <c r="H52"/>
  <c r="G52" i="10" s="1"/>
  <c r="E51" i="2"/>
  <c r="D51" i="10" s="1"/>
  <c r="F51" i="2"/>
  <c r="E51" i="10" s="1"/>
  <c r="S52" i="2"/>
  <c r="R52" i="10" s="1"/>
  <c r="M50" i="2"/>
  <c r="L50" i="10" s="1"/>
  <c r="L51" i="2"/>
  <c r="K51" i="10" s="1"/>
  <c r="T52" i="2"/>
  <c r="S52" i="10" s="1"/>
  <c r="G50" i="2"/>
  <c r="F50" i="10" s="1"/>
  <c r="U51" i="2"/>
  <c r="T51" i="10" s="1"/>
  <c r="C53" i="2"/>
  <c r="AP56"/>
  <c r="AR56" s="1"/>
  <c r="AW54" l="1"/>
  <c r="BH55"/>
  <c r="BO55"/>
  <c r="AL55"/>
  <c r="AK55"/>
  <c r="BG55"/>
  <c r="AU55"/>
  <c r="P51"/>
  <c r="O51" i="10" s="1"/>
  <c r="Y53" i="2"/>
  <c r="X53" i="10" s="1"/>
  <c r="BF53" i="2"/>
  <c r="Q51"/>
  <c r="P51" i="10" s="1"/>
  <c r="AY54" i="2"/>
  <c r="BA53"/>
  <c r="J52" s="1"/>
  <c r="I52" i="10" s="1"/>
  <c r="BB53" i="2"/>
  <c r="AZ53"/>
  <c r="BJ54"/>
  <c r="BI54"/>
  <c r="N49" i="10"/>
  <c r="AB47" i="2"/>
  <c r="AA47" i="10" s="1"/>
  <c r="B53"/>
  <c r="AB48" i="2"/>
  <c r="O50"/>
  <c r="R50"/>
  <c r="Q50" i="10" s="1"/>
  <c r="Z49" i="2"/>
  <c r="A53"/>
  <c r="B53" s="1"/>
  <c r="A53" i="10" s="1"/>
  <c r="G51" i="2"/>
  <c r="F51" i="10" s="1"/>
  <c r="D52" i="2"/>
  <c r="K51"/>
  <c r="J51" i="10" s="1"/>
  <c r="AQ56" i="2"/>
  <c r="AS56" s="1"/>
  <c r="AT56" s="1"/>
  <c r="M51"/>
  <c r="L51" i="10" s="1"/>
  <c r="N51" i="2"/>
  <c r="M51" i="10" s="1"/>
  <c r="E52" i="2"/>
  <c r="D52" i="10" s="1"/>
  <c r="F52" i="2"/>
  <c r="E52" i="10" s="1"/>
  <c r="I52" i="2"/>
  <c r="H52" i="10" s="1"/>
  <c r="S53" i="2"/>
  <c r="R53" i="10" s="1"/>
  <c r="T53" i="2"/>
  <c r="S53" i="10" s="1"/>
  <c r="U52" i="2"/>
  <c r="T52" i="10" s="1"/>
  <c r="C54" i="2"/>
  <c r="AP57"/>
  <c r="AR57" s="1"/>
  <c r="P52" l="1"/>
  <c r="O52" i="10" s="1"/>
  <c r="AV55" i="2"/>
  <c r="AY55"/>
  <c r="AZ54"/>
  <c r="BA54"/>
  <c r="J53" s="1"/>
  <c r="I53" i="10" s="1"/>
  <c r="Y54" i="2"/>
  <c r="X54" i="10" s="1"/>
  <c r="BF54" i="2"/>
  <c r="BB54" s="1"/>
  <c r="AW55"/>
  <c r="H53"/>
  <c r="Q52"/>
  <c r="P52" i="10" s="1"/>
  <c r="BH56" i="2"/>
  <c r="BO56"/>
  <c r="AL56"/>
  <c r="AK56"/>
  <c r="BG56"/>
  <c r="AU56"/>
  <c r="AW56" s="1"/>
  <c r="BJ55"/>
  <c r="BI55"/>
  <c r="AA48" i="10"/>
  <c r="Y49"/>
  <c r="AA49" i="2"/>
  <c r="Z49" i="10" s="1"/>
  <c r="N50"/>
  <c r="BE50" i="2"/>
  <c r="Z50"/>
  <c r="BE51" s="1"/>
  <c r="C52" i="10"/>
  <c r="B54"/>
  <c r="R51" i="2"/>
  <c r="Q51" i="10" s="1"/>
  <c r="V51" i="2"/>
  <c r="U51" i="10" s="1"/>
  <c r="L52" i="2"/>
  <c r="K52" i="10" s="1"/>
  <c r="W51" i="2"/>
  <c r="V51" i="10" s="1"/>
  <c r="A54" i="2"/>
  <c r="B54" s="1"/>
  <c r="A54" i="10" s="1"/>
  <c r="M52" i="2"/>
  <c r="L52" i="10" s="1"/>
  <c r="O51" i="2"/>
  <c r="D53"/>
  <c r="G52"/>
  <c r="AQ57"/>
  <c r="AS57" s="1"/>
  <c r="AT57" s="1"/>
  <c r="K52"/>
  <c r="J52" i="10" s="1"/>
  <c r="N52" i="2"/>
  <c r="M52" i="10" s="1"/>
  <c r="I53" i="2"/>
  <c r="H53" i="10" s="1"/>
  <c r="H54" i="2"/>
  <c r="G54" i="10" s="1"/>
  <c r="E53" i="2"/>
  <c r="D53" i="10" s="1"/>
  <c r="F53" i="2"/>
  <c r="E53" i="10" s="1"/>
  <c r="D54" i="2"/>
  <c r="W54"/>
  <c r="V54" i="10" s="1"/>
  <c r="V54" i="2"/>
  <c r="U54" i="10" s="1"/>
  <c r="S54" i="2"/>
  <c r="R54" i="10" s="1"/>
  <c r="T54" i="2"/>
  <c r="S54" i="10" s="1"/>
  <c r="U53" i="2"/>
  <c r="T53" i="10" s="1"/>
  <c r="C55" i="2"/>
  <c r="AP58"/>
  <c r="AR58" s="1"/>
  <c r="F52" i="10" l="1"/>
  <c r="AV56" i="2"/>
  <c r="Y55"/>
  <c r="X55" i="10" s="1"/>
  <c r="BF55" i="2"/>
  <c r="BJ56"/>
  <c r="BI56"/>
  <c r="AY56"/>
  <c r="H55" s="1"/>
  <c r="G55" i="10" s="1"/>
  <c r="AZ55" i="2"/>
  <c r="BA55"/>
  <c r="J54" s="1"/>
  <c r="I54" i="10" s="1"/>
  <c r="BB55" i="2"/>
  <c r="P53"/>
  <c r="O53" i="10" s="1"/>
  <c r="G53"/>
  <c r="Q53" i="2"/>
  <c r="P53" i="10" s="1"/>
  <c r="BO57" i="2"/>
  <c r="AL57"/>
  <c r="AK57"/>
  <c r="BG57"/>
  <c r="BH57"/>
  <c r="AU57"/>
  <c r="C54" i="10"/>
  <c r="N51"/>
  <c r="Y50"/>
  <c r="AA50" i="2"/>
  <c r="Z50" i="10" s="1"/>
  <c r="C53"/>
  <c r="B55"/>
  <c r="X51" i="2"/>
  <c r="R52"/>
  <c r="Q52" i="10" s="1"/>
  <c r="L53" i="2"/>
  <c r="K53" i="10" s="1"/>
  <c r="W52" i="2"/>
  <c r="V52" i="10" s="1"/>
  <c r="V52" i="2"/>
  <c r="U52" i="10" s="1"/>
  <c r="Z51" i="2"/>
  <c r="Y51" i="10" s="1"/>
  <c r="A55" i="2"/>
  <c r="B55" s="1"/>
  <c r="A55" i="10" s="1"/>
  <c r="N53" i="2"/>
  <c r="M53" i="10" s="1"/>
  <c r="M53" i="2"/>
  <c r="L53" i="10" s="1"/>
  <c r="AQ58" i="2"/>
  <c r="AS58" s="1"/>
  <c r="AT58" s="1"/>
  <c r="O52"/>
  <c r="K53"/>
  <c r="J53" i="10" s="1"/>
  <c r="G53" i="2"/>
  <c r="I54"/>
  <c r="H54" i="10" s="1"/>
  <c r="F54" i="2"/>
  <c r="E54" i="10" s="1"/>
  <c r="W55" i="2"/>
  <c r="V55" i="10" s="1"/>
  <c r="V55" i="2"/>
  <c r="U55" i="10" s="1"/>
  <c r="S55" i="2"/>
  <c r="R55" i="10" s="1"/>
  <c r="T55" i="2"/>
  <c r="S55" i="10" s="1"/>
  <c r="L54" i="2"/>
  <c r="K54" i="10" s="1"/>
  <c r="U54" i="2"/>
  <c r="T54" i="10" s="1"/>
  <c r="C56" i="2"/>
  <c r="AP59"/>
  <c r="AR59" s="1"/>
  <c r="BE52" l="1"/>
  <c r="AV57"/>
  <c r="Y56"/>
  <c r="BF56"/>
  <c r="AW57"/>
  <c r="BG58"/>
  <c r="BH58"/>
  <c r="BO58"/>
  <c r="AL58"/>
  <c r="AK58"/>
  <c r="AU58"/>
  <c r="AW58" s="1"/>
  <c r="BJ57"/>
  <c r="BI57"/>
  <c r="AY57"/>
  <c r="BA56"/>
  <c r="AZ56"/>
  <c r="I55" s="1"/>
  <c r="H55" i="10" s="1"/>
  <c r="BB56" i="2"/>
  <c r="Q54"/>
  <c r="P54" i="10" s="1"/>
  <c r="N52"/>
  <c r="W51"/>
  <c r="AA51" i="2"/>
  <c r="Z51" i="10" s="1"/>
  <c r="AB50" i="2"/>
  <c r="AA50" i="10" s="1"/>
  <c r="F53"/>
  <c r="B56"/>
  <c r="X52" i="2"/>
  <c r="W53"/>
  <c r="V53" i="10" s="1"/>
  <c r="V53" i="2"/>
  <c r="U53" i="10" s="1"/>
  <c r="R53" i="2"/>
  <c r="Q53" i="10" s="1"/>
  <c r="Z52" i="2"/>
  <c r="Y52" i="10" s="1"/>
  <c r="X56"/>
  <c r="A56" i="2"/>
  <c r="B56" s="1"/>
  <c r="A56" i="10" s="1"/>
  <c r="K54" i="2"/>
  <c r="J54" i="10" s="1"/>
  <c r="N54" i="2"/>
  <c r="M54" i="10" s="1"/>
  <c r="E54" i="2"/>
  <c r="P54" s="1"/>
  <c r="D55"/>
  <c r="O53"/>
  <c r="AQ59"/>
  <c r="AS59" s="1"/>
  <c r="AT59" s="1"/>
  <c r="E55"/>
  <c r="D55" i="10" s="1"/>
  <c r="F55" i="2"/>
  <c r="E55" i="10" s="1"/>
  <c r="J55" i="2"/>
  <c r="I55" i="10" s="1"/>
  <c r="H56" i="2"/>
  <c r="G56" i="10" s="1"/>
  <c r="W56" i="2"/>
  <c r="V56" i="10" s="1"/>
  <c r="V56" i="2"/>
  <c r="U56" i="10" s="1"/>
  <c r="S56" i="2"/>
  <c r="R56" i="10" s="1"/>
  <c r="T56" i="2"/>
  <c r="S56" i="10" s="1"/>
  <c r="X54" i="2"/>
  <c r="U55"/>
  <c r="T55" i="10" s="1"/>
  <c r="X55" i="2"/>
  <c r="C57"/>
  <c r="AP60"/>
  <c r="AR60" s="1"/>
  <c r="P55" l="1"/>
  <c r="AV58"/>
  <c r="AY58"/>
  <c r="BA57"/>
  <c r="AZ57"/>
  <c r="BH59"/>
  <c r="BO59"/>
  <c r="AL59"/>
  <c r="AK59"/>
  <c r="BG59"/>
  <c r="AU59"/>
  <c r="Q55"/>
  <c r="P55" i="10" s="1"/>
  <c r="Y57" i="2"/>
  <c r="BF57"/>
  <c r="BB57" s="1"/>
  <c r="BJ58"/>
  <c r="BI58"/>
  <c r="BE53"/>
  <c r="W55" i="10"/>
  <c r="W52"/>
  <c r="AA52" i="2"/>
  <c r="Z52" i="10" s="1"/>
  <c r="W54"/>
  <c r="N53"/>
  <c r="B57"/>
  <c r="D54"/>
  <c r="O54"/>
  <c r="C55"/>
  <c r="O55"/>
  <c r="AB51" i="2"/>
  <c r="AA51" i="10" s="1"/>
  <c r="X53" i="2"/>
  <c r="G54"/>
  <c r="L55"/>
  <c r="K55" i="10" s="1"/>
  <c r="Z53" i="2"/>
  <c r="Y53" i="10" s="1"/>
  <c r="X57"/>
  <c r="G55" i="2"/>
  <c r="A57"/>
  <c r="B57" s="1"/>
  <c r="A57" i="10" s="1"/>
  <c r="M54" i="2"/>
  <c r="L54" i="10" s="1"/>
  <c r="M55" i="2"/>
  <c r="L55" i="10" s="1"/>
  <c r="D56" i="2"/>
  <c r="AQ60"/>
  <c r="AS60" s="1"/>
  <c r="AT60" s="1"/>
  <c r="N55"/>
  <c r="M55" i="10" s="1"/>
  <c r="K55" i="2"/>
  <c r="J55" i="10" s="1"/>
  <c r="F56" i="2"/>
  <c r="E56" i="10" s="1"/>
  <c r="J56" i="2"/>
  <c r="I56" i="10" s="1"/>
  <c r="I56" i="2"/>
  <c r="H56" i="10" s="1"/>
  <c r="H57" i="2"/>
  <c r="G57" i="10" s="1"/>
  <c r="W57" i="2"/>
  <c r="V57" i="10" s="1"/>
  <c r="V57" i="2"/>
  <c r="U57" i="10" s="1"/>
  <c r="S57" i="2"/>
  <c r="R57" i="10" s="1"/>
  <c r="T57" i="2"/>
  <c r="S57" i="10" s="1"/>
  <c r="U56" i="2"/>
  <c r="T56" i="10" s="1"/>
  <c r="X56" i="2"/>
  <c r="C58"/>
  <c r="AP61"/>
  <c r="AR61" s="1"/>
  <c r="AV59" l="1"/>
  <c r="BH60"/>
  <c r="BO60"/>
  <c r="AL60"/>
  <c r="AK60"/>
  <c r="BG60"/>
  <c r="AU60"/>
  <c r="AW60" s="1"/>
  <c r="AW59"/>
  <c r="Q56"/>
  <c r="P56" i="10" s="1"/>
  <c r="AY59" i="2"/>
  <c r="AZ58"/>
  <c r="BA58"/>
  <c r="J57" s="1"/>
  <c r="I57" i="10" s="1"/>
  <c r="Y58" i="2"/>
  <c r="X58" i="10" s="1"/>
  <c r="BF58" i="2"/>
  <c r="BB58" s="1"/>
  <c r="BJ59"/>
  <c r="BI59"/>
  <c r="L56"/>
  <c r="K56" i="10" s="1"/>
  <c r="F55"/>
  <c r="W53"/>
  <c r="AA53" i="2"/>
  <c r="Z53" i="10" s="1"/>
  <c r="BE54" i="2"/>
  <c r="W56" i="10"/>
  <c r="F54"/>
  <c r="C56"/>
  <c r="B58"/>
  <c r="R54" i="2"/>
  <c r="Q54" i="10" s="1"/>
  <c r="AB52" i="2"/>
  <c r="AA52" i="10" s="1"/>
  <c r="O54" i="2"/>
  <c r="R55"/>
  <c r="Q55" i="10" s="1"/>
  <c r="O55" i="2"/>
  <c r="A58"/>
  <c r="B58" s="1"/>
  <c r="A58" i="10" s="1"/>
  <c r="K56" i="2"/>
  <c r="J56" i="10" s="1"/>
  <c r="E56" i="2"/>
  <c r="D56" i="10" s="1"/>
  <c r="D57" i="2"/>
  <c r="AQ61"/>
  <c r="AS61" s="1"/>
  <c r="AT61" s="1"/>
  <c r="N56"/>
  <c r="M56" i="10" s="1"/>
  <c r="I57" i="2"/>
  <c r="H57" i="10" s="1"/>
  <c r="H58" i="2"/>
  <c r="G58" i="10" s="1"/>
  <c r="E57" i="2"/>
  <c r="D57" i="10" s="1"/>
  <c r="F57" i="2"/>
  <c r="E57" i="10" s="1"/>
  <c r="W58" i="2"/>
  <c r="V58" i="10" s="1"/>
  <c r="V58" i="2"/>
  <c r="U58" i="10" s="1"/>
  <c r="S58" i="2"/>
  <c r="R58" i="10" s="1"/>
  <c r="X57" i="2"/>
  <c r="T58"/>
  <c r="S58" i="10" s="1"/>
  <c r="U57" i="2"/>
  <c r="T57" i="10" s="1"/>
  <c r="C59" i="2"/>
  <c r="AP62"/>
  <c r="AR62" s="1"/>
  <c r="AV60" l="1"/>
  <c r="P57"/>
  <c r="O57" i="10" s="1"/>
  <c r="P56" i="2"/>
  <c r="O56" i="10" s="1"/>
  <c r="BO61" i="2"/>
  <c r="AL61"/>
  <c r="AK61"/>
  <c r="BG61"/>
  <c r="BH61"/>
  <c r="AU61"/>
  <c r="AW61" s="1"/>
  <c r="Y59"/>
  <c r="X59" i="10" s="1"/>
  <c r="BF59" i="2"/>
  <c r="BJ60"/>
  <c r="BI60"/>
  <c r="AY60"/>
  <c r="H59" s="1"/>
  <c r="G59" i="10" s="1"/>
  <c r="AZ59" i="2"/>
  <c r="BA59"/>
  <c r="BB59"/>
  <c r="Q57"/>
  <c r="P57" i="10" s="1"/>
  <c r="N55"/>
  <c r="W57"/>
  <c r="M56" i="2"/>
  <c r="L56" i="10" s="1"/>
  <c r="N54"/>
  <c r="B59"/>
  <c r="C57"/>
  <c r="AB53" i="2"/>
  <c r="Z55"/>
  <c r="BE56" s="1"/>
  <c r="Z54"/>
  <c r="AA54" s="1"/>
  <c r="Z54" i="10" s="1"/>
  <c r="L57" i="2"/>
  <c r="K57" i="10" s="1"/>
  <c r="G56" i="2"/>
  <c r="F56" i="10" s="1"/>
  <c r="A59" i="2"/>
  <c r="B59" s="1"/>
  <c r="A59" i="10" s="1"/>
  <c r="D58" i="2"/>
  <c r="K57"/>
  <c r="J57" i="10" s="1"/>
  <c r="AQ62" i="2"/>
  <c r="AS62" s="1"/>
  <c r="AT62" s="1"/>
  <c r="N57"/>
  <c r="M57" i="10" s="1"/>
  <c r="E58" i="2"/>
  <c r="D58" i="10" s="1"/>
  <c r="F58" i="2"/>
  <c r="E58" i="10" s="1"/>
  <c r="I58" i="2"/>
  <c r="H58" i="10" s="1"/>
  <c r="J58" i="2"/>
  <c r="I58" i="10" s="1"/>
  <c r="W59" i="2"/>
  <c r="V59" i="10" s="1"/>
  <c r="V59" i="2"/>
  <c r="U59" i="10" s="1"/>
  <c r="S59" i="2"/>
  <c r="R59" i="10" s="1"/>
  <c r="U58" i="2"/>
  <c r="T58" i="10" s="1"/>
  <c r="X58" i="2"/>
  <c r="M57"/>
  <c r="L57" i="10" s="1"/>
  <c r="T59" i="2"/>
  <c r="S59" i="10" s="1"/>
  <c r="G57" i="2"/>
  <c r="C60"/>
  <c r="AP63"/>
  <c r="AR63" s="1"/>
  <c r="F57" i="10" l="1"/>
  <c r="P58" i="2"/>
  <c r="O58" i="10" s="1"/>
  <c r="BG62" i="2"/>
  <c r="BH62"/>
  <c r="BO62"/>
  <c r="AL62"/>
  <c r="AK62"/>
  <c r="AU62"/>
  <c r="AY61"/>
  <c r="BA60"/>
  <c r="AZ60"/>
  <c r="AV61"/>
  <c r="Y60"/>
  <c r="X60" i="10" s="1"/>
  <c r="BF60" i="2"/>
  <c r="BB60" s="1"/>
  <c r="BJ61"/>
  <c r="BI61"/>
  <c r="Q58"/>
  <c r="P58" i="10" s="1"/>
  <c r="AA53"/>
  <c r="Y55"/>
  <c r="AA55" i="2"/>
  <c r="Z55" i="10" s="1"/>
  <c r="W58"/>
  <c r="BE55" i="2"/>
  <c r="C58" i="10"/>
  <c r="B60"/>
  <c r="R56" i="2"/>
  <c r="Q56" i="10" s="1"/>
  <c r="R57" i="2"/>
  <c r="Q57" i="10" s="1"/>
  <c r="O56" i="2"/>
  <c r="Y54" i="10"/>
  <c r="L58" i="2"/>
  <c r="K58" i="10" s="1"/>
  <c r="O57" i="2"/>
  <c r="A60"/>
  <c r="B60" s="1"/>
  <c r="A60" i="10" s="1"/>
  <c r="K58" i="2"/>
  <c r="J58" i="10" s="1"/>
  <c r="D59" i="2"/>
  <c r="N58"/>
  <c r="M58" i="10" s="1"/>
  <c r="AQ63" i="2"/>
  <c r="E59"/>
  <c r="D59" i="10" s="1"/>
  <c r="F59" i="2"/>
  <c r="E59" i="10" s="1"/>
  <c r="J59" i="2"/>
  <c r="I59" i="10" s="1"/>
  <c r="I59" i="2"/>
  <c r="H59" i="10" s="1"/>
  <c r="W60" i="2"/>
  <c r="V60" i="10" s="1"/>
  <c r="V60" i="2"/>
  <c r="U60" i="10" s="1"/>
  <c r="S60" i="2"/>
  <c r="R60" i="10" s="1"/>
  <c r="U59" i="2"/>
  <c r="T59" i="10" s="1"/>
  <c r="M58" i="2"/>
  <c r="L58" i="10" s="1"/>
  <c r="X59" i="2"/>
  <c r="T60"/>
  <c r="S60" i="10" s="1"/>
  <c r="G58" i="2"/>
  <c r="F58" i="10" s="1"/>
  <c r="C61" i="2"/>
  <c r="AP64"/>
  <c r="AR64" s="1"/>
  <c r="AV62" l="1"/>
  <c r="Y61"/>
  <c r="X61" i="10" s="1"/>
  <c r="BF61" i="2"/>
  <c r="BB61" s="1"/>
  <c r="BJ62"/>
  <c r="BI62"/>
  <c r="P59"/>
  <c r="O59" i="10" s="1"/>
  <c r="Q59" i="2"/>
  <c r="P59" i="10" s="1"/>
  <c r="AW62" i="2"/>
  <c r="AY62"/>
  <c r="H61" s="1"/>
  <c r="G61" i="10" s="1"/>
  <c r="AZ61" i="2"/>
  <c r="I60" s="1"/>
  <c r="H60" i="10" s="1"/>
  <c r="BA61" i="2"/>
  <c r="J60" s="1"/>
  <c r="I60" i="10" s="1"/>
  <c r="H60" i="2"/>
  <c r="L59"/>
  <c r="K59" i="10" s="1"/>
  <c r="W59"/>
  <c r="N56"/>
  <c r="N57"/>
  <c r="Z57" i="2"/>
  <c r="AB55"/>
  <c r="C59" i="10"/>
  <c r="B61"/>
  <c r="R58" i="2"/>
  <c r="Q58" i="10" s="1"/>
  <c r="Z56" i="2"/>
  <c r="AA56" s="1"/>
  <c r="Z56" i="10" s="1"/>
  <c r="M59" i="2"/>
  <c r="L59" i="10" s="1"/>
  <c r="AS63" i="2"/>
  <c r="AT63" s="1"/>
  <c r="O58"/>
  <c r="A61"/>
  <c r="B61" s="1"/>
  <c r="A61" i="10" s="1"/>
  <c r="G59" i="2"/>
  <c r="D60"/>
  <c r="K59"/>
  <c r="J59" i="10" s="1"/>
  <c r="N59" i="2"/>
  <c r="M59" i="10" s="1"/>
  <c r="AQ64" i="2"/>
  <c r="AS64" s="1"/>
  <c r="AT64" s="1"/>
  <c r="F60"/>
  <c r="E60" i="10" s="1"/>
  <c r="E60" i="2"/>
  <c r="D60" i="10" s="1"/>
  <c r="W61" i="2"/>
  <c r="V61" i="10" s="1"/>
  <c r="V61" i="2"/>
  <c r="U61" i="10" s="1"/>
  <c r="S61" i="2"/>
  <c r="R61" i="10" s="1"/>
  <c r="T61" i="2"/>
  <c r="S61" i="10" s="1"/>
  <c r="U60" i="2"/>
  <c r="T60" i="10" s="1"/>
  <c r="X60" i="2"/>
  <c r="AP65"/>
  <c r="AR65" s="1"/>
  <c r="AA55" i="10" l="1"/>
  <c r="BO63" i="2"/>
  <c r="AL63"/>
  <c r="AK63"/>
  <c r="BG63"/>
  <c r="AU63"/>
  <c r="AW63" s="1"/>
  <c r="G60" i="10"/>
  <c r="Q60" i="2"/>
  <c r="P60" i="10" s="1"/>
  <c r="AY63" i="2"/>
  <c r="AY64" s="1"/>
  <c r="BA64" s="1"/>
  <c r="AZ62"/>
  <c r="BA62"/>
  <c r="BO64"/>
  <c r="AL64"/>
  <c r="AK64"/>
  <c r="BG64"/>
  <c r="F59" i="10"/>
  <c r="P60" i="2"/>
  <c r="O60" i="10" s="1"/>
  <c r="Y57"/>
  <c r="AA57" i="2"/>
  <c r="Z57" i="10" s="1"/>
  <c r="BE58" i="2"/>
  <c r="N58" i="10"/>
  <c r="W60"/>
  <c r="BE57" i="2"/>
  <c r="C60" i="10"/>
  <c r="Y56"/>
  <c r="AB56" i="2"/>
  <c r="C62"/>
  <c r="O59"/>
  <c r="R59"/>
  <c r="Q59" i="10" s="1"/>
  <c r="L60" i="2"/>
  <c r="K60" i="10" s="1"/>
  <c r="Z58" i="2"/>
  <c r="BE59" s="1"/>
  <c r="D61"/>
  <c r="M60"/>
  <c r="L60" i="10" s="1"/>
  <c r="N60" i="2"/>
  <c r="M60" i="10" s="1"/>
  <c r="K60" i="2"/>
  <c r="J60" i="10" s="1"/>
  <c r="G60" i="2"/>
  <c r="AQ65"/>
  <c r="AS65" s="1"/>
  <c r="AT65" s="1"/>
  <c r="I61"/>
  <c r="H61" i="10" s="1"/>
  <c r="J61" i="2"/>
  <c r="I61" i="10" s="1"/>
  <c r="E61" i="2"/>
  <c r="D61" i="10" s="1"/>
  <c r="F61" i="2"/>
  <c r="E61" i="10" s="1"/>
  <c r="U61" i="2"/>
  <c r="T61" i="10" s="1"/>
  <c r="X61" i="2"/>
  <c r="C63"/>
  <c r="AP66"/>
  <c r="AR66" s="1"/>
  <c r="Q61" l="1"/>
  <c r="P61" i="10" s="1"/>
  <c r="AV63" i="2"/>
  <c r="BP63"/>
  <c r="BF62"/>
  <c r="BB62" s="1"/>
  <c r="P61" s="1"/>
  <c r="BA63"/>
  <c r="BO65"/>
  <c r="AL65"/>
  <c r="AK65"/>
  <c r="BG65"/>
  <c r="AY65"/>
  <c r="AZ65" s="1"/>
  <c r="AZ63"/>
  <c r="S62"/>
  <c r="R62" i="10" s="1"/>
  <c r="AU64" i="2"/>
  <c r="AZ64"/>
  <c r="BB63"/>
  <c r="F60" i="10"/>
  <c r="Y58"/>
  <c r="AA58" i="2"/>
  <c r="Z58" i="10" s="1"/>
  <c r="W61"/>
  <c r="N59"/>
  <c r="AB57" i="2"/>
  <c r="C61" i="10"/>
  <c r="B62"/>
  <c r="B63"/>
  <c r="Z59" i="2"/>
  <c r="BE60" s="1"/>
  <c r="R60"/>
  <c r="Q60" i="10" s="1"/>
  <c r="AA56"/>
  <c r="L61" i="2"/>
  <c r="K61" i="10" s="1"/>
  <c r="T62" i="2"/>
  <c r="S62" i="10" s="1"/>
  <c r="W62" i="2"/>
  <c r="V62" i="10" s="1"/>
  <c r="H62" i="2"/>
  <c r="G62" i="10" s="1"/>
  <c r="A62" i="2"/>
  <c r="B62" s="1"/>
  <c r="A62" i="10" s="1"/>
  <c r="V62" i="2"/>
  <c r="U62" i="10" s="1"/>
  <c r="M61" i="2"/>
  <c r="L61" i="10" s="1"/>
  <c r="O60" i="2"/>
  <c r="D62"/>
  <c r="AQ66"/>
  <c r="N61"/>
  <c r="M61" i="10" s="1"/>
  <c r="G61" i="2"/>
  <c r="K61"/>
  <c r="J61" i="10" s="1"/>
  <c r="J62" i="2"/>
  <c r="I62" i="10" s="1"/>
  <c r="H63" i="2"/>
  <c r="G63" i="10" s="1"/>
  <c r="F62" i="2"/>
  <c r="E62" i="10" s="1"/>
  <c r="E62" i="2"/>
  <c r="D62" i="10" s="1"/>
  <c r="W63" i="2"/>
  <c r="V63" i="10" s="1"/>
  <c r="V63" i="2"/>
  <c r="U63" i="10" s="1"/>
  <c r="S63" i="2"/>
  <c r="R63" i="10" s="1"/>
  <c r="T63" i="2"/>
  <c r="S63" i="10" s="1"/>
  <c r="AP67" i="2"/>
  <c r="AR67" s="1"/>
  <c r="C64"/>
  <c r="F61" i="10" l="1"/>
  <c r="BF63" i="2"/>
  <c r="BF64" s="1"/>
  <c r="BB64" s="1"/>
  <c r="U62"/>
  <c r="T62" i="10" s="1"/>
  <c r="AA57"/>
  <c r="BA65" i="2"/>
  <c r="AW64"/>
  <c r="F63" s="1"/>
  <c r="E63" i="10" s="1"/>
  <c r="AV64" i="2"/>
  <c r="AU65"/>
  <c r="BH63"/>
  <c r="Y62" s="1"/>
  <c r="C62" i="10"/>
  <c r="BK63" i="2"/>
  <c r="BL61"/>
  <c r="N60" i="10"/>
  <c r="Y59"/>
  <c r="AA59" i="2"/>
  <c r="Z59" i="10" s="1"/>
  <c r="O61"/>
  <c r="B64"/>
  <c r="X62" i="2"/>
  <c r="R61"/>
  <c r="Q61" i="10" s="1"/>
  <c r="A63" i="2"/>
  <c r="B63" s="1"/>
  <c r="A63" i="10" s="1"/>
  <c r="AB58" i="2"/>
  <c r="AA58" i="10" s="1"/>
  <c r="Z60" i="2"/>
  <c r="BE61" s="1"/>
  <c r="L62"/>
  <c r="I62"/>
  <c r="H62" i="10" s="1"/>
  <c r="AS66" i="2"/>
  <c r="AT66" s="1"/>
  <c r="C65" s="1"/>
  <c r="D63"/>
  <c r="N62"/>
  <c r="M62" i="10" s="1"/>
  <c r="O61" i="2"/>
  <c r="AQ67"/>
  <c r="E63"/>
  <c r="D63" i="10" s="1"/>
  <c r="I63" i="2"/>
  <c r="H63" i="10" s="1"/>
  <c r="J63" i="2"/>
  <c r="I63" i="10" s="1"/>
  <c r="H64" i="2"/>
  <c r="G64" i="10" s="1"/>
  <c r="W64" i="2"/>
  <c r="V64" i="10" s="1"/>
  <c r="V64" i="2"/>
  <c r="U64" i="10" s="1"/>
  <c r="G62" i="2"/>
  <c r="S64"/>
  <c r="R64" i="10" s="1"/>
  <c r="X63" i="2"/>
  <c r="T64"/>
  <c r="S64" i="10" s="1"/>
  <c r="U63" i="2"/>
  <c r="T63" i="10" s="1"/>
  <c r="AP68" i="2"/>
  <c r="AR68" s="1"/>
  <c r="BF65" l="1"/>
  <c r="BB65" s="1"/>
  <c r="AY66"/>
  <c r="BA66" s="1"/>
  <c r="Q62"/>
  <c r="P62" i="10" s="1"/>
  <c r="AW65" i="2"/>
  <c r="AV65"/>
  <c r="BH66"/>
  <c r="BG66"/>
  <c r="BO66"/>
  <c r="AL66"/>
  <c r="AK66"/>
  <c r="AU66"/>
  <c r="AW66" s="1"/>
  <c r="Q63"/>
  <c r="P63" i="10" s="1"/>
  <c r="BH64" i="2"/>
  <c r="Y63" s="1"/>
  <c r="L63"/>
  <c r="F62" i="10"/>
  <c r="Y60"/>
  <c r="AA60" i="2"/>
  <c r="Z60" i="10" s="1"/>
  <c r="W62"/>
  <c r="N61"/>
  <c r="W63"/>
  <c r="AB59" i="2"/>
  <c r="A64"/>
  <c r="B64" s="1"/>
  <c r="A64" i="10" s="1"/>
  <c r="C63"/>
  <c r="B65"/>
  <c r="K62"/>
  <c r="K62" i="2"/>
  <c r="J62" i="10" s="1"/>
  <c r="Z61" i="2"/>
  <c r="BN64"/>
  <c r="M62"/>
  <c r="BL63" s="1"/>
  <c r="AS67"/>
  <c r="AT67" s="1"/>
  <c r="M63"/>
  <c r="L63" i="10" s="1"/>
  <c r="D64" i="2"/>
  <c r="N63"/>
  <c r="M63" i="10" s="1"/>
  <c r="G63" i="2"/>
  <c r="K63"/>
  <c r="J63" i="10" s="1"/>
  <c r="AQ68" i="2"/>
  <c r="AS68" s="1"/>
  <c r="AT68" s="1"/>
  <c r="J64"/>
  <c r="I64" i="10" s="1"/>
  <c r="I64" i="2"/>
  <c r="H64" i="10" s="1"/>
  <c r="E64" i="2"/>
  <c r="D64" i="10" s="1"/>
  <c r="F64" i="2"/>
  <c r="E64" i="10" s="1"/>
  <c r="W65" i="2"/>
  <c r="V65" i="10" s="1"/>
  <c r="V65" i="2"/>
  <c r="U65" i="10" s="1"/>
  <c r="S65" i="2"/>
  <c r="R65" i="10" s="1"/>
  <c r="T65" i="2"/>
  <c r="S65" i="10" s="1"/>
  <c r="U64" i="2"/>
  <c r="T64" i="10" s="1"/>
  <c r="X64" i="2"/>
  <c r="AP69"/>
  <c r="AR69" s="1"/>
  <c r="BJ64" l="1"/>
  <c r="P63" s="1"/>
  <c r="BJ63"/>
  <c r="P62" s="1"/>
  <c r="BN63"/>
  <c r="BI63"/>
  <c r="Y65"/>
  <c r="X65" i="10" s="1"/>
  <c r="AZ66" i="2"/>
  <c r="I65" s="1"/>
  <c r="H65" i="10" s="1"/>
  <c r="BK64" i="2"/>
  <c r="F63" i="10"/>
  <c r="K63"/>
  <c r="BI64" i="2"/>
  <c r="BH67"/>
  <c r="BG67"/>
  <c r="BO67"/>
  <c r="AL67"/>
  <c r="AK67"/>
  <c r="AU67"/>
  <c r="AW67" s="1"/>
  <c r="A65"/>
  <c r="B65" s="1"/>
  <c r="A65" i="10" s="1"/>
  <c r="AV66" i="2"/>
  <c r="E65" s="1"/>
  <c r="D65" i="10" s="1"/>
  <c r="Q64" i="2"/>
  <c r="P64" i="10" s="1"/>
  <c r="AY67" i="2"/>
  <c r="AY68" s="1"/>
  <c r="BA68" s="1"/>
  <c r="BO68"/>
  <c r="AL68"/>
  <c r="AK68"/>
  <c r="BH68"/>
  <c r="BG68"/>
  <c r="AU68"/>
  <c r="AW68" s="1"/>
  <c r="BJ66"/>
  <c r="BI66"/>
  <c r="BH65"/>
  <c r="Y64" s="1"/>
  <c r="AA59" i="10"/>
  <c r="L62"/>
  <c r="BM63" i="2"/>
  <c r="Y61" i="10"/>
  <c r="AA61" i="2"/>
  <c r="Z61" i="10" s="1"/>
  <c r="BE62" i="2"/>
  <c r="W64" i="10"/>
  <c r="C64"/>
  <c r="AB60" i="2"/>
  <c r="X63" i="10"/>
  <c r="X62"/>
  <c r="O62" i="2"/>
  <c r="L64"/>
  <c r="C66"/>
  <c r="O63"/>
  <c r="D65"/>
  <c r="N64"/>
  <c r="M64" i="10" s="1"/>
  <c r="K64" i="2"/>
  <c r="J64" i="10" s="1"/>
  <c r="H65" i="2"/>
  <c r="G64"/>
  <c r="C67"/>
  <c r="AQ69"/>
  <c r="F65"/>
  <c r="E65" i="10" s="1"/>
  <c r="J65" i="2"/>
  <c r="I65" i="10" s="1"/>
  <c r="X65" i="2"/>
  <c r="U65"/>
  <c r="T65" i="10" s="1"/>
  <c r="M64" i="2"/>
  <c r="L64" i="10" s="1"/>
  <c r="AP70" i="2"/>
  <c r="AR70" s="1"/>
  <c r="AV67" l="1"/>
  <c r="Y67"/>
  <c r="X67" i="10" s="1"/>
  <c r="AZ68" i="2"/>
  <c r="BJ67"/>
  <c r="BI67"/>
  <c r="Y66"/>
  <c r="X66" i="10" s="1"/>
  <c r="BF66" i="2"/>
  <c r="BB66" s="1"/>
  <c r="P65" s="1"/>
  <c r="O65" i="10" s="1"/>
  <c r="BJ68" i="2"/>
  <c r="BI68"/>
  <c r="Q65"/>
  <c r="P65" i="10" s="1"/>
  <c r="AV68" i="2"/>
  <c r="BA67"/>
  <c r="F64" i="10"/>
  <c r="AZ67" i="2"/>
  <c r="I66" s="1"/>
  <c r="H66" i="10" s="1"/>
  <c r="BJ65" i="2"/>
  <c r="P64" s="1"/>
  <c r="BI65"/>
  <c r="AA60" i="10"/>
  <c r="N62"/>
  <c r="W65"/>
  <c r="N63"/>
  <c r="B67"/>
  <c r="G65"/>
  <c r="C65"/>
  <c r="O62"/>
  <c r="R62" i="2"/>
  <c r="Q62" i="10" s="1"/>
  <c r="O63"/>
  <c r="R63" i="2"/>
  <c r="Q63" i="10" s="1"/>
  <c r="Z62" i="2"/>
  <c r="BE63" s="1"/>
  <c r="K64" i="10"/>
  <c r="X64"/>
  <c r="V66" i="2"/>
  <c r="U66" i="10" s="1"/>
  <c r="B66"/>
  <c r="S66" i="2"/>
  <c r="R66" i="10" s="1"/>
  <c r="BM64" i="2"/>
  <c r="W66"/>
  <c r="V66" i="10" s="1"/>
  <c r="T66" i="2"/>
  <c r="S66" i="10" s="1"/>
  <c r="A66" i="2"/>
  <c r="B66" s="1"/>
  <c r="A66" i="10" s="1"/>
  <c r="BK65" i="2"/>
  <c r="BL65"/>
  <c r="Z63"/>
  <c r="O64"/>
  <c r="H66"/>
  <c r="G66" i="10" s="1"/>
  <c r="J66" i="2"/>
  <c r="I66" i="10" s="1"/>
  <c r="I67" i="2"/>
  <c r="H67" i="10" s="1"/>
  <c r="L65" i="2"/>
  <c r="K65" i="10" s="1"/>
  <c r="G65" i="2"/>
  <c r="N65"/>
  <c r="M65" i="10" s="1"/>
  <c r="AS69" i="2"/>
  <c r="AT69" s="1"/>
  <c r="AQ70"/>
  <c r="AS70" s="1"/>
  <c r="AT70" s="1"/>
  <c r="M65"/>
  <c r="L65" i="10" s="1"/>
  <c r="D66" i="2"/>
  <c r="K65"/>
  <c r="J65" i="10" s="1"/>
  <c r="F66" i="2"/>
  <c r="E66" i="10" s="1"/>
  <c r="D67" i="2"/>
  <c r="AP71"/>
  <c r="AR71" s="1"/>
  <c r="W67"/>
  <c r="V67" i="10" s="1"/>
  <c r="V67" i="2"/>
  <c r="U67" i="10" s="1"/>
  <c r="J67" i="2"/>
  <c r="I67" i="10" s="1"/>
  <c r="S67" i="2"/>
  <c r="R67" i="10" s="1"/>
  <c r="T67" i="2"/>
  <c r="S67" i="10" s="1"/>
  <c r="H67" i="2"/>
  <c r="G67" i="10" s="1"/>
  <c r="C68" i="2"/>
  <c r="F65" i="10" l="1"/>
  <c r="Q66" i="2"/>
  <c r="P66" i="10" s="1"/>
  <c r="Q67" i="2"/>
  <c r="P67" i="10" s="1"/>
  <c r="BO69" i="2"/>
  <c r="AL69"/>
  <c r="AK69"/>
  <c r="BG69"/>
  <c r="AU69"/>
  <c r="AW69" s="1"/>
  <c r="AY69"/>
  <c r="AY70" s="1"/>
  <c r="BA70" s="1"/>
  <c r="BF67"/>
  <c r="BB67" s="1"/>
  <c r="BG70"/>
  <c r="BO70"/>
  <c r="AL70"/>
  <c r="AK70"/>
  <c r="C67" i="10"/>
  <c r="C66"/>
  <c r="Y63"/>
  <c r="AA63" i="2"/>
  <c r="Z63" i="10" s="1"/>
  <c r="BE64" i="2"/>
  <c r="Y62" i="10"/>
  <c r="AA62" i="2"/>
  <c r="Z62" i="10" s="1"/>
  <c r="N64"/>
  <c r="Z64" i="2"/>
  <c r="B68" i="10"/>
  <c r="A67" i="2"/>
  <c r="B67" s="1"/>
  <c r="A67" i="10" s="1"/>
  <c r="R64" i="2"/>
  <c r="Q64" i="10" s="1"/>
  <c r="X66" i="2"/>
  <c r="U66"/>
  <c r="T66" i="10" s="1"/>
  <c r="O65" i="2"/>
  <c r="K66"/>
  <c r="J66" i="10" s="1"/>
  <c r="L66" i="2"/>
  <c r="K66" i="10" s="1"/>
  <c r="N66" i="2"/>
  <c r="M66" i="10" s="1"/>
  <c r="AQ71" i="2"/>
  <c r="AS71" s="1"/>
  <c r="AT71" s="1"/>
  <c r="R65"/>
  <c r="Q65" i="10" s="1"/>
  <c r="E66" i="2"/>
  <c r="D66" i="10" s="1"/>
  <c r="C69" i="2"/>
  <c r="E67"/>
  <c r="D67" i="10" s="1"/>
  <c r="F67" i="2"/>
  <c r="E67" i="10" s="1"/>
  <c r="L67" i="2"/>
  <c r="K67" i="10" s="1"/>
  <c r="AP72" i="2"/>
  <c r="AR72" s="1"/>
  <c r="W68"/>
  <c r="V68" i="10" s="1"/>
  <c r="V68" i="2"/>
  <c r="U68" i="10" s="1"/>
  <c r="X67" i="2"/>
  <c r="S68"/>
  <c r="R68" i="10" s="1"/>
  <c r="T68" i="2"/>
  <c r="S68" i="10" s="1"/>
  <c r="K67" i="2"/>
  <c r="J67" i="10" s="1"/>
  <c r="U67" i="2"/>
  <c r="T67" i="10" s="1"/>
  <c r="D68" i="2"/>
  <c r="AZ69" l="1"/>
  <c r="I68" s="1"/>
  <c r="H68" i="10" s="1"/>
  <c r="AU70" i="2"/>
  <c r="AV70" s="1"/>
  <c r="AV69"/>
  <c r="E68" s="1"/>
  <c r="D68" i="10" s="1"/>
  <c r="BF68" i="2"/>
  <c r="BB68" s="1"/>
  <c r="P67" s="1"/>
  <c r="O67" i="10" s="1"/>
  <c r="A68" i="2"/>
  <c r="B68" s="1"/>
  <c r="A68" i="10" s="1"/>
  <c r="AZ70" i="2"/>
  <c r="BA69"/>
  <c r="J68" s="1"/>
  <c r="I68" i="10" s="1"/>
  <c r="BJ70" i="2"/>
  <c r="BI70"/>
  <c r="P66"/>
  <c r="O66" i="10" s="1"/>
  <c r="BG71" i="2"/>
  <c r="BO71"/>
  <c r="AL71"/>
  <c r="AK71"/>
  <c r="BJ69"/>
  <c r="BI69"/>
  <c r="AY71"/>
  <c r="BA71" s="1"/>
  <c r="BB69"/>
  <c r="C68" i="10"/>
  <c r="W66"/>
  <c r="Y64"/>
  <c r="AA64" i="2"/>
  <c r="Z64" i="10" s="1"/>
  <c r="BE65" i="2"/>
  <c r="W67" i="10"/>
  <c r="N65"/>
  <c r="B69"/>
  <c r="O64"/>
  <c r="AB62" i="2"/>
  <c r="Z65"/>
  <c r="AB63"/>
  <c r="M66"/>
  <c r="L66" i="10" s="1"/>
  <c r="H68" i="2"/>
  <c r="G66"/>
  <c r="F66" i="10" s="1"/>
  <c r="AQ72" i="2"/>
  <c r="AS72" s="1"/>
  <c r="AT72" s="1"/>
  <c r="A69"/>
  <c r="B69" s="1"/>
  <c r="A69" i="10" s="1"/>
  <c r="F68" i="2"/>
  <c r="E68" i="10" s="1"/>
  <c r="C70" i="2"/>
  <c r="H69"/>
  <c r="G69" i="10" s="1"/>
  <c r="S69" i="2"/>
  <c r="R69" i="10" s="1"/>
  <c r="W69" i="2"/>
  <c r="V69" i="10" s="1"/>
  <c r="V69" i="2"/>
  <c r="U69" i="10" s="1"/>
  <c r="T69" i="2"/>
  <c r="S69" i="10" s="1"/>
  <c r="I69" i="2"/>
  <c r="H69" i="10" s="1"/>
  <c r="J69" i="2"/>
  <c r="I69" i="10" s="1"/>
  <c r="AP73" i="2"/>
  <c r="AR73" s="1"/>
  <c r="U68"/>
  <c r="T68" i="10" s="1"/>
  <c r="X68" i="2"/>
  <c r="M67"/>
  <c r="L67" i="10" s="1"/>
  <c r="N67" i="2"/>
  <c r="M67" i="10" s="1"/>
  <c r="G67" i="2"/>
  <c r="F67" i="10" s="1"/>
  <c r="D69" i="2" l="1"/>
  <c r="AU71"/>
  <c r="AV71" s="1"/>
  <c r="BF69"/>
  <c r="Q68"/>
  <c r="P68" i="10" s="1"/>
  <c r="AW70" i="2"/>
  <c r="P68"/>
  <c r="O68" i="10" s="1"/>
  <c r="BJ71" i="2"/>
  <c r="BI71"/>
  <c r="Q69"/>
  <c r="P69" i="10" s="1"/>
  <c r="BF70" i="2"/>
  <c r="BB70" s="1"/>
  <c r="AY72"/>
  <c r="BA72" s="1"/>
  <c r="AZ71"/>
  <c r="BO72"/>
  <c r="AL72"/>
  <c r="AK72"/>
  <c r="BH72"/>
  <c r="BG72"/>
  <c r="AU72"/>
  <c r="AV72" s="1"/>
  <c r="BH69"/>
  <c r="Y68" s="1"/>
  <c r="X68" i="10" s="1"/>
  <c r="BH70" i="2"/>
  <c r="Y69" s="1"/>
  <c r="X69" i="10" s="1"/>
  <c r="C69"/>
  <c r="AA63"/>
  <c r="Y65"/>
  <c r="AA65" i="2"/>
  <c r="Z65" i="10" s="1"/>
  <c r="BE66" i="2"/>
  <c r="W68" i="10"/>
  <c r="R67" i="2"/>
  <c r="Q67" i="10" s="1"/>
  <c r="R66" i="2"/>
  <c r="Q66" i="10" s="1"/>
  <c r="B70"/>
  <c r="G68"/>
  <c r="AB64" i="2"/>
  <c r="AA64" i="10" s="1"/>
  <c r="AA62"/>
  <c r="L68" i="2"/>
  <c r="K68" i="10" s="1"/>
  <c r="O67" i="2"/>
  <c r="O66"/>
  <c r="M68"/>
  <c r="L68" i="10" s="1"/>
  <c r="K68" i="2"/>
  <c r="U69"/>
  <c r="T69" i="10" s="1"/>
  <c r="AQ73" i="2"/>
  <c r="AS73" s="1"/>
  <c r="AT73" s="1"/>
  <c r="A70"/>
  <c r="B70" s="1"/>
  <c r="A70" i="10" s="1"/>
  <c r="F69" i="2"/>
  <c r="E69" i="10" s="1"/>
  <c r="E69" i="2"/>
  <c r="D69" i="10" s="1"/>
  <c r="X69" i="2"/>
  <c r="L69"/>
  <c r="K69" i="10" s="1"/>
  <c r="K69" i="2"/>
  <c r="J69" i="10" s="1"/>
  <c r="C71" i="2"/>
  <c r="H70"/>
  <c r="G70" i="10" s="1"/>
  <c r="V70" i="2"/>
  <c r="U70" i="10" s="1"/>
  <c r="T70" i="2"/>
  <c r="S70" i="10" s="1"/>
  <c r="S70" i="2"/>
  <c r="R70" i="10" s="1"/>
  <c r="W70" i="2"/>
  <c r="V70" i="10" s="1"/>
  <c r="I70" i="2"/>
  <c r="H70" i="10" s="1"/>
  <c r="J70" i="2"/>
  <c r="I70" i="10" s="1"/>
  <c r="AP74" i="2"/>
  <c r="AR74" s="1"/>
  <c r="N68"/>
  <c r="M68" i="10" s="1"/>
  <c r="G68" i="2"/>
  <c r="F68" i="10" s="1"/>
  <c r="AW71" i="2" l="1"/>
  <c r="F70" s="1"/>
  <c r="E70" i="10" s="1"/>
  <c r="D70" i="2"/>
  <c r="AZ72"/>
  <c r="I71" s="1"/>
  <c r="H71" i="10" s="1"/>
  <c r="J68"/>
  <c r="AW72" i="2"/>
  <c r="F71" s="1"/>
  <c r="E71" i="10" s="1"/>
  <c r="Q70" i="2"/>
  <c r="P70" i="10" s="1"/>
  <c r="P69" i="2"/>
  <c r="O69" i="10" s="1"/>
  <c r="BO73" i="2"/>
  <c r="AL73"/>
  <c r="AK73"/>
  <c r="BH73"/>
  <c r="BG73"/>
  <c r="AU73"/>
  <c r="AW73" s="1"/>
  <c r="Y71"/>
  <c r="X71" i="10" s="1"/>
  <c r="BF71" i="2"/>
  <c r="BB71" s="1"/>
  <c r="BJ72"/>
  <c r="BI72"/>
  <c r="AY73"/>
  <c r="AZ73" s="1"/>
  <c r="BH71"/>
  <c r="Y70" s="1"/>
  <c r="C70" i="10"/>
  <c r="N67"/>
  <c r="W69"/>
  <c r="N66"/>
  <c r="B71"/>
  <c r="AB65" i="2"/>
  <c r="N69"/>
  <c r="M69" i="10" s="1"/>
  <c r="Z66" i="2"/>
  <c r="BE67" s="1"/>
  <c r="Z67"/>
  <c r="AA67" s="1"/>
  <c r="Z67" i="10" s="1"/>
  <c r="A71" i="2"/>
  <c r="B71" s="1"/>
  <c r="A71" i="10" s="1"/>
  <c r="M69" i="2"/>
  <c r="L69" i="10" s="1"/>
  <c r="O68" i="2"/>
  <c r="J71"/>
  <c r="I71" i="10" s="1"/>
  <c r="E70" i="2"/>
  <c r="D70" i="10" s="1"/>
  <c r="AQ74" i="2"/>
  <c r="G69"/>
  <c r="F69" i="10" s="1"/>
  <c r="D71" i="2"/>
  <c r="C71" i="10" s="1"/>
  <c r="U70" i="2"/>
  <c r="T70" i="10" s="1"/>
  <c r="N70" i="2"/>
  <c r="M70" i="10" s="1"/>
  <c r="E71" i="2"/>
  <c r="D71" i="10" s="1"/>
  <c r="T71" i="2"/>
  <c r="S71" i="10" s="1"/>
  <c r="H71" i="2"/>
  <c r="G71" i="10" s="1"/>
  <c r="S71" i="2"/>
  <c r="R71" i="10" s="1"/>
  <c r="W71" i="2"/>
  <c r="V71" i="10" s="1"/>
  <c r="V71" i="2"/>
  <c r="U71" i="10" s="1"/>
  <c r="C72" i="2"/>
  <c r="K70"/>
  <c r="J70" i="10" s="1"/>
  <c r="L70" i="2"/>
  <c r="K70" i="10" s="1"/>
  <c r="X70" i="2"/>
  <c r="AP75"/>
  <c r="AR75" s="1"/>
  <c r="AV73" l="1"/>
  <c r="BA73"/>
  <c r="J72" s="1"/>
  <c r="I72" i="10" s="1"/>
  <c r="P70" i="2"/>
  <c r="O70" i="10" s="1"/>
  <c r="Q71" i="2"/>
  <c r="P71" i="10" s="1"/>
  <c r="Y72" i="2"/>
  <c r="BF72"/>
  <c r="BB72" s="1"/>
  <c r="P71" s="1"/>
  <c r="O71" i="10" s="1"/>
  <c r="BJ73" i="2"/>
  <c r="BI73"/>
  <c r="X70" i="10"/>
  <c r="AA65"/>
  <c r="N68"/>
  <c r="BE68" i="2"/>
  <c r="Y66" i="10"/>
  <c r="AA66" i="2"/>
  <c r="Z66" i="10" s="1"/>
  <c r="W70"/>
  <c r="R69" i="2"/>
  <c r="Q69" i="10" s="1"/>
  <c r="B72"/>
  <c r="Y67"/>
  <c r="X72"/>
  <c r="Z68" i="2"/>
  <c r="BE69" s="1"/>
  <c r="O69"/>
  <c r="M70"/>
  <c r="L70" i="10" s="1"/>
  <c r="U71" i="2"/>
  <c r="T71" i="10" s="1"/>
  <c r="I72" i="2"/>
  <c r="H72" i="10" s="1"/>
  <c r="G71" i="2"/>
  <c r="F71" i="10" s="1"/>
  <c r="A72" i="2"/>
  <c r="B72" s="1"/>
  <c r="A72" i="10" s="1"/>
  <c r="X71" i="2"/>
  <c r="N71"/>
  <c r="M71" i="10" s="1"/>
  <c r="M71" i="2"/>
  <c r="L71" i="10" s="1"/>
  <c r="K71" i="2"/>
  <c r="J71" i="10" s="1"/>
  <c r="E72" i="2"/>
  <c r="D72" i="10" s="1"/>
  <c r="L71" i="2"/>
  <c r="K71" i="10" s="1"/>
  <c r="AS74" i="2"/>
  <c r="G70"/>
  <c r="F70" i="10" s="1"/>
  <c r="AQ75" i="2"/>
  <c r="H72"/>
  <c r="G72" i="10" s="1"/>
  <c r="T72" i="2"/>
  <c r="S72" i="10" s="1"/>
  <c r="S72" i="2"/>
  <c r="R72" i="10" s="1"/>
  <c r="W72" i="2"/>
  <c r="V72" i="10" s="1"/>
  <c r="F72" i="2"/>
  <c r="E72" i="10" s="1"/>
  <c r="V72" i="2"/>
  <c r="U72" i="10" s="1"/>
  <c r="D72" i="2"/>
  <c r="C72" i="10" s="1"/>
  <c r="AP76" i="2"/>
  <c r="AR76" s="1"/>
  <c r="R68"/>
  <c r="Q68" i="10" s="1"/>
  <c r="Q72" i="2" l="1"/>
  <c r="P72" i="10" s="1"/>
  <c r="N69"/>
  <c r="W71"/>
  <c r="Y68"/>
  <c r="AA68" i="2"/>
  <c r="Z68" i="10" s="1"/>
  <c r="R70" i="2"/>
  <c r="Q70" i="10" s="1"/>
  <c r="AT74" i="2"/>
  <c r="Z69"/>
  <c r="BE70" s="1"/>
  <c r="O70"/>
  <c r="O71"/>
  <c r="X72"/>
  <c r="U72"/>
  <c r="T72" i="10" s="1"/>
  <c r="M72" i="2"/>
  <c r="L72" i="10" s="1"/>
  <c r="N72" i="2"/>
  <c r="M72" i="10" s="1"/>
  <c r="L72" i="2"/>
  <c r="K72" i="10" s="1"/>
  <c r="G72" i="2"/>
  <c r="F72" i="10" s="1"/>
  <c r="R71" i="2"/>
  <c r="Q71" i="10" s="1"/>
  <c r="K72" i="2"/>
  <c r="J72" i="10" s="1"/>
  <c r="AS75" i="2"/>
  <c r="AT75" s="1"/>
  <c r="AQ76"/>
  <c r="AP77"/>
  <c r="AR77" s="1"/>
  <c r="BH74" l="1"/>
  <c r="BG74"/>
  <c r="BO74"/>
  <c r="AL74"/>
  <c r="AK74"/>
  <c r="AU74"/>
  <c r="AY74"/>
  <c r="AY75" s="1"/>
  <c r="BG75"/>
  <c r="BA75"/>
  <c r="AZ75"/>
  <c r="BO75"/>
  <c r="AL75"/>
  <c r="AK75"/>
  <c r="BH75"/>
  <c r="BB75"/>
  <c r="BF76"/>
  <c r="AV75"/>
  <c r="AW75"/>
  <c r="AB68"/>
  <c r="W72" i="10"/>
  <c r="N71"/>
  <c r="Y69"/>
  <c r="AA69" i="2"/>
  <c r="Z69" i="10" s="1"/>
  <c r="N70"/>
  <c r="C73" i="2"/>
  <c r="Z70"/>
  <c r="Z71"/>
  <c r="BE72" s="1"/>
  <c r="C74"/>
  <c r="AS76"/>
  <c r="AT76" s="1"/>
  <c r="O72"/>
  <c r="AQ77"/>
  <c r="AP78"/>
  <c r="AR78" s="1"/>
  <c r="AB61"/>
  <c r="AA61" i="10" s="1"/>
  <c r="AB54" i="2"/>
  <c r="AA54" i="10" s="1"/>
  <c r="AB20" i="2"/>
  <c r="AA20" i="10" s="1"/>
  <c r="AZ74" i="2" l="1"/>
  <c r="AV74"/>
  <c r="BJ75"/>
  <c r="BI75"/>
  <c r="AZ76"/>
  <c r="BO76"/>
  <c r="AL76"/>
  <c r="AK76"/>
  <c r="BH76"/>
  <c r="BG76"/>
  <c r="BA76"/>
  <c r="BB76"/>
  <c r="BF77"/>
  <c r="AU76"/>
  <c r="AV76"/>
  <c r="AW76"/>
  <c r="S73"/>
  <c r="R73" i="10" s="1"/>
  <c r="AW74" i="2"/>
  <c r="F73" s="1"/>
  <c r="AY76"/>
  <c r="W73"/>
  <c r="V73" i="10" s="1"/>
  <c r="Y73" i="2"/>
  <c r="X73" i="10" s="1"/>
  <c r="BF73" i="2"/>
  <c r="BB73" s="1"/>
  <c r="P72" s="1"/>
  <c r="O72" i="10" s="1"/>
  <c r="BJ74" i="2"/>
  <c r="BI74"/>
  <c r="AU75"/>
  <c r="BA74"/>
  <c r="J73" s="1"/>
  <c r="N72" i="10"/>
  <c r="Y70"/>
  <c r="AA70" i="2"/>
  <c r="Z70" i="10" s="1"/>
  <c r="BE71" i="2"/>
  <c r="Y71" i="10"/>
  <c r="AA71" i="2"/>
  <c r="D73"/>
  <c r="C73" i="10" s="1"/>
  <c r="V73" i="2"/>
  <c r="U73" i="10" s="1"/>
  <c r="H73" i="2"/>
  <c r="G73" i="10" s="1"/>
  <c r="T73" i="2"/>
  <c r="S73" i="10" s="1"/>
  <c r="E73" i="2"/>
  <c r="D73" i="10" s="1"/>
  <c r="A73" i="2"/>
  <c r="B73" s="1"/>
  <c r="A73" i="10" s="1"/>
  <c r="B74"/>
  <c r="B73"/>
  <c r="AB69" i="2"/>
  <c r="AA69" i="10" s="1"/>
  <c r="AB46" i="2"/>
  <c r="AA46" i="10" s="1"/>
  <c r="A74" i="2"/>
  <c r="B74" s="1"/>
  <c r="A74" i="10" s="1"/>
  <c r="W74" i="2"/>
  <c r="V74" i="10" s="1"/>
  <c r="T74" i="2"/>
  <c r="S74" i="10" s="1"/>
  <c r="C75" i="2"/>
  <c r="I73"/>
  <c r="H73" i="10" s="1"/>
  <c r="AS77" i="2"/>
  <c r="AT77" s="1"/>
  <c r="Z72"/>
  <c r="AQ78"/>
  <c r="AP79"/>
  <c r="AB23"/>
  <c r="AA23" i="10" s="1"/>
  <c r="AA68"/>
  <c r="S74" i="2" l="1"/>
  <c r="R74" i="10" s="1"/>
  <c r="BF74" i="2"/>
  <c r="BB74" s="1"/>
  <c r="P73" s="1"/>
  <c r="O73" i="10" s="1"/>
  <c r="E73"/>
  <c r="F74" i="2"/>
  <c r="E74" i="10" s="1"/>
  <c r="V74" i="2"/>
  <c r="U74" i="10" s="1"/>
  <c r="X73" i="2"/>
  <c r="W73" i="10" s="1"/>
  <c r="AB71" i="2"/>
  <c r="Z71" i="10"/>
  <c r="Y74" i="2"/>
  <c r="X74" i="10" s="1"/>
  <c r="H74" i="2"/>
  <c r="G74" i="10" s="1"/>
  <c r="I73"/>
  <c r="N73" i="2"/>
  <c r="M73" i="10" s="1"/>
  <c r="J74" i="2"/>
  <c r="I74" i="10" s="1"/>
  <c r="Q75" i="2"/>
  <c r="P75"/>
  <c r="BF75"/>
  <c r="BJ76"/>
  <c r="BI76"/>
  <c r="L73"/>
  <c r="K73" i="10" s="1"/>
  <c r="Q73" i="2"/>
  <c r="P73" i="10" s="1"/>
  <c r="AY77" i="2"/>
  <c r="AR79"/>
  <c r="AP80"/>
  <c r="AR80" s="1"/>
  <c r="BO77"/>
  <c r="AL77"/>
  <c r="AK77"/>
  <c r="BH77"/>
  <c r="BG77"/>
  <c r="BA77"/>
  <c r="AZ77"/>
  <c r="BB77"/>
  <c r="BF78"/>
  <c r="AU77"/>
  <c r="AV77"/>
  <c r="AW77"/>
  <c r="D74"/>
  <c r="C74" i="10" s="1"/>
  <c r="U73" i="2"/>
  <c r="T73" i="10" s="1"/>
  <c r="Y75" i="2"/>
  <c r="X75" i="10" s="1"/>
  <c r="Y72"/>
  <c r="BE73" i="2"/>
  <c r="G73"/>
  <c r="F73" i="10" s="1"/>
  <c r="E74" i="2"/>
  <c r="D74" i="10" s="1"/>
  <c r="B75"/>
  <c r="R72" i="2"/>
  <c r="Q72" i="10" s="1"/>
  <c r="AB24" i="2"/>
  <c r="AA24" i="10" s="1"/>
  <c r="X74" i="2"/>
  <c r="U74"/>
  <c r="T74" i="10" s="1"/>
  <c r="A75" i="2"/>
  <c r="B75" s="1"/>
  <c r="A75" i="10" s="1"/>
  <c r="K73" i="2"/>
  <c r="W75"/>
  <c r="V75" i="10" s="1"/>
  <c r="S75" i="2"/>
  <c r="R75" i="10" s="1"/>
  <c r="T75" i="2"/>
  <c r="S75" i="10" s="1"/>
  <c r="H75" i="2"/>
  <c r="G75" i="10" s="1"/>
  <c r="V75" i="2"/>
  <c r="U75" i="10" s="1"/>
  <c r="I74" i="2"/>
  <c r="H74" i="10" s="1"/>
  <c r="D75" i="2"/>
  <c r="C75" i="10" s="1"/>
  <c r="C76" i="2"/>
  <c r="M73"/>
  <c r="L73" i="10" s="1"/>
  <c r="J75" i="2"/>
  <c r="I75" i="10" s="1"/>
  <c r="E75" i="2"/>
  <c r="D75" i="10" s="1"/>
  <c r="F75" i="2"/>
  <c r="E75" i="10" s="1"/>
  <c r="AS78" i="2"/>
  <c r="AT78" s="1"/>
  <c r="AQ79"/>
  <c r="P74" l="1"/>
  <c r="O74" i="10" s="1"/>
  <c r="AA72" i="2"/>
  <c r="Z72" i="10" s="1"/>
  <c r="AA71"/>
  <c r="J73"/>
  <c r="L74" i="2"/>
  <c r="K74" i="10" s="1"/>
  <c r="N74" i="2"/>
  <c r="M74" i="10" s="1"/>
  <c r="AY78" i="2"/>
  <c r="Q74"/>
  <c r="P74" i="10" s="1"/>
  <c r="Q76" i="2"/>
  <c r="P76"/>
  <c r="Y76"/>
  <c r="X76" i="10" s="1"/>
  <c r="BH78" i="2"/>
  <c r="BG78"/>
  <c r="BA78"/>
  <c r="AZ78"/>
  <c r="BO78"/>
  <c r="AL78"/>
  <c r="AK78"/>
  <c r="BB78"/>
  <c r="BF79"/>
  <c r="AU78"/>
  <c r="AV78"/>
  <c r="AW78"/>
  <c r="BJ77"/>
  <c r="BI77"/>
  <c r="W74" i="10"/>
  <c r="G74" i="2"/>
  <c r="F74" i="10" s="1"/>
  <c r="A76" i="2"/>
  <c r="B76" s="1"/>
  <c r="A76" i="10" s="1"/>
  <c r="B76"/>
  <c r="O75"/>
  <c r="R73" i="2"/>
  <c r="Q73" i="10" s="1"/>
  <c r="C77" i="2"/>
  <c r="AP81"/>
  <c r="O73"/>
  <c r="X75"/>
  <c r="N75"/>
  <c r="M75" i="10" s="1"/>
  <c r="E76" i="2"/>
  <c r="D76" i="10" s="1"/>
  <c r="U75" i="2"/>
  <c r="T75" i="10" s="1"/>
  <c r="G75" i="2"/>
  <c r="F75" i="10" s="1"/>
  <c r="L75" i="2"/>
  <c r="K75" i="10" s="1"/>
  <c r="I75" i="2"/>
  <c r="H75" i="10" s="1"/>
  <c r="H76" i="2"/>
  <c r="G76" i="10" s="1"/>
  <c r="T76" i="2"/>
  <c r="S76" i="10" s="1"/>
  <c r="F76" i="2"/>
  <c r="E76" i="10" s="1"/>
  <c r="S76" i="2"/>
  <c r="R76" i="10" s="1"/>
  <c r="W76" i="2"/>
  <c r="V76" i="10" s="1"/>
  <c r="V76" i="2"/>
  <c r="U76" i="10" s="1"/>
  <c r="K74" i="2"/>
  <c r="J74" i="10" s="1"/>
  <c r="M74" i="2"/>
  <c r="L74" i="10" s="1"/>
  <c r="D76" i="2"/>
  <c r="C76" i="10" s="1"/>
  <c r="J76" i="2"/>
  <c r="I76" i="10" s="1"/>
  <c r="AS79" i="2"/>
  <c r="AT79" s="1"/>
  <c r="AY79" s="1"/>
  <c r="AQ80"/>
  <c r="AS80" s="1"/>
  <c r="AT80" s="1"/>
  <c r="AY80" l="1"/>
  <c r="AZ80"/>
  <c r="BO80"/>
  <c r="AL80"/>
  <c r="AK80"/>
  <c r="BH80"/>
  <c r="BG80"/>
  <c r="BA80"/>
  <c r="BF81"/>
  <c r="BB80"/>
  <c r="AU80"/>
  <c r="AV80"/>
  <c r="AW80"/>
  <c r="Q77"/>
  <c r="Y77"/>
  <c r="P77"/>
  <c r="BJ78"/>
  <c r="BI78"/>
  <c r="AR81"/>
  <c r="AP82"/>
  <c r="BG79"/>
  <c r="BA79"/>
  <c r="AZ79"/>
  <c r="BO79"/>
  <c r="AL79"/>
  <c r="AK79"/>
  <c r="BH79"/>
  <c r="BB79"/>
  <c r="BF80"/>
  <c r="AU79"/>
  <c r="AV79"/>
  <c r="AW79"/>
  <c r="V77"/>
  <c r="U77" i="10" s="1"/>
  <c r="N73"/>
  <c r="W75"/>
  <c r="AB72" i="2"/>
  <c r="AA72" i="10" s="1"/>
  <c r="P75"/>
  <c r="B77"/>
  <c r="O76"/>
  <c r="A77" i="2"/>
  <c r="B77" s="1"/>
  <c r="A77" i="10" s="1"/>
  <c r="J77" i="2"/>
  <c r="I77" i="10" s="1"/>
  <c r="W77" i="2"/>
  <c r="V77" i="10" s="1"/>
  <c r="T77" i="2"/>
  <c r="S77" i="10" s="1"/>
  <c r="F77" i="2"/>
  <c r="E77" i="10" s="1"/>
  <c r="S77" i="2"/>
  <c r="R77" i="10" s="1"/>
  <c r="O74" i="2"/>
  <c r="AQ81"/>
  <c r="X77" i="10"/>
  <c r="R74" i="2"/>
  <c r="Q74" i="10" s="1"/>
  <c r="Z73" i="2"/>
  <c r="AA73" s="1"/>
  <c r="Z73" i="10" s="1"/>
  <c r="G76" i="2"/>
  <c r="F76" i="10" s="1"/>
  <c r="X76" i="2"/>
  <c r="U77"/>
  <c r="T77" i="10" s="1"/>
  <c r="K75" i="2"/>
  <c r="J75" i="10" s="1"/>
  <c r="N76" i="2"/>
  <c r="M76" i="10" s="1"/>
  <c r="U76" i="2"/>
  <c r="T76" i="10" s="1"/>
  <c r="R75" i="2"/>
  <c r="Q75" i="10" s="1"/>
  <c r="M75" i="2"/>
  <c r="L75" i="10" s="1"/>
  <c r="C79" i="2"/>
  <c r="I76"/>
  <c r="H76" i="10" s="1"/>
  <c r="D77" i="2"/>
  <c r="C77" i="10" s="1"/>
  <c r="L76" i="2"/>
  <c r="K76" i="10" s="1"/>
  <c r="H77" i="2"/>
  <c r="G77" i="10" s="1"/>
  <c r="C78" i="2"/>
  <c r="E77"/>
  <c r="D77" i="10" s="1"/>
  <c r="AB8" i="2"/>
  <c r="Q78" l="1"/>
  <c r="P78"/>
  <c r="Y78"/>
  <c r="X78" i="10" s="1"/>
  <c r="AR82" i="2"/>
  <c r="AS82" s="1"/>
  <c r="AT82" s="1"/>
  <c r="AP83"/>
  <c r="BJ79"/>
  <c r="BI79"/>
  <c r="Y79"/>
  <c r="Q79"/>
  <c r="P79"/>
  <c r="BJ80"/>
  <c r="BI80"/>
  <c r="N74" i="10"/>
  <c r="W76"/>
  <c r="BE74" i="2"/>
  <c r="X77"/>
  <c r="N77"/>
  <c r="M77" i="10" s="1"/>
  <c r="Z74" i="2"/>
  <c r="BE75" s="1"/>
  <c r="AA8" i="10"/>
  <c r="AS81" i="2"/>
  <c r="AT81" s="1"/>
  <c r="C80" s="1"/>
  <c r="P76" i="10"/>
  <c r="B79"/>
  <c r="B78"/>
  <c r="F78" i="2"/>
  <c r="E78" i="10" s="1"/>
  <c r="O77"/>
  <c r="Y73"/>
  <c r="O75" i="2"/>
  <c r="K76"/>
  <c r="J76" i="10" s="1"/>
  <c r="M76" i="2"/>
  <c r="L76" i="10" s="1"/>
  <c r="V78" i="2"/>
  <c r="U78" i="10" s="1"/>
  <c r="J78" i="2"/>
  <c r="I78" i="10" s="1"/>
  <c r="T78" i="2"/>
  <c r="S78" i="10" s="1"/>
  <c r="H78" i="2"/>
  <c r="G78" i="10" s="1"/>
  <c r="S78" i="2"/>
  <c r="R78" i="10" s="1"/>
  <c r="W78" i="2"/>
  <c r="V78" i="10" s="1"/>
  <c r="I78" i="2"/>
  <c r="H78" i="10" s="1"/>
  <c r="D79" i="2"/>
  <c r="C79" i="10" s="1"/>
  <c r="D78" i="2"/>
  <c r="C78" i="10" s="1"/>
  <c r="I77" i="2"/>
  <c r="H77" i="10" s="1"/>
  <c r="S79" i="2"/>
  <c r="R79" i="10" s="1"/>
  <c r="W79" i="2"/>
  <c r="V79" i="10" s="1"/>
  <c r="H79" i="2"/>
  <c r="G79" i="10" s="1"/>
  <c r="V79" i="2"/>
  <c r="U79" i="10" s="1"/>
  <c r="T79" i="2"/>
  <c r="S79" i="10" s="1"/>
  <c r="I79" i="2"/>
  <c r="H79" i="10" s="1"/>
  <c r="R76" i="2"/>
  <c r="Q76" i="10" s="1"/>
  <c r="G77" i="2"/>
  <c r="F77" i="10" s="1"/>
  <c r="L77" i="2"/>
  <c r="K77" i="10" s="1"/>
  <c r="A78" i="2"/>
  <c r="B78" s="1"/>
  <c r="J79"/>
  <c r="F79"/>
  <c r="E79" i="10" s="1"/>
  <c r="AB18" i="2"/>
  <c r="AA18" i="10" s="1"/>
  <c r="AB12" i="2"/>
  <c r="AA12" i="10" s="1"/>
  <c r="Q80" i="2" l="1"/>
  <c r="Y80"/>
  <c r="P80"/>
  <c r="C81"/>
  <c r="BH82"/>
  <c r="AL82"/>
  <c r="BG82"/>
  <c r="BA82"/>
  <c r="AK82"/>
  <c r="AZ82"/>
  <c r="BO82"/>
  <c r="BF83"/>
  <c r="BB82"/>
  <c r="AU82"/>
  <c r="AV82"/>
  <c r="AW82"/>
  <c r="F81" s="1"/>
  <c r="N81" s="1"/>
  <c r="AP84"/>
  <c r="AR83"/>
  <c r="AS83" s="1"/>
  <c r="AT83" s="1"/>
  <c r="BO81"/>
  <c r="AL81"/>
  <c r="AK81"/>
  <c r="BH81"/>
  <c r="BG81"/>
  <c r="BA81"/>
  <c r="J80" s="1"/>
  <c r="AZ81"/>
  <c r="BB81"/>
  <c r="BF82"/>
  <c r="AU81"/>
  <c r="AV81"/>
  <c r="AW81"/>
  <c r="AY81"/>
  <c r="AY82" s="1"/>
  <c r="N75" i="10"/>
  <c r="W77"/>
  <c r="Y74"/>
  <c r="AA74" i="2"/>
  <c r="Z74" i="10" s="1"/>
  <c r="D80" i="2"/>
  <c r="G81"/>
  <c r="O81" s="1"/>
  <c r="L81"/>
  <c r="O76"/>
  <c r="AB73"/>
  <c r="AB67"/>
  <c r="AA67" i="10" s="1"/>
  <c r="X79"/>
  <c r="X80" s="1"/>
  <c r="I79"/>
  <c r="I80" s="1"/>
  <c r="C80"/>
  <c r="A79" i="2"/>
  <c r="A78" i="10"/>
  <c r="N78" i="2"/>
  <c r="M78" i="10" s="1"/>
  <c r="Z75" i="2"/>
  <c r="BE76" s="1"/>
  <c r="V80" i="10"/>
  <c r="L79" i="2"/>
  <c r="K79" i="10" s="1"/>
  <c r="G80"/>
  <c r="K77" i="2"/>
  <c r="J77" i="10" s="1"/>
  <c r="H80"/>
  <c r="V80" i="2"/>
  <c r="U80" i="10"/>
  <c r="S80" i="2"/>
  <c r="R80" i="10"/>
  <c r="F80" i="2"/>
  <c r="E80" i="10"/>
  <c r="AB17" i="2"/>
  <c r="AA17" i="10" s="1"/>
  <c r="T80" i="2"/>
  <c r="S80" i="10"/>
  <c r="M77" i="2"/>
  <c r="L77" i="10" s="1"/>
  <c r="U79" i="2"/>
  <c r="T79" i="10" s="1"/>
  <c r="U78" i="2"/>
  <c r="T78" i="10" s="1"/>
  <c r="K79" i="2"/>
  <c r="J79" i="10" s="1"/>
  <c r="W80" i="2"/>
  <c r="H80"/>
  <c r="E78"/>
  <c r="D78" i="10" s="1"/>
  <c r="X78" i="2"/>
  <c r="P77" i="10"/>
  <c r="L78" i="2"/>
  <c r="K78" i="10" s="1"/>
  <c r="E79" i="2"/>
  <c r="D79" i="10" s="1"/>
  <c r="P79"/>
  <c r="N79" i="2"/>
  <c r="K78"/>
  <c r="J78" i="10" s="1"/>
  <c r="P78"/>
  <c r="O77" i="2"/>
  <c r="X79"/>
  <c r="B79"/>
  <c r="AB16"/>
  <c r="AA16" i="10" s="1"/>
  <c r="Q81" i="2" l="1"/>
  <c r="P81"/>
  <c r="Y81"/>
  <c r="T81"/>
  <c r="W81"/>
  <c r="J81"/>
  <c r="I81"/>
  <c r="S81"/>
  <c r="U81" s="1"/>
  <c r="V81"/>
  <c r="H81"/>
  <c r="X81"/>
  <c r="R81"/>
  <c r="K81"/>
  <c r="D81"/>
  <c r="AR84"/>
  <c r="AS84" s="1"/>
  <c r="AT84" s="1"/>
  <c r="AP85"/>
  <c r="C82"/>
  <c r="BG83"/>
  <c r="BA83"/>
  <c r="AZ83"/>
  <c r="BO83"/>
  <c r="AL83"/>
  <c r="BH83"/>
  <c r="AK83"/>
  <c r="BB83"/>
  <c r="BF84"/>
  <c r="AU83"/>
  <c r="AV83"/>
  <c r="AW83"/>
  <c r="F82" s="1"/>
  <c r="N82" s="1"/>
  <c r="BE83"/>
  <c r="BJ81"/>
  <c r="BI81"/>
  <c r="BJ82"/>
  <c r="BI82"/>
  <c r="AY83"/>
  <c r="E81"/>
  <c r="M81" s="1"/>
  <c r="W78" i="10"/>
  <c r="W79"/>
  <c r="Y75"/>
  <c r="AA75" i="2"/>
  <c r="Z75" i="10" s="1"/>
  <c r="N76"/>
  <c r="BE77" i="2"/>
  <c r="I80"/>
  <c r="Z76"/>
  <c r="AA76" s="1"/>
  <c r="Z76" i="10" s="1"/>
  <c r="X80" i="2"/>
  <c r="Z81"/>
  <c r="AA81" s="1"/>
  <c r="U80"/>
  <c r="O78" i="10"/>
  <c r="O79"/>
  <c r="N77"/>
  <c r="AA73"/>
  <c r="M79"/>
  <c r="M80" s="1"/>
  <c r="AB43" i="2"/>
  <c r="E80"/>
  <c r="D80" i="10"/>
  <c r="M78" i="2"/>
  <c r="L78" i="10" s="1"/>
  <c r="J80"/>
  <c r="AB49" i="2"/>
  <c r="AA49" i="10" s="1"/>
  <c r="A80" i="2"/>
  <c r="B80" s="1"/>
  <c r="A81" s="1"/>
  <c r="B81" s="1"/>
  <c r="A79" i="10"/>
  <c r="R77" i="2"/>
  <c r="Q77" i="10" s="1"/>
  <c r="P80"/>
  <c r="T80"/>
  <c r="K80"/>
  <c r="K80" i="2"/>
  <c r="N80"/>
  <c r="L80"/>
  <c r="M79"/>
  <c r="L79" i="10" s="1"/>
  <c r="G79" i="2"/>
  <c r="F79" i="10" s="1"/>
  <c r="G78" i="2"/>
  <c r="F78" i="10" s="1"/>
  <c r="G80" i="2"/>
  <c r="R79"/>
  <c r="Q79" i="10" s="1"/>
  <c r="R78" i="2"/>
  <c r="Q78" i="10" s="1"/>
  <c r="Z77" i="2"/>
  <c r="BE78" s="1"/>
  <c r="AB66"/>
  <c r="AA66" i="10" s="1"/>
  <c r="W80" l="1"/>
  <c r="E82" i="2"/>
  <c r="M82" s="1"/>
  <c r="AZ84"/>
  <c r="AL84"/>
  <c r="BO84"/>
  <c r="AK84"/>
  <c r="BH84"/>
  <c r="BG84"/>
  <c r="BA84"/>
  <c r="C83"/>
  <c r="BF85"/>
  <c r="BB84"/>
  <c r="AU84"/>
  <c r="AV84"/>
  <c r="E83" s="1"/>
  <c r="M83" s="1"/>
  <c r="AW84"/>
  <c r="BE84"/>
  <c r="Q82"/>
  <c r="P82"/>
  <c r="Y82"/>
  <c r="W82"/>
  <c r="V82"/>
  <c r="H82"/>
  <c r="I82"/>
  <c r="R82" s="1"/>
  <c r="S82"/>
  <c r="U82" s="1"/>
  <c r="T82"/>
  <c r="J82"/>
  <c r="X82"/>
  <c r="K82"/>
  <c r="G82"/>
  <c r="O82" s="1"/>
  <c r="L82"/>
  <c r="Z82"/>
  <c r="AA82" s="1"/>
  <c r="AB82" s="1"/>
  <c r="BJ83"/>
  <c r="BI83"/>
  <c r="AR85"/>
  <c r="AS85" s="1"/>
  <c r="AT85" s="1"/>
  <c r="AP86"/>
  <c r="AY84"/>
  <c r="D82"/>
  <c r="BE82"/>
  <c r="Y77" i="10"/>
  <c r="AA77" i="2"/>
  <c r="Z77" i="10" s="1"/>
  <c r="Y76"/>
  <c r="O80"/>
  <c r="AB81" i="2"/>
  <c r="AA43" i="10"/>
  <c r="AB70" i="2"/>
  <c r="AA70" i="10" s="1"/>
  <c r="O79" i="2"/>
  <c r="O78"/>
  <c r="M80"/>
  <c r="L80" i="10"/>
  <c r="Q80"/>
  <c r="O80" i="2"/>
  <c r="R80"/>
  <c r="A82"/>
  <c r="B82" s="1"/>
  <c r="F83" l="1"/>
  <c r="N83" s="1"/>
  <c r="Y83"/>
  <c r="D83"/>
  <c r="BO85"/>
  <c r="BH85"/>
  <c r="BG85"/>
  <c r="BA85"/>
  <c r="AL85"/>
  <c r="AZ85"/>
  <c r="AK85"/>
  <c r="C84"/>
  <c r="BF86"/>
  <c r="BB85"/>
  <c r="AU85"/>
  <c r="AW85"/>
  <c r="F84" s="1"/>
  <c r="N84" s="1"/>
  <c r="AV85"/>
  <c r="BE85"/>
  <c r="AR86"/>
  <c r="AS86" s="1"/>
  <c r="AT86" s="1"/>
  <c r="AP87"/>
  <c r="BJ84"/>
  <c r="BI84"/>
  <c r="Q83"/>
  <c r="P83"/>
  <c r="T83"/>
  <c r="I83"/>
  <c r="W83"/>
  <c r="S83"/>
  <c r="U83" s="1"/>
  <c r="J83"/>
  <c r="H83"/>
  <c r="V83"/>
  <c r="X83"/>
  <c r="R83"/>
  <c r="K83"/>
  <c r="D84"/>
  <c r="L83"/>
  <c r="G83"/>
  <c r="O83" s="1"/>
  <c r="Z83"/>
  <c r="AA83" s="1"/>
  <c r="AB83" s="1"/>
  <c r="AY85"/>
  <c r="Z80"/>
  <c r="AA80" s="1"/>
  <c r="AB80" s="1"/>
  <c r="N78" i="10"/>
  <c r="N79"/>
  <c r="AB76" i="2"/>
  <c r="A83"/>
  <c r="AB75"/>
  <c r="AA75" i="10" s="1"/>
  <c r="AB74" i="2"/>
  <c r="AA74" i="10" s="1"/>
  <c r="AB77" i="2"/>
  <c r="Z79"/>
  <c r="AA79" s="1"/>
  <c r="Z79" i="10" s="1"/>
  <c r="Z78" i="2"/>
  <c r="BE79" s="1"/>
  <c r="F80" i="10"/>
  <c r="E84" i="2" l="1"/>
  <c r="M84" s="1"/>
  <c r="BH86"/>
  <c r="AZ86"/>
  <c r="AL86"/>
  <c r="BG86"/>
  <c r="BA86"/>
  <c r="AK86"/>
  <c r="BO86"/>
  <c r="C85"/>
  <c r="AY86"/>
  <c r="BF87"/>
  <c r="BB86"/>
  <c r="AU86"/>
  <c r="D85" s="1"/>
  <c r="AV86"/>
  <c r="AW86"/>
  <c r="F85" s="1"/>
  <c r="N85" s="1"/>
  <c r="BE86"/>
  <c r="BJ85"/>
  <c r="BI85"/>
  <c r="AR87"/>
  <c r="AS87" s="1"/>
  <c r="AT87" s="1"/>
  <c r="AP88"/>
  <c r="Q84"/>
  <c r="P84"/>
  <c r="Y84"/>
  <c r="V84"/>
  <c r="T84"/>
  <c r="H84"/>
  <c r="W84"/>
  <c r="J84"/>
  <c r="I84"/>
  <c r="K84"/>
  <c r="R84"/>
  <c r="S84"/>
  <c r="X84"/>
  <c r="U84"/>
  <c r="G84"/>
  <c r="O84" s="1"/>
  <c r="L84"/>
  <c r="Z84"/>
  <c r="AA84" s="1"/>
  <c r="AB84" s="1"/>
  <c r="BE81"/>
  <c r="AA77" i="10"/>
  <c r="BE80" i="2"/>
  <c r="AA78"/>
  <c r="Z78" i="10" s="1"/>
  <c r="Z80" s="1"/>
  <c r="AA76"/>
  <c r="B83" i="2"/>
  <c r="A84" s="1"/>
  <c r="Y79" i="10"/>
  <c r="Y78"/>
  <c r="N80"/>
  <c r="E85" i="2" l="1"/>
  <c r="M85" s="1"/>
  <c r="AR88"/>
  <c r="AS88" s="1"/>
  <c r="AT88" s="1"/>
  <c r="AP89"/>
  <c r="Y85"/>
  <c r="Q85"/>
  <c r="P85"/>
  <c r="S85"/>
  <c r="W85"/>
  <c r="J85"/>
  <c r="H85"/>
  <c r="V85"/>
  <c r="T85"/>
  <c r="I85"/>
  <c r="X85"/>
  <c r="U85"/>
  <c r="K85"/>
  <c r="R85"/>
  <c r="L85"/>
  <c r="G85"/>
  <c r="O85" s="1"/>
  <c r="Z85"/>
  <c r="AA85" s="1"/>
  <c r="AB85" s="1"/>
  <c r="BJ86"/>
  <c r="BI86"/>
  <c r="BG87"/>
  <c r="BA87"/>
  <c r="AV87"/>
  <c r="BF88"/>
  <c r="AY87"/>
  <c r="BO87"/>
  <c r="BB87"/>
  <c r="AZ87"/>
  <c r="AW87"/>
  <c r="AL87"/>
  <c r="BH87"/>
  <c r="BE87"/>
  <c r="AK87"/>
  <c r="C86"/>
  <c r="AA86" s="1"/>
  <c r="AU87"/>
  <c r="Y80" i="10"/>
  <c r="B84" i="2"/>
  <c r="A85" s="1"/>
  <c r="AB78"/>
  <c r="AB79"/>
  <c r="AY88" l="1"/>
  <c r="AL88"/>
  <c r="BO88"/>
  <c r="BB88"/>
  <c r="AZ88"/>
  <c r="AW88"/>
  <c r="AK88"/>
  <c r="BH88"/>
  <c r="BE88"/>
  <c r="AU88"/>
  <c r="BG88"/>
  <c r="BF89"/>
  <c r="BA88"/>
  <c r="AV88"/>
  <c r="C87"/>
  <c r="D86"/>
  <c r="AP90"/>
  <c r="AR89"/>
  <c r="AS89" s="1"/>
  <c r="AT89" s="1"/>
  <c r="BJ87"/>
  <c r="BI87"/>
  <c r="T86"/>
  <c r="Q86"/>
  <c r="P86"/>
  <c r="Y86"/>
  <c r="F86"/>
  <c r="S86"/>
  <c r="U86" s="1"/>
  <c r="J86"/>
  <c r="V86"/>
  <c r="H86"/>
  <c r="X86"/>
  <c r="W86"/>
  <c r="I86"/>
  <c r="K86" s="1"/>
  <c r="L86"/>
  <c r="N86"/>
  <c r="G86"/>
  <c r="O86" s="1"/>
  <c r="E86"/>
  <c r="R86"/>
  <c r="M86"/>
  <c r="Z86"/>
  <c r="AB86"/>
  <c r="AA79" i="10"/>
  <c r="AA78"/>
  <c r="B85" i="2"/>
  <c r="A86" s="1"/>
  <c r="AA80" i="10" l="1"/>
  <c r="D87" i="2"/>
  <c r="BO89"/>
  <c r="BE89"/>
  <c r="BB89"/>
  <c r="AZ89"/>
  <c r="I88" s="1"/>
  <c r="AW89"/>
  <c r="BH89"/>
  <c r="BF90"/>
  <c r="AU89"/>
  <c r="D88" s="1"/>
  <c r="BG89"/>
  <c r="BA89"/>
  <c r="AV89"/>
  <c r="AL89"/>
  <c r="AY89"/>
  <c r="AK89"/>
  <c r="C88"/>
  <c r="AP91"/>
  <c r="AR90"/>
  <c r="AS90" s="1"/>
  <c r="AT90" s="1"/>
  <c r="F87"/>
  <c r="AA87"/>
  <c r="Q87"/>
  <c r="P87"/>
  <c r="Y87"/>
  <c r="E87"/>
  <c r="S87"/>
  <c r="M87"/>
  <c r="K87"/>
  <c r="X87"/>
  <c r="H87"/>
  <c r="U87"/>
  <c r="G87"/>
  <c r="T87"/>
  <c r="N87"/>
  <c r="L87"/>
  <c r="R87"/>
  <c r="W87"/>
  <c r="I87"/>
  <c r="V87"/>
  <c r="AB87"/>
  <c r="O87"/>
  <c r="Z87"/>
  <c r="J87"/>
  <c r="BJ88"/>
  <c r="BI88"/>
  <c r="B86"/>
  <c r="A87" s="1"/>
  <c r="BH90" l="1"/>
  <c r="AU90"/>
  <c r="AL90"/>
  <c r="BG90"/>
  <c r="BA90"/>
  <c r="AV90"/>
  <c r="AK90"/>
  <c r="BE90"/>
  <c r="AY90"/>
  <c r="BO90"/>
  <c r="BF91"/>
  <c r="BB90"/>
  <c r="AZ90"/>
  <c r="AW90"/>
  <c r="C89"/>
  <c r="BJ89"/>
  <c r="BI89"/>
  <c r="H88"/>
  <c r="Q88"/>
  <c r="P88"/>
  <c r="Y88"/>
  <c r="AA88"/>
  <c r="E88"/>
  <c r="O88"/>
  <c r="M88"/>
  <c r="W88"/>
  <c r="K88"/>
  <c r="U88"/>
  <c r="G88"/>
  <c r="S88"/>
  <c r="V88"/>
  <c r="F88"/>
  <c r="X88"/>
  <c r="Z88"/>
  <c r="J88"/>
  <c r="AB88"/>
  <c r="N88"/>
  <c r="L88"/>
  <c r="R88"/>
  <c r="T88"/>
  <c r="AP92"/>
  <c r="AR92" s="1"/>
  <c r="AS92" s="1"/>
  <c r="AT92" s="1"/>
  <c r="AR91"/>
  <c r="AS91" s="1"/>
  <c r="AT91" s="1"/>
  <c r="B87"/>
  <c r="A88" s="1"/>
  <c r="B88" s="1"/>
  <c r="D89" l="1"/>
  <c r="BJ90"/>
  <c r="BI90"/>
  <c r="BG91"/>
  <c r="BE91"/>
  <c r="BA91"/>
  <c r="AV91"/>
  <c r="BF92"/>
  <c r="AY91"/>
  <c r="BO91"/>
  <c r="BB91"/>
  <c r="AZ91"/>
  <c r="AW91"/>
  <c r="AL91"/>
  <c r="BH91"/>
  <c r="AU91"/>
  <c r="AK91"/>
  <c r="C90"/>
  <c r="E89"/>
  <c r="Y89"/>
  <c r="Q89"/>
  <c r="AA89"/>
  <c r="P89"/>
  <c r="S89"/>
  <c r="D90"/>
  <c r="N89"/>
  <c r="X89"/>
  <c r="M89"/>
  <c r="R89"/>
  <c r="AB89"/>
  <c r="H89"/>
  <c r="U89"/>
  <c r="G89"/>
  <c r="K89"/>
  <c r="O89"/>
  <c r="V89"/>
  <c r="F89"/>
  <c r="L89"/>
  <c r="W89"/>
  <c r="Z89"/>
  <c r="J89"/>
  <c r="T89"/>
  <c r="I89"/>
  <c r="AY92"/>
  <c r="AL92"/>
  <c r="BO92"/>
  <c r="BB92"/>
  <c r="AZ92"/>
  <c r="AW92"/>
  <c r="AK92"/>
  <c r="BH92"/>
  <c r="BE92"/>
  <c r="AU92"/>
  <c r="BG92"/>
  <c r="BA92"/>
  <c r="AV92"/>
  <c r="C91"/>
  <c r="F90" l="1"/>
  <c r="Q90"/>
  <c r="Y90"/>
  <c r="P90"/>
  <c r="AA90"/>
  <c r="K90"/>
  <c r="D91"/>
  <c r="S90"/>
  <c r="O90"/>
  <c r="X90"/>
  <c r="M90"/>
  <c r="R90"/>
  <c r="L90"/>
  <c r="W90"/>
  <c r="U90"/>
  <c r="V90"/>
  <c r="T90"/>
  <c r="E90"/>
  <c r="Z90"/>
  <c r="J90"/>
  <c r="AB90"/>
  <c r="G90"/>
  <c r="H90"/>
  <c r="I90"/>
  <c r="N90"/>
  <c r="BJ92"/>
  <c r="BI92"/>
  <c r="F91"/>
  <c r="AA91"/>
  <c r="Q91"/>
  <c r="P91"/>
  <c r="Y91"/>
  <c r="I91"/>
  <c r="O91"/>
  <c r="W91"/>
  <c r="H91"/>
  <c r="M91"/>
  <c r="U91"/>
  <c r="G91"/>
  <c r="L91"/>
  <c r="T91"/>
  <c r="AB91"/>
  <c r="E91"/>
  <c r="K91"/>
  <c r="S91"/>
  <c r="X91"/>
  <c r="D92"/>
  <c r="R91"/>
  <c r="V91"/>
  <c r="Z91"/>
  <c r="J91"/>
  <c r="N91"/>
  <c r="BJ91"/>
  <c r="BI91"/>
</calcChain>
</file>

<file path=xl/sharedStrings.xml><?xml version="1.0" encoding="utf-8"?>
<sst xmlns="http://schemas.openxmlformats.org/spreadsheetml/2006/main" count="223" uniqueCount="148">
  <si>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</si>
  <si>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</si>
  <si>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</si>
  <si>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</si>
  <si>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</si>
  <si>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</si>
  <si>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</si>
  <si>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</si>
  <si>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</si>
  <si>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</si>
  <si>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</si>
  <si>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</si>
  <si>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</si>
  <si>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</si>
  <si>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</si>
  <si>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</si>
  <si>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</si>
  <si>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</si>
  <si>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</si>
  <si>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</si>
  <si>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</si>
  <si>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</si>
  <si>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</si>
  <si>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</si>
  <si>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</si>
  <si>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</si>
  <si>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Mahtma Gandhi Government School (English Medium) Bar, PALI</t>
  </si>
  <si>
    <t>USHA PALIYA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</si>
  <si>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</si>
  <si>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</si>
  <si>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</si>
  <si>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</si>
  <si>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</si>
  <si>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</si>
  <si>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</si>
  <si>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</si>
  <si>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</si>
  <si>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</si>
  <si>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</si>
  <si>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</si>
  <si>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</si>
  <si>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</si>
  <si>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</si>
  <si>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</si>
  <si>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</si>
  <si>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</si>
  <si>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</si>
  <si>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</si>
  <si>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</si>
  <si>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</si>
  <si>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</si>
  <si>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</si>
  <si>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</si>
  <si>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</si>
  <si>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</si>
  <si>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</si>
  <si>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</si>
  <si>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</si>
  <si>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</si>
  <si>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</si>
  <si>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</si>
  <si>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</si>
  <si>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</si>
  <si>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</si>
  <si>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</si>
  <si>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</si>
  <si>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</si>
  <si>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</si>
  <si>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</si>
  <si>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</si>
  <si>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</si>
  <si>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</si>
  <si>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</si>
  <si>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</si>
  <si>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</si>
  <si>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</si>
  <si>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</si>
  <si>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</si>
  <si>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</si>
  <si>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</si>
  <si>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</si>
  <si>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</si>
  <si>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</si>
  <si>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</si>
  <si>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</si>
  <si>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</si>
  <si>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</si>
  <si>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</si>
  <si>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</si>
  <si>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</si>
  <si>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</si>
  <si>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</si>
  <si>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</si>
  <si>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</si>
  <si>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</si>
  <si>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</si>
  <si>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</si>
  <si>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</si>
  <si>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</si>
  <si>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</si>
  <si>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</si>
  <si>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</si>
  <si>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</si>
  <si>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</si>
  <si>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</si>
  <si>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</si>
  <si>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</si>
  <si>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</si>
  <si>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</si>
  <si>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</si>
  <si>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</si>
  <si>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</si>
  <si>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</si>
  <si>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</si>
  <si>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</si>
  <si>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</si>
  <si>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</si>
  <si>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</si>
  <si>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</si>
  <si>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</si>
  <si>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</si>
  <si>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</si>
  <si>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</si>
  <si>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</si>
  <si>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</si>
  <si>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HEERALAL 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</si>
  <si>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</si>
  <si>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</si>
  <si>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</si>
  <si>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</si>
  <si>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</si>
  <si>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</si>
  <si>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आपके वेतन से राज्य बीमा कटोती हो रही है तो  YES सेलेक्ट करें :-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</si>
  <si>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</si>
  <si>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</si>
  <si>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</si>
  <si>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New Update Date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</si>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</sst>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sz val="10"/>
      <color theme="2" tint="-0.249977111117893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Times New Roman"/>
      <family val="1"/>
    </font>
    <font>
      <sz val="8"/>
      <color theme="2" tint="-0.249977111117893"/>
      <name val="Times New Roman"/>
      <charset val="1"/>
    </font>
    <font>
      <sz val="11"/>
      <color theme="2" tint="-0.249977111117893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2" tint="-9.9978637043366805E-2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</cellStyleXfs>
  <cellXfs count="255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shrinkToFit="1"/>
      <protection hidden="1"/>
    </xf>
    <xf numFmtId="14" fontId="45" fillId="0" borderId="0" xfId="0" applyNumberFormat="1" applyFont="1" applyAlignment="1" applyProtection="1">
      <alignment vertical="center" shrinkToFit="1"/>
      <protection hidden="1"/>
    </xf>
    <xf numFmtId="0" fontId="46" fillId="0" borderId="0" xfId="0" applyFont="1" applyAlignment="1" applyProtection="1">
      <alignment vertical="center" shrinkToFit="1"/>
      <protection hidden="1"/>
    </xf>
    <xf numFmtId="0" fontId="47" fillId="0" borderId="0" xfId="0" applyFont="1" applyAlignment="1" applyProtection="1">
      <alignment vertical="center" shrinkToFit="1"/>
      <protection hidden="1"/>
    </xf>
    <xf numFmtId="14" fontId="46" fillId="0" borderId="0" xfId="0" applyNumberFormat="1" applyFont="1" applyAlignment="1" applyProtection="1">
      <alignment vertical="center" shrinkToFit="1"/>
      <protection hidden="1"/>
    </xf>
    <xf numFmtId="14" fontId="45" fillId="0" borderId="10" xfId="0" applyNumberFormat="1" applyFont="1" applyBorder="1" applyAlignment="1" applyProtection="1">
      <alignment vertical="center" shrinkToFit="1"/>
      <protection hidden="1"/>
    </xf>
    <xf numFmtId="14" fontId="45" fillId="0" borderId="11" xfId="0" applyNumberFormat="1" applyFont="1" applyBorder="1" applyAlignment="1" applyProtection="1">
      <alignment vertical="center" shrinkToFit="1"/>
      <protection hidden="1"/>
    </xf>
    <xf numFmtId="0" fontId="45" fillId="0" borderId="11" xfId="0" applyFont="1" applyBorder="1" applyAlignment="1" applyProtection="1">
      <alignment vertical="center" shrinkToFit="1"/>
      <protection hidden="1"/>
    </xf>
    <xf numFmtId="1" fontId="45" fillId="0" borderId="12" xfId="0" applyNumberFormat="1" applyFont="1" applyBorder="1" applyAlignment="1" applyProtection="1">
      <alignment vertical="center" shrinkToFit="1"/>
      <protection hidden="1"/>
    </xf>
    <xf numFmtId="0" fontId="45" fillId="0" borderId="10" xfId="0" applyFont="1" applyBorder="1" applyAlignment="1" applyProtection="1">
      <alignment vertical="center" shrinkToFit="1"/>
      <protection hidden="1"/>
    </xf>
    <xf numFmtId="0" fontId="45" fillId="0" borderId="12" xfId="0" applyFont="1" applyBorder="1" applyAlignment="1" applyProtection="1">
      <alignment vertical="center" shrinkToFit="1"/>
      <protection hidden="1"/>
    </xf>
    <xf numFmtId="0" fontId="48" fillId="0" borderId="0" xfId="0" applyFont="1" applyAlignment="1" applyProtection="1">
      <alignment vertical="top" wrapText="1" readingOrder="1"/>
      <protection hidden="1"/>
    </xf>
    <xf numFmtId="0" fontId="45" fillId="0" borderId="0" xfId="0" applyFont="1" applyAlignment="1" applyProtection="1">
      <alignment shrinkToFit="1"/>
      <protection hidden="1"/>
    </xf>
    <xf numFmtId="0" fontId="49" fillId="0" borderId="0" xfId="0" applyFont="1" applyProtection="1">
      <protection hidden="1"/>
    </xf>
    <xf numFmtId="0" fontId="45" fillId="0" borderId="0" xfId="0" applyFont="1" applyAlignment="1" applyProtection="1">
      <alignment vertical="top" shrinkToFit="1"/>
      <protection hidden="1"/>
    </xf>
    <xf numFmtId="14" fontId="45" fillId="0" borderId="0" xfId="0" applyNumberFormat="1" applyFont="1" applyAlignment="1" applyProtection="1">
      <alignment vertical="top" shrinkToFit="1"/>
      <protection hidden="1"/>
    </xf>
    <xf numFmtId="0" fontId="45" fillId="0" borderId="0" xfId="0" applyFont="1" applyAlignment="1" applyProtection="1">
      <alignment horizontal="center" vertical="center" shrinkToFit="1"/>
      <protection hidden="1"/>
    </xf>
    <xf numFmtId="0" fontId="45" fillId="6" borderId="0" xfId="0" applyFont="1" applyFill="1" applyAlignment="1" applyProtection="1">
      <alignment vertical="top" shrinkToFit="1"/>
      <protection hidden="1"/>
    </xf>
    <xf numFmtId="0" fontId="45" fillId="7" borderId="0" xfId="0" applyFont="1" applyFill="1" applyAlignment="1" applyProtection="1">
      <alignment vertical="top" shrinkToFit="1"/>
      <protection hidden="1"/>
    </xf>
    <xf numFmtId="0" fontId="28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16" fillId="8" borderId="8" xfId="0" applyFont="1" applyFill="1" applyBorder="1" applyAlignment="1" applyProtection="1">
      <alignment horizontal="center" vertical="center"/>
      <protection hidden="1"/>
    </xf>
    <xf numFmtId="165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39" fillId="11" borderId="1" xfId="0" applyFont="1" applyFill="1" applyBorder="1" applyAlignment="1" applyProtection="1">
      <alignment vertical="justify" wrapText="1"/>
      <protection hidden="1"/>
    </xf>
    <xf numFmtId="0" fontId="0" fillId="12" borderId="0" xfId="0" applyFill="1" applyProtection="1">
      <protection hidden="1"/>
    </xf>
    <xf numFmtId="0" fontId="51" fillId="12" borderId="0" xfId="0" applyFont="1" applyFill="1" applyAlignment="1" applyProtection="1">
      <alignment wrapText="1"/>
      <protection hidden="1"/>
    </xf>
    <xf numFmtId="0" fontId="10" fillId="13" borderId="3" xfId="0" applyFont="1" applyFill="1" applyBorder="1" applyAlignment="1" applyProtection="1">
      <alignment horizontal="center" vertical="center"/>
      <protection hidden="1"/>
    </xf>
    <xf numFmtId="0" fontId="16" fillId="13" borderId="4" xfId="0" applyFont="1" applyFill="1" applyBorder="1" applyAlignment="1" applyProtection="1">
      <alignment horizontal="center" vertical="center"/>
      <protection hidden="1"/>
    </xf>
    <xf numFmtId="0" fontId="15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10" fillId="14" borderId="3" xfId="0" applyFont="1" applyFill="1" applyBorder="1" applyAlignment="1" applyProtection="1">
      <alignment horizontal="center" vertical="center"/>
      <protection hidden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0" fontId="15" fillId="14" borderId="1" xfId="0" applyFont="1" applyFill="1" applyBorder="1" applyAlignment="1" applyProtection="1">
      <alignment vertical="center" wrapText="1"/>
      <protection hidden="1"/>
    </xf>
    <xf numFmtId="0" fontId="0" fillId="14" borderId="0" xfId="0" applyFill="1" applyProtection="1">
      <protection hidden="1"/>
    </xf>
    <xf numFmtId="0" fontId="0" fillId="15" borderId="3" xfId="0" applyFill="1" applyBorder="1" applyProtection="1">
      <protection hidden="1"/>
    </xf>
    <xf numFmtId="0" fontId="63" fillId="15" borderId="4" xfId="0" applyFont="1" applyFill="1" applyBorder="1" applyAlignment="1" applyProtection="1">
      <alignment horizontal="right" vertical="center"/>
      <protection hidden="1"/>
    </xf>
    <xf numFmtId="0" fontId="63" fillId="15" borderId="1" xfId="0" applyFont="1" applyFill="1" applyBorder="1" applyAlignment="1" applyProtection="1">
      <alignment vertical="center" wrapText="1"/>
      <protection hidden="1"/>
    </xf>
    <xf numFmtId="0" fontId="0" fillId="15" borderId="0" xfId="0" applyFill="1" applyProtection="1">
      <protection hidden="1"/>
    </xf>
    <xf numFmtId="0" fontId="0" fillId="17" borderId="0" xfId="0" applyFill="1" applyProtection="1">
      <protection hidden="1"/>
    </xf>
    <xf numFmtId="0" fontId="64" fillId="17" borderId="0" xfId="0" applyFont="1" applyFill="1" applyProtection="1">
      <protection hidden="1"/>
    </xf>
    <xf numFmtId="0" fontId="0" fillId="16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45" fillId="18" borderId="0" xfId="0" applyFont="1" applyFill="1" applyAlignment="1" applyProtection="1">
      <alignment vertical="top" shrinkToFit="1"/>
      <protection hidden="1"/>
    </xf>
    <xf numFmtId="0" fontId="18" fillId="10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45" fillId="0" borderId="0" xfId="0" applyFont="1" applyBorder="1" applyAlignment="1" applyProtection="1">
      <alignment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4" fillId="0" borderId="0" xfId="0" applyFont="1" applyAlignment="1" applyProtection="1">
      <alignment vertical="top" shrinkToFit="1"/>
      <protection hidden="1"/>
    </xf>
    <xf numFmtId="0" fontId="74" fillId="0" borderId="0" xfId="0" applyFont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75" fillId="0" borderId="0" xfId="0" applyFont="1" applyAlignment="1" applyProtection="1">
      <alignment vertical="center" shrinkToFit="1"/>
      <protection hidden="1"/>
    </xf>
    <xf numFmtId="0" fontId="76" fillId="0" borderId="0" xfId="0" applyFont="1" applyAlignment="1" applyProtection="1">
      <alignment vertical="center" shrinkToFit="1"/>
      <protection hidden="1"/>
    </xf>
    <xf numFmtId="0" fontId="75" fillId="0" borderId="0" xfId="0" applyFont="1" applyAlignment="1" applyProtection="1">
      <alignment shrinkToFit="1"/>
      <protection hidden="1"/>
    </xf>
    <xf numFmtId="0" fontId="75" fillId="0" borderId="0" xfId="0" applyFont="1" applyAlignment="1" applyProtection="1">
      <alignment vertical="top" shrinkToFit="1"/>
      <protection hidden="1"/>
    </xf>
    <xf numFmtId="0" fontId="81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7" fillId="10" borderId="0" xfId="0" applyFont="1" applyFill="1" applyAlignment="1" applyProtection="1">
      <alignment horizontal="left" vertical="center"/>
      <protection hidden="1"/>
    </xf>
    <xf numFmtId="0" fontId="82" fillId="10" borderId="0" xfId="1" applyFont="1" applyFill="1" applyAlignment="1" applyProtection="1">
      <alignment horizontal="left" vertical="center"/>
      <protection hidden="1"/>
    </xf>
    <xf numFmtId="0" fontId="80" fillId="4" borderId="0" xfId="0" applyFont="1" applyFill="1" applyBorder="1" applyAlignment="1" applyProtection="1">
      <alignment horizontal="right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66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82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52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80" fillId="4" borderId="0" xfId="0" applyFont="1" applyFill="1" applyBorder="1" applyAlignment="1" applyProtection="1">
      <alignment horizontal="right" vertical="center" wrapText="1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3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62" fillId="10" borderId="0" xfId="0" applyFont="1" applyFill="1" applyAlignment="1" applyProtection="1">
      <alignment horizontal="center" vertical="center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70" fillId="4" borderId="0" xfId="1" applyFont="1" applyFill="1" applyAlignment="1" applyProtection="1">
      <alignment horizontal="center" vertical="center"/>
      <protection hidden="1"/>
    </xf>
    <xf numFmtId="0" fontId="71" fillId="4" borderId="0" xfId="0" applyFont="1" applyFill="1" applyAlignment="1" applyProtection="1">
      <alignment horizontal="center" vertical="center"/>
      <protection hidden="1"/>
    </xf>
    <xf numFmtId="0" fontId="69" fillId="4" borderId="0" xfId="0" applyFont="1" applyFill="1" applyAlignment="1" applyProtection="1">
      <alignment horizontal="center" vertical="center"/>
      <protection hidden="1"/>
    </xf>
    <xf numFmtId="0" fontId="68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0" fontId="56" fillId="4" borderId="0" xfId="1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61" fillId="4" borderId="0" xfId="0" applyFont="1" applyFill="1" applyAlignment="1" applyProtection="1">
      <alignment horizontal="center" vertical="top"/>
      <protection hidden="1"/>
    </xf>
    <xf numFmtId="0" fontId="60" fillId="4" borderId="0" xfId="0" applyFont="1" applyFill="1" applyAlignment="1" applyProtection="1">
      <alignment horizontal="center" vertical="center"/>
      <protection hidden="1"/>
    </xf>
    <xf numFmtId="0" fontId="59" fillId="4" borderId="0" xfId="0" applyFont="1" applyFill="1" applyAlignment="1" applyProtection="1">
      <alignment horizontal="center" vertical="center"/>
      <protection hidden="1"/>
    </xf>
    <xf numFmtId="0" fontId="58" fillId="4" borderId="0" xfId="0" applyFont="1" applyFill="1" applyAlignment="1" applyProtection="1">
      <alignment horizontal="center" vertical="center"/>
      <protection hidden="1"/>
    </xf>
    <xf numFmtId="0" fontId="57" fillId="4" borderId="0" xfId="0" applyFont="1" applyFill="1" applyAlignment="1" applyProtection="1">
      <alignment horizontal="center" vertical="center"/>
      <protection hidden="1"/>
    </xf>
    <xf numFmtId="0" fontId="53" fillId="4" borderId="17" xfId="0" applyFont="1" applyFill="1" applyBorder="1" applyAlignment="1" applyProtection="1">
      <alignment horizontal="right" vertical="top" wrapText="1"/>
      <protection hidden="1"/>
    </xf>
    <xf numFmtId="0" fontId="53" fillId="4" borderId="9" xfId="0" applyFont="1" applyFill="1" applyBorder="1" applyAlignment="1" applyProtection="1">
      <alignment horizontal="right" vertical="top" wrapText="1"/>
      <protection hidden="1"/>
    </xf>
    <xf numFmtId="0" fontId="66" fillId="4" borderId="0" xfId="0" applyFont="1" applyFill="1" applyBorder="1" applyAlignment="1" applyProtection="1">
      <alignment horizontal="right" vertical="center"/>
      <protection hidden="1"/>
    </xf>
    <xf numFmtId="0" fontId="66" fillId="4" borderId="9" xfId="0" applyFont="1" applyFill="1" applyBorder="1" applyAlignment="1" applyProtection="1">
      <alignment horizontal="right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53" fillId="4" borderId="17" xfId="0" applyFont="1" applyFill="1" applyBorder="1" applyAlignment="1" applyProtection="1">
      <alignment horizontal="right" vertical="center" wrapText="1"/>
      <protection hidden="1"/>
    </xf>
    <xf numFmtId="0" fontId="53" fillId="4" borderId="9" xfId="0" applyFont="1" applyFill="1" applyBorder="1" applyAlignment="1" applyProtection="1">
      <alignment horizontal="right" vertical="center" wrapText="1"/>
      <protection hidden="1"/>
    </xf>
    <xf numFmtId="0" fontId="80" fillId="4" borderId="0" xfId="0" applyFont="1" applyFill="1" applyBorder="1" applyAlignment="1" applyProtection="1">
      <alignment horizontal="right" vertical="center"/>
      <protection hidden="1"/>
    </xf>
    <xf numFmtId="0" fontId="80" fillId="4" borderId="9" xfId="0" applyFont="1" applyFill="1" applyBorder="1" applyAlignment="1" applyProtection="1">
      <alignment horizontal="right" vertical="center"/>
      <protection hidden="1"/>
    </xf>
    <xf numFmtId="0" fontId="79" fillId="4" borderId="0" xfId="0" applyFont="1" applyFill="1" applyBorder="1" applyAlignment="1" applyProtection="1">
      <alignment horizontal="right" vertical="center"/>
      <protection hidden="1"/>
    </xf>
    <xf numFmtId="0" fontId="79" fillId="4" borderId="9" xfId="0" applyFont="1" applyFill="1" applyBorder="1" applyAlignment="1" applyProtection="1">
      <alignment horizontal="right" vertical="center"/>
      <protection hidden="1"/>
    </xf>
    <xf numFmtId="0" fontId="44" fillId="4" borderId="17" xfId="0" applyFont="1" applyFill="1" applyBorder="1" applyAlignment="1" applyProtection="1">
      <alignment horizontal="right" vertical="center" wrapText="1"/>
      <protection hidden="1"/>
    </xf>
    <xf numFmtId="0" fontId="44" fillId="4" borderId="0" xfId="0" applyFont="1" applyFill="1" applyBorder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17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Border="1" applyAlignment="1" applyProtection="1">
      <alignment horizontal="right" vertical="center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53" fillId="4" borderId="17" xfId="0" applyFont="1" applyFill="1" applyBorder="1" applyAlignment="1" applyProtection="1">
      <alignment horizontal="right" vertical="center"/>
      <protection hidden="1"/>
    </xf>
    <xf numFmtId="0" fontId="53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165" fontId="78" fillId="4" borderId="0" xfId="0" applyNumberFormat="1" applyFont="1" applyFill="1" applyAlignment="1" applyProtection="1">
      <alignment horizontal="center" vertical="center"/>
      <protection hidden="1"/>
    </xf>
    <xf numFmtId="0" fontId="84" fillId="4" borderId="0" xfId="0" applyFont="1" applyFill="1" applyAlignment="1" applyProtection="1">
      <alignment horizontal="center" vertical="center" wrapText="1"/>
      <protection hidden="1"/>
    </xf>
    <xf numFmtId="0" fontId="84" fillId="4" borderId="0" xfId="0" applyFont="1" applyFill="1" applyAlignment="1" applyProtection="1">
      <alignment horizontal="center" vertical="center"/>
      <protection hidden="1"/>
    </xf>
    <xf numFmtId="0" fontId="72" fillId="3" borderId="15" xfId="0" applyFont="1" applyFill="1" applyBorder="1" applyAlignment="1" applyProtection="1">
      <alignment horizontal="center" vertical="center"/>
      <protection hidden="1"/>
    </xf>
    <xf numFmtId="0" fontId="50" fillId="4" borderId="0" xfId="0" applyFont="1" applyFill="1" applyAlignment="1" applyProtection="1">
      <alignment horizontal="center" vertical="center"/>
      <protection hidden="1"/>
    </xf>
    <xf numFmtId="0" fontId="77" fillId="4" borderId="17" xfId="0" applyFont="1" applyFill="1" applyBorder="1" applyAlignment="1" applyProtection="1">
      <alignment horizontal="right" vertical="top" wrapText="1"/>
      <protection hidden="1"/>
    </xf>
    <xf numFmtId="0" fontId="77" fillId="4" borderId="9" xfId="0" applyFont="1" applyFill="1" applyBorder="1" applyAlignment="1" applyProtection="1">
      <alignment horizontal="right" vertical="top" wrapText="1"/>
      <protection hidden="1"/>
    </xf>
    <xf numFmtId="0" fontId="83" fillId="4" borderId="0" xfId="0" applyFont="1" applyFill="1" applyAlignment="1" applyProtection="1">
      <alignment horizontal="center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73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166" fontId="85" fillId="0" borderId="0" xfId="0" applyNumberFormat="1" applyFont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86" fillId="0" borderId="0" xfId="0" applyNumberFormat="1" applyFont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82" fillId="4" borderId="0" xfId="1" applyFont="1" applyFill="1" applyAlignment="1" applyProtection="1">
      <protection hidden="1"/>
    </xf>
  </cellXfs>
  <cellStyles count="2">
    <cellStyle name="Hyperlink" xfId="1" builtinId="8"/>
    <cellStyle name="Normal" xfId="0" builtinId="0"/>
  </cellStyles>
  <dxfs count="52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CC0099"/>
      <color rgb="FF0000CC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505409</xdr:colOff>
      <xdr:row>40</xdr:row>
      <xdr:rowOff>87475</xdr:rowOff>
    </xdr:from>
    <xdr:to>
      <xdr:col>3</xdr:col>
      <xdr:colOff>1049694</xdr:colOff>
      <xdr:row>42</xdr:row>
      <xdr:rowOff>106914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360715" y="12819873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5</xdr:col>
      <xdr:colOff>2507603</xdr:colOff>
      <xdr:row>40</xdr:row>
      <xdr:rowOff>165231</xdr:rowOff>
    </xdr:from>
    <xdr:to>
      <xdr:col>8</xdr:col>
      <xdr:colOff>933062</xdr:colOff>
      <xdr:row>42</xdr:row>
      <xdr:rowOff>184670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7726914" y="12897629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3</xdr:col>
      <xdr:colOff>1662016</xdr:colOff>
      <xdr:row>40</xdr:row>
      <xdr:rowOff>155509</xdr:rowOff>
    </xdr:from>
    <xdr:to>
      <xdr:col>5</xdr:col>
      <xdr:colOff>1885562</xdr:colOff>
      <xdr:row>42</xdr:row>
      <xdr:rowOff>174948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538955" y="12887907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758112</xdr:colOff>
      <xdr:row>39</xdr:row>
      <xdr:rowOff>272144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  <xdr:twoCellAnchor>
    <xdr:from>
      <xdr:col>12</xdr:col>
      <xdr:colOff>19440</xdr:colOff>
      <xdr:row>4</xdr:row>
      <xdr:rowOff>213828</xdr:rowOff>
    </xdr:from>
    <xdr:to>
      <xdr:col>12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6</xdr:row>
      <xdr:rowOff>0</xdr:rowOff>
    </xdr:from>
    <xdr:to>
      <xdr:col>33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6</xdr:row>
      <xdr:rowOff>0</xdr:rowOff>
    </xdr:from>
    <xdr:to>
      <xdr:col>34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8" dataDxfId="7">
  <autoFilter ref="O10:O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youtube.com/c/Heeralaljat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youtu.be/ZmZ-D7xZTpA" TargetMode="External"/><Relationship Id="rId4" Type="http://schemas.openxmlformats.org/officeDocument/2006/relationships/hyperlink" Target="https://youtu.be/KZNCz_sq6i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3"/>
  <sheetViews>
    <sheetView showGridLines="0" showRowColHeaders="0" tabSelected="1" workbookViewId="0">
      <selection activeCell="C8" sqref="C8"/>
    </sheetView>
  </sheetViews>
  <sheetFormatPr defaultColWidth="9" defaultRowHeight="15" zeroHeight="1"/>
  <cols>
    <col min="1" max="1" width="7.25" style="97" customWidth="1"/>
    <col min="2" max="2" width="16.875" style="97" customWidth="1"/>
    <col min="3" max="3" width="120.875" style="97" customWidth="1"/>
    <col min="4" max="4" width="16.75" style="97" customWidth="1"/>
    <col min="5" max="16382" width="9" style="97" hidden="1" customWidth="1"/>
    <col min="16383" max="16383" width="8.75" style="97" hidden="1" customWidth="1"/>
    <col min="16384" max="16384" width="3.75" style="97" hidden="1" customWidth="1"/>
  </cols>
  <sheetData>
    <row r="1" spans="1:6" ht="24" customHeight="1">
      <c r="A1" s="101"/>
      <c r="B1" s="173" t="s">
        <v>98</v>
      </c>
      <c r="C1" s="173"/>
    </row>
    <row r="2" spans="1:6" ht="24.75" customHeight="1">
      <c r="A2" s="101"/>
      <c r="B2" s="173"/>
      <c r="C2" s="173"/>
    </row>
    <row r="3" spans="1:6">
      <c r="A3" s="102"/>
      <c r="B3" s="102"/>
      <c r="C3" s="102"/>
    </row>
    <row r="4" spans="1:6" ht="27" customHeight="1">
      <c r="A4" s="102"/>
      <c r="B4" s="174" t="s">
        <v>110</v>
      </c>
      <c r="C4" s="174"/>
    </row>
    <row r="5" spans="1:6" ht="18.75">
      <c r="A5" s="102"/>
      <c r="B5" s="126" t="s">
        <v>138</v>
      </c>
      <c r="C5" s="143" t="s">
        <v>121</v>
      </c>
    </row>
    <row r="6" spans="1:6" s="135" customFormat="1" ht="22.5" customHeight="1">
      <c r="A6" s="102"/>
      <c r="B6" s="126" t="s">
        <v>139</v>
      </c>
      <c r="C6" s="144" t="s">
        <v>140</v>
      </c>
    </row>
    <row r="7" spans="1:6" s="172" customFormat="1" ht="22.5" customHeight="1">
      <c r="A7" s="102"/>
      <c r="B7" s="126" t="s">
        <v>147</v>
      </c>
      <c r="C7" s="144" t="s">
        <v>146</v>
      </c>
    </row>
    <row r="8" spans="1:6" ht="206.25" customHeight="1">
      <c r="A8" s="103">
        <v>1</v>
      </c>
      <c r="B8" s="104" t="s">
        <v>99</v>
      </c>
      <c r="C8" s="105" t="s">
        <v>120</v>
      </c>
      <c r="F8" s="97" t="s">
        <v>100</v>
      </c>
    </row>
    <row r="9" spans="1:6" ht="15.75">
      <c r="A9" s="106"/>
      <c r="B9" s="106"/>
      <c r="C9" s="106"/>
      <c r="D9" s="141" t="s">
        <v>137</v>
      </c>
    </row>
    <row r="10" spans="1:6" ht="30">
      <c r="A10" s="106"/>
      <c r="B10" s="106"/>
      <c r="C10" s="107" t="s">
        <v>111</v>
      </c>
      <c r="D10" s="142">
        <v>44736</v>
      </c>
    </row>
    <row r="11" spans="1:6">
      <c r="A11" s="106"/>
      <c r="B11" s="106"/>
      <c r="C11" s="106" t="s">
        <v>100</v>
      </c>
    </row>
    <row r="12" spans="1:6" ht="37.5" customHeight="1">
      <c r="A12" s="108">
        <v>2</v>
      </c>
      <c r="B12" s="109" t="s">
        <v>101</v>
      </c>
      <c r="C12" s="110" t="s">
        <v>102</v>
      </c>
    </row>
    <row r="13" spans="1:6">
      <c r="A13" s="111"/>
      <c r="B13" s="111"/>
      <c r="C13" s="111"/>
    </row>
    <row r="14" spans="1:6" ht="37.5">
      <c r="A14" s="112">
        <v>3</v>
      </c>
      <c r="B14" s="113" t="s">
        <v>103</v>
      </c>
      <c r="C14" s="114" t="s">
        <v>109</v>
      </c>
    </row>
    <row r="15" spans="1:6">
      <c r="A15" s="115"/>
      <c r="B15" s="115"/>
      <c r="C15" s="115"/>
    </row>
    <row r="16" spans="1:6" ht="30">
      <c r="A16" s="116"/>
      <c r="B16" s="117" t="s">
        <v>104</v>
      </c>
      <c r="C16" s="118" t="s">
        <v>108</v>
      </c>
    </row>
    <row r="17" spans="1:3">
      <c r="A17" s="119"/>
      <c r="B17" s="119"/>
      <c r="C17" s="119"/>
    </row>
    <row r="18" spans="1:3">
      <c r="A18" s="120"/>
      <c r="B18" s="120"/>
      <c r="C18" s="121" t="s">
        <v>127</v>
      </c>
    </row>
    <row r="19" spans="1:3">
      <c r="A19" s="120"/>
      <c r="B19" s="120"/>
      <c r="C19" s="120"/>
    </row>
    <row r="20" spans="1:3">
      <c r="A20" s="122"/>
      <c r="B20" s="122"/>
      <c r="C20" s="122" t="s">
        <v>105</v>
      </c>
    </row>
    <row r="21" spans="1:3">
      <c r="A21" s="122"/>
      <c r="B21" s="122"/>
      <c r="C21" s="122" t="s">
        <v>107</v>
      </c>
    </row>
    <row r="22" spans="1:3">
      <c r="A22" s="122"/>
      <c r="B22" s="122"/>
      <c r="C22" s="122" t="s">
        <v>106</v>
      </c>
    </row>
    <row r="23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80"/>
  <sheetViews>
    <sheetView showGridLines="0" showRowColHeaders="0" zoomScale="98" zoomScaleNormal="98" workbookViewId="0">
      <selection activeCell="D3" sqref="D3:K3"/>
    </sheetView>
  </sheetViews>
  <sheetFormatPr defaultColWidth="9" defaultRowHeight="18" customHeight="1"/>
  <cols>
    <col min="1" max="1" width="2.75" style="45" customWidth="1"/>
    <col min="2" max="2" width="8.375" style="42" customWidth="1"/>
    <col min="3" max="3" width="26.5" style="42" customWidth="1"/>
    <col min="4" max="4" width="27.75" style="42" customWidth="1"/>
    <col min="5" max="5" width="2.875" style="45" customWidth="1"/>
    <col min="6" max="6" width="33" style="42" customWidth="1"/>
    <col min="7" max="7" width="18.375" style="42" customWidth="1"/>
    <col min="8" max="8" width="2.875" style="45" customWidth="1"/>
    <col min="9" max="9" width="19.125" style="42" customWidth="1"/>
    <col min="10" max="10" width="18.125" style="42" customWidth="1"/>
    <col min="11" max="11" width="14" style="42" customWidth="1"/>
    <col min="12" max="12" width="3" style="42" bestFit="1" customWidth="1"/>
    <col min="13" max="13" width="6" style="43" customWidth="1"/>
    <col min="14" max="14" width="15.375" style="42" customWidth="1"/>
    <col min="15" max="15" width="15.875" style="42" customWidth="1"/>
    <col min="16" max="16" width="14.625" style="42" customWidth="1"/>
    <col min="17" max="17" width="12.625" style="42" customWidth="1"/>
    <col min="18" max="32" width="9" style="42" customWidth="1"/>
    <col min="33" max="33" width="9" style="14" customWidth="1"/>
    <col min="34" max="16384" width="9" style="42"/>
  </cols>
  <sheetData>
    <row r="1" spans="1:33" ht="36" customHeight="1" thickBot="1">
      <c r="A1" s="48"/>
      <c r="B1" s="48"/>
      <c r="C1" s="48"/>
      <c r="D1" s="218" t="s">
        <v>25</v>
      </c>
      <c r="E1" s="218"/>
      <c r="F1" s="218"/>
      <c r="G1" s="218"/>
      <c r="H1" s="218"/>
      <c r="I1" s="218"/>
      <c r="J1" s="215" t="s">
        <v>145</v>
      </c>
      <c r="K1" s="216"/>
      <c r="L1" s="48"/>
      <c r="M1" s="48"/>
      <c r="N1" s="48"/>
      <c r="O1" s="48"/>
      <c r="P1" s="48"/>
      <c r="Q1" s="48"/>
    </row>
    <row r="2" spans="1:33" ht="21.75" customHeight="1">
      <c r="A2" s="48"/>
      <c r="B2" s="149"/>
      <c r="C2" s="150"/>
      <c r="D2" s="150"/>
      <c r="E2" s="150"/>
      <c r="F2" s="151"/>
      <c r="G2" s="150"/>
      <c r="H2" s="150"/>
      <c r="I2" s="150"/>
      <c r="J2" s="217"/>
      <c r="K2" s="217"/>
      <c r="L2" s="152"/>
      <c r="M2" s="48"/>
      <c r="N2" s="48"/>
      <c r="O2" s="48"/>
      <c r="P2" s="48"/>
      <c r="Q2" s="48"/>
    </row>
    <row r="3" spans="1:33" ht="30.95" customHeight="1">
      <c r="A3" s="48"/>
      <c r="B3" s="153"/>
      <c r="C3" s="154" t="s">
        <v>24</v>
      </c>
      <c r="D3" s="195" t="s">
        <v>26</v>
      </c>
      <c r="E3" s="196"/>
      <c r="F3" s="196"/>
      <c r="G3" s="196"/>
      <c r="H3" s="196"/>
      <c r="I3" s="196"/>
      <c r="J3" s="196"/>
      <c r="K3" s="197"/>
      <c r="L3" s="155"/>
      <c r="M3" s="48"/>
      <c r="N3" s="48"/>
      <c r="O3" s="48"/>
      <c r="P3" s="48"/>
      <c r="Q3" s="48"/>
      <c r="AG3" s="14">
        <v>42736</v>
      </c>
    </row>
    <row r="4" spans="1:33" ht="18.75">
      <c r="A4" s="48"/>
      <c r="B4" s="156"/>
      <c r="C4" s="157"/>
      <c r="D4" s="158"/>
      <c r="E4" s="158"/>
      <c r="F4" s="54"/>
      <c r="G4" s="159"/>
      <c r="H4" s="159"/>
      <c r="I4" s="54"/>
      <c r="J4" s="54"/>
      <c r="K4" s="159"/>
      <c r="L4" s="155"/>
      <c r="M4" s="48"/>
      <c r="N4" s="48"/>
      <c r="O4" s="48"/>
      <c r="P4" s="48"/>
      <c r="Q4" s="48"/>
      <c r="AG4" s="14">
        <v>42767</v>
      </c>
    </row>
    <row r="5" spans="1:33" ht="30" customHeight="1">
      <c r="A5" s="48"/>
      <c r="B5" s="153"/>
      <c r="C5" s="146" t="s">
        <v>44</v>
      </c>
      <c r="D5" s="58" t="s">
        <v>27</v>
      </c>
      <c r="E5" s="158"/>
      <c r="F5" s="146" t="s">
        <v>45</v>
      </c>
      <c r="G5" s="58" t="s">
        <v>64</v>
      </c>
      <c r="H5" s="54"/>
      <c r="I5" s="209" t="s">
        <v>141</v>
      </c>
      <c r="J5" s="210"/>
      <c r="K5" s="72">
        <v>8</v>
      </c>
      <c r="L5" s="160" t="s">
        <v>33</v>
      </c>
      <c r="M5" s="51"/>
      <c r="N5" s="213" t="s">
        <v>143</v>
      </c>
      <c r="O5" s="50"/>
      <c r="P5" s="50"/>
      <c r="Q5" s="50"/>
      <c r="AG5" s="14">
        <v>42795</v>
      </c>
    </row>
    <row r="6" spans="1:33" ht="18.75">
      <c r="A6" s="48"/>
      <c r="B6" s="156"/>
      <c r="C6" s="44"/>
      <c r="D6" s="159"/>
      <c r="E6" s="159"/>
      <c r="F6" s="158"/>
      <c r="G6" s="159"/>
      <c r="H6" s="54"/>
      <c r="I6" s="158"/>
      <c r="J6" s="158"/>
      <c r="K6" s="159"/>
      <c r="L6" s="161"/>
      <c r="M6" s="52"/>
      <c r="N6" s="213"/>
      <c r="O6" s="49"/>
      <c r="P6" s="50"/>
      <c r="Q6" s="50"/>
      <c r="AG6" s="14">
        <v>42826</v>
      </c>
    </row>
    <row r="7" spans="1:33" ht="30" customHeight="1">
      <c r="A7" s="48"/>
      <c r="B7" s="153"/>
      <c r="C7" s="147" t="s">
        <v>46</v>
      </c>
      <c r="D7" s="96" t="s">
        <v>125</v>
      </c>
      <c r="E7" s="159"/>
      <c r="F7" s="146" t="s">
        <v>47</v>
      </c>
      <c r="G7" s="58" t="s">
        <v>67</v>
      </c>
      <c r="H7" s="54"/>
      <c r="I7" s="209" t="s">
        <v>48</v>
      </c>
      <c r="J7" s="210"/>
      <c r="K7" s="76">
        <v>11</v>
      </c>
      <c r="L7" s="161"/>
      <c r="M7" s="52"/>
      <c r="N7" s="49"/>
      <c r="O7" s="194" t="s">
        <v>42</v>
      </c>
      <c r="P7" s="194"/>
      <c r="Q7" s="50"/>
      <c r="AG7" s="14">
        <v>42856</v>
      </c>
    </row>
    <row r="8" spans="1:33" ht="18.75">
      <c r="A8" s="48"/>
      <c r="B8" s="156"/>
      <c r="C8" s="44"/>
      <c r="D8" s="159"/>
      <c r="E8" s="159"/>
      <c r="F8" s="158"/>
      <c r="G8" s="159"/>
      <c r="H8" s="54"/>
      <c r="I8" s="158"/>
      <c r="J8" s="158"/>
      <c r="K8" s="159"/>
      <c r="L8" s="161"/>
      <c r="M8" s="52"/>
      <c r="N8" s="49"/>
      <c r="O8" s="49"/>
      <c r="P8" s="50"/>
      <c r="Q8" s="50"/>
      <c r="AG8" s="14">
        <v>42887</v>
      </c>
    </row>
    <row r="9" spans="1:33" ht="30" customHeight="1">
      <c r="A9" s="48"/>
      <c r="B9" s="211" t="s">
        <v>49</v>
      </c>
      <c r="C9" s="212"/>
      <c r="D9" s="57">
        <v>42736</v>
      </c>
      <c r="E9" s="159"/>
      <c r="F9" s="145" t="s">
        <v>50</v>
      </c>
      <c r="G9" s="57">
        <v>44713</v>
      </c>
      <c r="H9" s="54"/>
      <c r="I9" s="200" t="s">
        <v>51</v>
      </c>
      <c r="J9" s="201"/>
      <c r="K9" s="47">
        <v>0</v>
      </c>
      <c r="L9" s="160" t="s">
        <v>33</v>
      </c>
      <c r="M9" s="53"/>
      <c r="N9" s="49"/>
      <c r="O9" s="49"/>
      <c r="P9" s="50"/>
      <c r="Q9" s="50"/>
      <c r="AG9" s="14">
        <v>42917</v>
      </c>
    </row>
    <row r="10" spans="1:33" ht="18.75" customHeight="1">
      <c r="A10" s="48"/>
      <c r="B10" s="156"/>
      <c r="C10" s="44"/>
      <c r="D10" s="44"/>
      <c r="E10" s="159"/>
      <c r="F10" s="44"/>
      <c r="G10" s="44"/>
      <c r="H10" s="54"/>
      <c r="I10" s="44"/>
      <c r="J10" s="44"/>
      <c r="K10" s="44"/>
      <c r="L10" s="160"/>
      <c r="M10" s="53"/>
      <c r="N10" s="49"/>
      <c r="O10" s="49" t="s">
        <v>54</v>
      </c>
      <c r="P10" s="50"/>
      <c r="Q10" s="50"/>
      <c r="AG10" s="14">
        <v>42948</v>
      </c>
    </row>
    <row r="11" spans="1:33" ht="30" customHeight="1">
      <c r="A11" s="48"/>
      <c r="B11" s="198" t="s">
        <v>129</v>
      </c>
      <c r="C11" s="199"/>
      <c r="D11" s="47" t="s">
        <v>80</v>
      </c>
      <c r="E11" s="159"/>
      <c r="F11" s="145" t="s">
        <v>82</v>
      </c>
      <c r="G11" s="47">
        <v>23700</v>
      </c>
      <c r="H11" s="54"/>
      <c r="I11" s="200" t="s">
        <v>81</v>
      </c>
      <c r="J11" s="201"/>
      <c r="K11" s="47">
        <v>45100</v>
      </c>
      <c r="L11" s="161"/>
      <c r="M11" s="52"/>
      <c r="N11" s="49"/>
      <c r="O11" s="55" t="s">
        <v>56</v>
      </c>
      <c r="P11" s="50"/>
      <c r="Q11" s="50"/>
      <c r="AG11" s="14">
        <v>42979</v>
      </c>
    </row>
    <row r="12" spans="1:33" ht="18.75">
      <c r="A12" s="48"/>
      <c r="B12" s="162"/>
      <c r="C12" s="44"/>
      <c r="D12" s="44"/>
      <c r="E12" s="159"/>
      <c r="F12" s="44"/>
      <c r="G12" s="44"/>
      <c r="H12" s="54"/>
      <c r="I12" s="44"/>
      <c r="J12" s="44"/>
      <c r="K12" s="44"/>
      <c r="L12" s="161"/>
      <c r="M12" s="52"/>
      <c r="N12" s="49"/>
      <c r="O12" s="56" t="s">
        <v>55</v>
      </c>
      <c r="P12" s="50"/>
      <c r="Q12" s="50"/>
      <c r="AE12" s="14"/>
      <c r="AG12" s="14">
        <v>43009</v>
      </c>
    </row>
    <row r="13" spans="1:33" ht="30" customHeight="1">
      <c r="A13" s="48"/>
      <c r="B13" s="198" t="s">
        <v>88</v>
      </c>
      <c r="C13" s="199"/>
      <c r="D13" s="99">
        <v>42747</v>
      </c>
      <c r="E13" s="159"/>
      <c r="F13" s="163" t="s">
        <v>130</v>
      </c>
      <c r="G13" s="98">
        <f>IFERROR(IF('Arrear Sheet'!AU6="","",'Arrear Sheet'!AU6),"")</f>
        <v>20</v>
      </c>
      <c r="H13" s="54"/>
      <c r="I13" s="200" t="s">
        <v>131</v>
      </c>
      <c r="J13" s="201"/>
      <c r="K13" s="47">
        <v>46500</v>
      </c>
      <c r="L13" s="161"/>
      <c r="M13" s="52"/>
      <c r="N13" s="49"/>
      <c r="O13" s="56" t="s">
        <v>57</v>
      </c>
      <c r="P13" s="50"/>
      <c r="Q13" s="50"/>
      <c r="AE13" s="14"/>
      <c r="AG13" s="14">
        <v>43040</v>
      </c>
    </row>
    <row r="14" spans="1:33" ht="18.75">
      <c r="A14" s="48"/>
      <c r="B14" s="156"/>
      <c r="C14" s="44"/>
      <c r="D14" s="44"/>
      <c r="E14" s="44"/>
      <c r="F14" s="44"/>
      <c r="G14" s="44"/>
      <c r="H14" s="54"/>
      <c r="I14" s="44"/>
      <c r="J14" s="44"/>
      <c r="K14" s="44"/>
      <c r="L14" s="161"/>
      <c r="M14" s="52"/>
      <c r="N14" s="49"/>
      <c r="O14" s="56" t="s">
        <v>58</v>
      </c>
      <c r="P14" s="50"/>
      <c r="Q14" s="50"/>
      <c r="AE14" s="14"/>
      <c r="AG14" s="14">
        <v>43070</v>
      </c>
    </row>
    <row r="15" spans="1:33" ht="30" customHeight="1">
      <c r="A15" s="48"/>
      <c r="B15" s="204" t="s">
        <v>87</v>
      </c>
      <c r="C15" s="205"/>
      <c r="D15" s="205"/>
      <c r="E15" s="205"/>
      <c r="F15" s="206"/>
      <c r="G15" s="47" t="s">
        <v>53</v>
      </c>
      <c r="H15" s="54"/>
      <c r="I15" s="202" t="s">
        <v>52</v>
      </c>
      <c r="J15" s="203"/>
      <c r="K15" s="47">
        <v>30500</v>
      </c>
      <c r="L15" s="161"/>
      <c r="M15" s="52"/>
      <c r="N15" s="49"/>
      <c r="O15" s="56" t="s">
        <v>59</v>
      </c>
      <c r="P15" s="50"/>
      <c r="Q15" s="50"/>
      <c r="AE15" s="14"/>
      <c r="AG15" s="14">
        <v>43101</v>
      </c>
    </row>
    <row r="16" spans="1:33" ht="18.75">
      <c r="A16" s="48"/>
      <c r="B16" s="207"/>
      <c r="C16" s="208"/>
      <c r="D16" s="44"/>
      <c r="E16" s="44"/>
      <c r="F16" s="44"/>
      <c r="G16" s="44"/>
      <c r="H16" s="54"/>
      <c r="I16" s="44"/>
      <c r="J16" s="44"/>
      <c r="K16" s="44"/>
      <c r="L16" s="161"/>
      <c r="M16" s="52"/>
      <c r="N16" s="49"/>
      <c r="O16" s="56" t="s">
        <v>60</v>
      </c>
      <c r="P16" s="50"/>
      <c r="Q16" s="50"/>
      <c r="AE16" s="14"/>
      <c r="AG16" s="14">
        <v>43132</v>
      </c>
    </row>
    <row r="17" spans="1:33" ht="31.5" customHeight="1">
      <c r="A17" s="48"/>
      <c r="B17" s="190" t="s">
        <v>132</v>
      </c>
      <c r="C17" s="191"/>
      <c r="D17" s="47" t="s">
        <v>85</v>
      </c>
      <c r="E17" s="44"/>
      <c r="F17" s="148" t="s">
        <v>43</v>
      </c>
      <c r="G17" s="47">
        <v>2100</v>
      </c>
      <c r="H17" s="54"/>
      <c r="I17" s="192" t="s">
        <v>113</v>
      </c>
      <c r="J17" s="193"/>
      <c r="K17" s="47">
        <v>2100</v>
      </c>
      <c r="L17" s="161"/>
      <c r="M17" s="52"/>
      <c r="N17" s="49"/>
      <c r="O17" s="56" t="s">
        <v>61</v>
      </c>
      <c r="P17" s="50"/>
      <c r="Q17" s="50"/>
      <c r="AE17" s="14"/>
      <c r="AG17" s="14">
        <v>43160</v>
      </c>
    </row>
    <row r="18" spans="1:33" ht="18.75">
      <c r="A18" s="48"/>
      <c r="B18" s="164"/>
      <c r="C18" s="165"/>
      <c r="D18" s="44"/>
      <c r="E18" s="44"/>
      <c r="F18" s="44"/>
      <c r="G18" s="44"/>
      <c r="H18" s="54"/>
      <c r="I18" s="44"/>
      <c r="J18" s="44"/>
      <c r="K18" s="44"/>
      <c r="L18" s="161"/>
      <c r="M18" s="52"/>
      <c r="N18" s="49"/>
      <c r="O18" s="56" t="s">
        <v>62</v>
      </c>
      <c r="P18" s="50"/>
      <c r="Q18" s="50"/>
      <c r="AG18" s="14">
        <v>43191</v>
      </c>
    </row>
    <row r="19" spans="1:33" s="123" customFormat="1" ht="33.75" customHeight="1">
      <c r="A19" s="48"/>
      <c r="B19" s="219" t="s">
        <v>117</v>
      </c>
      <c r="C19" s="220"/>
      <c r="D19" s="47" t="s">
        <v>53</v>
      </c>
      <c r="E19" s="44"/>
      <c r="F19" s="166" t="s">
        <v>118</v>
      </c>
      <c r="G19" s="57">
        <v>43525</v>
      </c>
      <c r="H19" s="54"/>
      <c r="I19" s="209" t="s">
        <v>116</v>
      </c>
      <c r="J19" s="210"/>
      <c r="K19" s="47">
        <v>3000</v>
      </c>
      <c r="L19" s="161"/>
      <c r="M19" s="52"/>
      <c r="N19" s="49"/>
      <c r="O19" s="56" t="s">
        <v>63</v>
      </c>
      <c r="P19" s="50"/>
      <c r="Q19" s="50"/>
      <c r="AG19" s="14">
        <v>43221</v>
      </c>
    </row>
    <row r="20" spans="1:33" s="123" customFormat="1" ht="18.75">
      <c r="A20" s="48"/>
      <c r="B20" s="164"/>
      <c r="C20" s="165"/>
      <c r="D20" s="44"/>
      <c r="E20" s="44"/>
      <c r="F20" s="44"/>
      <c r="G20" s="44"/>
      <c r="H20" s="54"/>
      <c r="I20" s="44"/>
      <c r="J20" s="44"/>
      <c r="K20" s="44"/>
      <c r="L20" s="161"/>
      <c r="M20" s="52"/>
      <c r="N20" s="49"/>
      <c r="O20" s="56" t="s">
        <v>64</v>
      </c>
      <c r="P20" s="50"/>
      <c r="Q20" s="50"/>
      <c r="AG20" s="14">
        <v>43252</v>
      </c>
    </row>
    <row r="21" spans="1:33" ht="30.95" customHeight="1">
      <c r="A21" s="48"/>
      <c r="B21" s="190" t="s">
        <v>84</v>
      </c>
      <c r="C21" s="191"/>
      <c r="D21" s="47" t="s">
        <v>53</v>
      </c>
      <c r="E21" s="44"/>
      <c r="F21" s="148" t="s">
        <v>115</v>
      </c>
      <c r="G21" s="47">
        <v>3675</v>
      </c>
      <c r="H21" s="54"/>
      <c r="I21" s="192" t="s">
        <v>114</v>
      </c>
      <c r="J21" s="193"/>
      <c r="K21" s="47">
        <v>3675</v>
      </c>
      <c r="L21" s="161"/>
      <c r="M21" s="52"/>
      <c r="N21" s="49"/>
      <c r="O21" s="56" t="s">
        <v>63</v>
      </c>
      <c r="P21" s="50"/>
      <c r="Q21" s="50"/>
      <c r="AG21" s="14">
        <v>43282</v>
      </c>
    </row>
    <row r="22" spans="1:33" ht="18.75" customHeight="1">
      <c r="A22" s="48"/>
      <c r="B22" s="156"/>
      <c r="C22" s="54"/>
      <c r="D22" s="54"/>
      <c r="E22" s="54"/>
      <c r="F22" s="54"/>
      <c r="G22" s="54"/>
      <c r="H22" s="54"/>
      <c r="I22" s="54"/>
      <c r="J22" s="54"/>
      <c r="K22" s="54"/>
      <c r="L22" s="155"/>
      <c r="M22" s="48"/>
      <c r="N22" s="48"/>
      <c r="O22" s="56" t="s">
        <v>64</v>
      </c>
      <c r="P22" s="48"/>
      <c r="Q22" s="48"/>
      <c r="AG22" s="14">
        <v>43313</v>
      </c>
    </row>
    <row r="23" spans="1:33" s="123" customFormat="1" ht="32.1" customHeight="1">
      <c r="A23" s="48"/>
      <c r="B23" s="219" t="s">
        <v>133</v>
      </c>
      <c r="C23" s="220"/>
      <c r="D23" s="47" t="s">
        <v>53</v>
      </c>
      <c r="E23" s="54"/>
      <c r="F23" s="166" t="s">
        <v>119</v>
      </c>
      <c r="G23" s="57">
        <v>44287</v>
      </c>
      <c r="H23" s="54"/>
      <c r="I23" s="209" t="s">
        <v>116</v>
      </c>
      <c r="J23" s="210"/>
      <c r="K23" s="47">
        <v>5000</v>
      </c>
      <c r="L23" s="155"/>
      <c r="M23" s="48"/>
      <c r="N23" s="48"/>
      <c r="O23" s="56" t="s">
        <v>65</v>
      </c>
      <c r="P23" s="48"/>
      <c r="Q23" s="48"/>
      <c r="AG23" s="14">
        <v>43344</v>
      </c>
    </row>
    <row r="24" spans="1:33" s="123" customFormat="1" ht="18.75" customHeight="1">
      <c r="A24" s="48"/>
      <c r="B24" s="156"/>
      <c r="C24" s="54"/>
      <c r="D24" s="54"/>
      <c r="E24" s="54"/>
      <c r="F24" s="54"/>
      <c r="G24" s="54"/>
      <c r="H24" s="54"/>
      <c r="I24" s="54"/>
      <c r="J24" s="54"/>
      <c r="K24" s="54"/>
      <c r="L24" s="155"/>
      <c r="M24" s="48"/>
      <c r="N24" s="48"/>
      <c r="O24" s="56" t="s">
        <v>66</v>
      </c>
      <c r="P24" s="48"/>
      <c r="Q24" s="48"/>
      <c r="AG24" s="14">
        <v>43374</v>
      </c>
    </row>
    <row r="25" spans="1:33" s="74" customFormat="1" ht="45" customHeight="1">
      <c r="A25" s="48"/>
      <c r="B25" s="219" t="s">
        <v>90</v>
      </c>
      <c r="C25" s="220"/>
      <c r="D25" s="47" t="s">
        <v>53</v>
      </c>
      <c r="E25" s="54"/>
      <c r="F25" s="166" t="s">
        <v>91</v>
      </c>
      <c r="G25" s="57">
        <v>44287</v>
      </c>
      <c r="H25" s="54"/>
      <c r="I25" s="209" t="s">
        <v>92</v>
      </c>
      <c r="J25" s="210"/>
      <c r="K25" s="47">
        <v>41100</v>
      </c>
      <c r="L25" s="155"/>
      <c r="M25" s="48"/>
      <c r="N25" s="48"/>
      <c r="O25" s="56" t="s">
        <v>67</v>
      </c>
      <c r="P25" s="48"/>
      <c r="Q25" s="48"/>
      <c r="AG25" s="14">
        <v>43405</v>
      </c>
    </row>
    <row r="26" spans="1:33" ht="18" customHeight="1">
      <c r="A26" s="48"/>
      <c r="B26" s="156"/>
      <c r="C26" s="54"/>
      <c r="D26" s="54"/>
      <c r="E26" s="54"/>
      <c r="F26" s="54"/>
      <c r="G26" s="54"/>
      <c r="H26" s="54"/>
      <c r="I26" s="54"/>
      <c r="J26" s="54"/>
      <c r="K26" s="54"/>
      <c r="L26" s="155"/>
      <c r="M26" s="48"/>
      <c r="N26" s="48"/>
      <c r="O26" s="56" t="s">
        <v>68</v>
      </c>
      <c r="P26" s="48"/>
      <c r="Q26" s="48"/>
      <c r="AG26" s="14">
        <v>43435</v>
      </c>
    </row>
    <row r="27" spans="1:33" s="100" customFormat="1" ht="36.75" customHeight="1">
      <c r="A27" s="48"/>
      <c r="B27" s="190" t="s">
        <v>134</v>
      </c>
      <c r="C27" s="191"/>
      <c r="D27" s="47" t="s">
        <v>85</v>
      </c>
      <c r="E27" s="54"/>
      <c r="F27" s="166" t="s">
        <v>112</v>
      </c>
      <c r="G27" s="124">
        <v>3</v>
      </c>
      <c r="H27" s="54"/>
      <c r="I27" s="54"/>
      <c r="J27" s="54"/>
      <c r="K27" s="54"/>
      <c r="L27" s="155"/>
      <c r="M27" s="48"/>
      <c r="N27" s="48"/>
      <c r="O27" s="56" t="s">
        <v>69</v>
      </c>
      <c r="P27" s="48"/>
      <c r="Q27" s="48"/>
      <c r="AG27" s="14">
        <v>43466</v>
      </c>
    </row>
    <row r="28" spans="1:33" s="100" customFormat="1" ht="18" customHeight="1">
      <c r="A28" s="48"/>
      <c r="B28" s="156"/>
      <c r="C28" s="54"/>
      <c r="D28" s="54"/>
      <c r="E28" s="54"/>
      <c r="F28" s="54"/>
      <c r="G28" s="54"/>
      <c r="H28" s="54"/>
      <c r="I28" s="54"/>
      <c r="J28" s="54"/>
      <c r="K28" s="54"/>
      <c r="L28" s="155"/>
      <c r="M28" s="48"/>
      <c r="N28" s="48"/>
      <c r="O28" s="56" t="s">
        <v>70</v>
      </c>
      <c r="P28" s="48"/>
      <c r="Q28" s="48"/>
      <c r="AG28" s="14">
        <v>43497</v>
      </c>
    </row>
    <row r="29" spans="1:33" s="43" customFormat="1" ht="24.75" customHeight="1">
      <c r="A29" s="48"/>
      <c r="B29" s="181" t="s">
        <v>135</v>
      </c>
      <c r="C29" s="176"/>
      <c r="D29" s="72">
        <f>IFERROR(IF(K5=8,9,18),"")</f>
        <v>9</v>
      </c>
      <c r="E29" s="46" t="s">
        <v>33</v>
      </c>
      <c r="F29" s="175" t="s">
        <v>144</v>
      </c>
      <c r="G29" s="175"/>
      <c r="H29" s="175"/>
      <c r="I29" s="175"/>
      <c r="J29" s="176"/>
      <c r="K29" s="47" t="s">
        <v>85</v>
      </c>
      <c r="L29" s="155"/>
      <c r="M29" s="48"/>
      <c r="N29" s="48"/>
      <c r="O29" s="56" t="s">
        <v>71</v>
      </c>
      <c r="P29" s="48"/>
      <c r="Q29" s="48"/>
      <c r="AG29" s="14">
        <v>43525</v>
      </c>
    </row>
    <row r="30" spans="1:33" s="43" customFormat="1" ht="24.75" customHeight="1">
      <c r="A30" s="48"/>
      <c r="B30" s="156"/>
      <c r="C30" s="54"/>
      <c r="D30" s="54"/>
      <c r="E30" s="54"/>
      <c r="F30" s="54"/>
      <c r="G30" s="54"/>
      <c r="H30" s="54"/>
      <c r="I30" s="54"/>
      <c r="J30" s="54"/>
      <c r="K30" s="54"/>
      <c r="L30" s="155"/>
      <c r="M30" s="48"/>
      <c r="N30" s="48"/>
      <c r="O30" s="56" t="s">
        <v>72</v>
      </c>
      <c r="P30" s="48"/>
      <c r="Q30" s="48"/>
      <c r="AG30" s="14">
        <v>43556</v>
      </c>
    </row>
    <row r="31" spans="1:33" s="43" customFormat="1" ht="24.75" customHeight="1">
      <c r="A31" s="48"/>
      <c r="B31" s="153"/>
      <c r="C31" s="167"/>
      <c r="D31" s="167"/>
      <c r="E31" s="167"/>
      <c r="F31" s="167"/>
      <c r="G31" s="167"/>
      <c r="H31" s="167"/>
      <c r="I31" s="175" t="s">
        <v>142</v>
      </c>
      <c r="J31" s="176"/>
      <c r="K31" s="47">
        <v>2100</v>
      </c>
      <c r="L31" s="155"/>
      <c r="M31" s="48"/>
      <c r="N31" s="48"/>
      <c r="O31" s="56" t="s">
        <v>73</v>
      </c>
      <c r="P31" s="48"/>
      <c r="Q31" s="48"/>
      <c r="AG31" s="14">
        <v>43586</v>
      </c>
    </row>
    <row r="32" spans="1:33" s="43" customFormat="1" ht="24.75" customHeight="1" thickBot="1">
      <c r="A32" s="48"/>
      <c r="B32" s="170"/>
      <c r="C32" s="168"/>
      <c r="D32" s="168"/>
      <c r="E32" s="168"/>
      <c r="F32" s="168"/>
      <c r="G32" s="168"/>
      <c r="H32" s="168"/>
      <c r="I32" s="168"/>
      <c r="J32" s="168"/>
      <c r="K32" s="168"/>
      <c r="L32" s="169"/>
      <c r="M32" s="48"/>
      <c r="N32" s="48"/>
      <c r="O32" s="56" t="s">
        <v>74</v>
      </c>
      <c r="P32" s="48"/>
      <c r="Q32" s="48"/>
      <c r="AG32" s="14">
        <v>43617</v>
      </c>
    </row>
    <row r="33" spans="1:33" s="43" customFormat="1" ht="24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56" t="s">
        <v>78</v>
      </c>
      <c r="P33" s="48"/>
      <c r="Q33" s="48"/>
      <c r="AG33" s="14">
        <v>43647</v>
      </c>
    </row>
    <row r="34" spans="1:33" s="43" customFormat="1" ht="24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221" t="s">
        <v>136</v>
      </c>
      <c r="L34" s="221"/>
      <c r="M34" s="221"/>
      <c r="N34" s="48"/>
      <c r="O34" s="56" t="s">
        <v>76</v>
      </c>
      <c r="P34" s="48"/>
      <c r="Q34" s="48"/>
      <c r="AG34" s="14">
        <v>43678</v>
      </c>
    </row>
    <row r="35" spans="1:33" s="43" customFormat="1" ht="24.75" customHeight="1">
      <c r="A35" s="48"/>
      <c r="B35" s="48"/>
      <c r="C35" s="179" t="s">
        <v>122</v>
      </c>
      <c r="D35" s="179"/>
      <c r="E35" s="185" t="s">
        <v>93</v>
      </c>
      <c r="F35" s="185"/>
      <c r="G35" s="185"/>
      <c r="H35" s="48"/>
      <c r="I35" s="48"/>
      <c r="J35" s="48"/>
      <c r="K35" s="214">
        <v>44736</v>
      </c>
      <c r="L35" s="214"/>
      <c r="M35" s="214"/>
      <c r="N35" s="48"/>
      <c r="O35" s="56" t="s">
        <v>75</v>
      </c>
      <c r="P35" s="48"/>
      <c r="Q35" s="48"/>
      <c r="AG35" s="14">
        <v>43709</v>
      </c>
    </row>
    <row r="36" spans="1:33" ht="23.25" customHeight="1">
      <c r="A36" s="48"/>
      <c r="B36" s="48"/>
      <c r="C36" s="177" t="s">
        <v>121</v>
      </c>
      <c r="D36" s="178"/>
      <c r="E36" s="186" t="s">
        <v>79</v>
      </c>
      <c r="F36" s="186"/>
      <c r="G36" s="186"/>
      <c r="H36" s="48"/>
      <c r="I36" s="48"/>
      <c r="J36" s="48"/>
      <c r="K36" s="48"/>
      <c r="L36" s="48"/>
      <c r="M36" s="48"/>
      <c r="N36" s="48"/>
      <c r="O36" s="56" t="s">
        <v>89</v>
      </c>
      <c r="P36" s="48"/>
      <c r="Q36" s="48"/>
      <c r="AG36" s="14">
        <v>43739</v>
      </c>
    </row>
    <row r="37" spans="1:33" s="43" customFormat="1" ht="23.25" customHeight="1">
      <c r="A37" s="48"/>
      <c r="B37" s="48"/>
      <c r="C37" s="180" t="s">
        <v>140</v>
      </c>
      <c r="D37" s="180"/>
      <c r="E37" s="187" t="s">
        <v>95</v>
      </c>
      <c r="F37" s="187"/>
      <c r="G37" s="187"/>
      <c r="H37" s="48"/>
      <c r="I37" s="48"/>
      <c r="J37" s="48"/>
      <c r="K37" s="254" t="s">
        <v>146</v>
      </c>
      <c r="L37" s="48"/>
      <c r="M37" s="48"/>
      <c r="N37" s="48"/>
      <c r="O37" s="56" t="s">
        <v>77</v>
      </c>
      <c r="P37" s="48"/>
      <c r="Q37" s="48"/>
      <c r="AG37" s="14">
        <v>43770</v>
      </c>
    </row>
    <row r="38" spans="1:33" s="43" customFormat="1" ht="23.25" customHeight="1">
      <c r="A38" s="48"/>
      <c r="B38" s="48"/>
      <c r="C38" s="179" t="s">
        <v>123</v>
      </c>
      <c r="D38" s="179"/>
      <c r="E38" s="188" t="s">
        <v>94</v>
      </c>
      <c r="F38" s="188"/>
      <c r="G38" s="188"/>
      <c r="H38" s="48"/>
      <c r="I38" s="48"/>
      <c r="J38" s="48"/>
      <c r="K38" s="48"/>
      <c r="L38" s="48"/>
      <c r="M38" s="48"/>
      <c r="N38" s="48"/>
      <c r="O38" s="56"/>
      <c r="P38" s="48"/>
      <c r="Q38" s="48"/>
      <c r="AG38" s="14">
        <v>43800</v>
      </c>
    </row>
    <row r="39" spans="1:33" s="43" customFormat="1" ht="23.25" customHeight="1">
      <c r="A39" s="48"/>
      <c r="B39" s="48"/>
      <c r="C39" s="180" t="s">
        <v>124</v>
      </c>
      <c r="D39" s="179"/>
      <c r="E39" s="189" t="s">
        <v>96</v>
      </c>
      <c r="F39" s="189"/>
      <c r="G39" s="189"/>
      <c r="H39" s="48"/>
      <c r="I39" s="48"/>
      <c r="J39" s="48"/>
      <c r="K39" s="48"/>
      <c r="L39" s="48"/>
      <c r="M39" s="48"/>
      <c r="N39" s="48"/>
      <c r="O39" s="56"/>
      <c r="P39" s="48"/>
      <c r="Q39" s="48"/>
      <c r="AG39" s="14">
        <v>43831</v>
      </c>
    </row>
    <row r="40" spans="1:33" s="43" customFormat="1" ht="23.25" customHeight="1">
      <c r="A40" s="48"/>
      <c r="B40" s="48"/>
      <c r="C40" s="48"/>
      <c r="D40" s="48"/>
      <c r="E40" s="182" t="s">
        <v>97</v>
      </c>
      <c r="F40" s="183"/>
      <c r="G40" s="183"/>
      <c r="H40" s="48"/>
      <c r="I40" s="48"/>
      <c r="J40" s="48"/>
      <c r="K40" s="48"/>
      <c r="L40" s="48"/>
      <c r="M40" s="48"/>
      <c r="N40" s="48"/>
      <c r="O40" s="56"/>
      <c r="P40" s="48"/>
      <c r="Q40" s="48"/>
      <c r="AG40" s="14">
        <v>43862</v>
      </c>
    </row>
    <row r="41" spans="1:33" s="43" customFormat="1" ht="23.25" customHeight="1">
      <c r="A41" s="48"/>
      <c r="B41" s="48"/>
      <c r="C41" s="48"/>
      <c r="D41" s="48"/>
      <c r="E41" s="184"/>
      <c r="F41" s="184"/>
      <c r="G41" s="184"/>
      <c r="H41" s="48"/>
      <c r="I41" s="48"/>
      <c r="J41" s="48"/>
      <c r="K41" s="48"/>
      <c r="L41" s="48"/>
      <c r="M41" s="48"/>
      <c r="N41" s="48"/>
      <c r="O41" s="56"/>
      <c r="P41" s="48"/>
      <c r="Q41" s="48"/>
      <c r="AG41" s="14">
        <v>43891</v>
      </c>
    </row>
    <row r="42" spans="1:33" s="43" customFormat="1" ht="23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AG42" s="14">
        <v>43922</v>
      </c>
    </row>
    <row r="43" spans="1:33" s="43" customFormat="1" ht="23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AG43" s="14">
        <v>43952</v>
      </c>
    </row>
    <row r="44" spans="1:33" ht="18" customHeight="1">
      <c r="AG44" s="14">
        <v>43983</v>
      </c>
    </row>
    <row r="45" spans="1:33" ht="18" customHeight="1">
      <c r="AG45" s="14">
        <v>44013</v>
      </c>
    </row>
    <row r="46" spans="1:33" ht="18" customHeight="1">
      <c r="AG46" s="14">
        <v>44044</v>
      </c>
    </row>
    <row r="47" spans="1:33" ht="18" customHeight="1">
      <c r="AG47" s="14">
        <v>44075</v>
      </c>
    </row>
    <row r="48" spans="1:33" ht="18" customHeight="1">
      <c r="AG48" s="14">
        <v>44105</v>
      </c>
    </row>
    <row r="49" spans="33:33" ht="18" customHeight="1">
      <c r="AG49" s="14">
        <v>44136</v>
      </c>
    </row>
    <row r="50" spans="33:33" ht="18" customHeight="1">
      <c r="AG50" s="14">
        <v>44166</v>
      </c>
    </row>
    <row r="51" spans="33:33" ht="18" customHeight="1">
      <c r="AG51" s="14">
        <v>44197</v>
      </c>
    </row>
    <row r="52" spans="33:33" ht="18" customHeight="1">
      <c r="AG52" s="14">
        <v>44228</v>
      </c>
    </row>
    <row r="53" spans="33:33" ht="18" customHeight="1">
      <c r="AG53" s="14">
        <v>44256</v>
      </c>
    </row>
    <row r="54" spans="33:33" ht="18" customHeight="1">
      <c r="AG54" s="14">
        <v>44287</v>
      </c>
    </row>
    <row r="55" spans="33:33" ht="18" customHeight="1">
      <c r="AG55" s="14">
        <v>44317</v>
      </c>
    </row>
    <row r="56" spans="33:33" ht="18" customHeight="1">
      <c r="AG56" s="14">
        <v>44348</v>
      </c>
    </row>
    <row r="57" spans="33:33" ht="18" customHeight="1">
      <c r="AG57" s="14">
        <v>44378</v>
      </c>
    </row>
    <row r="58" spans="33:33" ht="18" customHeight="1">
      <c r="AG58" s="14">
        <v>44409</v>
      </c>
    </row>
    <row r="59" spans="33:33" ht="18" customHeight="1">
      <c r="AG59" s="14">
        <v>44440</v>
      </c>
    </row>
    <row r="60" spans="33:33" ht="18" customHeight="1">
      <c r="AG60" s="14">
        <v>44470</v>
      </c>
    </row>
    <row r="61" spans="33:33" ht="18" customHeight="1">
      <c r="AG61" s="14">
        <v>44501</v>
      </c>
    </row>
    <row r="62" spans="33:33" ht="18" customHeight="1">
      <c r="AG62" s="14">
        <v>44531</v>
      </c>
    </row>
    <row r="63" spans="33:33" ht="18" customHeight="1">
      <c r="AG63" s="14">
        <v>44562</v>
      </c>
    </row>
    <row r="64" spans="33:33" ht="18" customHeight="1">
      <c r="AG64" s="14">
        <v>44593</v>
      </c>
    </row>
    <row r="65" spans="33:33" ht="18" customHeight="1">
      <c r="AG65" s="14">
        <v>44621</v>
      </c>
    </row>
    <row r="66" spans="33:33" ht="18" customHeight="1">
      <c r="AG66" s="14">
        <v>44652</v>
      </c>
    </row>
    <row r="67" spans="33:33" ht="18" customHeight="1">
      <c r="AG67" s="14">
        <v>44682</v>
      </c>
    </row>
    <row r="68" spans="33:33" ht="18" customHeight="1">
      <c r="AG68" s="14">
        <v>44713</v>
      </c>
    </row>
    <row r="69" spans="33:33" ht="18" customHeight="1">
      <c r="AG69" s="14">
        <v>44743</v>
      </c>
    </row>
    <row r="70" spans="33:33" ht="18" customHeight="1">
      <c r="AG70" s="14">
        <v>44774</v>
      </c>
    </row>
    <row r="71" spans="33:33" ht="18" customHeight="1">
      <c r="AG71" s="14">
        <v>44805</v>
      </c>
    </row>
    <row r="72" spans="33:33" ht="18" customHeight="1">
      <c r="AG72" s="14">
        <v>44835</v>
      </c>
    </row>
    <row r="73" spans="33:33" ht="18" customHeight="1">
      <c r="AG73" s="14">
        <v>44866</v>
      </c>
    </row>
    <row r="74" spans="33:33" ht="18" customHeight="1">
      <c r="AG74" s="14">
        <v>44896</v>
      </c>
    </row>
    <row r="75" spans="33:33" ht="18" customHeight="1">
      <c r="AG75" s="14">
        <v>44927</v>
      </c>
    </row>
    <row r="76" spans="33:33" ht="18" customHeight="1">
      <c r="AG76" s="14">
        <v>44958</v>
      </c>
    </row>
    <row r="77" spans="33:33" ht="18" customHeight="1">
      <c r="AG77" s="14">
        <v>44986</v>
      </c>
    </row>
    <row r="78" spans="33:33" ht="18" customHeight="1">
      <c r="AG78" s="14">
        <v>45017</v>
      </c>
    </row>
    <row r="79" spans="33:33" ht="18" customHeight="1">
      <c r="AG79" s="14">
        <v>45047</v>
      </c>
    </row>
    <row r="80" spans="33:33" ht="18" customHeight="1">
      <c r="AG80" s="14">
        <v>45078</v>
      </c>
    </row>
  </sheetData>
  <sheetProtection password="C1FB" sheet="1" objects="1" scenarios="1" selectLockedCells="1"/>
  <mergeCells count="45">
    <mergeCell ref="K35:M35"/>
    <mergeCell ref="F29:J29"/>
    <mergeCell ref="J1:K1"/>
    <mergeCell ref="J2:K2"/>
    <mergeCell ref="I13:J13"/>
    <mergeCell ref="I17:J17"/>
    <mergeCell ref="D1:I1"/>
    <mergeCell ref="C35:D35"/>
    <mergeCell ref="B19:C19"/>
    <mergeCell ref="I19:J19"/>
    <mergeCell ref="K34:M34"/>
    <mergeCell ref="B23:C23"/>
    <mergeCell ref="I23:J23"/>
    <mergeCell ref="B27:C27"/>
    <mergeCell ref="B25:C25"/>
    <mergeCell ref="I25:J25"/>
    <mergeCell ref="B21:C21"/>
    <mergeCell ref="I21:J21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N5:N6"/>
    <mergeCell ref="B13:C13"/>
    <mergeCell ref="E40:G40"/>
    <mergeCell ref="E41:G41"/>
    <mergeCell ref="E35:G35"/>
    <mergeCell ref="E36:G36"/>
    <mergeCell ref="E37:G37"/>
    <mergeCell ref="E38:G38"/>
    <mergeCell ref="E39:G39"/>
    <mergeCell ref="I31:J31"/>
    <mergeCell ref="C36:D36"/>
    <mergeCell ref="C38:D38"/>
    <mergeCell ref="C39:D39"/>
    <mergeCell ref="B29:C29"/>
    <mergeCell ref="C37:D37"/>
  </mergeCells>
  <conditionalFormatting sqref="G21">
    <cfRule type="expression" dxfId="51" priority="124" stopIfTrue="1">
      <formula>$D21=""</formula>
    </cfRule>
    <cfRule type="expression" dxfId="50" priority="125" stopIfTrue="1">
      <formula>$D21="NO"</formula>
    </cfRule>
  </conditionalFormatting>
  <conditionalFormatting sqref="K21">
    <cfRule type="expression" dxfId="49" priority="122" stopIfTrue="1">
      <formula>$D21=""</formula>
    </cfRule>
    <cfRule type="expression" dxfId="48" priority="123" stopIfTrue="1">
      <formula>$D21="NO"</formula>
    </cfRule>
  </conditionalFormatting>
  <conditionalFormatting sqref="G17">
    <cfRule type="expression" dxfId="47" priority="118" stopIfTrue="1">
      <formula>$D17=""</formula>
    </cfRule>
    <cfRule type="expression" dxfId="46" priority="119" stopIfTrue="1">
      <formula>$D17="NO"</formula>
    </cfRule>
  </conditionalFormatting>
  <conditionalFormatting sqref="K17">
    <cfRule type="expression" dxfId="45" priority="114" stopIfTrue="1">
      <formula>$D17=""</formula>
    </cfRule>
    <cfRule type="expression" dxfId="44" priority="115" stopIfTrue="1">
      <formula>$D17="NO"</formula>
    </cfRule>
  </conditionalFormatting>
  <conditionalFormatting sqref="K15">
    <cfRule type="expression" dxfId="43" priority="38" stopIfTrue="1">
      <formula>$G15=""</formula>
    </cfRule>
    <cfRule type="expression" dxfId="42" priority="39" stopIfTrue="1">
      <formula>$G15="NO"</formula>
    </cfRule>
  </conditionalFormatting>
  <conditionalFormatting sqref="G11">
    <cfRule type="expression" dxfId="41" priority="36" stopIfTrue="1">
      <formula>$D11=""</formula>
    </cfRule>
    <cfRule type="expression" dxfId="40" priority="37" stopIfTrue="1">
      <formula>$D11="Regular Pay"</formula>
    </cfRule>
  </conditionalFormatting>
  <conditionalFormatting sqref="K11">
    <cfRule type="expression" dxfId="39" priority="34" stopIfTrue="1">
      <formula>$D11=""</formula>
    </cfRule>
    <cfRule type="expression" dxfId="38" priority="35" stopIfTrue="1">
      <formula>$D11="Fix Pay"</formula>
    </cfRule>
  </conditionalFormatting>
  <conditionalFormatting sqref="G13">
    <cfRule type="expression" dxfId="37" priority="31" stopIfTrue="1">
      <formula>$D$13=""</formula>
    </cfRule>
  </conditionalFormatting>
  <conditionalFormatting sqref="E25:K25">
    <cfRule type="expression" dxfId="36" priority="29" stopIfTrue="1">
      <formula>$D25=""</formula>
    </cfRule>
    <cfRule type="expression" dxfId="35" priority="30" stopIfTrue="1">
      <formula>$D25="NO"</formula>
    </cfRule>
  </conditionalFormatting>
  <conditionalFormatting sqref="E27:F27 H27:K27">
    <cfRule type="expression" dxfId="34" priority="27" stopIfTrue="1">
      <formula>$D27=""</formula>
    </cfRule>
    <cfRule type="expression" dxfId="33" priority="28" stopIfTrue="1">
      <formula>$D27="NO"</formula>
    </cfRule>
  </conditionalFormatting>
  <conditionalFormatting sqref="F27">
    <cfRule type="expression" dxfId="32" priority="25" stopIfTrue="1">
      <formula>$D27=""</formula>
    </cfRule>
    <cfRule type="expression" dxfId="31" priority="26" stopIfTrue="1">
      <formula>$D27="NO"</formula>
    </cfRule>
  </conditionalFormatting>
  <conditionalFormatting sqref="G27">
    <cfRule type="expression" dxfId="30" priority="23" stopIfTrue="1">
      <formula>$D27=""</formula>
    </cfRule>
    <cfRule type="expression" dxfId="29" priority="24" stopIfTrue="1">
      <formula>$D27="NO"</formula>
    </cfRule>
  </conditionalFormatting>
  <conditionalFormatting sqref="F19">
    <cfRule type="expression" dxfId="28" priority="21" stopIfTrue="1">
      <formula>$D19=""</formula>
    </cfRule>
    <cfRule type="expression" dxfId="27" priority="22" stopIfTrue="1">
      <formula>$D19="NO"</formula>
    </cfRule>
  </conditionalFormatting>
  <conditionalFormatting sqref="G19">
    <cfRule type="expression" dxfId="26" priority="19" stopIfTrue="1">
      <formula>$D19=""</formula>
    </cfRule>
    <cfRule type="expression" dxfId="25" priority="20" stopIfTrue="1">
      <formula>$D19="NO"</formula>
    </cfRule>
  </conditionalFormatting>
  <conditionalFormatting sqref="I19:J19">
    <cfRule type="expression" dxfId="24" priority="17" stopIfTrue="1">
      <formula>$D19=""</formula>
    </cfRule>
    <cfRule type="expression" dxfId="23" priority="18" stopIfTrue="1">
      <formula>$D19="NO"</formula>
    </cfRule>
  </conditionalFormatting>
  <conditionalFormatting sqref="K19">
    <cfRule type="expression" dxfId="22" priority="15" stopIfTrue="1">
      <formula>$D19=""</formula>
    </cfRule>
    <cfRule type="expression" dxfId="21" priority="16" stopIfTrue="1">
      <formula>$D19="NO"</formula>
    </cfRule>
  </conditionalFormatting>
  <conditionalFormatting sqref="F23">
    <cfRule type="expression" dxfId="20" priority="13" stopIfTrue="1">
      <formula>$D23=""</formula>
    </cfRule>
    <cfRule type="expression" dxfId="19" priority="14" stopIfTrue="1">
      <formula>$D23="NO"</formula>
    </cfRule>
  </conditionalFormatting>
  <conditionalFormatting sqref="G23">
    <cfRule type="expression" dxfId="18" priority="11" stopIfTrue="1">
      <formula>$D23=""</formula>
    </cfRule>
    <cfRule type="expression" dxfId="17" priority="12" stopIfTrue="1">
      <formula>$D23="NO"</formula>
    </cfRule>
  </conditionalFormatting>
  <conditionalFormatting sqref="I23:J23">
    <cfRule type="expression" dxfId="16" priority="9" stopIfTrue="1">
      <formula>$D23=""</formula>
    </cfRule>
    <cfRule type="expression" dxfId="15" priority="10" stopIfTrue="1">
      <formula>$D23="NO"</formula>
    </cfRule>
  </conditionalFormatting>
  <conditionalFormatting sqref="K23">
    <cfRule type="expression" dxfId="14" priority="7" stopIfTrue="1">
      <formula>$D23=""</formula>
    </cfRule>
    <cfRule type="expression" dxfId="13" priority="8" stopIfTrue="1">
      <formula>$D23="NO"</formula>
    </cfRule>
  </conditionalFormatting>
  <conditionalFormatting sqref="I31:J31">
    <cfRule type="expression" dxfId="12" priority="3" stopIfTrue="1">
      <formula>$K29=""</formula>
    </cfRule>
    <cfRule type="expression" dxfId="11" priority="4" stopIfTrue="1">
      <formula>$K29="NO"</formula>
    </cfRule>
  </conditionalFormatting>
  <conditionalFormatting sqref="K31">
    <cfRule type="expression" dxfId="10" priority="1" stopIfTrue="1">
      <formula>$K29=""</formula>
    </cfRule>
    <cfRule type="expression" dxfId="9" priority="2" stopIfTrue="1">
      <formula>$K29="NO"</formula>
    </cfRule>
  </conditionalFormatting>
  <dataValidations count="17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 K31">
      <formula1>$D19="YES"</formula1>
    </dataValidation>
    <dataValidation type="list" allowBlank="1" showInputMessage="1" showErrorMessage="1" sqref="D25 D27 D21 G15 D17 D19 D23 K29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1 के मध्य किसी भी माह व दिनांक का arrear बना सकते हैं " sqref="D13">
      <formula1>42736</formula1>
      <formula2>44561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list" allowBlank="1" showInputMessage="1" showErrorMessage="1" sqref="D29">
      <formula1>"9, 18"</formula1>
    </dataValidation>
    <dataValidation type="list" allowBlank="1" showInputMessage="1" showErrorMessage="1" sqref="K5">
      <formula1>"8, 16"</formula1>
    </dataValidation>
  </dataValidations>
  <hyperlinks>
    <hyperlink ref="E40" r:id="rId1"/>
    <hyperlink ref="C36" r:id="rId2"/>
    <hyperlink ref="C39" r:id="rId3"/>
    <hyperlink ref="C37" r:id="rId4"/>
    <hyperlink ref="K37" r:id="rId5"/>
  </hyperlinks>
  <pageMargins left="0.7" right="0.7" top="0.75" bottom="0.75" header="0.3" footer="0.3"/>
  <pageSetup orientation="portrait" r:id="rId6"/>
  <drawing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Q100"/>
  <sheetViews>
    <sheetView showGridLines="0" view="pageBreakPreview" topLeftCell="B1" zoomScaleSheetLayoutView="100" workbookViewId="0">
      <selection activeCell="P71" sqref="P71"/>
    </sheetView>
  </sheetViews>
  <sheetFormatPr defaultColWidth="9.125" defaultRowHeight="12.75"/>
  <cols>
    <col min="1" max="1" width="9.125" style="137" hidden="1" customWidth="1"/>
    <col min="2" max="2" width="5.25" style="15" customWidth="1"/>
    <col min="3" max="3" width="9.25" style="37" customWidth="1"/>
    <col min="4" max="4" width="9.375" style="38" customWidth="1"/>
    <col min="5" max="15" width="7.375" style="38" customWidth="1"/>
    <col min="16" max="24" width="6.625" style="38" customWidth="1"/>
    <col min="25" max="25" width="6.25" style="38" customWidth="1"/>
    <col min="26" max="26" width="6.5" style="38" customWidth="1"/>
    <col min="27" max="27" width="8.5" style="15" customWidth="1"/>
    <col min="28" max="28" width="8.75" style="15" customWidth="1"/>
    <col min="29" max="29" width="10.875" style="15" customWidth="1"/>
    <col min="30" max="30" width="11.625" style="15" customWidth="1"/>
    <col min="31" max="36" width="9.125" style="15" customWidth="1"/>
    <col min="37" max="37" width="9.125" style="15" hidden="1" customWidth="1"/>
    <col min="38" max="56" width="9.125" style="77" hidden="1" customWidth="1"/>
    <col min="57" max="69" width="9.125" style="15" hidden="1" customWidth="1"/>
    <col min="70" max="16384" width="9.125" style="15"/>
  </cols>
  <sheetData>
    <row r="1" spans="1:67" ht="22.5">
      <c r="C1" s="222" t="str">
        <f>IF('Master Sheet'!D3="","",CONCATENATE("Office ",'Master Sheet'!D3,))</f>
        <v>Office Mahtma Gandhi Government School (English Medium) Bar, PALI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L1" s="78">
        <v>44621</v>
      </c>
      <c r="AO1" s="78">
        <v>43891</v>
      </c>
      <c r="AS1" s="77">
        <f>'Master Sheet'!K31</f>
        <v>2100</v>
      </c>
    </row>
    <row r="2" spans="1:67" ht="20.25">
      <c r="C2" s="223" t="s">
        <v>23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L2" s="77" t="s">
        <v>20</v>
      </c>
      <c r="AO2" s="77" t="str">
        <f>'Master Sheet'!D27</f>
        <v>YES</v>
      </c>
      <c r="AP2" s="77">
        <f>'Master Sheet'!G27</f>
        <v>3</v>
      </c>
      <c r="AQ2" s="77">
        <f>IFERROR(IF(AP4="",0,MONTH(AP4)),"")</f>
        <v>1</v>
      </c>
      <c r="AU2" s="77">
        <f>IF(AO4=AO3,29,IF(AQ2=1,31,IF(AQ2=2,28,IF(AQ2=3,31,IF(AQ2=4,30,IF(AQ2=5,31,IF(AQ2=6,30,IF(AQ2=7,31,IF(AQ2=8,31,IF(AQ2=9,30,IF(AQ2=10,31,IF(AQ2=11,30,IF(AQ2=12,31,0)))))))))))))</f>
        <v>31</v>
      </c>
      <c r="AW2" s="78">
        <v>42917</v>
      </c>
      <c r="AX2" s="78">
        <v>45108</v>
      </c>
    </row>
    <row r="3" spans="1:67" s="16" customFormat="1" ht="24" customHeight="1">
      <c r="A3" s="138"/>
      <c r="C3" s="227" t="s">
        <v>28</v>
      </c>
      <c r="D3" s="227"/>
      <c r="E3" s="227"/>
      <c r="F3" s="228" t="str">
        <f>IFERROR(UPPER('Master Sheet'!D7),"")</f>
        <v>HEERALAL JAT</v>
      </c>
      <c r="G3" s="228"/>
      <c r="H3" s="228"/>
      <c r="I3" s="228"/>
      <c r="J3" s="228"/>
      <c r="K3" s="228"/>
      <c r="L3" s="228"/>
      <c r="M3" s="230" t="s">
        <v>0</v>
      </c>
      <c r="N3" s="230"/>
      <c r="O3" s="229" t="str">
        <f>IFERROR(UPPER('Master Sheet'!G7),"")</f>
        <v>SR. TEACHER</v>
      </c>
      <c r="P3" s="229"/>
      <c r="Q3" s="229"/>
      <c r="R3" s="229"/>
      <c r="S3" s="229"/>
      <c r="T3" s="231" t="s">
        <v>29</v>
      </c>
      <c r="U3" s="231"/>
      <c r="V3" s="231"/>
      <c r="W3" s="235" t="str">
        <f>IFERROR(CONCATENATE("L - ",'Master Sheet'!K7),"")</f>
        <v>L - 11</v>
      </c>
      <c r="X3" s="235"/>
      <c r="Y3" s="128"/>
      <c r="Z3" s="231" t="s">
        <v>86</v>
      </c>
      <c r="AA3" s="231"/>
      <c r="AB3" s="231"/>
      <c r="AC3" s="232" t="str">
        <f>IF($AO$18=$AO$20,"GPF","NPS")</f>
        <v>NPS</v>
      </c>
      <c r="AD3" s="232"/>
      <c r="AL3" s="79"/>
      <c r="AM3" s="79">
        <f>MONTH(AQ10)</f>
        <v>2</v>
      </c>
      <c r="AN3" s="79"/>
      <c r="AO3" s="81">
        <f>'Master Sheet'!D9</f>
        <v>42736</v>
      </c>
      <c r="AP3" s="79"/>
      <c r="AQ3" s="79">
        <f>IFERROR(IF(AO6="",0,MONTH(AO6)),"")</f>
        <v>1</v>
      </c>
      <c r="AR3" s="79"/>
      <c r="AS3" s="79"/>
      <c r="AT3" s="79"/>
      <c r="AU3" s="80">
        <f>IF(AO4=AO3,29,IF(AQ2=1,31,IF(AQ2=2,28,IF(AQ2=3,31,IF(AQ2=4,30,IF(AQ2=5,31,IF(AQ2=6,30,IF(AQ2=7,31,IF(AQ2=8,31,IF(AQ2=9,30,IF(AQ2=10,31,IF(AQ2=11,30,IF(AQ2=12,31,0)))))))))))))</f>
        <v>31</v>
      </c>
      <c r="AV3" s="79"/>
      <c r="AW3" s="78">
        <v>43282</v>
      </c>
      <c r="AX3" s="79"/>
      <c r="AY3" s="79"/>
      <c r="AZ3" s="79"/>
      <c r="BA3" s="79"/>
      <c r="BB3" s="79"/>
      <c r="BC3" s="79"/>
      <c r="BD3" s="79"/>
    </row>
    <row r="4" spans="1:67" s="16" customFormat="1" ht="24" customHeight="1">
      <c r="A4" s="138"/>
      <c r="C4" s="227"/>
      <c r="D4" s="227"/>
      <c r="E4" s="227"/>
      <c r="F4" s="75"/>
      <c r="G4" s="17"/>
      <c r="H4" s="227" t="s">
        <v>30</v>
      </c>
      <c r="I4" s="227"/>
      <c r="J4" s="227"/>
      <c r="K4" s="227"/>
      <c r="L4" s="227"/>
      <c r="M4" s="227"/>
      <c r="N4" s="236">
        <f>IFERROR('Master Sheet'!D9,"")</f>
        <v>42736</v>
      </c>
      <c r="O4" s="236"/>
      <c r="P4" s="236"/>
      <c r="Q4" s="18" t="s">
        <v>31</v>
      </c>
      <c r="R4" s="236">
        <f>IFERROR('Master Sheet'!G9,"")</f>
        <v>44713</v>
      </c>
      <c r="S4" s="236"/>
      <c r="T4" s="236"/>
      <c r="U4" s="230" t="s">
        <v>32</v>
      </c>
      <c r="V4" s="230"/>
      <c r="W4" s="230"/>
      <c r="X4" s="234" t="str">
        <f>'Master Sheet'!D3</f>
        <v>Mahtma Gandhi Government School (English Medium) Bar, PALI</v>
      </c>
      <c r="Y4" s="234"/>
      <c r="Z4" s="234"/>
      <c r="AA4" s="234"/>
      <c r="AB4" s="234"/>
      <c r="AC4" s="234"/>
      <c r="AD4" s="234"/>
      <c r="AL4" s="79" t="str">
        <f>IF(AC3="GPF"," GPF","GPF-2004")</f>
        <v>GPF-2004</v>
      </c>
      <c r="AM4" s="79">
        <f>MONTH(AP6)</f>
        <v>6</v>
      </c>
      <c r="AN4" s="79"/>
      <c r="AO4" s="81">
        <v>43862</v>
      </c>
      <c r="AP4" s="81">
        <f>'Master Sheet'!D13</f>
        <v>42747</v>
      </c>
      <c r="AQ4" s="79">
        <f>IFERROR(IF(AP4="",0,DAY(AP4)-1),"")</f>
        <v>11</v>
      </c>
      <c r="AR4" s="79"/>
      <c r="AS4" s="79"/>
      <c r="AT4" s="79"/>
      <c r="AU4" s="79">
        <f>IFERROR(SUM(AU3-AQ4),"")</f>
        <v>20</v>
      </c>
      <c r="AV4" s="79"/>
      <c r="AW4" s="78">
        <v>43647</v>
      </c>
      <c r="AX4" s="79"/>
      <c r="AY4" s="79"/>
      <c r="AZ4" s="79"/>
      <c r="BA4" s="79"/>
      <c r="BB4" s="79"/>
      <c r="BC4" s="79"/>
      <c r="BD4" s="79"/>
    </row>
    <row r="5" spans="1:67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1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W5" s="78">
        <v>44013</v>
      </c>
    </row>
    <row r="6" spans="1:67" ht="25.5" customHeight="1">
      <c r="B6" s="226" t="s">
        <v>22</v>
      </c>
      <c r="C6" s="224" t="s">
        <v>1</v>
      </c>
      <c r="D6" s="224" t="s">
        <v>2</v>
      </c>
      <c r="E6" s="224"/>
      <c r="F6" s="224"/>
      <c r="G6" s="224"/>
      <c r="H6" s="224" t="s">
        <v>3</v>
      </c>
      <c r="I6" s="224"/>
      <c r="J6" s="224"/>
      <c r="K6" s="224"/>
      <c r="L6" s="224" t="s">
        <v>4</v>
      </c>
      <c r="M6" s="224"/>
      <c r="N6" s="224"/>
      <c r="O6" s="224"/>
      <c r="P6" s="224" t="str">
        <f>IF($AO$18=$AO$20,"GPF","NPS/GPF-2004")</f>
        <v>NPS/GPF-2004</v>
      </c>
      <c r="Q6" s="224"/>
      <c r="R6" s="224"/>
      <c r="S6" s="225" t="s">
        <v>5</v>
      </c>
      <c r="T6" s="225"/>
      <c r="U6" s="225"/>
      <c r="V6" s="224" t="s">
        <v>21</v>
      </c>
      <c r="W6" s="224"/>
      <c r="X6" s="224"/>
      <c r="Y6" s="233" t="str">
        <f>CONCATENATE("GPF In ",AL4)</f>
        <v>GPF In GPF-2004</v>
      </c>
      <c r="Z6" s="226" t="s">
        <v>6</v>
      </c>
      <c r="AA6" s="226" t="s">
        <v>7</v>
      </c>
      <c r="AB6" s="226" t="s">
        <v>8</v>
      </c>
      <c r="AC6" s="226" t="s">
        <v>9</v>
      </c>
      <c r="AD6" s="226" t="s">
        <v>10</v>
      </c>
      <c r="AM6" s="78">
        <v>44075</v>
      </c>
      <c r="AN6" s="78">
        <v>44105</v>
      </c>
      <c r="AO6" s="82">
        <f>IF('Master Sheet'!D9="","",'Master Sheet'!D9)</f>
        <v>42736</v>
      </c>
      <c r="AP6" s="83">
        <f>IF('Master Sheet'!G9="","",'Master Sheet'!G9)</f>
        <v>44713</v>
      </c>
      <c r="AQ6" s="84">
        <f>IFERROR(IF(AP4="",0,DAY(AP4)-1),"")</f>
        <v>11</v>
      </c>
      <c r="AR6" s="84"/>
      <c r="AS6" s="84"/>
      <c r="AT6" s="84"/>
      <c r="AU6" s="85">
        <f>IFERROR(SUM(AU2-AQ4),"")</f>
        <v>20</v>
      </c>
      <c r="AW6" s="78">
        <v>44378</v>
      </c>
    </row>
    <row r="7" spans="1:67" ht="45.75" customHeight="1">
      <c r="B7" s="226"/>
      <c r="C7" s="224"/>
      <c r="D7" s="131" t="s">
        <v>11</v>
      </c>
      <c r="E7" s="131" t="s">
        <v>12</v>
      </c>
      <c r="F7" s="131" t="s">
        <v>13</v>
      </c>
      <c r="G7" s="131" t="s">
        <v>14</v>
      </c>
      <c r="H7" s="131" t="s">
        <v>11</v>
      </c>
      <c r="I7" s="131" t="s">
        <v>12</v>
      </c>
      <c r="J7" s="131" t="s">
        <v>13</v>
      </c>
      <c r="K7" s="131" t="s">
        <v>14</v>
      </c>
      <c r="L7" s="131" t="s">
        <v>11</v>
      </c>
      <c r="M7" s="131" t="s">
        <v>12</v>
      </c>
      <c r="N7" s="131" t="s">
        <v>13</v>
      </c>
      <c r="O7" s="131" t="s">
        <v>14</v>
      </c>
      <c r="P7" s="131" t="s">
        <v>15</v>
      </c>
      <c r="Q7" s="131" t="s">
        <v>16</v>
      </c>
      <c r="R7" s="131" t="s">
        <v>17</v>
      </c>
      <c r="S7" s="131" t="s">
        <v>15</v>
      </c>
      <c r="T7" s="131" t="s">
        <v>16</v>
      </c>
      <c r="U7" s="131" t="s">
        <v>17</v>
      </c>
      <c r="V7" s="131" t="s">
        <v>15</v>
      </c>
      <c r="W7" s="131" t="s">
        <v>16</v>
      </c>
      <c r="X7" s="131" t="s">
        <v>17</v>
      </c>
      <c r="Y7" s="233"/>
      <c r="Z7" s="226"/>
      <c r="AA7" s="226"/>
      <c r="AB7" s="226"/>
      <c r="AC7" s="226"/>
      <c r="AD7" s="226"/>
      <c r="AL7" s="77">
        <f>IF(AM7="NO",28,31)</f>
        <v>31</v>
      </c>
      <c r="AM7" s="77" t="str">
        <f>IF('Master Sheet'!K29="","",'Master Sheet'!K29)</f>
        <v>YES</v>
      </c>
      <c r="AN7" s="78"/>
      <c r="AO7" s="86">
        <f>IF('Master Sheet'!K9="","",'Master Sheet'!K9)</f>
        <v>0</v>
      </c>
      <c r="AP7" s="84"/>
      <c r="AQ7" s="87">
        <f>IF('Master Sheet'!K5="","",'Master Sheet'!K5)</f>
        <v>8</v>
      </c>
      <c r="AR7" s="130"/>
      <c r="AS7" s="130"/>
      <c r="AU7" s="77">
        <f>IF('Master Sheet'!D29="","",'Master Sheet'!D29)</f>
        <v>9</v>
      </c>
      <c r="AV7" s="78">
        <v>44378</v>
      </c>
      <c r="AW7" s="78">
        <v>44743</v>
      </c>
      <c r="BI7" s="15">
        <f>ROUND(ROUND(M8*3%,0)*10%,0)</f>
        <v>0</v>
      </c>
    </row>
    <row r="8" spans="1:67" s="25" customFormat="1" ht="21" customHeight="1">
      <c r="A8" s="139">
        <f>IF(LEN(C8)&gt;=2,1,0)</f>
        <v>1</v>
      </c>
      <c r="B8" s="64">
        <f>IFERROR(IF(A8="","",IF(A8=0,"",A8)),"")</f>
        <v>1</v>
      </c>
      <c r="C8" s="65">
        <f>IFERROR(IF(AT9="","",AT9),"")</f>
        <v>42736</v>
      </c>
      <c r="D8" s="66">
        <f>IFERROR(IF(AU9="","",AU9),"")</f>
        <v>30000</v>
      </c>
      <c r="E8" s="66">
        <f>IFERROR(IF(AV9="","",AV9),"")</f>
        <v>1200</v>
      </c>
      <c r="F8" s="66">
        <f>IFERROR(IF(OR(C8=$AM$16,C8=$AM$17,C8=$AM$18,C8=$AM$19,C8=$AM$20,C8=$AM$21,C8=$AM$22,C8=$AM$23,C8=$AM$24),0,IF(AW9="","",AW9)),"")</f>
        <v>0</v>
      </c>
      <c r="G8" s="66">
        <f>IF(C8="","",SUM(D8:F8))</f>
        <v>31200</v>
      </c>
      <c r="H8" s="66">
        <f>IFERROR(IF(AY9="","",AY9),"")</f>
        <v>29097</v>
      </c>
      <c r="I8" s="66">
        <f>IFERROR(IF(AZ9="","",AZ9),"")</f>
        <v>1164</v>
      </c>
      <c r="J8" s="66">
        <f>IFERROR(IF(OR(C8=$AM$16,C8=$AM$17,C8=$AM$18,C8=$AM$19,C8=$AM$20,C8=$AM$21,C8=$AM$22,C8=$AM$23,C8=$AM$24),0,IF(BA9="","",BA9)),"")</f>
        <v>0</v>
      </c>
      <c r="K8" s="66">
        <f>IF(C8="","",SUM(H8:J8))</f>
        <v>30261</v>
      </c>
      <c r="L8" s="66">
        <f>IFERROR(IF(C8="","",IF(D8="","",IF(H8="","",SUM(D8-H8)))),"")</f>
        <v>903</v>
      </c>
      <c r="M8" s="66">
        <f>IFERROR(IF(C8="","",IF(E8="","",IF(I8="","",SUM(E8-I8)))),"")</f>
        <v>36</v>
      </c>
      <c r="N8" s="66">
        <f>IFERROR(IF(C8="","",IF(F8="","",IF(J8="","",SUM(F8-J8)))),"")</f>
        <v>0</v>
      </c>
      <c r="O8" s="66">
        <f>IFERROR(IF(C8="","",IF(G8="","",IF(K8="","",SUM(G8-K8)))),"")</f>
        <v>939</v>
      </c>
      <c r="P8" s="66">
        <f>IFERROR(IF(C8="","",IF(AND(C8&gt;$AL$1,$AC$3=$AL$2),BO9,IF($AO$18=$AO$20,SUM(BB9+BJ9),ROUND((D8+E8)*10%,0)))),"")</f>
        <v>3120</v>
      </c>
      <c r="Q8" s="66">
        <f>IFERROR(IF(C8="","",IF(H8="","",IF(I8="","",IF(AND(C8&gt;$AL$1,$AC$3=$AL$2),BO9,IF($AO$18=$AO$20,$AO$21,ROUND((H8+I8)*10%,0)))))),"")</f>
        <v>3026</v>
      </c>
      <c r="R8" s="66">
        <f t="shared" ref="R8:R9" si="0">IFERROR(IF(C8="","",SUM(P8-Q8)),"")</f>
        <v>94</v>
      </c>
      <c r="S8" s="67">
        <f>IFERROR(IF(C8="","",IF($AO$16=$AO$17,0,IF($AO$19=$AO$20,$AO$25,0))),"")</f>
        <v>2100</v>
      </c>
      <c r="T8" s="67">
        <f>IFERROR(IF(C8="","",IF($AO$16=$AO$17,0,IF($AO$19=$AO$20,$AO$24,0))),"")</f>
        <v>2100</v>
      </c>
      <c r="U8" s="66">
        <f>IFERROR(IF(C8="","",SUM(S8-T8)),"")</f>
        <v>0</v>
      </c>
      <c r="V8" s="66" t="str">
        <f>IF(C8="","",IF(AND($AO$2=$AO$20,C8=$AO$1),ROUND(D8/31*$AP$2,0),IF(C8=$AM$6,ROUND((G8)*1/30,0),IF(C8=$AN$6,ROUND((G8)*1/31,0),""))))</f>
        <v/>
      </c>
      <c r="W8" s="66" t="str">
        <f>IF(C8="","",IF(AND($AO$2=$AO$20,C8=$AO$1),ROUND(H8/31*$AP$2,0),IF(C8=$AM$6,ROUND((K8)*1/30,0),IF(C8=$AN$6,ROUND((K8)*1/31,0),""))))</f>
        <v/>
      </c>
      <c r="X8" s="66" t="str">
        <f>IFERROR(IF(C8="","",SUM(V8-W8)),"")</f>
        <v/>
      </c>
      <c r="Y8" s="66" t="str">
        <f>IFERROR(IF(BG9="","",IF(AND($P$6="NPS",BG9="YES"),SUM(BH9+BO9),"")),"")</f>
        <v/>
      </c>
      <c r="Z8" s="66">
        <f>IFERROR(IF(C8="","",ROUND(O8*$AO$7%,0)),"")</f>
        <v>0</v>
      </c>
      <c r="AA8" s="66">
        <f>IFERROR(IF(C8="","",IF($AC$3="GPF",SUM(R8,U8,X8,Y8,Z8),SUM(U8,X8,Y8,Z8))),"")</f>
        <v>0</v>
      </c>
      <c r="AB8" s="68">
        <f>IFERROR(IF(C8="","",SUM(O8-AA8)),"")</f>
        <v>939</v>
      </c>
      <c r="AC8" s="69"/>
      <c r="AD8" s="70"/>
      <c r="AF8" s="26"/>
      <c r="AG8" s="27"/>
      <c r="AH8" s="27"/>
      <c r="AI8" s="27"/>
      <c r="AJ8" s="27"/>
      <c r="AK8" s="26"/>
      <c r="AL8" s="88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J8" s="134" t="s">
        <v>128</v>
      </c>
    </row>
    <row r="9" spans="1:67" s="28" customFormat="1" ht="21" customHeight="1">
      <c r="A9" s="140">
        <f>IF(C9="TOTAL","",IF(LEN(C9)&gt;=2,B8+1,0))</f>
        <v>2</v>
      </c>
      <c r="B9" s="64">
        <f t="shared" ref="B9:B72" si="1">IFERROR(IF(A9="","",IF(A9=0,"",A9)),"")</f>
        <v>2</v>
      </c>
      <c r="C9" s="65">
        <f t="shared" ref="C9:C10" si="2">IFERROR(IF(AT10="","",AT10),"")</f>
        <v>42767</v>
      </c>
      <c r="D9" s="66">
        <f>IFERROR(IF($C9="TOTAL",SUM($D$8:D8),IF(AU10="","",AU10)),"")</f>
        <v>46500</v>
      </c>
      <c r="E9" s="66">
        <f>IFERROR(IF($C9="TOTAL",SUM($E$8:E8),IF(AV10="","",AV10)),"")</f>
        <v>1860</v>
      </c>
      <c r="F9" s="66">
        <f>IFERROR(IF($C9="TOTAL",SUM($F$8:F8),IF(OR(C9=$AM$16,C9=$AM$17,C9=$AM$18,C9=$AM$19,C9=$AM$20,C9=$AM$21,C9=$AM$22,C9=$AM$23,C9=$AM$24),0,IF(AW10="","",AW10))),"")</f>
        <v>0</v>
      </c>
      <c r="G9" s="66">
        <f t="shared" ref="G9" si="3">IF(C9="","",SUM(D9:F9))</f>
        <v>48360</v>
      </c>
      <c r="H9" s="66">
        <f>IFERROR(IF($C9="TOTAL",SUM($H$8:H8),IF(AY10="","",AY10)),"")</f>
        <v>45100</v>
      </c>
      <c r="I9" s="66">
        <f>IFERROR(IF($C9="TOTAL",SUM($I$8:I8),IF(AZ10="","",AZ10)),"")</f>
        <v>1804</v>
      </c>
      <c r="J9" s="66">
        <f>IFERROR(IF($C9="TOTAL",SUM($J$8:J8),IF(OR(C9=$AM$16,C9=$AM$17,C9=$AM$18,C9=$AM$19,C9=$AM$20,C9=$AM$21,C9=$AM$22,C9=$AM$23,C9=$AM$24),0,IF(BA10="","",BA10))),"")</f>
        <v>0</v>
      </c>
      <c r="K9" s="66">
        <f t="shared" ref="K9" si="4">IF(C9="","",SUM(H9:J9))</f>
        <v>46904</v>
      </c>
      <c r="L9" s="66">
        <f>IFERROR(IF(C9="","",IF(D9="","",IF(H9="","",IF($C9="TOTAL",SUM($L$8:L8),SUM(D9-H9))))),"")</f>
        <v>1400</v>
      </c>
      <c r="M9" s="66">
        <f>IFERROR(IF(C9="","",IF(E9="","",IF(I9="","",IF($C9="TOTAL",SUM($M$8:M8),SUM(E9-I9))))),"")</f>
        <v>56</v>
      </c>
      <c r="N9" s="66">
        <f>IFERROR(IF(C9="","",IF(F9="","",IF(J9="","",IF($C9="TOTAL",SUM($N$8:N8),SUM(F9-J9))))),"")</f>
        <v>0</v>
      </c>
      <c r="O9" s="66">
        <f t="shared" ref="O9" si="5">IFERROR(IF(C9="","",IF(G9="","",IF(K9="","",SUM(G9-K9)))),"")</f>
        <v>1456</v>
      </c>
      <c r="P9" s="66">
        <f>IFERROR(IF(C9="","",IF(AND(C9&gt;$AL$1,$AC$3=$AL$2),BO10,IF($AO$18=$AO$20,SUM(BB10+BJ10),ROUND((D9+E9)*10%,0)))),"")</f>
        <v>4836</v>
      </c>
      <c r="Q9" s="66">
        <f>IFERROR(IF(C9="","",IF(H9="","",IF(I9="","",IF(AND(C9&gt;$AL$1,$AC$3=$AL$2),BO10,IF($AO$18=$AO$20,$AO$21,ROUND((H9+I9)*10%,0)))))),"")</f>
        <v>4690</v>
      </c>
      <c r="R9" s="66">
        <f t="shared" si="0"/>
        <v>146</v>
      </c>
      <c r="S9" s="67">
        <f>IFERROR(IF(C9="","",IF($AO$16=$AO$17,0,IF($C9="TOTAL",SUM($S$8:S8),IF($AO$19=$AO$31,0,IF(AND($AO$32=$AO$20,C9=$AO$33),$AO$34,S8))))),"")</f>
        <v>2100</v>
      </c>
      <c r="T9" s="67">
        <f>IFERROR(IF(C9="","",IF($AO$16=$AO$17,0,IF($C9="TOTAL",SUM($T$8:T8),IF($AO$19=$AO$20,$AO$24,0)))),"")</f>
        <v>2100</v>
      </c>
      <c r="U9" s="66">
        <f>IFERROR(IF(C9="","",SUM(S9-T9)),"")</f>
        <v>0</v>
      </c>
      <c r="V9" s="66" t="str">
        <f>IF(C9="","",IF($C9="TOTAL",SUM($V$8:V8),IF(AND($AO$2=$AO$20,C9=$AO$1),ROUND(D9/31*$AP$2,0),IF(C9=$AM$6,ROUND((G9)*1/30,0),IF(C9=$AN$6,ROUND((G9)*1/31,0),"")))))</f>
        <v/>
      </c>
      <c r="W9" s="66" t="str">
        <f>IF(C9="","",IF($C9="TOTAL",SUM($W$8:W8),IF(AND($AO$2=$AO$20,C9=$AO$1),ROUND(H9/31*$AP$2,0),IF(C9=$AM$6,ROUND((K9)*1/30,0),IF(C9=$AN$6,ROUND((K9)*1/31,0),"")))))</f>
        <v/>
      </c>
      <c r="X9" s="66" t="str">
        <f t="shared" ref="X9" si="6">IFERROR(IF(C9="","",SUM(V9-W9)),"")</f>
        <v/>
      </c>
      <c r="Y9" s="66" t="str">
        <f>IFERROR(IF(C9="","",IF(AND(BH10="",BO10=""),"",IF($C9="TOTAL",SUM($Y$8:Y8),BH10))),"")</f>
        <v/>
      </c>
      <c r="Z9" s="66">
        <f>IFERROR(IF(C9="","",IF($C9="TOTAL",SUM($Z$8:Z8),ROUND(O9*$AO$7%,0))),"")</f>
        <v>0</v>
      </c>
      <c r="AA9" s="66">
        <f>IFERROR(IF(C9="","",IF($C9="TOTAL",SUM($AA$8:AA8),IF($AC$3=$AL$2,SUM(U9,X9,Y9,Z9),SUM(R9,U9,X9,Y9,Z9)))),"")</f>
        <v>0</v>
      </c>
      <c r="AB9" s="68">
        <f>IFERROR(IF(C9="","",IF($C9="TOTAL",SUM($AB$8:AB8),SUM(O9-AA9))),"")</f>
        <v>1456</v>
      </c>
      <c r="AC9" s="69"/>
      <c r="AD9" s="69"/>
      <c r="AF9" s="6"/>
      <c r="AG9" s="6"/>
      <c r="AH9" s="6"/>
      <c r="AI9" s="6"/>
      <c r="AJ9" s="6"/>
      <c r="AK9" s="90">
        <f>IF(OR(AT9=$AN$9,AT9=$AN$10,AT9=$AN$11,AT9=$AN$12,AT9=$AN$13,AT9=$AN$14),4,IF(OR(AT9=$AN$15,AT9=$AN$16,AT9=$AN$17,AT9=$AN$18,AT9=$AN$19,AT9=$AN$20),5,IF(OR(AT9=$AN$21,AT9=$AN$22,AT9=$AN$23,AT9=$AN$24,AT9=$AN$25,AT9=$AN$26),7,IF(OR(AT9=$AN$27,AT9=$AN$28,AT9=$AN$29,AT9=$AN$30,AT9=$AN$31,AT9=$AN$32),9,IF(OR(AT9=$AN$33,AT9=$AN$34,AT9=$AN$35,AT9=$AN$36,AT9=$AN$37,AT9=$AN$38),12,IF(OR(AT9=$AN$39,AT9=$AN$40,AT9=$AN$41,AT9=$AN$42,AT9=$AN$43,AT9=$AN$44,AT9=$AN$45,AT9=$AN$46,AT9=$AN$47,AT9=$AN$48,AT9=$AN$49,AT9=$AN$50,AT9=$AN$51,AT9=$AN$52,AT9=$AN$53,AT9=$AN$54,AT9=$AN$55,AT9=$AN$56,AT9=$AN$57,AT9=$AN$58,AT9=$AN$59,AT9=$AN$60,AT9=$AN$61,AT9=$AN$62),17,IF(OR(AT9=$AN$63,AT9=$AN$64,AT9=$AN$65,AT9=$AN$66,AT9=$AN$67,AT9=$AN$68),31,34)))))))</f>
        <v>4</v>
      </c>
      <c r="AL9" s="90">
        <f>IF(OR(AT9=$AN$9,AT9=$AN$10,AT9=$AN$11,AT9=$AN$12,AT9=$AN$13,AT9=$AN$14),4,IF(OR(AT9=$AN$15,AT9=$AN$16,AT9=$AN$17,AT9=$AN$18,AT9=$AN$19,AT9=$AN$20),5,IF(OR(AT9=$AN$21,AT9=$AN$22,AT9=$AN$23,AT9=$AN$24,AT9=$AN$25,AT9=$AN$26),7,IF(OR(AT9=$AN$27,AT9=$AN$28,AT9=$AN$29,AT9=$AN$30,AT9=$AN$31,AT9=$AN$32),9,IF(OR(AT9=$AN$33,AT9=$AN$34,AT9=$AN$35,AT9=$AN$36,AT9=$AN$37,AT9=$AN$38),12,IF(OR(AT9=$AN$39,AT9=$AN$40,AT9=$AN$41,AT9=$AN$42,AT9=$AN$43,AT9=$AN$44,AT9=$AN$45,AT9=$AN$46,AT9=$AN$47,AT9=$AN$48,AT9=$AN$49,AT9=$AN$50,AT9=$AN$51,AT9=$AN$52,AT9=$AN$53,AT9=$AN$54,AT9=$AN$55,AT9=$AN$56,AT9=$AN$57,AT9=$AN$58,AT9=$AN$59,AT9=$AN$60,AT9=$AN$61,AT9=$AN$62),17,IF(OR(AT9=$AN$63,AT9=$AN$64,AT9=$AN$65,AT9=$AN$66,AT9=$AN$67,AT9=$AN$68),31,34)))))))</f>
        <v>4</v>
      </c>
      <c r="AM9" s="91"/>
      <c r="AN9" s="92">
        <v>42736</v>
      </c>
      <c r="AO9" s="91">
        <f>'Master Sheet'!K13</f>
        <v>46500</v>
      </c>
      <c r="AP9" s="92">
        <f>IF(AND($AO$6&gt;$AP$6),"",DATE(YEAR(AO6),MONTH(AO6),DAY(AO6)))</f>
        <v>42736</v>
      </c>
      <c r="AQ9" s="92">
        <f>IF(AND(AP9=""),"",IF(AND(AP9=$AN$9),$AN$9,IF(AND(AP9=$AN$10),$AN$10,IF(AND(AP9=$AN$11),$AN$11,IF(AND(AP9=$AN$12),$AN$12,IF(AND(AP9=$AN$13),$AN$13,IF(AND(AP9=$AN$14),$AN$14,IF(AND(AP9=$AN$15),$AN$15,IF(AND(AP9=$AN$16),$AN$16,IF(AND(AP9=$AN$17),$AN$17,IF(AND(AP9=$AN$18),$AN$18,IF(AND(AP9=$AN$19),$AN$19,IF(AND(AP9=$AN$20),$AN$20,IF(AND(AP9=$AN$21),$AN$21,IF(AND(AP9=$AN$22),$AN$22,IF(AND(AP9=$AN$23),$AN$23,IF(AND(AP9=$AN$24),$AN$24,IF(AND(AP9=$AN$25),$AN$25,IF(AND(AP9=$AN$26),$AN$26,IF(AND(AP9=$AN$27),$AN$27,IF(AND(AP9=$AN$28),$AN$28,IF(AND(AP9=$AN$29),$AN$29,IF(AND(AP9=$AN$30),$AN$30,IF(AND(AP9=$AN$31),$AN$31,IF(AND(AP9=$AN$32),$AN$32,IF(AND(AP9=$AN$33),$AN$33,IF(AND(AP9=$AN$34),$AN$34,IF(AND(AP9=$AN$35),$AN$35,IF(AND(AP9=$AN$36),$AN$36,IF(AND(AP9=$AN$37),$AN$37,IF(AND(AP9=$AN$38),$AN$38,IF(AND(AP9=$AN$39),$AN$39,IF(AND(AP9=$AN$40),$AN$40,IF(AND(AP9=$AN$41),$AN$41,IF(AND(AP9=$AN$42),$AN$42,IF(AND(AP9=$AN$43),$AN$43,IF(AND(AP9=$AN$44),$AN$44,IF(AND(AP9=$AN$45),$AN$45,IF(AND(AP9=$AN$46),$AN$46,IF(AND(AP9=$AN$47),$AN$47,IF(AND(AP9=$AN$48),$AN$48,IF(AND(AP9=$AN$49),$AN$49,IF(AND(AP9=$AN$50),$AN$50,IF(AND(AP9=$AN$51),$AN$51,IF(AND(AP9=$AN$52),$AN$52,IF(AND(AP9=$AN$53),$AN$53,IF(AND(AP9=$AN$54),$AN$54,IF(AND(AP9=$AN$55),$AN$55,IF(AND(AP9=$AN$56),$AN$56,IF(AND(AP9=$AN$57),$AN$57,IF(AND(AP9=$AN$58),$AN$58,IF(AND(AP9=$AN$59),$AN$59,IF(AND(AP9=$AN$60),$AN$60,IF(AND(AP9=$AN$61),$AN$61,IF(AND(AP9=$AN$62),$AN$62,IF(AND(AP9=$AN$63),$AN$63,IF(AND(AP9=$AN$64),$AN$64,IF(AND(AP9=$AN$65),$AN$65,IF(AND(AP9=$AN$66),$AN$66,IF(AND(AP9=$AN$67),$AN$67,IF(AND(AP9=$AN$68),$AN$68,IF(AND(AP9=$AN$69),$AN$69,IF(AND(AP9=$AN$70),$AN$70,IF(AND(AP9=$AN$71),$AN$71,""))))))))))))))))))))))))))))))))))))))))))))))))))))))))))))))))</f>
        <v>42736</v>
      </c>
      <c r="AR9" s="92" t="str">
        <f>IF(AND(AP9=""),"",IF(AND(AP9=$AN$72),$AP$72,IF(AND(AP9=$AN$73),$AN$73,IF(AND(AP9=$AN$74),$AN$74,IF(AND(AP9=$AN$75),$AN$75,IF(AND(AP9=$AN$76),$AN$76,IF(AND(AP9=$AN$77),$AN$77,IF(AND(AP9=$AN$78),$AN$78,IF(AND(AP9=$AN$79),$AN$79,IF(AND(AP9=$AN$80),$AN$80,IF(AND(AP9=$AN$81),$AN$81,IF(AND(AP9=$AN$82),$AN$82,IF(AND(AP9=$AN$83),$AN$83,IF(AND(AP9=$AN$84),$AN$84,IF(AND(AP9=$AN$85),$AN$85,IF(AND(AP9=$AN$86),$AN$86,IF(AND(AP9=$AN$87),$AN$87,IF(AND(AP9=$AN$88),$AN$88,IF(AND(AP9=$AN$89),$AN$89,IF(AND(AP9=$AN$90),$AN$90,IF(AND(AP9=$AN$91),$AN$91,"")))))))))))))))))))))</f>
        <v/>
      </c>
      <c r="AS9" s="92">
        <f>IFERROR(IF(AND(AQ9="",AR9=""),"",IF(AQ9="",AR9,AQ9)),"")</f>
        <v>42736</v>
      </c>
      <c r="AT9" s="92">
        <f>IFERROR(IF(AND(AQ9="",AS9=""),"",IF(AS9&gt;$AP$6,"",AS9)),"")</f>
        <v>42736</v>
      </c>
      <c r="AU9" s="91">
        <f>IF(AT9="","",ROUND((AO9/AU3)*AU6,0))</f>
        <v>30000</v>
      </c>
      <c r="AV9" s="91">
        <f t="shared" ref="AV9:AV12" si="7">IF(AT9="","",IF(AT9="TOTAL","",ROUND(AU9*AK9%,0)))</f>
        <v>1200</v>
      </c>
      <c r="AW9" s="91">
        <f t="shared" ref="AW9:AW10" si="8">IF(AT9="","",IF(AT9="TOTAL","",IF(AT9&gt;=$AV$7,ROUND(AU9*$AU$7%,0),ROUND(AU9*$AQ$7%,0))))</f>
        <v>2400</v>
      </c>
      <c r="AX9" s="91"/>
      <c r="AY9" s="91">
        <f>IF(AT9="","",IF(AND($AO$10="",$AO$14=""),"",IF(AO26=AO20,ROUND((AO27/AU3)*AU6,0),IF($AO$13=$AO$15,ROUND(($AO$14/AU3)*AU6,0),ROUND(($AO$10/AU3)*AU6,0)))))</f>
        <v>29097</v>
      </c>
      <c r="AZ9" s="91">
        <f>IF(AT9="","",IF(AY9="","",IF($AO$16=$AO$17,0,ROUND(AY9*AL9%,0))))</f>
        <v>1164</v>
      </c>
      <c r="BA9" s="91">
        <f>IF(AT9="","",IF(AY9="","",IF($AO$16=$AO$17,0,IF(AT9&gt;=$AV$7,ROUND(AY9*$AU$7%,0),ROUND(AY9*$AQ$7%,0)))))</f>
        <v>2328</v>
      </c>
      <c r="BB9" s="91">
        <f>IF(AT9="","",IF(AT9="TOTAL","",IF(AY9="","",IF($AO$16=$AO$17,0,IF(OR(C8=$AM$16,C8=$AM$17,C8=$AM$18,C8=$AM$19,C8=$AM$20,C8=$AM$21,C8=$AM$22,C8=$AM$23,C8=$AM$24),SUM(BE9+$AO$22),$AO$22)))))</f>
        <v>4614</v>
      </c>
      <c r="BC9" s="91"/>
      <c r="BD9" s="91"/>
      <c r="BE9" s="125">
        <f>IF(AT9="","",IF(AT9="TOTAL","",IF(AY9="","",SUM(O8)-SUM(($AO$22-$AO$21)+SUM(U8,X8,Z8)))))</f>
        <v>939</v>
      </c>
      <c r="BF9" s="91">
        <f>IF(AT9="","",IF(AT9="TOTAL","",IF(AND($AO$20=$AO$36,C9=$AO$37),$AO$38,$AO$22)))</f>
        <v>3675</v>
      </c>
      <c r="BG9" s="91" t="str">
        <f>IF(OR(AT9=$AN$63,AT9=$AN$64,AT9=$AN$65),"YES","")</f>
        <v/>
      </c>
      <c r="BH9" s="91" t="str">
        <f>IF(OR(AT9=$AN$63,AT9=$AN$64,AT9=$AN$65),SUM(ROUND((D8-H8)*3%,0)),IF(OR(AT9=$AN$69,AT9=$AN$70,AT9=$AN$71),SUM(ROUND((D8-H8)*3%,0)),""))</f>
        <v/>
      </c>
      <c r="BI9" s="91">
        <f>IFERROR(IF(AND($AO$16=$AO$17,BG9="YES"),ROUND(ROUND(D8*3%,0)*10%,0),IF(AND($AO$16=$AO$15,BG9="YES",$AM$7="NO"),ROUND(ROUND((L8+H8)*3%,0)*10%,0),IF(AND($AO$16=$AO$15,BG9="YES",$AM$7="YES"),ROUND(ROUND((L8+M8)*3%,0)*10%,0),0))),"")</f>
        <v>0</v>
      </c>
      <c r="BJ9" s="133">
        <f>IF(AND($AO$16=$AO$17,BG9="YES"),ROUND(D8*3%,0),IF(AND($AO$16=$AO$15,BG9="YES",$AM$7="NO"),ROUND((L8+H8)*3%,0),IF(AND($AO$16=$AO$15,BG9="YES",$AM$7="YES"),ROUND((L8+M8)*3%,0),0)))</f>
        <v>0</v>
      </c>
      <c r="BK9" s="28" t="str">
        <f>IF(AND($AO$16=$AO$17,BG9="YES"),ROUND(ROUND(D8*3%,0)*10%,0),IF(AND($AO$16=$AO$15,BG9="YES",$AM$7="NO"),ROUND(ROUND((L8+H8)*3%,0)*10%,0),IF(AND($AO$16=$AO$15,BG9="YES",$AM$7="YES"),ROUND(ROUND((L8+M8)*3%,0)*10%,0),"")))</f>
        <v/>
      </c>
      <c r="BO9" s="28" t="str">
        <f>IF(AND(AT9&gt;$AL$1,$AC$3=$AL$2),$AS$1,"")</f>
        <v/>
      </c>
    </row>
    <row r="10" spans="1:67" s="28" customFormat="1" ht="21" customHeight="1">
      <c r="A10" s="140">
        <f>IF(C10="TOTAL","",IF(B9="","",IF(LEN(C10)&gt;=2,B9+1,0)))</f>
        <v>3</v>
      </c>
      <c r="B10" s="64">
        <f t="shared" si="1"/>
        <v>3</v>
      </c>
      <c r="C10" s="65">
        <f t="shared" si="2"/>
        <v>42795</v>
      </c>
      <c r="D10" s="66">
        <f>IFERROR(IF($C9="TOTAL","अक्षरें राशि :-",IF($C10="TOTAL",SUM($D$8:D9),IF(AU11="","",AU11))),"")</f>
        <v>46500</v>
      </c>
      <c r="E10" s="66">
        <f>IFERROR(IF($C10="TOTAL",SUM($E$8:E9),IF(AV11="","",AV11)),"")</f>
        <v>1860</v>
      </c>
      <c r="F10" s="66">
        <f>IFERROR(IF($C10="TOTAL",SUM($F$8:F9),IF(OR(C10=$AM$16,C10=$AM$17,C10=$AM$18,C10=$AM$19,C10=$AM$20,C10=$AM$21,C10=$AM$22,C10=$AM$23,C10=$AM$24),0,IF(AW11="","",AW11))),"")</f>
        <v>0</v>
      </c>
      <c r="G10" s="66">
        <f t="shared" ref="G10" si="9">IF(C10="","",SUM(D10:F10))</f>
        <v>48360</v>
      </c>
      <c r="H10" s="66">
        <f>IFERROR(IF($C10="TOTAL",SUM($H$8:H9),IF(AY11="","",AY11)),"")</f>
        <v>45100</v>
      </c>
      <c r="I10" s="66">
        <f>IFERROR(IF($C10="TOTAL",SUM($I$8:I9),IF(AZ11="","",AZ11)),"")</f>
        <v>1804</v>
      </c>
      <c r="J10" s="66">
        <f>IFERROR(IF($C10="TOTAL",SUM($J$8:J9),IF(OR(C10=$AM$16,C10=$AM$17,C10=$AM$18,C10=$AM$19,C10=$AM$20,C10=$AM$21,C10=$AM$22,C10=$AM$23,C10=$AM$24),0,IF(BA11="","",BA11))),"")</f>
        <v>0</v>
      </c>
      <c r="K10" s="66">
        <f t="shared" ref="K10:K68" si="10">IF(C10="","",SUM(H10:J10))</f>
        <v>46904</v>
      </c>
      <c r="L10" s="66">
        <f>IFERROR(IF(C10="","",IF(D10="","",IF(H10="","",IF($C10="TOTAL",SUM($L$8:L9),SUM(D10-H10))))),"")</f>
        <v>1400</v>
      </c>
      <c r="M10" s="66">
        <f>IFERROR(IF(C10="","",IF(E10="","",IF(I10="","",IF($C10="TOTAL",SUM($M$8:M9),SUM(E10-I10))))),"")</f>
        <v>56</v>
      </c>
      <c r="N10" s="66">
        <f>IFERROR(IF(C10="","",IF(F10="","",IF(J10="","",IF($C10="TOTAL",SUM($N$8:N9),SUM(F10-J10))))),"")</f>
        <v>0</v>
      </c>
      <c r="O10" s="66">
        <f t="shared" ref="O10:O68" si="11">IFERROR(IF(C10="","",IF(G10="","",IF(K10="","",SUM(G10-K10)))),"")</f>
        <v>1456</v>
      </c>
      <c r="P10" s="66">
        <f>IFERROR(IF(C10="","",IF($C10="TOTAL",SUM($P$8:P9),IF(AND(C10&gt;$AL$1,$AC$3=$AL$2),BO11,IF($AO$18=$AO$20,SUM(BB11+BJ11),ROUND((D10+E10)*10%,0))))),"")</f>
        <v>4836</v>
      </c>
      <c r="Q10" s="66">
        <f>IFERROR(IF(C10="","",IF(H10="","",IF(I10="","",IF($C10="TOTAL",SUM($Q$8:Q9),IF(AND(C10&gt;$AL$1,$AC$3=$AL$2),BO11,IF($AO$18=$AO$20,$AO$21,ROUND((H10+I10)*10%,0))))))),"")</f>
        <v>4690</v>
      </c>
      <c r="R10" s="66">
        <f t="shared" ref="R10:R68" si="12">IFERROR(IF(C10="","",SUM(P10-Q10)),"")</f>
        <v>146</v>
      </c>
      <c r="S10" s="67">
        <f>IFERROR(IF(C10="","",IF($AO$16=$AO$17,0,IF($C10="TOTAL",SUM($S$8:S9),IF($AO$19=$AO$31,0,IF(AND($AO$32=$AO$20,C10=$AO$33),$AO$34,S9))))),"")</f>
        <v>2100</v>
      </c>
      <c r="T10" s="67">
        <f>IFERROR(IF(C10="","",IF($AO$16=$AO$17,0,IF($C10="TOTAL",SUM($T$8:T9),IF($AO$19=$AO$20,$AO$24,0)))),"")</f>
        <v>2100</v>
      </c>
      <c r="U10" s="66">
        <f t="shared" ref="U10:U68" si="13">IFERROR(IF(C10="","",SUM(S10-T10)),"")</f>
        <v>0</v>
      </c>
      <c r="V10" s="66" t="str">
        <f>IF(C10="","",IF($C10="TOTAL",SUM($V$8:V9),IF(AND($AO$2=$AO$20,C10=$AO$1),ROUND(D10/31*$AP$2,0),IF(C10=$AM$6,ROUND((G10)*1/30,0),IF(C10=$AN$6,ROUND((G10)*1/31,0),"")))))</f>
        <v/>
      </c>
      <c r="W10" s="66" t="str">
        <f>IF(C10="","",IF($C10="TOTAL",SUM($W$8:W9),IF(AND($AO$2=$AO$20,C10=$AO$1),ROUND(H10/31*$AP$2,0),IF(C10=$AM$6,ROUND((K10)*1/30,0),IF(C10=$AN$6,ROUND((K10)*1/31,0),"")))))</f>
        <v/>
      </c>
      <c r="X10" s="66" t="str">
        <f t="shared" ref="X10:X68" si="14">IFERROR(IF(C10="","",SUM(V10-W10)),"")</f>
        <v/>
      </c>
      <c r="Y10" s="66" t="str">
        <f>IFERROR(IF(C10="","",IF(AND(BH11="",BO11=""),"",IF($C10="TOTAL",SUM($Y$8:Y9),BH11))),"")</f>
        <v/>
      </c>
      <c r="Z10" s="66">
        <f>IFERROR(IF(C10="","",IF($C10="TOTAL",SUM($Z$8:Z9),ROUND(O10*$AO$7%,0))),"")</f>
        <v>0</v>
      </c>
      <c r="AA10" s="66">
        <f>IFERROR(IF(C10="","",IF($C10="TOTAL",SUM($AA$8:AA9),IF($AC$3=$AL$2,SUM(U10,X10,Y10,Z10),SUM(R10,U10,X10,Y10,Z10)))),"")</f>
        <v>0</v>
      </c>
      <c r="AB10" s="68">
        <f>IFERROR(IF(C10="","",IF($C10="TOTAL",SUM($AB$8:AB9),SUM(O10-AA10))),"")</f>
        <v>1456</v>
      </c>
      <c r="AC10" s="69"/>
      <c r="AD10" s="69"/>
      <c r="AF10" s="6"/>
      <c r="AG10" s="6"/>
      <c r="AH10" s="6"/>
      <c r="AI10" s="6"/>
      <c r="AJ10" s="6"/>
      <c r="AK10" s="90">
        <f t="shared" ref="AK10:AK73" si="15">IF(OR(AT10=$AN$9,AT10=$AN$10,AT10=$AN$11,AT10=$AN$12,AT10=$AN$13,AT10=$AN$14),4,IF(OR(AT10=$AN$15,AT10=$AN$16,AT10=$AN$17,AT10=$AN$18,AT10=$AN$19,AT10=$AN$20),5,IF(OR(AT10=$AN$21,AT10=$AN$22,AT10=$AN$23,AT10=$AN$24,AT10=$AN$25,AT10=$AN$26),7,IF(OR(AT10=$AN$27,AT10=$AN$28,AT10=$AN$29,AT10=$AN$30,AT10=$AN$31,AT10=$AN$32),9,IF(OR(AT10=$AN$33,AT10=$AN$34,AT10=$AN$35,AT10=$AN$36,AT10=$AN$37,AT10=$AN$38),12,IF(OR(AT10=$AN$39,AT10=$AN$40,AT10=$AN$41,AT10=$AN$42,AT10=$AN$43,AT10=$AN$44,AT10=$AN$45,AT10=$AN$46,AT10=$AN$47,AT10=$AN$48,AT10=$AN$49,AT10=$AN$50,AT10=$AN$51,AT10=$AN$52,AT10=$AN$53,AT10=$AN$54,AT10=$AN$55,AT10=$AN$56,AT10=$AN$57,AT10=$AN$58,AT10=$AN$59,AT10=$AN$60,AT10=$AN$61,AT10=$AN$62),17,IF(OR(AT10=$AN$63,AT10=$AN$64,AT10=$AN$65,AT10=$AN$66,AT10=$AN$67,AT10=$AN$68),31,34)))))))</f>
        <v>4</v>
      </c>
      <c r="AL10" s="90">
        <f t="shared" ref="AL10:AL73" si="16">IF(OR(AT10=$AN$9,AT10=$AN$10,AT10=$AN$11,AT10=$AN$12,AT10=$AN$13,AT10=$AN$14),4,IF(OR(AT10=$AN$15,AT10=$AN$16,AT10=$AN$17,AT10=$AN$18,AT10=$AN$19,AT10=$AN$20),5,IF(OR(AT10=$AN$21,AT10=$AN$22,AT10=$AN$23,AT10=$AN$24,AT10=$AN$25,AT10=$AN$26),7,IF(OR(AT10=$AN$27,AT10=$AN$28,AT10=$AN$29,AT10=$AN$30,AT10=$AN$31,AT10=$AN$32),9,IF(OR(AT10=$AN$33,AT10=$AN$34,AT10=$AN$35,AT10=$AN$36,AT10=$AN$37,AT10=$AN$38),12,IF(OR(AT10=$AN$39,AT10=$AN$40,AT10=$AN$41,AT10=$AN$42,AT10=$AN$43,AT10=$AN$44,AT10=$AN$45,AT10=$AN$46,AT10=$AN$47,AT10=$AN$48,AT10=$AN$49,AT10=$AN$50,AT10=$AN$51,AT10=$AN$52,AT10=$AN$53,AT10=$AN$54,AT10=$AN$55,AT10=$AN$56,AT10=$AN$57,AT10=$AN$58,AT10=$AN$59,AT10=$AN$60,AT10=$AN$61,AT10=$AN$62),17,IF(OR(AT10=$AN$63,AT10=$AN$64,AT10=$AN$65,AT10=$AN$66,AT10=$AN$67,AT10=$AN$68),31,34)))))))</f>
        <v>4</v>
      </c>
      <c r="AM10" s="91"/>
      <c r="AN10" s="92">
        <v>42767</v>
      </c>
      <c r="AO10" s="91">
        <f>'Master Sheet'!G11</f>
        <v>23700</v>
      </c>
      <c r="AP10" s="92">
        <f t="shared" ref="AP10:AP19" si="17">IF(AND($AO$6&gt;$AP$6),"",DATE(YEAR(AP9),MONTH(AP9)+1,DAY(AP9)))</f>
        <v>42767</v>
      </c>
      <c r="AQ10" s="92">
        <f t="shared" ref="AQ10:AQ73" si="18">IF(AND(AP10=""),"",IF(AND(AP10=$AN$9),$AN$9,IF(AND(AP10=$AN$10),$AN$10,IF(AND(AP10=$AN$11),$AN$11,IF(AND(AP10=$AN$12),$AN$12,IF(AND(AP10=$AN$13),$AN$13,IF(AND(AP10=$AN$14),$AN$14,IF(AND(AP10=$AN$15),$AN$15,IF(AND(AP10=$AN$16),$AN$16,IF(AND(AP10=$AN$17),$AN$17,IF(AND(AP10=$AN$18),$AN$18,IF(AND(AP10=$AN$19),$AN$19,IF(AND(AP10=$AN$20),$AN$20,IF(AND(AP10=$AN$21),$AN$21,IF(AND(AP10=$AN$22),$AN$22,IF(AND(AP10=$AN$23),$AN$23,IF(AND(AP10=$AN$24),$AN$24,IF(AND(AP10=$AN$25),$AN$25,IF(AND(AP10=$AN$26),$AN$26,IF(AND(AP10=$AN$27),$AN$27,IF(AND(AP10=$AN$28),$AN$28,IF(AND(AP10=$AN$29),$AN$29,IF(AND(AP10=$AN$30),$AN$30,IF(AND(AP10=$AN$31),$AN$31,IF(AND(AP10=$AN$32),$AN$32,IF(AND(AP10=$AN$33),$AN$33,IF(AND(AP10=$AN$34),$AN$34,IF(AND(AP10=$AN$35),$AN$35,IF(AND(AP10=$AN$36),$AN$36,IF(AND(AP10=$AN$37),$AN$37,IF(AND(AP10=$AN$38),$AN$38,IF(AND(AP10=$AN$39),$AN$39,IF(AND(AP10=$AN$40),$AN$40,IF(AND(AP10=$AN$41),$AN$41,IF(AND(AP10=$AN$42),$AN$42,IF(AND(AP10=$AN$43),$AN$43,IF(AND(AP10=$AN$44),$AN$44,IF(AND(AP10=$AN$45),$AN$45,IF(AND(AP10=$AN$46),$AN$46,IF(AND(AP10=$AN$47),$AN$47,IF(AND(AP10=$AN$48),$AN$48,IF(AND(AP10=$AN$49),$AN$49,IF(AND(AP10=$AN$50),$AN$50,IF(AND(AP10=$AN$51),$AN$51,IF(AND(AP10=$AN$52),$AN$52,IF(AND(AP10=$AN$53),$AN$53,IF(AND(AP10=$AN$54),$AN$54,IF(AND(AP10=$AN$55),$AN$55,IF(AND(AP10=$AN$56),$AN$56,IF(AND(AP10=$AN$57),$AN$57,IF(AND(AP10=$AN$58),$AN$58,IF(AND(AP10=$AN$59),$AN$59,IF(AND(AP10=$AN$60),$AN$60,IF(AND(AP10=$AN$61),$AN$61,IF(AND(AP10=$AN$62),$AN$62,IF(AND(AP10=$AN$63),$AN$63,IF(AND(AP10=$AN$64),$AN$64,IF(AND(AP10=$AN$65),$AN$65,IF(AND(AP10=$AN$66),$AN$66,IF(AND(AP10=$AN$67),$AN$67,IF(AND(AP10=$AN$68),$AN$68,IF(AND(AP10=$AN$69),$AN$69,IF(AND(AP10=$AN$70),$AN$70,IF(AND(AP10=$AN$71),$AN$71,""))))))))))))))))))))))))))))))))))))))))))))))))))))))))))))))))</f>
        <v>42767</v>
      </c>
      <c r="AR10" s="92" t="str">
        <f t="shared" ref="AR10:AR71" si="19">IF(AND(AP10=""),"",IF(AND(AP10=$AN$72),$AP$72,IF(AND(AP10=$AN$73),$AN$73,IF(AND(AP10=$AN$74),$AN$74,IF(AND(AP10=$AN$75),$AN$75,IF(AND(AP10=$AN$76),$AN$76,IF(AND(AP10=$AN$77),$AN$77,IF(AND(AP10=$AN$78),$AN$78,IF(AND(AP10=$AN$79),$AN$79,IF(AND(AP10=$AN$80),$AN$80,IF(AND(AP10=$AN$81),$AN$81,IF(AND(AP10=$AN$82),$AN$82,IF(AND(AP10=$AN$83),$AN$83,IF(AND(AP10=$AN$84),$AN$84,IF(AND(AP10=$AN$85),$AN$85,IF(AND(AP10=$AN$86),$AN$86,IF(AND(AP10=$AN$87),$AN$87,IF(AND(AP10=$AN$88),$AN$88,IF(AND(AP10=$AN$89),$AN$89,IF(AND(AP10=$AN$90),$AN$90,IF(AND(AP10=$AN$91),$AN$91,"")))))))))))))))))))))</f>
        <v/>
      </c>
      <c r="AS10" s="92">
        <f t="shared" ref="AS10:AS73" si="20">IFERROR(IF(AND(AQ10="",AR10=""),"",IF(AQ10="",AR10,AQ10)),"")</f>
        <v>42767</v>
      </c>
      <c r="AT10" s="92">
        <f>IFERROR(IF(AS10="","",IF(DATE(YEAR(AS10),MONTH(AS10),DAY(AS10))=DATE(YEAR($AP$6),MONTH($AP$6)+1,DAY($AP$6)),"TOTAL",IF(AS10&gt;$AP$6,"",AS10))),"")</f>
        <v>42767</v>
      </c>
      <c r="AU10" s="91">
        <f>IFERROR(IF(AT10="","",IF(AND($AO$20=$AO$28,$AO$30=AT10),$AO$29,IF(OR(AT10=$AW$2,AT10=$AW$3,AT10=$AW$4,AT10=$AW$5,AT10=$AW$6,AT10=$AW$7,AT10=$AX$2),MROUND(AO9*1.03,100),AO9))),"")</f>
        <v>46500</v>
      </c>
      <c r="AV10" s="91">
        <f t="shared" si="7"/>
        <v>1860</v>
      </c>
      <c r="AW10" s="91">
        <f t="shared" si="8"/>
        <v>3720</v>
      </c>
      <c r="AX10" s="91"/>
      <c r="AY10" s="91">
        <f>IFERROR(IF(AT10="","",IF(AT10="TOTAL","",IF($AO$16=$AO$17,$AO$10,IF($AO$20=$AO$26,BC10,BD10)))),"")</f>
        <v>45100</v>
      </c>
      <c r="AZ10" s="91">
        <f t="shared" ref="AZ10:AZ73" si="21">IF(AT10="","",IF(AT10="TOTAL","",IF(AY10="","",IF($AO$16=$AO$17,0,ROUND(AY10*AL10%,0)))))</f>
        <v>1804</v>
      </c>
      <c r="BA10" s="91">
        <f t="shared" ref="BA10" si="22">IF(AT10="","",IF(AT10="TOTAL","",IF(AY10="","",IF($AO$16=$AO$17,0,IF(AT10&gt;=$AV$7,ROUND(AY10*$AU$7%,0),ROUND(AY10*$AQ$7%,0))))))</f>
        <v>3608</v>
      </c>
      <c r="BB10" s="91">
        <f>IF(AT10="","",IF(AT10="TOTAL","",IF(AY10="","",IF($AO$16=$AO$17,0,IF(OR(C9=$AM$16,C9=$AM$17,C9=$AM$18,C9=$AM$19,C9=$AM$20,C9=$AM$21,C9=$AM$22,C9=$AM$23,C9=$AM$24),SUM(BE10+BF10),BF10)))))</f>
        <v>5131</v>
      </c>
      <c r="BC10" s="91">
        <f>IF(OR(AT10=$AW$2,AT10=$AW$3,AT10=$AW$4,AT10=$AW$5,AT10=$AW$6),MROUND(AO27*1.03,100),AO27)</f>
        <v>30500</v>
      </c>
      <c r="BD10" s="91">
        <f>IF(OR(AT10=$AW$2,AT10=$AW$3,AT10=$AW$4,AT10=$AW$5,AT10=$AW$6),MROUND(AO14*1.03,100),AO14)</f>
        <v>45100</v>
      </c>
      <c r="BE10" s="125">
        <f t="shared" ref="BE10:BE12" si="23">IF(AT10="","",IF(AT10="TOTAL","",IF(AY10="","",SUM(O9)-SUM((BF10-$AO$21)+SUM(U9,X9,Z9)))))</f>
        <v>1456</v>
      </c>
      <c r="BF10" s="91">
        <f t="shared" ref="BF10:BF12" si="24">IF(AT9="","",IF(AT9="TOTAL","",IF(AND($AO$20=$AO$36,C10=$AO$37),$AO$38,BF9)))</f>
        <v>3675</v>
      </c>
      <c r="BG10" s="91" t="str">
        <f t="shared" ref="BG10:BG73" si="25">IF(OR(AT10=$AN$63,AT10=$AN$64,AT10=$AN$65),"YES","")</f>
        <v/>
      </c>
      <c r="BH10" s="91" t="str">
        <f t="shared" ref="BH10:BH73" si="26">IF(OR(AT10=$AN$63,AT10=$AN$64,AT10=$AN$65),SUM(ROUND((D9-H9)*3%,0)),IF(OR(AT10=$AN$69,AT10=$AN$70,AT10=$AN$71),SUM(ROUND((D9-H9)*3%,0)),""))</f>
        <v/>
      </c>
      <c r="BI10" s="91">
        <f t="shared" ref="BI10:BI12" si="27">IFERROR(IF(AND($AO$16=$AO$17,BG10="YES"),ROUND(ROUND(D9*3%,0)*10%,0),IF(AND($AO$16=$AO$15,BG10="YES",$AM$7="NO"),ROUND(ROUND((L9+H9)*3%,0)*10%,0),IF(AND($AO$16=$AO$15,BG10="YES",$AM$7="YES"),ROUND(ROUND((L9+M9)*3%,0)*10%,0),0))),"")</f>
        <v>0</v>
      </c>
      <c r="BJ10" s="133">
        <f t="shared" ref="BJ10:BJ12" si="28">IF(AND($AO$16=$AO$17,BG10="YES"),ROUND(D9*3%,0),IF(AND($AO$16=$AO$15,BG10="YES",$AM$7="NO"),ROUND((L9+H9)*3%,0),IF(AND($AO$16=$AO$15,BG10="YES",$AM$7="YES"),ROUND((L9+M9)*3%,0),0)))</f>
        <v>0</v>
      </c>
      <c r="BO10" s="28" t="str">
        <f t="shared" ref="BO10:BO73" si="29">IF(AND(AT10&gt;$AL$1,$AC$3=$AL$2),$AS$1,"")</f>
        <v/>
      </c>
    </row>
    <row r="11" spans="1:67" s="28" customFormat="1" ht="21" customHeight="1">
      <c r="A11" s="140">
        <f t="shared" ref="A11:A75" si="30">IF(C11="TOTAL","",IF(B10="","",IF(LEN(C11)&gt;=2,B10+1,0)))</f>
        <v>4</v>
      </c>
      <c r="B11" s="64">
        <f t="shared" si="1"/>
        <v>4</v>
      </c>
      <c r="C11" s="65">
        <f t="shared" ref="C11:C65" si="31">IFERROR(IF(AT12="","",AT12),"")</f>
        <v>42826</v>
      </c>
      <c r="D11" s="66">
        <f>IFERROR(IF($C10="TOTAL","अक्षरें राशि :-",IF($C11="TOTAL",SUM($D$8:D10),IF(AU12="","",AU12))),"")</f>
        <v>46500</v>
      </c>
      <c r="E11" s="66">
        <f>IFERROR(IF($C11="TOTAL",SUM($E$8:E10),IF(AV12="","",AV12)),"")</f>
        <v>1860</v>
      </c>
      <c r="F11" s="66">
        <f>IFERROR(IF($C11="TOTAL",SUM($F$8:F10),IF(OR(C11=$AM$16,C11=$AM$17,C11=$AM$18,C11=$AM$19,C11=$AM$20,C11=$AM$21,C11=$AM$22,C11=$AM$23,C11=$AM$24),0,IF(AW12="","",AW12))),"")</f>
        <v>0</v>
      </c>
      <c r="G11" s="66">
        <f t="shared" ref="G11:G65" si="32">IF(C11="","",SUM(D11:F11))</f>
        <v>48360</v>
      </c>
      <c r="H11" s="66">
        <f>IFERROR(IF($C11="TOTAL",SUM($H$8:H10),IF(AY12="","",AY12)),"")</f>
        <v>45100</v>
      </c>
      <c r="I11" s="66">
        <f>IFERROR(IF($C11="TOTAL",SUM($I$8:I10),IF(AZ12="","",AZ12)),"")</f>
        <v>1804</v>
      </c>
      <c r="J11" s="66">
        <f>IFERROR(IF($C11="TOTAL",SUM($J$8:J10),IF(OR(C11=$AM$16,C11=$AM$17,C11=$AM$18,C11=$AM$19,C11=$AM$20,C11=$AM$21,C11=$AM$22,C11=$AM$23,C11=$AM$24),0,IF(BA12="","",BA12))),"")</f>
        <v>0</v>
      </c>
      <c r="K11" s="66">
        <f t="shared" si="10"/>
        <v>46904</v>
      </c>
      <c r="L11" s="66">
        <f>IFERROR(IF(C11="","",IF(D11="","",IF(H11="","",IF($C11="TOTAL",SUM($L$8:L10),SUM(D11-H11))))),"")</f>
        <v>1400</v>
      </c>
      <c r="M11" s="66">
        <f>IFERROR(IF(C11="","",IF(E11="","",IF(I11="","",IF($C11="TOTAL",SUM($M$8:M10),SUM(E11-I11))))),"")</f>
        <v>56</v>
      </c>
      <c r="N11" s="66">
        <f>IFERROR(IF(C11="","",IF(F11="","",IF(J11="","",IF($C11="TOTAL",SUM($N$8:N10),SUM(F11-J11))))),"")</f>
        <v>0</v>
      </c>
      <c r="O11" s="66">
        <f t="shared" si="11"/>
        <v>1456</v>
      </c>
      <c r="P11" s="66">
        <f>IFERROR(IF(C11="","",IF($C11="TOTAL",SUM($P$8:P10),IF(AND(C11&gt;$AL$1,$AC$3=$AL$2),BO12,IF($AO$18=$AO$20,SUM(BB12+BJ12),ROUND((D11+E11)*10%,0))))),"")</f>
        <v>4836</v>
      </c>
      <c r="Q11" s="66">
        <f>IFERROR(IF(C11="","",IF(H11="","",IF(I11="","",IF($C11="TOTAL",SUM($Q$8:Q10),IF(AND(C11&gt;$AL$1,$AC$3=$AL$2),BO12,IF($AO$18=$AO$20,$AO$21,ROUND((H11+I11)*10%,0))))))),"")</f>
        <v>4690</v>
      </c>
      <c r="R11" s="66">
        <f t="shared" si="12"/>
        <v>146</v>
      </c>
      <c r="S11" s="67">
        <f>IFERROR(IF(C11="","",IF($AO$16=$AO$17,0,IF($C11="TOTAL",SUM($S$8:S10),IF($AO$19=$AO$31,0,IF(AND($AO$32=$AO$20,C11=$AO$33),$AO$34,S10))))),"")</f>
        <v>2100</v>
      </c>
      <c r="T11" s="67">
        <f>IFERROR(IF(C11="","",IF($AO$16=$AO$17,0,IF($C11="TOTAL",SUM($T$8:T10),IF($AO$19=$AO$20,$AO$24,0)))),"")</f>
        <v>2100</v>
      </c>
      <c r="U11" s="66">
        <f t="shared" si="13"/>
        <v>0</v>
      </c>
      <c r="V11" s="66" t="str">
        <f>IF(C11="","",IF($C11="TOTAL",SUM($V$8:V10),IF(AND($AO$2=$AO$20,C11=$AO$1),ROUND(D11/31*$AP$2,0),IF(C11=$AM$6,ROUND((G11)*1/30,0),IF(C11=$AN$6,ROUND((G11)*1/31,0),"")))))</f>
        <v/>
      </c>
      <c r="W11" s="66" t="str">
        <f>IF(C11="","",IF($C11="TOTAL",SUM($W$8:W10),IF(AND($AO$2=$AO$20,C11=$AO$1),ROUND(H11/31*$AP$2,0),IF(C11=$AM$6,ROUND((K11)*1/30,0),IF(C11=$AN$6,ROUND((K11)*1/31,0),"")))))</f>
        <v/>
      </c>
      <c r="X11" s="66" t="str">
        <f t="shared" si="14"/>
        <v/>
      </c>
      <c r="Y11" s="66" t="str">
        <f>IFERROR(IF(C11="","",IF(AND(BH12="",BO12=""),"",IF($C11="TOTAL",SUM($Y$8:Y10),BH12))),"")</f>
        <v/>
      </c>
      <c r="Z11" s="66">
        <f>IFERROR(IF(C11="","",IF($C11="TOTAL",SUM($Z$8:Z10),ROUND(O11*$AO$7%,0))),"")</f>
        <v>0</v>
      </c>
      <c r="AA11" s="66">
        <f>IFERROR(IF(C11="","",IF($C11="TOTAL",SUM($AA$8:AA10),IF($AC$3=$AL$2,SUM(U11,X11,Y11,Z11),SUM(R11,U11,X11,Y11,Z11)))),"")</f>
        <v>0</v>
      </c>
      <c r="AB11" s="68">
        <f>IFERROR(IF(C11="","",IF($C11="TOTAL",SUM($AB$8:AB10),SUM(O11-AA11))),"")</f>
        <v>1456</v>
      </c>
      <c r="AC11" s="69"/>
      <c r="AD11" s="69"/>
      <c r="AF11" s="6"/>
      <c r="AG11" s="6"/>
      <c r="AH11" s="6"/>
      <c r="AI11" s="6"/>
      <c r="AJ11" s="6"/>
      <c r="AK11" s="90">
        <f t="shared" si="15"/>
        <v>4</v>
      </c>
      <c r="AL11" s="90">
        <f t="shared" si="16"/>
        <v>4</v>
      </c>
      <c r="AM11" s="91">
        <f>IF(AV9="","",ROUND((AO11+AV9)*10%,0))</f>
        <v>3120</v>
      </c>
      <c r="AN11" s="92">
        <v>42795</v>
      </c>
      <c r="AO11" s="91">
        <f>IFERROR(ROUND((AO9/AU3)*AU6,0),"")</f>
        <v>30000</v>
      </c>
      <c r="AP11" s="92">
        <f t="shared" si="17"/>
        <v>42795</v>
      </c>
      <c r="AQ11" s="92">
        <f t="shared" si="18"/>
        <v>42795</v>
      </c>
      <c r="AR11" s="92" t="str">
        <f t="shared" si="19"/>
        <v/>
      </c>
      <c r="AS11" s="92">
        <f t="shared" si="20"/>
        <v>42795</v>
      </c>
      <c r="AT11" s="92">
        <f t="shared" ref="AT11:AT72" si="33">IFERROR(IF(AS11="","",IF(DATE(YEAR(AS11),MONTH(AS11),DAY(AS11))=DATE(YEAR($AP$6),MONTH($AP$6)+1,DAY($AP$6)),"TOTAL",IF(AS11&gt;$AP$6,"",AS11))),"")</f>
        <v>42795</v>
      </c>
      <c r="AU11" s="91">
        <f>IFERROR(IF(AT11="","",IF(AND($AO$20=$AO$28,$AO$30=AT11),$AO$29,IF(OR(AT11=$AW$2,AT11=$AW$3,AT11=$AW$4,AT11=$AW$5,AT11=$AW$6,AT11=$AW$7,AT11=$AX$2),MROUND(AU10*1.03,100),AU10))),"")</f>
        <v>46500</v>
      </c>
      <c r="AV11" s="91">
        <f t="shared" si="7"/>
        <v>1860</v>
      </c>
      <c r="AW11" s="91">
        <f>IF(AT11="","",IF(AT11="TOTAL","",IF(AT11&gt;=$AV$7,ROUND(AU11*$AU$7%,0),ROUND(AU11*$AQ$7%,0))))</f>
        <v>3720</v>
      </c>
      <c r="AX11" s="91"/>
      <c r="AY11" s="91">
        <f>IFERROR(IF(AT11="","",IF(AT11="TOTAL","",IF($AO$16=$AO$17,$AO$10,IF(OR(AT11=$AW$2,AT11=$AW$3,AT11=$AW$4,AT11=$AW$5,AT11=$AW$6,AT11=$AW$7,AT11=$AX$2),MROUND(AY10*1.03,100),AY10)))),"")</f>
        <v>45100</v>
      </c>
      <c r="AZ11" s="91">
        <f t="shared" si="21"/>
        <v>1804</v>
      </c>
      <c r="BA11" s="91">
        <f>IF(AT11="","",IF(AT11="TOTAL","",IF(AY11="","",IF($AO$16=$AO$17,0,IF(AT11&gt;=$AV$7,ROUND(AY11*$AU$7%,0),ROUND(AY11*$AQ$7%,0))))))</f>
        <v>3608</v>
      </c>
      <c r="BB11" s="91">
        <f t="shared" ref="BB11:BB73" si="34">IF(AT11="","",IF(AT11="TOTAL","",IF(AY11="","",IF($AO$16=$AO$17,0,IF(OR(C10=$AM$16,C10=$AM$17,C10=$AM$18,C10=$AM$19,C10=$AM$20,C10=$AM$21,C10=$AM$22,C10=$AM$23,C10=$AM$24),SUM(BE11+BF11),BF11)))))</f>
        <v>5131</v>
      </c>
      <c r="BC11" s="91">
        <f>IF(OR(AT11=$AW$2,AT11=$AW$3,AT11=$AW$4,AT11=$AW$5,AT11=$AW$6),MROUND(BC10*1.03,100),BC10)</f>
        <v>30500</v>
      </c>
      <c r="BD11" s="91">
        <f>IF(OR(AT11=$AW$2,AT11=$AW$3,AT11=$AW$4,AT11=$AW$5,AT11=$AW$6),MROUND(BD10*1.03,100),BD10)</f>
        <v>45100</v>
      </c>
      <c r="BE11" s="125">
        <f>IF(AT11="","",IF(AT11="TOTAL","",IF(AY11="","",SUM(O10)-SUM((BF11-$AO$21)+SUM(U10,X10,Z10)))))</f>
        <v>1456</v>
      </c>
      <c r="BF11" s="91">
        <f>IF(AT10="","",IF(AT10="TOTAL","",IF(AND($AO$20=$AO$36,C11=$AO$37),$AO$38,BF10)))</f>
        <v>3675</v>
      </c>
      <c r="BG11" s="91" t="str">
        <f t="shared" si="25"/>
        <v/>
      </c>
      <c r="BH11" s="91" t="str">
        <f t="shared" si="26"/>
        <v/>
      </c>
      <c r="BI11" s="91">
        <f t="shared" si="27"/>
        <v>0</v>
      </c>
      <c r="BJ11" s="133">
        <f t="shared" si="28"/>
        <v>0</v>
      </c>
      <c r="BO11" s="28" t="str">
        <f t="shared" si="29"/>
        <v/>
      </c>
    </row>
    <row r="12" spans="1:67" s="28" customFormat="1" ht="21" customHeight="1">
      <c r="A12" s="140">
        <f t="shared" si="30"/>
        <v>5</v>
      </c>
      <c r="B12" s="64">
        <f t="shared" si="1"/>
        <v>5</v>
      </c>
      <c r="C12" s="65">
        <f t="shared" si="31"/>
        <v>42856</v>
      </c>
      <c r="D12" s="66">
        <f>IFERROR(IF($C11="TOTAL","अक्षरें राशि :-",IF($C12="TOTAL",SUM($D$8:D11),IF(AU13="","",AU13))),"")</f>
        <v>46500</v>
      </c>
      <c r="E12" s="66">
        <f>IFERROR(IF($C12="TOTAL",SUM($E$8:E11),IF(AV13="","",AV13)),"")</f>
        <v>1860</v>
      </c>
      <c r="F12" s="66">
        <f>IFERROR(IF($C12="TOTAL",SUM($F$8:F11),IF(OR(C12=$AM$16,C12=$AM$17,C12=$AM$18,C12=$AM$19,C12=$AM$20,C12=$AM$21,C12=$AM$22,C12=$AM$23,C12=$AM$24),0,IF(AW13="","",AW13))),"")</f>
        <v>0</v>
      </c>
      <c r="G12" s="66">
        <f t="shared" si="32"/>
        <v>48360</v>
      </c>
      <c r="H12" s="66">
        <f>IFERROR(IF($C12="TOTAL",SUM($H$8:H11),IF(AY13="","",AY13)),"")</f>
        <v>45100</v>
      </c>
      <c r="I12" s="66">
        <f>IFERROR(IF($C12="TOTAL",SUM($I$8:I11),IF(AZ13="","",AZ13)),"")</f>
        <v>1804</v>
      </c>
      <c r="J12" s="66">
        <f>IFERROR(IF($C12="TOTAL",SUM($J$8:J11),IF(OR(C12=$AM$16,C12=$AM$17,C12=$AM$18,C12=$AM$19,C12=$AM$20,C12=$AM$21,C12=$AM$22,C12=$AM$23,C12=$AM$24),0,IF(BA13="","",BA13))),"")</f>
        <v>0</v>
      </c>
      <c r="K12" s="66">
        <f t="shared" si="10"/>
        <v>46904</v>
      </c>
      <c r="L12" s="66">
        <f>IFERROR(IF(C12="","",IF(D12="","",IF(H12="","",IF($C12="TOTAL",SUM($L$8:L11),SUM(D12-H12))))),"")</f>
        <v>1400</v>
      </c>
      <c r="M12" s="66">
        <f>IFERROR(IF(C12="","",IF(E12="","",IF(I12="","",IF($C12="TOTAL",SUM($M$8:M11),SUM(E12-I12))))),"")</f>
        <v>56</v>
      </c>
      <c r="N12" s="66">
        <f>IFERROR(IF(C12="","",IF(F12="","",IF(J12="","",IF($C12="TOTAL",SUM($N$8:N11),SUM(F12-J12))))),"")</f>
        <v>0</v>
      </c>
      <c r="O12" s="66">
        <f t="shared" si="11"/>
        <v>1456</v>
      </c>
      <c r="P12" s="66">
        <f>IFERROR(IF(C12="","",IF($C12="TOTAL",SUM($P$8:P11),IF(AND(C12&gt;$AL$1,$AC$3=$AL$2),BO13,IF($AO$18=$AO$20,SUM(BB13+BJ13),ROUND((D12+E12)*10%,0))))),"")</f>
        <v>4836</v>
      </c>
      <c r="Q12" s="66">
        <f>IFERROR(IF(C12="","",IF(H12="","",IF(I12="","",IF($C12="TOTAL",SUM($Q$8:Q11),IF(AND(C12&gt;$AL$1,$AC$3=$AL$2),BO13,IF($AO$18=$AO$20,$AO$21,ROUND((H12+I12)*10%,0))))))),"")</f>
        <v>4690</v>
      </c>
      <c r="R12" s="66">
        <f t="shared" si="12"/>
        <v>146</v>
      </c>
      <c r="S12" s="67">
        <f>IFERROR(IF(C12="","",IF($AO$16=$AO$17,0,IF($C12="TOTAL",SUM($S$8:S11),IF($AO$19=$AO$31,0,IF(AND($AO$32=$AO$20,C12=$AO$33),$AO$34,S11))))),"")</f>
        <v>2100</v>
      </c>
      <c r="T12" s="67">
        <f>IFERROR(IF(C12="","",IF($AO$16=$AO$17,0,IF($C12="TOTAL",SUM($T$8:T11),IF($AO$19=$AO$20,$AO$24,0)))),"")</f>
        <v>2100</v>
      </c>
      <c r="U12" s="66">
        <f t="shared" si="13"/>
        <v>0</v>
      </c>
      <c r="V12" s="66" t="str">
        <f>IF(C12="","",IF($C12="TOTAL",SUM($V$8:V11),IF(AND($AO$2=$AO$20,C12=$AO$1),ROUND(D12/31*$AP$2,0),IF(C12=$AM$6,ROUND((G12)*1/30,0),IF(C12=$AN$6,ROUND((G12)*1/31,0),"")))))</f>
        <v/>
      </c>
      <c r="W12" s="66" t="str">
        <f>IF(C12="","",IF($C12="TOTAL",SUM($W$8:W11),IF(AND($AO$2=$AO$20,C12=$AO$1),ROUND(H12/31*$AP$2,0),IF(C12=$AM$6,ROUND((K12)*1/30,0),IF(C12=$AN$6,ROUND((K12)*1/31,0),"")))))</f>
        <v/>
      </c>
      <c r="X12" s="66" t="str">
        <f t="shared" si="14"/>
        <v/>
      </c>
      <c r="Y12" s="66" t="str">
        <f>IFERROR(IF(C12="","",IF(AND(BH13="",BO13=""),"",IF($C12="TOTAL",SUM($Y$8:Y11),BH13))),"")</f>
        <v/>
      </c>
      <c r="Z12" s="66">
        <f>IFERROR(IF(C12="","",IF($C12="TOTAL",SUM($Z$8:Z11),ROUND(O12*$AO$7%,0))),"")</f>
        <v>0</v>
      </c>
      <c r="AA12" s="66">
        <f>IFERROR(IF(C12="","",IF($C12="TOTAL",SUM($AA$8:AA11),IF($AC$3=$AL$2,SUM(U12,X12,Y12,Z12),SUM(R12,U12,X12,Y12,Z12)))),"")</f>
        <v>0</v>
      </c>
      <c r="AB12" s="68">
        <f>IFERROR(IF(C12="","",IF($C12="TOTAL",SUM($AB$8:AB11),SUM(O12-AA12))),"")</f>
        <v>1456</v>
      </c>
      <c r="AC12" s="69"/>
      <c r="AD12" s="69"/>
      <c r="AF12" s="6"/>
      <c r="AG12" s="6"/>
      <c r="AH12" s="6"/>
      <c r="AI12" s="6"/>
      <c r="AJ12" s="6"/>
      <c r="AK12" s="90">
        <f t="shared" si="15"/>
        <v>4</v>
      </c>
      <c r="AL12" s="90">
        <f t="shared" si="16"/>
        <v>4</v>
      </c>
      <c r="AM12" s="91">
        <f>ROUND((AO12)*10%,0)</f>
        <v>1600</v>
      </c>
      <c r="AN12" s="92">
        <v>42826</v>
      </c>
      <c r="AO12" s="91">
        <f>IFERROR(IF($AO$13=$AO$15,ROUND((AO14/AU3)*AQ6,0),ROUND((AO10/AU3)*AQ6,0)),"")</f>
        <v>16003</v>
      </c>
      <c r="AP12" s="92">
        <f t="shared" si="17"/>
        <v>42826</v>
      </c>
      <c r="AQ12" s="92">
        <f t="shared" si="18"/>
        <v>42826</v>
      </c>
      <c r="AR12" s="92" t="str">
        <f t="shared" si="19"/>
        <v/>
      </c>
      <c r="AS12" s="92">
        <f t="shared" si="20"/>
        <v>42826</v>
      </c>
      <c r="AT12" s="92">
        <f t="shared" si="33"/>
        <v>42826</v>
      </c>
      <c r="AU12" s="91">
        <f t="shared" ref="AU12:AU75" si="35">IFERROR(IF(AT12="","",IF(AND($AO$20=$AO$28,$AO$30=AT12),$AO$29,IF(OR(AT12=$AW$2,AT12=$AW$3,AT12=$AW$4,AT12=$AW$5,AT12=$AW$6,AT12=$AW$7,AT12=$AX$2),MROUND(AU11*1.03,100),AU11))),"")</f>
        <v>46500</v>
      </c>
      <c r="AV12" s="91">
        <f t="shared" si="7"/>
        <v>1860</v>
      </c>
      <c r="AW12" s="91">
        <f t="shared" ref="AW12:AW75" si="36">IF(AT12="","",IF(AT12="TOTAL","",IF(AT12&gt;=$AV$7,ROUND(AU12*$AU$7%,0),ROUND(AU12*$AQ$7%,0))))</f>
        <v>3720</v>
      </c>
      <c r="AX12" s="91"/>
      <c r="AY12" s="91">
        <f t="shared" ref="AY12:AY75" si="37">IFERROR(IF(AT12="","",IF(AT12="TOTAL","",IF($AO$16=$AO$17,$AO$10,IF(OR(AT12=$AW$2,AT12=$AW$3,AT12=$AW$4,AT12=$AW$5,AT12=$AW$6,AT12=$AW$7,AT12=$AX$2),MROUND(AY11*1.03,100),AY11)))),"")</f>
        <v>45100</v>
      </c>
      <c r="AZ12" s="91">
        <f t="shared" si="21"/>
        <v>1804</v>
      </c>
      <c r="BA12" s="91">
        <f t="shared" ref="BA12:BA75" si="38">IF(AT12="","",IF(AT12="TOTAL","",IF(AY12="","",IF($AO$16=$AO$17,0,IF(AT12&gt;=$AV$7,ROUND(AY12*$AU$7%,0),ROUND(AY12*$AQ$7%,0))))))</f>
        <v>3608</v>
      </c>
      <c r="BB12" s="91">
        <f t="shared" si="34"/>
        <v>5131</v>
      </c>
      <c r="BC12" s="91"/>
      <c r="BD12" s="91"/>
      <c r="BE12" s="125">
        <f t="shared" si="23"/>
        <v>1456</v>
      </c>
      <c r="BF12" s="91">
        <f t="shared" si="24"/>
        <v>3675</v>
      </c>
      <c r="BG12" s="91" t="str">
        <f t="shared" si="25"/>
        <v/>
      </c>
      <c r="BH12" s="91" t="str">
        <f t="shared" si="26"/>
        <v/>
      </c>
      <c r="BI12" s="91">
        <f t="shared" si="27"/>
        <v>0</v>
      </c>
      <c r="BJ12" s="133">
        <f t="shared" si="28"/>
        <v>0</v>
      </c>
      <c r="BO12" s="28" t="str">
        <f t="shared" si="29"/>
        <v/>
      </c>
    </row>
    <row r="13" spans="1:67" s="28" customFormat="1" ht="21" customHeight="1">
      <c r="A13" s="140">
        <f t="shared" si="30"/>
        <v>6</v>
      </c>
      <c r="B13" s="64">
        <f t="shared" si="1"/>
        <v>6</v>
      </c>
      <c r="C13" s="65">
        <f t="shared" si="31"/>
        <v>42887</v>
      </c>
      <c r="D13" s="66">
        <f>IFERROR(IF($C12="TOTAL","अक्षरें राशि :-",IF($C13="TOTAL",SUM($D$8:D12),IF(AU14="","",AU14))),"")</f>
        <v>46500</v>
      </c>
      <c r="E13" s="66">
        <f>IFERROR(IF($C13="TOTAL",SUM($E$8:E12),IF(AV14="","",AV14)),"")</f>
        <v>1860</v>
      </c>
      <c r="F13" s="66">
        <f>IFERROR(IF($C13="TOTAL",SUM($F$8:F12),IF(OR(C13=$AM$16,C13=$AM$17,C13=$AM$18,C13=$AM$19,C13=$AM$20,C13=$AM$21,C13=$AM$22,C13=$AM$23,C13=$AM$24),0,IF(AW14="","",AW14))),"")</f>
        <v>0</v>
      </c>
      <c r="G13" s="66">
        <f t="shared" si="32"/>
        <v>48360</v>
      </c>
      <c r="H13" s="66">
        <f>IFERROR(IF($C13="TOTAL",SUM($H$8:H12),IF(AY14="","",AY14)),"")</f>
        <v>45100</v>
      </c>
      <c r="I13" s="66">
        <f>IFERROR(IF($C13="TOTAL",SUM($I$8:I12),IF(AZ14="","",AZ14)),"")</f>
        <v>1804</v>
      </c>
      <c r="J13" s="66">
        <f>IFERROR(IF($C13="TOTAL",SUM($J$8:J12),IF(OR(C13=$AM$16,C13=$AM$17,C13=$AM$18,C13=$AM$19,C13=$AM$20,C13=$AM$21,C13=$AM$22,C13=$AM$23,C13=$AM$24),0,IF(BA14="","",BA14))),"")</f>
        <v>0</v>
      </c>
      <c r="K13" s="66">
        <f t="shared" si="10"/>
        <v>46904</v>
      </c>
      <c r="L13" s="66">
        <f>IFERROR(IF(C13="","",IF(D13="","",IF(H13="","",IF($C13="TOTAL",SUM($L$8:L12),SUM(D13-H13))))),"")</f>
        <v>1400</v>
      </c>
      <c r="M13" s="66">
        <f>IFERROR(IF(C13="","",IF(E13="","",IF(I13="","",IF($C13="TOTAL",SUM($M$8:M12),SUM(E13-I13))))),"")</f>
        <v>56</v>
      </c>
      <c r="N13" s="66">
        <f>IFERROR(IF(C13="","",IF(F13="","",IF(J13="","",IF($C13="TOTAL",SUM($N$8:N12),SUM(F13-J13))))),"")</f>
        <v>0</v>
      </c>
      <c r="O13" s="66">
        <f t="shared" si="11"/>
        <v>1456</v>
      </c>
      <c r="P13" s="66">
        <f>IFERROR(IF(C13="","",IF($C13="TOTAL",SUM($P$8:P12),IF(AND(C13&gt;$AL$1,$AC$3=$AL$2),BO14,IF($AO$18=$AO$20,SUM(BB14+BJ14),ROUND((D13+E13)*10%,0))))),"")</f>
        <v>4836</v>
      </c>
      <c r="Q13" s="66">
        <f>IFERROR(IF(C13="","",IF(H13="","",IF(I13="","",IF($C13="TOTAL",SUM($Q$8:Q12),IF(AND(C13&gt;$AL$1,$AC$3=$AL$2),BO14,IF($AO$18=$AO$20,$AO$21,ROUND((H13+I13)*10%,0))))))),"")</f>
        <v>4690</v>
      </c>
      <c r="R13" s="66">
        <f t="shared" si="12"/>
        <v>146</v>
      </c>
      <c r="S13" s="67">
        <f>IFERROR(IF(C13="","",IF($AO$16=$AO$17,0,IF($C13="TOTAL",SUM($S$8:S12),IF($AO$19=$AO$31,0,IF(AND($AO$32=$AO$20,C13=$AO$33),$AO$34,S12))))),"")</f>
        <v>2100</v>
      </c>
      <c r="T13" s="67">
        <f>IFERROR(IF(C13="","",IF($AO$16=$AO$17,0,IF($C13="TOTAL",SUM($T$8:T12),IF($AO$19=$AO$20,$AO$24,0)))),"")</f>
        <v>2100</v>
      </c>
      <c r="U13" s="66">
        <f t="shared" si="13"/>
        <v>0</v>
      </c>
      <c r="V13" s="66" t="str">
        <f>IF(C13="","",IF($C13="TOTAL",SUM($V$8:V12),IF(AND($AO$2=$AO$20,C13=$AO$1),ROUND(D13/31*$AP$2,0),IF(C13=$AM$6,ROUND((G13)*1/30,0),IF(C13=$AN$6,ROUND((G13)*1/31,0),"")))))</f>
        <v/>
      </c>
      <c r="W13" s="66" t="str">
        <f>IF(C13="","",IF($C13="TOTAL",SUM($W$8:W12),IF(AND($AO$2=$AO$20,C13=$AO$1),ROUND(H13/31*$AP$2,0),IF(C13=$AM$6,ROUND((K13)*1/30,0),IF(C13=$AN$6,ROUND((K13)*1/31,0),"")))))</f>
        <v/>
      </c>
      <c r="X13" s="66" t="str">
        <f t="shared" si="14"/>
        <v/>
      </c>
      <c r="Y13" s="66" t="str">
        <f>IFERROR(IF(C13="","",IF(AND(BH14="",BO14=""),"",IF($C13="TOTAL",SUM($Y$8:Y12),BH14))),"")</f>
        <v/>
      </c>
      <c r="Z13" s="66">
        <f>IFERROR(IF(C13="","",IF($C13="TOTAL",SUM($Z$8:Z12),ROUND(O13*$AO$7%,0))),"")</f>
        <v>0</v>
      </c>
      <c r="AA13" s="66">
        <f>IFERROR(IF(C13="","",IF($C13="TOTAL",SUM($AA$8:AA12),IF($AC$3=$AL$2,SUM(U13,X13,Y13,Z13),SUM(R13,U13,X13,Y13,Z13)))),"")</f>
        <v>0</v>
      </c>
      <c r="AB13" s="68">
        <f>IFERROR(IF(C13="","",IF($C13="TOTAL",SUM($AB$8:AB12),SUM(O13-AA13))),"")</f>
        <v>1456</v>
      </c>
      <c r="AC13" s="69"/>
      <c r="AD13" s="69"/>
      <c r="AF13" s="6"/>
      <c r="AG13" s="6"/>
      <c r="AH13" s="6"/>
      <c r="AI13" s="6"/>
      <c r="AJ13" s="6"/>
      <c r="AK13" s="90">
        <f t="shared" si="15"/>
        <v>4</v>
      </c>
      <c r="AL13" s="90">
        <f t="shared" si="16"/>
        <v>4</v>
      </c>
      <c r="AM13" s="91"/>
      <c r="AN13" s="92">
        <v>42856</v>
      </c>
      <c r="AO13" s="93" t="str">
        <f>'Master Sheet'!D11</f>
        <v>Regular Pay</v>
      </c>
      <c r="AP13" s="92">
        <f t="shared" si="17"/>
        <v>42856</v>
      </c>
      <c r="AQ13" s="92">
        <f t="shared" si="18"/>
        <v>42856</v>
      </c>
      <c r="AR13" s="92" t="str">
        <f t="shared" si="19"/>
        <v/>
      </c>
      <c r="AS13" s="92">
        <f t="shared" si="20"/>
        <v>42856</v>
      </c>
      <c r="AT13" s="92">
        <f t="shared" si="33"/>
        <v>42856</v>
      </c>
      <c r="AU13" s="91">
        <f t="shared" si="35"/>
        <v>46500</v>
      </c>
      <c r="AV13" s="91">
        <f>IF(AT13="","",IF(AT13="TOTAL","",ROUND(AU13*AK13%,0)))</f>
        <v>1860</v>
      </c>
      <c r="AW13" s="91">
        <f t="shared" si="36"/>
        <v>3720</v>
      </c>
      <c r="AX13" s="91"/>
      <c r="AY13" s="91">
        <f t="shared" si="37"/>
        <v>45100</v>
      </c>
      <c r="AZ13" s="91">
        <f t="shared" si="21"/>
        <v>1804</v>
      </c>
      <c r="BA13" s="91">
        <f t="shared" si="38"/>
        <v>3608</v>
      </c>
      <c r="BB13" s="91">
        <f t="shared" si="34"/>
        <v>5131</v>
      </c>
      <c r="BC13" s="91"/>
      <c r="BD13" s="91"/>
      <c r="BE13" s="125">
        <f t="shared" ref="BE13:BE76" si="39">IF(AT13="","",IF(AT13="TOTAL","",IF(AY13="","",SUM(O12)-SUM((BF13-$AO$21)+SUM(U12,X12,Z12)))))</f>
        <v>1456</v>
      </c>
      <c r="BF13" s="91">
        <f t="shared" ref="BF13:BF76" si="40">IF(AT12="","",IF(AT12="TOTAL","",IF(AND($AO$20=$AO$36,C13=$AO$37),$AO$38,BF12)))</f>
        <v>3675</v>
      </c>
      <c r="BG13" s="91" t="str">
        <f t="shared" si="25"/>
        <v/>
      </c>
      <c r="BH13" s="91" t="str">
        <f t="shared" si="26"/>
        <v/>
      </c>
      <c r="BI13" s="91">
        <f t="shared" ref="BI13:BI76" si="41">IFERROR(IF(AND($AO$16=$AO$17,BG13="YES"),ROUND(ROUND(D12*3%,0)*10%,0),IF(AND($AO$16=$AO$15,BG13="YES",$AM$7="NO"),ROUND(ROUND((L12+H12)*3%,0)*10%,0),IF(AND($AO$16=$AO$15,BG13="YES",$AM$7="YES"),ROUND(ROUND((L12+M12)*3%,0)*10%,0),0))),"")</f>
        <v>0</v>
      </c>
      <c r="BJ13" s="133">
        <f t="shared" ref="BJ13:BJ76" si="42">IF(AND($AO$16=$AO$17,BG13="YES"),ROUND(D12*3%,0),IF(AND($AO$16=$AO$15,BG13="YES",$AM$7="NO"),ROUND((L12+H12)*3%,0),IF(AND($AO$16=$AO$15,BG13="YES",$AM$7="YES"),ROUND((L12+M12)*3%,0),0)))</f>
        <v>0</v>
      </c>
      <c r="BO13" s="28" t="str">
        <f t="shared" si="29"/>
        <v/>
      </c>
    </row>
    <row r="14" spans="1:67" s="28" customFormat="1" ht="21" customHeight="1">
      <c r="A14" s="140">
        <f t="shared" si="30"/>
        <v>7</v>
      </c>
      <c r="B14" s="64">
        <f t="shared" si="1"/>
        <v>7</v>
      </c>
      <c r="C14" s="65">
        <f t="shared" si="31"/>
        <v>42917</v>
      </c>
      <c r="D14" s="66">
        <f>IFERROR(IF($C13="TOTAL","अक्षरें राशि :-",IF($C14="TOTAL",SUM($D$8:D13),IF(AU15="","",AU15))),"")</f>
        <v>47900</v>
      </c>
      <c r="E14" s="66">
        <f>IFERROR(IF($C14="TOTAL",SUM($E$8:E13),IF(AV15="","",AV15)),"")</f>
        <v>2395</v>
      </c>
      <c r="F14" s="66">
        <f>IFERROR(IF($C14="TOTAL",SUM($F$8:F13),IF(OR(C14=$AM$16,C14=$AM$17,C14=$AM$18,C14=$AM$19,C14=$AM$20,C14=$AM$21,C14=$AM$22,C14=$AM$23,C14=$AM$24),0,IF(AW15="","",AW15))),"")</f>
        <v>0</v>
      </c>
      <c r="G14" s="66">
        <f t="shared" si="32"/>
        <v>50295</v>
      </c>
      <c r="H14" s="66">
        <f>IFERROR(IF($C14="TOTAL",SUM($H$8:H13),IF(AY15="","",AY15)),"")</f>
        <v>46500</v>
      </c>
      <c r="I14" s="66">
        <f>IFERROR(IF($C14="TOTAL",SUM($I$8:I13),IF(AZ15="","",AZ15)),"")</f>
        <v>2325</v>
      </c>
      <c r="J14" s="66">
        <f>IFERROR(IF($C14="TOTAL",SUM($J$8:J13),IF(OR(C14=$AM$16,C14=$AM$17,C14=$AM$18,C14=$AM$19,C14=$AM$20,C14=$AM$21,C14=$AM$22,C14=$AM$23,C14=$AM$24),0,IF(BA15="","",BA15))),"")</f>
        <v>0</v>
      </c>
      <c r="K14" s="66">
        <f t="shared" si="10"/>
        <v>48825</v>
      </c>
      <c r="L14" s="66">
        <f>IFERROR(IF(C14="","",IF(D14="","",IF(H14="","",IF($C14="TOTAL",SUM($L$8:L13),SUM(D14-H14))))),"")</f>
        <v>1400</v>
      </c>
      <c r="M14" s="66">
        <f>IFERROR(IF(C14="","",IF(E14="","",IF(I14="","",IF($C14="TOTAL",SUM($M$8:M13),SUM(E14-I14))))),"")</f>
        <v>70</v>
      </c>
      <c r="N14" s="66">
        <f>IFERROR(IF(C14="","",IF(F14="","",IF(J14="","",IF($C14="TOTAL",SUM($N$8:N13),SUM(F14-J14))))),"")</f>
        <v>0</v>
      </c>
      <c r="O14" s="66">
        <f t="shared" si="11"/>
        <v>1470</v>
      </c>
      <c r="P14" s="66">
        <f>IFERROR(IF(C14="","",IF($C14="TOTAL",SUM($P$8:P13),IF(AND(C14&gt;$AL$1,$AC$3=$AL$2),BO15,IF($AO$18=$AO$20,SUM(BB15+BJ15),ROUND((D14+E14)*10%,0))))),"")</f>
        <v>5030</v>
      </c>
      <c r="Q14" s="66">
        <f>IFERROR(IF(C14="","",IF(H14="","",IF(I14="","",IF($C14="TOTAL",SUM($Q$8:Q13),IF(AND(C14&gt;$AL$1,$AC$3=$AL$2),BO15,IF($AO$18=$AO$20,$AO$21,ROUND((H14+I14)*10%,0))))))),"")</f>
        <v>4883</v>
      </c>
      <c r="R14" s="66">
        <f t="shared" si="12"/>
        <v>147</v>
      </c>
      <c r="S14" s="67">
        <f>IFERROR(IF(C14="","",IF($AO$16=$AO$17,0,IF($C14="TOTAL",SUM($S$8:S13),IF($AO$19=$AO$31,0,IF(AND($AO$32=$AO$20,C14=$AO$33),$AO$34,S13))))),"")</f>
        <v>2100</v>
      </c>
      <c r="T14" s="67">
        <f>IFERROR(IF(C14="","",IF($AO$16=$AO$17,0,IF($C14="TOTAL",SUM($T$8:T13),IF($AO$19=$AO$20,$AO$24,0)))),"")</f>
        <v>2100</v>
      </c>
      <c r="U14" s="66">
        <f t="shared" si="13"/>
        <v>0</v>
      </c>
      <c r="V14" s="66" t="str">
        <f>IF(C14="","",IF($C14="TOTAL",SUM($V$8:V13),IF(AND($AO$2=$AO$20,C14=$AO$1),ROUND(D14/31*$AP$2,0),IF(C14=$AM$6,ROUND((G14)*1/30,0),IF(C14=$AN$6,ROUND((G14)*1/31,0),"")))))</f>
        <v/>
      </c>
      <c r="W14" s="66" t="str">
        <f>IF(C14="","",IF($C14="TOTAL",SUM($W$8:W13),IF(AND($AO$2=$AO$20,C14=$AO$1),ROUND(H14/31*$AP$2,0),IF(C14=$AM$6,ROUND((K14)*1/30,0),IF(C14=$AN$6,ROUND((K14)*1/31,0),"")))))</f>
        <v/>
      </c>
      <c r="X14" s="66" t="str">
        <f t="shared" si="14"/>
        <v/>
      </c>
      <c r="Y14" s="66" t="str">
        <f>IFERROR(IF(C14="","",IF(AND(BH15="",BO15=""),"",IF($C14="TOTAL",SUM($Y$8:Y13),BH15))),"")</f>
        <v/>
      </c>
      <c r="Z14" s="66">
        <f>IFERROR(IF(C14="","",IF($C14="TOTAL",SUM($Z$8:Z13),ROUND(O14*$AO$7%,0))),"")</f>
        <v>0</v>
      </c>
      <c r="AA14" s="66">
        <f>IFERROR(IF(C14="","",IF($C14="TOTAL",SUM($AA$8:AA13),IF($AC$3=$AL$2,SUM(U14,X14,Y14,Z14),SUM(R14,U14,X14,Y14,Z14)))),"")</f>
        <v>0</v>
      </c>
      <c r="AB14" s="68">
        <f>IFERROR(IF(C14="","",IF($C14="TOTAL",SUM($AB$8:AB13),SUM(O14-AA14))),"")</f>
        <v>1470</v>
      </c>
      <c r="AC14" s="69"/>
      <c r="AD14" s="69"/>
      <c r="AF14" s="6"/>
      <c r="AG14" s="6"/>
      <c r="AH14" s="6"/>
      <c r="AI14" s="6"/>
      <c r="AJ14" s="6"/>
      <c r="AK14" s="90">
        <f t="shared" si="15"/>
        <v>4</v>
      </c>
      <c r="AL14" s="90">
        <f t="shared" si="16"/>
        <v>4</v>
      </c>
      <c r="AM14" s="91"/>
      <c r="AN14" s="92">
        <v>42887</v>
      </c>
      <c r="AO14" s="91">
        <f>'Master Sheet'!K11</f>
        <v>45100</v>
      </c>
      <c r="AP14" s="92">
        <f t="shared" si="17"/>
        <v>42887</v>
      </c>
      <c r="AQ14" s="92">
        <f t="shared" si="18"/>
        <v>42887</v>
      </c>
      <c r="AR14" s="92" t="str">
        <f t="shared" si="19"/>
        <v/>
      </c>
      <c r="AS14" s="92">
        <f t="shared" si="20"/>
        <v>42887</v>
      </c>
      <c r="AT14" s="92">
        <f t="shared" si="33"/>
        <v>42887</v>
      </c>
      <c r="AU14" s="91">
        <f t="shared" si="35"/>
        <v>46500</v>
      </c>
      <c r="AV14" s="91">
        <f t="shared" ref="AV14:AV77" si="43">IF(AT14="","",IF(AT14="TOTAL","",ROUND(AU14*AK14%,0)))</f>
        <v>1860</v>
      </c>
      <c r="AW14" s="91">
        <f t="shared" si="36"/>
        <v>3720</v>
      </c>
      <c r="AX14" s="91"/>
      <c r="AY14" s="91">
        <f t="shared" si="37"/>
        <v>45100</v>
      </c>
      <c r="AZ14" s="91">
        <f t="shared" si="21"/>
        <v>1804</v>
      </c>
      <c r="BA14" s="91">
        <f t="shared" si="38"/>
        <v>3608</v>
      </c>
      <c r="BB14" s="91">
        <f t="shared" si="34"/>
        <v>5131</v>
      </c>
      <c r="BC14" s="91"/>
      <c r="BD14" s="91"/>
      <c r="BE14" s="125">
        <f t="shared" si="39"/>
        <v>1456</v>
      </c>
      <c r="BF14" s="91">
        <f t="shared" si="40"/>
        <v>3675</v>
      </c>
      <c r="BG14" s="91" t="str">
        <f t="shared" si="25"/>
        <v/>
      </c>
      <c r="BH14" s="91" t="str">
        <f t="shared" si="26"/>
        <v/>
      </c>
      <c r="BI14" s="91">
        <f t="shared" si="41"/>
        <v>0</v>
      </c>
      <c r="BJ14" s="133">
        <f t="shared" si="42"/>
        <v>0</v>
      </c>
      <c r="BO14" s="28" t="str">
        <f t="shared" si="29"/>
        <v/>
      </c>
    </row>
    <row r="15" spans="1:67" s="28" customFormat="1" ht="21" customHeight="1">
      <c r="A15" s="140">
        <f t="shared" si="30"/>
        <v>8</v>
      </c>
      <c r="B15" s="64">
        <f t="shared" si="1"/>
        <v>8</v>
      </c>
      <c r="C15" s="65">
        <f t="shared" si="31"/>
        <v>42948</v>
      </c>
      <c r="D15" s="66">
        <f>IFERROR(IF($C14="TOTAL","अक्षरें राशि :-",IF($C15="TOTAL",SUM($D$8:D14),IF(AU16="","",AU16))),"")</f>
        <v>47900</v>
      </c>
      <c r="E15" s="66">
        <f>IFERROR(IF($C15="TOTAL",SUM($E$8:E14),IF(AV16="","",AV16)),"")</f>
        <v>2395</v>
      </c>
      <c r="F15" s="66">
        <f>IFERROR(IF($C15="TOTAL",SUM($F$8:F14),IF(OR(C15=$AM$16,C15=$AM$17,C15=$AM$18,C15=$AM$19,C15=$AM$20,C15=$AM$21,C15=$AM$22,C15=$AM$23,C15=$AM$24),0,IF(AW16="","",AW16))),"")</f>
        <v>0</v>
      </c>
      <c r="G15" s="66">
        <f t="shared" si="32"/>
        <v>50295</v>
      </c>
      <c r="H15" s="66">
        <f>IFERROR(IF($C15="TOTAL",SUM($H$8:H14),IF(AY16="","",AY16)),"")</f>
        <v>46500</v>
      </c>
      <c r="I15" s="66">
        <f>IFERROR(IF($C15="TOTAL",SUM($I$8:I14),IF(AZ16="","",AZ16)),"")</f>
        <v>2325</v>
      </c>
      <c r="J15" s="66">
        <f>IFERROR(IF($C15="TOTAL",SUM($J$8:J14),IF(OR(C15=$AM$16,C15=$AM$17,C15=$AM$18,C15=$AM$19,C15=$AM$20,C15=$AM$21,C15=$AM$22,C15=$AM$23,C15=$AM$24),0,IF(BA16="","",BA16))),"")</f>
        <v>0</v>
      </c>
      <c r="K15" s="66">
        <f t="shared" si="10"/>
        <v>48825</v>
      </c>
      <c r="L15" s="66">
        <f>IFERROR(IF(C15="","",IF(D15="","",IF(H15="","",IF($C15="TOTAL",SUM($L$8:L14),SUM(D15-H15))))),"")</f>
        <v>1400</v>
      </c>
      <c r="M15" s="66">
        <f>IFERROR(IF(C15="","",IF(E15="","",IF(I15="","",IF($C15="TOTAL",SUM($M$8:M14),SUM(E15-I15))))),"")</f>
        <v>70</v>
      </c>
      <c r="N15" s="66">
        <f>IFERROR(IF(C15="","",IF(F15="","",IF(J15="","",IF($C15="TOTAL",SUM($N$8:N14),SUM(F15-J15))))),"")</f>
        <v>0</v>
      </c>
      <c r="O15" s="66">
        <f t="shared" si="11"/>
        <v>1470</v>
      </c>
      <c r="P15" s="66">
        <f>IFERROR(IF(C15="","",IF($C15="TOTAL",SUM($P$8:P14),IF(AND(C15&gt;$AL$1,$AC$3=$AL$2),BO16,IF($AO$18=$AO$20,SUM(BB16+BJ16),ROUND((D15+E15)*10%,0))))),"")</f>
        <v>5030</v>
      </c>
      <c r="Q15" s="66">
        <f>IFERROR(IF(C15="","",IF(H15="","",IF(I15="","",IF($C15="TOTAL",SUM($Q$8:Q14),IF(AND(C15&gt;$AL$1,$AC$3=$AL$2),BO16,IF($AO$18=$AO$20,$AO$21,ROUND((H15+I15)*10%,0))))))),"")</f>
        <v>4883</v>
      </c>
      <c r="R15" s="66">
        <f t="shared" si="12"/>
        <v>147</v>
      </c>
      <c r="S15" s="67">
        <f>IFERROR(IF(C15="","",IF($AO$16=$AO$17,0,IF($C15="TOTAL",SUM($S$8:S14),IF($AO$19=$AO$31,0,IF(AND($AO$32=$AO$20,C15=$AO$33),$AO$34,S14))))),"")</f>
        <v>2100</v>
      </c>
      <c r="T15" s="67">
        <f>IFERROR(IF(C15="","",IF($AO$16=$AO$17,0,IF($C15="TOTAL",SUM($T$8:T14),IF($AO$19=$AO$20,$AO$24,0)))),"")</f>
        <v>2100</v>
      </c>
      <c r="U15" s="66">
        <f t="shared" si="13"/>
        <v>0</v>
      </c>
      <c r="V15" s="66" t="str">
        <f>IF(C15="","",IF($C15="TOTAL",SUM($V$8:V14),IF(AND($AO$2=$AO$20,C15=$AO$1),ROUND(D15/31*$AP$2,0),IF(C15=$AM$6,ROUND((G15)*1/30,0),IF(C15=$AN$6,ROUND((G15)*1/31,0),"")))))</f>
        <v/>
      </c>
      <c r="W15" s="66" t="str">
        <f>IF(C15="","",IF($C15="TOTAL",SUM($W$8:W14),IF(AND($AO$2=$AO$20,C15=$AO$1),ROUND(H15/31*$AP$2,0),IF(C15=$AM$6,ROUND((K15)*1/30,0),IF(C15=$AN$6,ROUND((K15)*1/31,0),"")))))</f>
        <v/>
      </c>
      <c r="X15" s="66" t="str">
        <f t="shared" si="14"/>
        <v/>
      </c>
      <c r="Y15" s="66" t="str">
        <f>IFERROR(IF(C15="","",IF(AND(BH16="",BO16=""),"",IF($C15="TOTAL",SUM($Y$8:Y14),BH16))),"")</f>
        <v/>
      </c>
      <c r="Z15" s="66">
        <f>IFERROR(IF(C15="","",IF($C15="TOTAL",SUM($Z$8:Z14),ROUND(O15*$AO$7%,0))),"")</f>
        <v>0</v>
      </c>
      <c r="AA15" s="66">
        <f>IFERROR(IF(C15="","",IF($C15="TOTAL",SUM($AA$8:AA14),IF($AC$3=$AL$2,SUM(U15,X15,Y15,Z15),SUM(R15,U15,X15,Y15,Z15)))),"")</f>
        <v>0</v>
      </c>
      <c r="AB15" s="68">
        <f>IFERROR(IF(C15="","",IF($C15="TOTAL",SUM($AB$8:AB14),SUM(O15-AA15))),"")</f>
        <v>1470</v>
      </c>
      <c r="AC15" s="69"/>
      <c r="AD15" s="69"/>
      <c r="AF15" s="6"/>
      <c r="AG15" s="6"/>
      <c r="AH15" s="6"/>
      <c r="AI15" s="6"/>
      <c r="AJ15" s="6"/>
      <c r="AK15" s="90">
        <f t="shared" si="15"/>
        <v>5</v>
      </c>
      <c r="AL15" s="90">
        <f t="shared" si="16"/>
        <v>5</v>
      </c>
      <c r="AM15" s="91"/>
      <c r="AN15" s="92">
        <v>42917</v>
      </c>
      <c r="AO15" s="93" t="s">
        <v>80</v>
      </c>
      <c r="AP15" s="92">
        <f t="shared" si="17"/>
        <v>42917</v>
      </c>
      <c r="AQ15" s="92">
        <f t="shared" si="18"/>
        <v>42917</v>
      </c>
      <c r="AR15" s="92" t="str">
        <f t="shared" si="19"/>
        <v/>
      </c>
      <c r="AS15" s="92">
        <f t="shared" si="20"/>
        <v>42917</v>
      </c>
      <c r="AT15" s="92">
        <f t="shared" si="33"/>
        <v>42917</v>
      </c>
      <c r="AU15" s="91">
        <f t="shared" si="35"/>
        <v>47900</v>
      </c>
      <c r="AV15" s="91">
        <f t="shared" si="43"/>
        <v>2395</v>
      </c>
      <c r="AW15" s="91">
        <f t="shared" si="36"/>
        <v>3832</v>
      </c>
      <c r="AX15" s="91"/>
      <c r="AY15" s="91">
        <f t="shared" si="37"/>
        <v>46500</v>
      </c>
      <c r="AZ15" s="91">
        <f t="shared" si="21"/>
        <v>2325</v>
      </c>
      <c r="BA15" s="91">
        <f t="shared" si="38"/>
        <v>3720</v>
      </c>
      <c r="BB15" s="91">
        <f t="shared" si="34"/>
        <v>5145</v>
      </c>
      <c r="BC15" s="91"/>
      <c r="BD15" s="91"/>
      <c r="BE15" s="125">
        <f t="shared" si="39"/>
        <v>1470</v>
      </c>
      <c r="BF15" s="91">
        <f t="shared" si="40"/>
        <v>3675</v>
      </c>
      <c r="BG15" s="91" t="str">
        <f t="shared" si="25"/>
        <v/>
      </c>
      <c r="BH15" s="91" t="str">
        <f t="shared" si="26"/>
        <v/>
      </c>
      <c r="BI15" s="91">
        <f t="shared" si="41"/>
        <v>0</v>
      </c>
      <c r="BJ15" s="133">
        <f t="shared" si="42"/>
        <v>0</v>
      </c>
      <c r="BO15" s="28" t="str">
        <f t="shared" si="29"/>
        <v/>
      </c>
    </row>
    <row r="16" spans="1:67" s="28" customFormat="1" ht="21" customHeight="1">
      <c r="A16" s="140">
        <f t="shared" si="30"/>
        <v>9</v>
      </c>
      <c r="B16" s="64">
        <f t="shared" si="1"/>
        <v>9</v>
      </c>
      <c r="C16" s="65">
        <f t="shared" si="31"/>
        <v>42979</v>
      </c>
      <c r="D16" s="66">
        <f>IFERROR(IF($C15="TOTAL","अक्षरें राशि :-",IF($C16="TOTAL",SUM($D$8:D15),IF(AU17="","",AU17))),"")</f>
        <v>47900</v>
      </c>
      <c r="E16" s="66">
        <f>IFERROR(IF($C16="TOTAL",SUM($E$8:E15),IF(AV17="","",AV17)),"")</f>
        <v>2395</v>
      </c>
      <c r="F16" s="66">
        <f>IFERROR(IF($C16="TOTAL",SUM($F$8:F15),IF(OR(C16=$AM$16,C16=$AM$17,C16=$AM$18,C16=$AM$19,C16=$AM$20,C16=$AM$21,C16=$AM$22,C16=$AM$23,C16=$AM$24),0,IF(AW17="","",AW17))),"")</f>
        <v>0</v>
      </c>
      <c r="G16" s="66">
        <f t="shared" si="32"/>
        <v>50295</v>
      </c>
      <c r="H16" s="66">
        <f>IFERROR(IF($C16="TOTAL",SUM($H$8:H15),IF(AY17="","",AY17)),"")</f>
        <v>46500</v>
      </c>
      <c r="I16" s="66">
        <f>IFERROR(IF($C16="TOTAL",SUM($I$8:I15),IF(AZ17="","",AZ17)),"")</f>
        <v>2325</v>
      </c>
      <c r="J16" s="66">
        <f>IFERROR(IF($C16="TOTAL",SUM($J$8:J15),IF(OR(C16=$AM$16,C16=$AM$17,C16=$AM$18,C16=$AM$19,C16=$AM$20,C16=$AM$21,C16=$AM$22,C16=$AM$23,C16=$AM$24),0,IF(BA17="","",BA17))),"")</f>
        <v>0</v>
      </c>
      <c r="K16" s="66">
        <f t="shared" si="10"/>
        <v>48825</v>
      </c>
      <c r="L16" s="66">
        <f>IFERROR(IF(C16="","",IF(D16="","",IF(H16="","",IF($C16="TOTAL",SUM($L$8:L15),SUM(D16-H16))))),"")</f>
        <v>1400</v>
      </c>
      <c r="M16" s="66">
        <f>IFERROR(IF(C16="","",IF(E16="","",IF(I16="","",IF($C16="TOTAL",SUM($M$8:M15),SUM(E16-I16))))),"")</f>
        <v>70</v>
      </c>
      <c r="N16" s="66">
        <f>IFERROR(IF(C16="","",IF(F16="","",IF(J16="","",IF($C16="TOTAL",SUM($N$8:N15),SUM(F16-J16))))),"")</f>
        <v>0</v>
      </c>
      <c r="O16" s="66">
        <f t="shared" si="11"/>
        <v>1470</v>
      </c>
      <c r="P16" s="66">
        <f>IFERROR(IF(C16="","",IF($C16="TOTAL",SUM($P$8:P15),IF(AND(C16&gt;$AL$1,$AC$3=$AL$2),BO17,IF($AO$18=$AO$20,SUM(BB17+BJ17),ROUND((D16+E16)*10%,0))))),"")</f>
        <v>5030</v>
      </c>
      <c r="Q16" s="66">
        <f>IFERROR(IF(C16="","",IF(H16="","",IF(I16="","",IF($C16="TOTAL",SUM($Q$8:Q15),IF(AND(C16&gt;$AL$1,$AC$3=$AL$2),BO17,IF($AO$18=$AO$20,$AO$21,ROUND((H16+I16)*10%,0))))))),"")</f>
        <v>4883</v>
      </c>
      <c r="R16" s="66">
        <f t="shared" si="12"/>
        <v>147</v>
      </c>
      <c r="S16" s="67">
        <f>IFERROR(IF(C16="","",IF($AO$16=$AO$17,0,IF($C16="TOTAL",SUM($S$8:S15),IF($AO$19=$AO$31,0,IF(AND($AO$32=$AO$20,C16=$AO$33),$AO$34,S15))))),"")</f>
        <v>2100</v>
      </c>
      <c r="T16" s="67">
        <f>IFERROR(IF(C16="","",IF($AO$16=$AO$17,0,IF($C16="TOTAL",SUM($T$8:T15),IF($AO$19=$AO$20,$AO$24,0)))),"")</f>
        <v>2100</v>
      </c>
      <c r="U16" s="66">
        <f t="shared" si="13"/>
        <v>0</v>
      </c>
      <c r="V16" s="66" t="str">
        <f>IF(C16="","",IF($C16="TOTAL",SUM($V$8:V15),IF(AND($AO$2=$AO$20,C16=$AO$1),ROUND(D16/31*$AP$2,0),IF(C16=$AM$6,ROUND((G16)*1/30,0),IF(C16=$AN$6,ROUND((G16)*1/31,0),"")))))</f>
        <v/>
      </c>
      <c r="W16" s="66" t="str">
        <f>IF(C16="","",IF($C16="TOTAL",SUM($W$8:W15),IF(AND($AO$2=$AO$20,C16=$AO$1),ROUND(H16/31*$AP$2,0),IF(C16=$AM$6,ROUND((K16)*1/30,0),IF(C16=$AN$6,ROUND((K16)*1/31,0),"")))))</f>
        <v/>
      </c>
      <c r="X16" s="66" t="str">
        <f t="shared" si="14"/>
        <v/>
      </c>
      <c r="Y16" s="66" t="str">
        <f>IFERROR(IF(C16="","",IF(AND(BH17="",BO17=""),"",IF($C16="TOTAL",SUM($Y$8:Y15),BH17))),"")</f>
        <v/>
      </c>
      <c r="Z16" s="66">
        <f>IFERROR(IF(C16="","",IF($C16="TOTAL",SUM($Z$8:Z15),ROUND(O16*$AO$7%,0))),"")</f>
        <v>0</v>
      </c>
      <c r="AA16" s="66">
        <f>IFERROR(IF(C16="","",IF($C16="TOTAL",SUM($AA$8:AA15),IF($AC$3=$AL$2,SUM(U16,X16,Y16,Z16),SUM(R16,U16,X16,Y16,Z16)))),"")</f>
        <v>0</v>
      </c>
      <c r="AB16" s="68">
        <f>IFERROR(IF(C16="","",IF($C16="TOTAL",SUM($AB$8:AB15),SUM(O16-AA16))),"")</f>
        <v>1470</v>
      </c>
      <c r="AC16" s="69"/>
      <c r="AD16" s="69"/>
      <c r="AF16" s="6"/>
      <c r="AG16" s="6"/>
      <c r="AH16" s="6"/>
      <c r="AI16" s="6"/>
      <c r="AJ16" s="6"/>
      <c r="AK16" s="90">
        <f t="shared" si="15"/>
        <v>5</v>
      </c>
      <c r="AL16" s="90">
        <f t="shared" si="16"/>
        <v>5</v>
      </c>
      <c r="AM16" s="92">
        <v>42736</v>
      </c>
      <c r="AN16" s="92">
        <v>42948</v>
      </c>
      <c r="AO16" s="91" t="str">
        <f>'Master Sheet'!D11</f>
        <v>Regular Pay</v>
      </c>
      <c r="AP16" s="92">
        <f t="shared" si="17"/>
        <v>42948</v>
      </c>
      <c r="AQ16" s="92">
        <f t="shared" si="18"/>
        <v>42948</v>
      </c>
      <c r="AR16" s="92" t="str">
        <f t="shared" si="19"/>
        <v/>
      </c>
      <c r="AS16" s="92">
        <f t="shared" si="20"/>
        <v>42948</v>
      </c>
      <c r="AT16" s="92">
        <f t="shared" si="33"/>
        <v>42948</v>
      </c>
      <c r="AU16" s="91">
        <f t="shared" si="35"/>
        <v>47900</v>
      </c>
      <c r="AV16" s="91">
        <f t="shared" si="43"/>
        <v>2395</v>
      </c>
      <c r="AW16" s="91">
        <f t="shared" si="36"/>
        <v>3832</v>
      </c>
      <c r="AX16" s="91"/>
      <c r="AY16" s="91">
        <f t="shared" si="37"/>
        <v>46500</v>
      </c>
      <c r="AZ16" s="91">
        <f t="shared" si="21"/>
        <v>2325</v>
      </c>
      <c r="BA16" s="91">
        <f t="shared" si="38"/>
        <v>3720</v>
      </c>
      <c r="BB16" s="91">
        <f t="shared" si="34"/>
        <v>5145</v>
      </c>
      <c r="BC16" s="91"/>
      <c r="BD16" s="91"/>
      <c r="BE16" s="125">
        <f t="shared" si="39"/>
        <v>1470</v>
      </c>
      <c r="BF16" s="91">
        <f t="shared" si="40"/>
        <v>3675</v>
      </c>
      <c r="BG16" s="91" t="str">
        <f t="shared" si="25"/>
        <v/>
      </c>
      <c r="BH16" s="91" t="str">
        <f t="shared" si="26"/>
        <v/>
      </c>
      <c r="BI16" s="91">
        <f t="shared" si="41"/>
        <v>0</v>
      </c>
      <c r="BJ16" s="133">
        <f t="shared" si="42"/>
        <v>0</v>
      </c>
      <c r="BO16" s="28" t="str">
        <f t="shared" si="29"/>
        <v/>
      </c>
    </row>
    <row r="17" spans="1:67" s="28" customFormat="1" ht="21" customHeight="1">
      <c r="A17" s="140">
        <f t="shared" si="30"/>
        <v>10</v>
      </c>
      <c r="B17" s="64">
        <f t="shared" si="1"/>
        <v>10</v>
      </c>
      <c r="C17" s="65">
        <f t="shared" si="31"/>
        <v>43009</v>
      </c>
      <c r="D17" s="66">
        <f>IFERROR(IF($C16="TOTAL","अक्षरें राशि :-",IF($C17="TOTAL",SUM($D$8:D16),IF(AU18="","",AU18))),"")</f>
        <v>47900</v>
      </c>
      <c r="E17" s="66">
        <f>IFERROR(IF($C17="TOTAL",SUM($E$8:E16),IF(AV18="","",AV18)),"")</f>
        <v>2395</v>
      </c>
      <c r="F17" s="66">
        <f>IFERROR(IF($C17="TOTAL",SUM($F$8:F16),IF(OR(C17=$AM$16,C17=$AM$17,C17=$AM$18,C17=$AM$19,C17=$AM$20,C17=$AM$21,C17=$AM$22,C17=$AM$23,C17=$AM$24),0,IF(AW18="","",AW18))),"")</f>
        <v>3832</v>
      </c>
      <c r="G17" s="66">
        <f t="shared" si="32"/>
        <v>54127</v>
      </c>
      <c r="H17" s="66">
        <f>IFERROR(IF($C17="TOTAL",SUM($H$8:H16),IF(AY18="","",AY18)),"")</f>
        <v>46500</v>
      </c>
      <c r="I17" s="66">
        <f>IFERROR(IF($C17="TOTAL",SUM($I$8:I16),IF(AZ18="","",AZ18)),"")</f>
        <v>2325</v>
      </c>
      <c r="J17" s="66">
        <f>IFERROR(IF($C17="TOTAL",SUM($J$8:J16),IF(OR(C17=$AM$16,C17=$AM$17,C17=$AM$18,C17=$AM$19,C17=$AM$20,C17=$AM$21,C17=$AM$22,C17=$AM$23,C17=$AM$24),0,IF(BA18="","",BA18))),"")</f>
        <v>3720</v>
      </c>
      <c r="K17" s="66">
        <f t="shared" si="10"/>
        <v>52545</v>
      </c>
      <c r="L17" s="66">
        <f>IFERROR(IF(C17="","",IF(D17="","",IF(H17="","",IF($C17="TOTAL",SUM($L$8:L16),SUM(D17-H17))))),"")</f>
        <v>1400</v>
      </c>
      <c r="M17" s="66">
        <f>IFERROR(IF(C17="","",IF(E17="","",IF(I17="","",IF($C17="TOTAL",SUM($M$8:M16),SUM(E17-I17))))),"")</f>
        <v>70</v>
      </c>
      <c r="N17" s="66">
        <f>IFERROR(IF(C17="","",IF(F17="","",IF(J17="","",IF($C17="TOTAL",SUM($N$8:N16),SUM(F17-J17))))),"")</f>
        <v>112</v>
      </c>
      <c r="O17" s="66">
        <f t="shared" si="11"/>
        <v>1582</v>
      </c>
      <c r="P17" s="66">
        <f>IFERROR(IF(C17="","",IF($C17="TOTAL",SUM($P$8:P16),IF(AND(C17&gt;$AL$1,$AC$3=$AL$2),BO18,IF($AO$18=$AO$20,SUM(BB18+BJ18),ROUND((D17+E17)*10%,0))))),"")</f>
        <v>5030</v>
      </c>
      <c r="Q17" s="66">
        <f>IFERROR(IF(C17="","",IF(H17="","",IF(I17="","",IF($C17="TOTAL",SUM($Q$8:Q16),IF(AND(C17&gt;$AL$1,$AC$3=$AL$2),BO18,IF($AO$18=$AO$20,$AO$21,ROUND((H17+I17)*10%,0))))))),"")</f>
        <v>4883</v>
      </c>
      <c r="R17" s="66">
        <f t="shared" si="12"/>
        <v>147</v>
      </c>
      <c r="S17" s="67">
        <f>IFERROR(IF(C17="","",IF($AO$16=$AO$17,0,IF($C17="TOTAL",SUM($S$8:S16),IF($AO$19=$AO$31,0,IF(AND($AO$32=$AO$20,C17=$AO$33),$AO$34,S16))))),"")</f>
        <v>2100</v>
      </c>
      <c r="T17" s="67">
        <f>IFERROR(IF(C17="","",IF($AO$16=$AO$17,0,IF($C17="TOTAL",SUM($T$8:T16),IF($AO$19=$AO$20,$AO$24,0)))),"")</f>
        <v>2100</v>
      </c>
      <c r="U17" s="66">
        <f t="shared" si="13"/>
        <v>0</v>
      </c>
      <c r="V17" s="66" t="str">
        <f>IF(C17="","",IF($C17="TOTAL",SUM($V$8:V16),IF(AND($AO$2=$AO$20,C17=$AO$1),ROUND(D17/31*$AP$2,0),IF(C17=$AM$6,ROUND((G17)*1/30,0),IF(C17=$AN$6,ROUND((G17)*1/31,0),"")))))</f>
        <v/>
      </c>
      <c r="W17" s="66" t="str">
        <f>IF(C17="","",IF($C17="TOTAL",SUM($W$8:W16),IF(AND($AO$2=$AO$20,C17=$AO$1),ROUND(H17/31*$AP$2,0),IF(C17=$AM$6,ROUND((K17)*1/30,0),IF(C17=$AN$6,ROUND((K17)*1/31,0),"")))))</f>
        <v/>
      </c>
      <c r="X17" s="66" t="str">
        <f t="shared" si="14"/>
        <v/>
      </c>
      <c r="Y17" s="66" t="str">
        <f>IFERROR(IF(C17="","",IF(AND(BH18="",BO18=""),"",IF($C17="TOTAL",SUM($Y$8:Y16),BH18))),"")</f>
        <v/>
      </c>
      <c r="Z17" s="66">
        <f>IFERROR(IF(C17="","",IF($C17="TOTAL",SUM($Z$8:Z16),ROUND(O17*$AO$7%,0))),"")</f>
        <v>0</v>
      </c>
      <c r="AA17" s="66">
        <f>IFERROR(IF(C17="","",IF($C17="TOTAL",SUM($AA$8:AA16),IF($AC$3=$AL$2,SUM(U17,X17,Y17,Z17),SUM(R17,U17,X17,Y17,Z17)))),"")</f>
        <v>0</v>
      </c>
      <c r="AB17" s="68">
        <f>IFERROR(IF(C17="","",IF($C17="TOTAL",SUM($AB$8:AB16),SUM(O17-AA17))),"")</f>
        <v>1582</v>
      </c>
      <c r="AC17" s="69"/>
      <c r="AD17" s="69"/>
      <c r="AF17" s="6"/>
      <c r="AG17" s="6"/>
      <c r="AH17" s="6"/>
      <c r="AI17" s="6"/>
      <c r="AJ17" s="6"/>
      <c r="AK17" s="90">
        <f t="shared" si="15"/>
        <v>5</v>
      </c>
      <c r="AL17" s="90">
        <f t="shared" si="16"/>
        <v>5</v>
      </c>
      <c r="AM17" s="92">
        <v>42767</v>
      </c>
      <c r="AN17" s="92">
        <v>42979</v>
      </c>
      <c r="AO17" s="91" t="s">
        <v>83</v>
      </c>
      <c r="AP17" s="92">
        <f t="shared" si="17"/>
        <v>42979</v>
      </c>
      <c r="AQ17" s="92">
        <f t="shared" si="18"/>
        <v>42979</v>
      </c>
      <c r="AR17" s="92" t="str">
        <f t="shared" si="19"/>
        <v/>
      </c>
      <c r="AS17" s="92">
        <f t="shared" si="20"/>
        <v>42979</v>
      </c>
      <c r="AT17" s="92">
        <f t="shared" si="33"/>
        <v>42979</v>
      </c>
      <c r="AU17" s="91">
        <f t="shared" si="35"/>
        <v>47900</v>
      </c>
      <c r="AV17" s="91">
        <f t="shared" si="43"/>
        <v>2395</v>
      </c>
      <c r="AW17" s="91">
        <f t="shared" si="36"/>
        <v>3832</v>
      </c>
      <c r="AX17" s="91"/>
      <c r="AY17" s="91">
        <f t="shared" si="37"/>
        <v>46500</v>
      </c>
      <c r="AZ17" s="91">
        <f t="shared" si="21"/>
        <v>2325</v>
      </c>
      <c r="BA17" s="91">
        <f t="shared" si="38"/>
        <v>3720</v>
      </c>
      <c r="BB17" s="91">
        <f t="shared" si="34"/>
        <v>5145</v>
      </c>
      <c r="BC17" s="91"/>
      <c r="BD17" s="91"/>
      <c r="BE17" s="125">
        <f t="shared" si="39"/>
        <v>1470</v>
      </c>
      <c r="BF17" s="91">
        <f t="shared" si="40"/>
        <v>3675</v>
      </c>
      <c r="BG17" s="91" t="str">
        <f t="shared" si="25"/>
        <v/>
      </c>
      <c r="BH17" s="91" t="str">
        <f t="shared" si="26"/>
        <v/>
      </c>
      <c r="BI17" s="91">
        <f t="shared" si="41"/>
        <v>0</v>
      </c>
      <c r="BJ17" s="133">
        <f t="shared" si="42"/>
        <v>0</v>
      </c>
      <c r="BO17" s="28" t="str">
        <f t="shared" si="29"/>
        <v/>
      </c>
    </row>
    <row r="18" spans="1:67" s="28" customFormat="1" ht="21" customHeight="1">
      <c r="A18" s="140">
        <f t="shared" si="30"/>
        <v>11</v>
      </c>
      <c r="B18" s="64">
        <f t="shared" si="1"/>
        <v>11</v>
      </c>
      <c r="C18" s="65">
        <f t="shared" si="31"/>
        <v>43040</v>
      </c>
      <c r="D18" s="66">
        <f>IFERROR(IF($C17="TOTAL","अक्षरें राशि :-",IF($C18="TOTAL",SUM($D$8:D17),IF(AU19="","",AU19))),"")</f>
        <v>47900</v>
      </c>
      <c r="E18" s="66">
        <f>IFERROR(IF($C18="TOTAL",SUM($E$8:E17),IF(AV19="","",AV19)),"")</f>
        <v>2395</v>
      </c>
      <c r="F18" s="66">
        <f>IFERROR(IF($C18="TOTAL",SUM($F$8:F17),IF(OR(C18=$AM$16,C18=$AM$17,C18=$AM$18,C18=$AM$19,C18=$AM$20,C18=$AM$21,C18=$AM$22,C18=$AM$23,C18=$AM$24),0,IF(AW19="","",AW19))),"")</f>
        <v>3832</v>
      </c>
      <c r="G18" s="66">
        <f t="shared" si="32"/>
        <v>54127</v>
      </c>
      <c r="H18" s="66">
        <f>IFERROR(IF($C18="TOTAL",SUM($H$8:H17),IF(AY19="","",AY19)),"")</f>
        <v>46500</v>
      </c>
      <c r="I18" s="66">
        <f>IFERROR(IF($C18="TOTAL",SUM($I$8:I17),IF(AZ19="","",AZ19)),"")</f>
        <v>2325</v>
      </c>
      <c r="J18" s="66">
        <f>IFERROR(IF($C18="TOTAL",SUM($J$8:J17),IF(OR(C18=$AM$16,C18=$AM$17,C18=$AM$18,C18=$AM$19,C18=$AM$20,C18=$AM$21,C18=$AM$22,C18=$AM$23,C18=$AM$24),0,IF(BA19="","",BA19))),"")</f>
        <v>3720</v>
      </c>
      <c r="K18" s="66">
        <f t="shared" si="10"/>
        <v>52545</v>
      </c>
      <c r="L18" s="66">
        <f>IFERROR(IF(C18="","",IF(D18="","",IF(H18="","",IF($C18="TOTAL",SUM($L$8:L17),SUM(D18-H18))))),"")</f>
        <v>1400</v>
      </c>
      <c r="M18" s="66">
        <f>IFERROR(IF(C18="","",IF(E18="","",IF(I18="","",IF($C18="TOTAL",SUM($M$8:M17),SUM(E18-I18))))),"")</f>
        <v>70</v>
      </c>
      <c r="N18" s="66">
        <f>IFERROR(IF(C18="","",IF(F18="","",IF(J18="","",IF($C18="TOTAL",SUM($N$8:N17),SUM(F18-J18))))),"")</f>
        <v>112</v>
      </c>
      <c r="O18" s="66">
        <f t="shared" si="11"/>
        <v>1582</v>
      </c>
      <c r="P18" s="66">
        <f>IFERROR(IF(C18="","",IF($C18="TOTAL",SUM($P$8:P17),IF(AND(C18&gt;$AL$1,$AC$3=$AL$2),BO19,IF($AO$18=$AO$20,SUM(BB19+BJ19),ROUND((D18+E18)*10%,0))))),"")</f>
        <v>5030</v>
      </c>
      <c r="Q18" s="66">
        <f>IFERROR(IF(C18="","",IF(H18="","",IF(I18="","",IF($C18="TOTAL",SUM($Q$8:Q17),IF(AND(C18&gt;$AL$1,$AC$3=$AL$2),BO19,IF($AO$18=$AO$20,$AO$21,ROUND((H18+I18)*10%,0))))))),"")</f>
        <v>4883</v>
      </c>
      <c r="R18" s="66">
        <f t="shared" si="12"/>
        <v>147</v>
      </c>
      <c r="S18" s="67">
        <f>IFERROR(IF(C18="","",IF($AO$16=$AO$17,0,IF($C18="TOTAL",SUM($S$8:S17),IF($AO$19=$AO$31,0,IF(AND($AO$32=$AO$20,C18=$AO$33),$AO$34,S17))))),"")</f>
        <v>2100</v>
      </c>
      <c r="T18" s="67">
        <f>IFERROR(IF(C18="","",IF($AO$16=$AO$17,0,IF($C18="TOTAL",SUM($T$8:T17),IF($AO$19=$AO$20,$AO$24,0)))),"")</f>
        <v>2100</v>
      </c>
      <c r="U18" s="66">
        <f t="shared" si="13"/>
        <v>0</v>
      </c>
      <c r="V18" s="66" t="str">
        <f>IF(C18="","",IF($C18="TOTAL",SUM($V$8:V17),IF(AND($AO$2=$AO$20,C18=$AO$1),ROUND(D18/31*$AP$2,0),IF(C18=$AM$6,ROUND((G18)*1/30,0),IF(C18=$AN$6,ROUND((G18)*1/31,0),"")))))</f>
        <v/>
      </c>
      <c r="W18" s="66" t="str">
        <f>IF(C18="","",IF($C18="TOTAL",SUM($W$8:W17),IF(AND($AO$2=$AO$20,C18=$AO$1),ROUND(H18/31*$AP$2,0),IF(C18=$AM$6,ROUND((K18)*1/30,0),IF(C18=$AN$6,ROUND((K18)*1/31,0),"")))))</f>
        <v/>
      </c>
      <c r="X18" s="66" t="str">
        <f t="shared" si="14"/>
        <v/>
      </c>
      <c r="Y18" s="66" t="str">
        <f>IFERROR(IF(C18="","",IF(AND(BH19="",BO19=""),"",IF($C18="TOTAL",SUM($Y$8:Y17),BH19))),"")</f>
        <v/>
      </c>
      <c r="Z18" s="66">
        <f>IFERROR(IF(C18="","",IF($C18="TOTAL",SUM($Z$8:Z17),ROUND(O18*$AO$7%,0))),"")</f>
        <v>0</v>
      </c>
      <c r="AA18" s="66">
        <f>IFERROR(IF(C18="","",IF($C18="TOTAL",SUM($AA$8:AA17),IF($AC$3=$AL$2,SUM(U18,X18,Y18,Z18),SUM(R18,U18,X18,Y18,Z18)))),"")</f>
        <v>0</v>
      </c>
      <c r="AB18" s="68">
        <f>IFERROR(IF(C18="","",IF($C18="TOTAL",SUM($AB$8:AB17),SUM(O18-AA18))),"")</f>
        <v>1582</v>
      </c>
      <c r="AC18" s="32"/>
      <c r="AD18" s="32"/>
      <c r="AF18" s="26"/>
      <c r="AG18" s="27"/>
      <c r="AH18" s="27"/>
      <c r="AI18" s="27"/>
      <c r="AJ18" s="27"/>
      <c r="AK18" s="90">
        <f t="shared" si="15"/>
        <v>5</v>
      </c>
      <c r="AL18" s="90">
        <f t="shared" si="16"/>
        <v>5</v>
      </c>
      <c r="AM18" s="92">
        <v>42795</v>
      </c>
      <c r="AN18" s="92">
        <v>43009</v>
      </c>
      <c r="AO18" s="91" t="str">
        <f>'Master Sheet'!D21</f>
        <v>NO</v>
      </c>
      <c r="AP18" s="92">
        <f t="shared" si="17"/>
        <v>43009</v>
      </c>
      <c r="AQ18" s="92">
        <f t="shared" si="18"/>
        <v>43009</v>
      </c>
      <c r="AR18" s="92" t="str">
        <f t="shared" si="19"/>
        <v/>
      </c>
      <c r="AS18" s="92">
        <f t="shared" si="20"/>
        <v>43009</v>
      </c>
      <c r="AT18" s="92">
        <f t="shared" si="33"/>
        <v>43009</v>
      </c>
      <c r="AU18" s="91">
        <f t="shared" si="35"/>
        <v>47900</v>
      </c>
      <c r="AV18" s="91">
        <f t="shared" si="43"/>
        <v>2395</v>
      </c>
      <c r="AW18" s="91">
        <f t="shared" si="36"/>
        <v>3832</v>
      </c>
      <c r="AX18" s="91"/>
      <c r="AY18" s="91">
        <f t="shared" si="37"/>
        <v>46500</v>
      </c>
      <c r="AZ18" s="91">
        <f t="shared" si="21"/>
        <v>2325</v>
      </c>
      <c r="BA18" s="91">
        <f t="shared" si="38"/>
        <v>3720</v>
      </c>
      <c r="BB18" s="91">
        <f t="shared" si="34"/>
        <v>3675</v>
      </c>
      <c r="BC18" s="91"/>
      <c r="BD18" s="91"/>
      <c r="BE18" s="125">
        <f t="shared" si="39"/>
        <v>1582</v>
      </c>
      <c r="BF18" s="91">
        <f t="shared" si="40"/>
        <v>3675</v>
      </c>
      <c r="BG18" s="91" t="str">
        <f t="shared" si="25"/>
        <v/>
      </c>
      <c r="BH18" s="91" t="str">
        <f t="shared" si="26"/>
        <v/>
      </c>
      <c r="BI18" s="91">
        <f t="shared" si="41"/>
        <v>0</v>
      </c>
      <c r="BJ18" s="133">
        <f t="shared" si="42"/>
        <v>0</v>
      </c>
      <c r="BO18" s="28" t="str">
        <f t="shared" si="29"/>
        <v/>
      </c>
    </row>
    <row r="19" spans="1:67" s="28" customFormat="1" ht="21" customHeight="1">
      <c r="A19" s="140">
        <f t="shared" si="30"/>
        <v>12</v>
      </c>
      <c r="B19" s="64">
        <f t="shared" si="1"/>
        <v>12</v>
      </c>
      <c r="C19" s="65">
        <f t="shared" si="31"/>
        <v>43070</v>
      </c>
      <c r="D19" s="66">
        <f>IFERROR(IF($C18="TOTAL","अक्षरें राशि :-",IF($C19="TOTAL",SUM($D$8:D18),IF(AU20="","",AU20))),"")</f>
        <v>47900</v>
      </c>
      <c r="E19" s="66">
        <f>IFERROR(IF($C19="TOTAL",SUM($E$8:E18),IF(AV20="","",AV20)),"")</f>
        <v>2395</v>
      </c>
      <c r="F19" s="66">
        <f>IFERROR(IF($C19="TOTAL",SUM($F$8:F18),IF(OR(C19=$AM$16,C19=$AM$17,C19=$AM$18,C19=$AM$19,C19=$AM$20,C19=$AM$21,C19=$AM$22,C19=$AM$23,C19=$AM$24),0,IF(AW20="","",AW20))),"")</f>
        <v>3832</v>
      </c>
      <c r="G19" s="66">
        <f t="shared" si="32"/>
        <v>54127</v>
      </c>
      <c r="H19" s="66">
        <f>IFERROR(IF($C19="TOTAL",SUM($H$8:H18),IF(AY20="","",AY20)),"")</f>
        <v>46500</v>
      </c>
      <c r="I19" s="66">
        <f>IFERROR(IF($C19="TOTAL",SUM($I$8:I18),IF(AZ20="","",AZ20)),"")</f>
        <v>2325</v>
      </c>
      <c r="J19" s="66">
        <f>IFERROR(IF($C19="TOTAL",SUM($J$8:J18),IF(OR(C19=$AM$16,C19=$AM$17,C19=$AM$18,C19=$AM$19,C19=$AM$20,C19=$AM$21,C19=$AM$22,C19=$AM$23,C19=$AM$24),0,IF(BA20="","",BA20))),"")</f>
        <v>3720</v>
      </c>
      <c r="K19" s="66">
        <f t="shared" si="10"/>
        <v>52545</v>
      </c>
      <c r="L19" s="66">
        <f>IFERROR(IF(C19="","",IF(D19="","",IF(H19="","",IF($C19="TOTAL",SUM($L$8:L18),SUM(D19-H19))))),"")</f>
        <v>1400</v>
      </c>
      <c r="M19" s="66">
        <f>IFERROR(IF(C19="","",IF(E19="","",IF(I19="","",IF($C19="TOTAL",SUM($M$8:M18),SUM(E19-I19))))),"")</f>
        <v>70</v>
      </c>
      <c r="N19" s="66">
        <f>IFERROR(IF(C19="","",IF(F19="","",IF(J19="","",IF($C19="TOTAL",SUM($N$8:N18),SUM(F19-J19))))),"")</f>
        <v>112</v>
      </c>
      <c r="O19" s="66">
        <f t="shared" si="11"/>
        <v>1582</v>
      </c>
      <c r="P19" s="66">
        <f>IFERROR(IF(C19="","",IF($C19="TOTAL",SUM($P$8:P18),IF(AND(C19&gt;$AL$1,$AC$3=$AL$2),BO20,IF($AO$18=$AO$20,SUM(BB20+BJ20),ROUND((D19+E19)*10%,0))))),"")</f>
        <v>5030</v>
      </c>
      <c r="Q19" s="66">
        <f>IFERROR(IF(C19="","",IF(H19="","",IF(I19="","",IF($C19="TOTAL",SUM($Q$8:Q18),IF(AND(C19&gt;$AL$1,$AC$3=$AL$2),BO20,IF($AO$18=$AO$20,$AO$21,ROUND((H19+I19)*10%,0))))))),"")</f>
        <v>4883</v>
      </c>
      <c r="R19" s="66">
        <f t="shared" si="12"/>
        <v>147</v>
      </c>
      <c r="S19" s="67">
        <f>IFERROR(IF(C19="","",IF($AO$16=$AO$17,0,IF($C19="TOTAL",SUM($S$8:S18),IF($AO$19=$AO$31,0,IF(AND($AO$32=$AO$20,C19=$AO$33),$AO$34,S18))))),"")</f>
        <v>2100</v>
      </c>
      <c r="T19" s="67">
        <f>IFERROR(IF(C19="","",IF($AO$16=$AO$17,0,IF($C19="TOTAL",SUM($T$8:T18),IF($AO$19=$AO$20,$AO$24,0)))),"")</f>
        <v>2100</v>
      </c>
      <c r="U19" s="66">
        <f t="shared" si="13"/>
        <v>0</v>
      </c>
      <c r="V19" s="66" t="str">
        <f>IF(C19="","",IF($C19="TOTAL",SUM($V$8:V18),IF(AND($AO$2=$AO$20,C19=$AO$1),ROUND(D19/31*$AP$2,0),IF(C19=$AM$6,ROUND((G19)*1/30,0),IF(C19=$AN$6,ROUND((G19)*1/31,0),"")))))</f>
        <v/>
      </c>
      <c r="W19" s="66" t="str">
        <f>IF(C19="","",IF($C19="TOTAL",SUM($W$8:W18),IF(AND($AO$2=$AO$20,C19=$AO$1),ROUND(H19/31*$AP$2,0),IF(C19=$AM$6,ROUND((K19)*1/30,0),IF(C19=$AN$6,ROUND((K19)*1/31,0),"")))))</f>
        <v/>
      </c>
      <c r="X19" s="66" t="str">
        <f t="shared" si="14"/>
        <v/>
      </c>
      <c r="Y19" s="66" t="str">
        <f>IFERROR(IF(C19="","",IF(AND(BH20="",BO20=""),"",IF($C19="TOTAL",SUM($Y$8:Y18),BH20))),"")</f>
        <v/>
      </c>
      <c r="Z19" s="66">
        <f>IFERROR(IF(C19="","",IF($C19="TOTAL",SUM($Z$8:Z18),ROUND(O19*$AO$7%,0))),"")</f>
        <v>0</v>
      </c>
      <c r="AA19" s="66">
        <f>IFERROR(IF(C19="","",IF($C19="TOTAL",SUM($AA$8:AA18),IF($AC$3=$AL$2,SUM(U19,X19,Y19,Z19),SUM(R19,U19,X19,Y19,Z19)))),"")</f>
        <v>0</v>
      </c>
      <c r="AB19" s="68">
        <f>IFERROR(IF(C19="","",IF($C19="TOTAL",SUM($AB$8:AB18),SUM(O19-AA19))),"")</f>
        <v>1582</v>
      </c>
      <c r="AC19" s="71"/>
      <c r="AD19" s="32"/>
      <c r="AF19" s="26"/>
      <c r="AG19" s="27"/>
      <c r="AH19" s="27"/>
      <c r="AI19" s="27"/>
      <c r="AJ19" s="27"/>
      <c r="AK19" s="90">
        <f t="shared" si="15"/>
        <v>5</v>
      </c>
      <c r="AL19" s="90">
        <f t="shared" si="16"/>
        <v>5</v>
      </c>
      <c r="AM19" s="92">
        <v>42826</v>
      </c>
      <c r="AN19" s="92">
        <v>43040</v>
      </c>
      <c r="AO19" s="91" t="str">
        <f>'Master Sheet'!D17</f>
        <v>YES</v>
      </c>
      <c r="AP19" s="92">
        <f t="shared" si="17"/>
        <v>43040</v>
      </c>
      <c r="AQ19" s="92">
        <f t="shared" si="18"/>
        <v>43040</v>
      </c>
      <c r="AR19" s="92" t="str">
        <f t="shared" si="19"/>
        <v/>
      </c>
      <c r="AS19" s="92">
        <f t="shared" si="20"/>
        <v>43040</v>
      </c>
      <c r="AT19" s="92">
        <f t="shared" si="33"/>
        <v>43040</v>
      </c>
      <c r="AU19" s="91">
        <f t="shared" si="35"/>
        <v>47900</v>
      </c>
      <c r="AV19" s="91">
        <f t="shared" si="43"/>
        <v>2395</v>
      </c>
      <c r="AW19" s="91">
        <f t="shared" si="36"/>
        <v>3832</v>
      </c>
      <c r="AX19" s="91"/>
      <c r="AY19" s="91">
        <f t="shared" si="37"/>
        <v>46500</v>
      </c>
      <c r="AZ19" s="91">
        <f t="shared" si="21"/>
        <v>2325</v>
      </c>
      <c r="BA19" s="91">
        <f t="shared" si="38"/>
        <v>3720</v>
      </c>
      <c r="BB19" s="91">
        <f t="shared" si="34"/>
        <v>3675</v>
      </c>
      <c r="BC19" s="91"/>
      <c r="BD19" s="91"/>
      <c r="BE19" s="125">
        <f t="shared" si="39"/>
        <v>1582</v>
      </c>
      <c r="BF19" s="91">
        <f t="shared" si="40"/>
        <v>3675</v>
      </c>
      <c r="BG19" s="91" t="str">
        <f t="shared" si="25"/>
        <v/>
      </c>
      <c r="BH19" s="91" t="str">
        <f t="shared" si="26"/>
        <v/>
      </c>
      <c r="BI19" s="91">
        <f t="shared" si="41"/>
        <v>0</v>
      </c>
      <c r="BJ19" s="133">
        <f t="shared" si="42"/>
        <v>0</v>
      </c>
      <c r="BO19" s="28" t="str">
        <f t="shared" si="29"/>
        <v/>
      </c>
    </row>
    <row r="20" spans="1:67" s="28" customFormat="1" ht="21" customHeight="1">
      <c r="A20" s="140">
        <f t="shared" si="30"/>
        <v>13</v>
      </c>
      <c r="B20" s="64">
        <f t="shared" si="1"/>
        <v>13</v>
      </c>
      <c r="C20" s="65">
        <f t="shared" si="31"/>
        <v>43101</v>
      </c>
      <c r="D20" s="66">
        <f>IFERROR(IF($C19="TOTAL","अक्षरें राशि :-",IF($C20="TOTAL",SUM($D$8:D19),IF(AU21="","",AU21))),"")</f>
        <v>47900</v>
      </c>
      <c r="E20" s="66">
        <f>IFERROR(IF($C20="TOTAL",SUM($E$8:E19),IF(AV21="","",AV21)),"")</f>
        <v>3353</v>
      </c>
      <c r="F20" s="66">
        <f>IFERROR(IF($C20="TOTAL",SUM($F$8:F19),IF(OR(C20=$AM$16,C20=$AM$17,C20=$AM$18,C20=$AM$19,C20=$AM$20,C20=$AM$21,C20=$AM$22,C20=$AM$23,C20=$AM$24),0,IF(AW21="","",AW21))),"")</f>
        <v>3832</v>
      </c>
      <c r="G20" s="66">
        <f t="shared" si="32"/>
        <v>55085</v>
      </c>
      <c r="H20" s="66">
        <f>IFERROR(IF($C20="TOTAL",SUM($H$8:H19),IF(AY21="","",AY21)),"")</f>
        <v>46500</v>
      </c>
      <c r="I20" s="66">
        <f>IFERROR(IF($C20="TOTAL",SUM($I$8:I19),IF(AZ21="","",AZ21)),"")</f>
        <v>3255</v>
      </c>
      <c r="J20" s="66">
        <f>IFERROR(IF($C20="TOTAL",SUM($J$8:J19),IF(OR(C20=$AM$16,C20=$AM$17,C20=$AM$18,C20=$AM$19,C20=$AM$20,C20=$AM$21,C20=$AM$22,C20=$AM$23,C20=$AM$24),0,IF(BA21="","",BA21))),"")</f>
        <v>3720</v>
      </c>
      <c r="K20" s="66">
        <f t="shared" si="10"/>
        <v>53475</v>
      </c>
      <c r="L20" s="66">
        <f>IFERROR(IF(C20="","",IF(D20="","",IF(H20="","",IF($C20="TOTAL",SUM($L$8:L19),SUM(D20-H20))))),"")</f>
        <v>1400</v>
      </c>
      <c r="M20" s="66">
        <f>IFERROR(IF(C20="","",IF(E20="","",IF(I20="","",IF($C20="TOTAL",SUM($M$8:M19),SUM(E20-I20))))),"")</f>
        <v>98</v>
      </c>
      <c r="N20" s="66">
        <f>IFERROR(IF(C20="","",IF(F20="","",IF(J20="","",IF($C20="TOTAL",SUM($N$8:N19),SUM(F20-J20))))),"")</f>
        <v>112</v>
      </c>
      <c r="O20" s="66">
        <f t="shared" si="11"/>
        <v>1610</v>
      </c>
      <c r="P20" s="66">
        <f>IFERROR(IF(C20="","",IF($C20="TOTAL",SUM($P$8:P19),IF(AND(C20&gt;$AL$1,$AC$3=$AL$2),BO21,IF($AO$18=$AO$20,SUM(BB21+BJ21),ROUND((D20+E20)*10%,0))))),"")</f>
        <v>5125</v>
      </c>
      <c r="Q20" s="66">
        <f>IFERROR(IF(C20="","",IF(H20="","",IF(I20="","",IF($C20="TOTAL",SUM($Q$8:Q19),IF(AND(C20&gt;$AL$1,$AC$3=$AL$2),BO21,IF($AO$18=$AO$20,$AO$21,ROUND((H20+I20)*10%,0))))))),"")</f>
        <v>4976</v>
      </c>
      <c r="R20" s="66">
        <f t="shared" si="12"/>
        <v>149</v>
      </c>
      <c r="S20" s="67">
        <f>IFERROR(IF(C20="","",IF($AO$16=$AO$17,0,IF($C20="TOTAL",SUM($S$8:S19),IF($AO$19=$AO$31,0,IF(AND($AO$32=$AO$20,C20=$AO$33),$AO$34,S19))))),"")</f>
        <v>2100</v>
      </c>
      <c r="T20" s="67">
        <f>IFERROR(IF(C20="","",IF($AO$16=$AO$17,0,IF($C20="TOTAL",SUM($T$8:T19),IF($AO$19=$AO$20,$AO$24,0)))),"")</f>
        <v>2100</v>
      </c>
      <c r="U20" s="66">
        <f t="shared" si="13"/>
        <v>0</v>
      </c>
      <c r="V20" s="66" t="str">
        <f>IF(C20="","",IF($C20="TOTAL",SUM($V$8:V19),IF(AND($AO$2=$AO$20,C20=$AO$1),ROUND(D20/31*$AP$2,0),IF(C20=$AM$6,ROUND((G20)*1/30,0),IF(C20=$AN$6,ROUND((G20)*1/31,0),"")))))</f>
        <v/>
      </c>
      <c r="W20" s="66" t="str">
        <f>IF(C20="","",IF($C20="TOTAL",SUM($W$8:W19),IF(AND($AO$2=$AO$20,C20=$AO$1),ROUND(H20/31*$AP$2,0),IF(C20=$AM$6,ROUND((K20)*1/30,0),IF(C20=$AN$6,ROUND((K20)*1/31,0),"")))))</f>
        <v/>
      </c>
      <c r="X20" s="66" t="str">
        <f t="shared" si="14"/>
        <v/>
      </c>
      <c r="Y20" s="66" t="str">
        <f>IFERROR(IF(C20="","",IF(AND(BH21="",BO21=""),"",IF($C20="TOTAL",SUM($Y$8:Y19),BH21))),"")</f>
        <v/>
      </c>
      <c r="Z20" s="66">
        <f>IFERROR(IF(C20="","",IF($C20="TOTAL",SUM($Z$8:Z19),ROUND(O20*$AO$7%,0))),"")</f>
        <v>0</v>
      </c>
      <c r="AA20" s="66">
        <f>IFERROR(IF(C20="","",IF($C20="TOTAL",SUM($AA$8:AA19),IF($AC$3=$AL$2,SUM(U20,X20,Y20,Z20),SUM(R20,U20,X20,Y20,Z20)))),"")</f>
        <v>0</v>
      </c>
      <c r="AB20" s="68">
        <f>IFERROR(IF(C20="","",IF($C20="TOTAL",SUM($AB$8:AB19),SUM(O20-AA20))),"")</f>
        <v>1610</v>
      </c>
      <c r="AC20" s="62"/>
      <c r="AD20" s="32"/>
      <c r="AF20" s="26"/>
      <c r="AG20" s="27"/>
      <c r="AH20" s="27"/>
      <c r="AI20" s="27"/>
      <c r="AJ20" s="27"/>
      <c r="AK20" s="90">
        <f t="shared" si="15"/>
        <v>5</v>
      </c>
      <c r="AL20" s="90">
        <f t="shared" si="16"/>
        <v>5</v>
      </c>
      <c r="AM20" s="92">
        <v>42856</v>
      </c>
      <c r="AN20" s="92">
        <v>43070</v>
      </c>
      <c r="AO20" s="91" t="s">
        <v>85</v>
      </c>
      <c r="AP20" s="92">
        <f t="shared" ref="AP20:AP83" si="44">IF(AND($AO$6&gt;$AP$6),"",DATE(YEAR(AP19),MONTH(AP19)+1,DAY(AP19)))</f>
        <v>43070</v>
      </c>
      <c r="AQ20" s="92">
        <f t="shared" si="18"/>
        <v>43070</v>
      </c>
      <c r="AR20" s="92" t="str">
        <f t="shared" si="19"/>
        <v/>
      </c>
      <c r="AS20" s="92">
        <f t="shared" si="20"/>
        <v>43070</v>
      </c>
      <c r="AT20" s="92">
        <f t="shared" si="33"/>
        <v>43070</v>
      </c>
      <c r="AU20" s="91">
        <f t="shared" si="35"/>
        <v>47900</v>
      </c>
      <c r="AV20" s="91">
        <f t="shared" si="43"/>
        <v>2395</v>
      </c>
      <c r="AW20" s="91">
        <f t="shared" si="36"/>
        <v>3832</v>
      </c>
      <c r="AX20" s="91"/>
      <c r="AY20" s="91">
        <f t="shared" si="37"/>
        <v>46500</v>
      </c>
      <c r="AZ20" s="91">
        <f t="shared" si="21"/>
        <v>2325</v>
      </c>
      <c r="BA20" s="91">
        <f t="shared" si="38"/>
        <v>3720</v>
      </c>
      <c r="BB20" s="91">
        <f t="shared" si="34"/>
        <v>3675</v>
      </c>
      <c r="BC20" s="91"/>
      <c r="BD20" s="91"/>
      <c r="BE20" s="125">
        <f t="shared" si="39"/>
        <v>1582</v>
      </c>
      <c r="BF20" s="91">
        <f t="shared" si="40"/>
        <v>3675</v>
      </c>
      <c r="BG20" s="91" t="str">
        <f t="shared" si="25"/>
        <v/>
      </c>
      <c r="BH20" s="91" t="str">
        <f t="shared" si="26"/>
        <v/>
      </c>
      <c r="BI20" s="91">
        <f t="shared" si="41"/>
        <v>0</v>
      </c>
      <c r="BJ20" s="133">
        <f t="shared" si="42"/>
        <v>0</v>
      </c>
      <c r="BO20" s="28" t="str">
        <f t="shared" si="29"/>
        <v/>
      </c>
    </row>
    <row r="21" spans="1:67" s="28" customFormat="1" ht="21" customHeight="1">
      <c r="A21" s="140">
        <f t="shared" si="30"/>
        <v>14</v>
      </c>
      <c r="B21" s="64">
        <f t="shared" si="1"/>
        <v>14</v>
      </c>
      <c r="C21" s="65">
        <f t="shared" si="31"/>
        <v>43132</v>
      </c>
      <c r="D21" s="66">
        <f>IFERROR(IF($C20="TOTAL","अक्षरें राशि :-",IF($C21="TOTAL",SUM($D$8:D20),IF(AU22="","",AU22))),"")</f>
        <v>47900</v>
      </c>
      <c r="E21" s="66">
        <f>IFERROR(IF($C21="TOTAL",SUM($E$8:E20),IF(AV22="","",AV22)),"")</f>
        <v>3353</v>
      </c>
      <c r="F21" s="66">
        <f>IFERROR(IF($C21="TOTAL",SUM($F$8:F20),IF(OR(C21=$AM$16,C21=$AM$17,C21=$AM$18,C21=$AM$19,C21=$AM$20,C21=$AM$21,C21=$AM$22,C21=$AM$23,C21=$AM$24),0,IF(AW22="","",AW22))),"")</f>
        <v>3832</v>
      </c>
      <c r="G21" s="66">
        <f t="shared" si="32"/>
        <v>55085</v>
      </c>
      <c r="H21" s="66">
        <f>IFERROR(IF($C21="TOTAL",SUM($H$8:H20),IF(AY22="","",AY22)),"")</f>
        <v>46500</v>
      </c>
      <c r="I21" s="66">
        <f>IFERROR(IF($C21="TOTAL",SUM($I$8:I20),IF(AZ22="","",AZ22)),"")</f>
        <v>3255</v>
      </c>
      <c r="J21" s="66">
        <f>IFERROR(IF($C21="TOTAL",SUM($J$8:J20),IF(OR(C21=$AM$16,C21=$AM$17,C21=$AM$18,C21=$AM$19,C21=$AM$20,C21=$AM$21,C21=$AM$22,C21=$AM$23,C21=$AM$24),0,IF(BA22="","",BA22))),"")</f>
        <v>3720</v>
      </c>
      <c r="K21" s="66">
        <f t="shared" si="10"/>
        <v>53475</v>
      </c>
      <c r="L21" s="66">
        <f>IFERROR(IF(C21="","",IF(D21="","",IF(H21="","",IF($C21="TOTAL",SUM($L$8:L20),SUM(D21-H21))))),"")</f>
        <v>1400</v>
      </c>
      <c r="M21" s="66">
        <f>IFERROR(IF(C21="","",IF(E21="","",IF(I21="","",IF($C21="TOTAL",SUM($M$8:M20),SUM(E21-I21))))),"")</f>
        <v>98</v>
      </c>
      <c r="N21" s="66">
        <f>IFERROR(IF(C21="","",IF(F21="","",IF(J21="","",IF($C21="TOTAL",SUM($N$8:N20),SUM(F21-J21))))),"")</f>
        <v>112</v>
      </c>
      <c r="O21" s="66">
        <f t="shared" si="11"/>
        <v>1610</v>
      </c>
      <c r="P21" s="66">
        <f>IFERROR(IF(C21="","",IF($C21="TOTAL",SUM($P$8:P20),IF(AND(C21&gt;$AL$1,$AC$3=$AL$2),BO22,IF($AO$18=$AO$20,SUM(BB22+BJ22),ROUND((D21+E21)*10%,0))))),"")</f>
        <v>5125</v>
      </c>
      <c r="Q21" s="66">
        <f>IFERROR(IF(C21="","",IF(H21="","",IF(I21="","",IF($C21="TOTAL",SUM($Q$8:Q20),IF(AND(C21&gt;$AL$1,$AC$3=$AL$2),BO22,IF($AO$18=$AO$20,$AO$21,ROUND((H21+I21)*10%,0))))))),"")</f>
        <v>4976</v>
      </c>
      <c r="R21" s="66">
        <f t="shared" si="12"/>
        <v>149</v>
      </c>
      <c r="S21" s="67">
        <f>IFERROR(IF(C21="","",IF($AO$16=$AO$17,0,IF($C21="TOTAL",SUM($S$8:S20),IF($AO$19=$AO$31,0,IF(AND($AO$32=$AO$20,C21=$AO$33),$AO$34,S20))))),"")</f>
        <v>2100</v>
      </c>
      <c r="T21" s="67">
        <f>IFERROR(IF(C21="","",IF($AO$16=$AO$17,0,IF($C21="TOTAL",SUM($T$8:T20),IF($AO$19=$AO$20,$AO$24,0)))),"")</f>
        <v>2100</v>
      </c>
      <c r="U21" s="66">
        <f t="shared" si="13"/>
        <v>0</v>
      </c>
      <c r="V21" s="66" t="str">
        <f>IF(C21="","",IF($C21="TOTAL",SUM($V$8:V20),IF(AND($AO$2=$AO$20,C21=$AO$1),ROUND(D21/31*$AP$2,0),IF(C21=$AM$6,ROUND((G21)*1/30,0),IF(C21=$AN$6,ROUND((G21)*1/31,0),"")))))</f>
        <v/>
      </c>
      <c r="W21" s="66" t="str">
        <f>IF(C21="","",IF($C21="TOTAL",SUM($W$8:W20),IF(AND($AO$2=$AO$20,C21=$AO$1),ROUND(H21/31*$AP$2,0),IF(C21=$AM$6,ROUND((K21)*1/30,0),IF(C21=$AN$6,ROUND((K21)*1/31,0),"")))))</f>
        <v/>
      </c>
      <c r="X21" s="66" t="str">
        <f t="shared" si="14"/>
        <v/>
      </c>
      <c r="Y21" s="66" t="str">
        <f>IFERROR(IF(C21="","",IF(AND(BH22="",BO22=""),"",IF($C21="TOTAL",SUM($Y$8:Y20),BH22))),"")</f>
        <v/>
      </c>
      <c r="Z21" s="66">
        <f>IFERROR(IF(C21="","",IF($C21="TOTAL",SUM($Z$8:Z20),ROUND(O21*$AO$7%,0))),"")</f>
        <v>0</v>
      </c>
      <c r="AA21" s="66">
        <f>IFERROR(IF(C21="","",IF($C21="TOTAL",SUM($AA$8:AA20),IF($AC$3=$AL$2,SUM(U21,X21,Y21,Z21),SUM(R21,U21,X21,Y21,Z21)))),"")</f>
        <v>0</v>
      </c>
      <c r="AB21" s="68">
        <f>IFERROR(IF(C21="","",IF($C21="TOTAL",SUM($AB$8:AB20),SUM(O21-AA21))),"")</f>
        <v>1610</v>
      </c>
      <c r="AC21" s="1"/>
      <c r="AD21" s="32"/>
      <c r="AF21" s="26"/>
      <c r="AG21" s="27"/>
      <c r="AH21" s="27"/>
      <c r="AI21" s="27"/>
      <c r="AJ21" s="27"/>
      <c r="AK21" s="90">
        <f t="shared" si="15"/>
        <v>7</v>
      </c>
      <c r="AL21" s="90">
        <f t="shared" si="16"/>
        <v>7</v>
      </c>
      <c r="AM21" s="92">
        <v>42887</v>
      </c>
      <c r="AN21" s="92">
        <v>43101</v>
      </c>
      <c r="AO21" s="94">
        <f>'Master Sheet'!G21</f>
        <v>3675</v>
      </c>
      <c r="AP21" s="92">
        <f t="shared" si="44"/>
        <v>43101</v>
      </c>
      <c r="AQ21" s="92">
        <f t="shared" si="18"/>
        <v>43101</v>
      </c>
      <c r="AR21" s="92" t="str">
        <f t="shared" si="19"/>
        <v/>
      </c>
      <c r="AS21" s="92">
        <f t="shared" si="20"/>
        <v>43101</v>
      </c>
      <c r="AT21" s="92">
        <f t="shared" si="33"/>
        <v>43101</v>
      </c>
      <c r="AU21" s="91">
        <f t="shared" si="35"/>
        <v>47900</v>
      </c>
      <c r="AV21" s="91">
        <f t="shared" si="43"/>
        <v>3353</v>
      </c>
      <c r="AW21" s="91">
        <f t="shared" si="36"/>
        <v>3832</v>
      </c>
      <c r="AX21" s="91"/>
      <c r="AY21" s="91">
        <f t="shared" si="37"/>
        <v>46500</v>
      </c>
      <c r="AZ21" s="91">
        <f t="shared" si="21"/>
        <v>3255</v>
      </c>
      <c r="BA21" s="91">
        <f t="shared" si="38"/>
        <v>3720</v>
      </c>
      <c r="BB21" s="91">
        <f t="shared" si="34"/>
        <v>3675</v>
      </c>
      <c r="BC21" s="91"/>
      <c r="BD21" s="91"/>
      <c r="BE21" s="125">
        <f t="shared" si="39"/>
        <v>1610</v>
      </c>
      <c r="BF21" s="91">
        <f t="shared" si="40"/>
        <v>3675</v>
      </c>
      <c r="BG21" s="91" t="str">
        <f t="shared" si="25"/>
        <v/>
      </c>
      <c r="BH21" s="91" t="str">
        <f t="shared" si="26"/>
        <v/>
      </c>
      <c r="BI21" s="91">
        <f t="shared" si="41"/>
        <v>0</v>
      </c>
      <c r="BJ21" s="133">
        <f t="shared" si="42"/>
        <v>0</v>
      </c>
      <c r="BO21" s="28" t="str">
        <f t="shared" si="29"/>
        <v/>
      </c>
    </row>
    <row r="22" spans="1:67" s="28" customFormat="1" ht="21" customHeight="1">
      <c r="A22" s="140">
        <f t="shared" si="30"/>
        <v>15</v>
      </c>
      <c r="B22" s="64">
        <f t="shared" si="1"/>
        <v>15</v>
      </c>
      <c r="C22" s="65">
        <f t="shared" si="31"/>
        <v>43160</v>
      </c>
      <c r="D22" s="66">
        <f>IFERROR(IF($C21="TOTAL","अक्षरें राशि :-",IF($C22="TOTAL",SUM($D$8:D21),IF(AU23="","",AU23))),"")</f>
        <v>47900</v>
      </c>
      <c r="E22" s="66">
        <f>IFERROR(IF($C22="TOTAL",SUM($E$8:E21),IF(AV23="","",AV23)),"")</f>
        <v>3353</v>
      </c>
      <c r="F22" s="66">
        <f>IFERROR(IF($C22="TOTAL",SUM($F$8:F21),IF(OR(C22=$AM$16,C22=$AM$17,C22=$AM$18,C22=$AM$19,C22=$AM$20,C22=$AM$21,C22=$AM$22,C22=$AM$23,C22=$AM$24),0,IF(AW23="","",AW23))),"")</f>
        <v>3832</v>
      </c>
      <c r="G22" s="66">
        <f t="shared" si="32"/>
        <v>55085</v>
      </c>
      <c r="H22" s="66">
        <f>IFERROR(IF($C22="TOTAL",SUM($H$8:H21),IF(AY23="","",AY23)),"")</f>
        <v>46500</v>
      </c>
      <c r="I22" s="66">
        <f>IFERROR(IF($C22="TOTAL",SUM($I$8:I21),IF(AZ23="","",AZ23)),"")</f>
        <v>3255</v>
      </c>
      <c r="J22" s="66">
        <f>IFERROR(IF($C22="TOTAL",SUM($J$8:J21),IF(OR(C22=$AM$16,C22=$AM$17,C22=$AM$18,C22=$AM$19,C22=$AM$20,C22=$AM$21,C22=$AM$22,C22=$AM$23,C22=$AM$24),0,IF(BA23="","",BA23))),"")</f>
        <v>3720</v>
      </c>
      <c r="K22" s="66">
        <f t="shared" si="10"/>
        <v>53475</v>
      </c>
      <c r="L22" s="66">
        <f>IFERROR(IF(C22="","",IF(D22="","",IF(H22="","",IF($C22="TOTAL",SUM($L$8:L21),SUM(D22-H22))))),"")</f>
        <v>1400</v>
      </c>
      <c r="M22" s="66">
        <f>IFERROR(IF(C22="","",IF(E22="","",IF(I22="","",IF($C22="TOTAL",SUM($M$8:M21),SUM(E22-I22))))),"")</f>
        <v>98</v>
      </c>
      <c r="N22" s="66">
        <f>IFERROR(IF(C22="","",IF(F22="","",IF(J22="","",IF($C22="TOTAL",SUM($N$8:N21),SUM(F22-J22))))),"")</f>
        <v>112</v>
      </c>
      <c r="O22" s="66">
        <f t="shared" si="11"/>
        <v>1610</v>
      </c>
      <c r="P22" s="66">
        <f>IFERROR(IF(C22="","",IF($C22="TOTAL",SUM($P$8:P21),IF(AND(C22&gt;$AL$1,$AC$3=$AL$2),BO23,IF($AO$18=$AO$20,SUM(BB23+BJ23),ROUND((D22+E22)*10%,0))))),"")</f>
        <v>5125</v>
      </c>
      <c r="Q22" s="66">
        <f>IFERROR(IF(C22="","",IF(H22="","",IF(I22="","",IF($C22="TOTAL",SUM($Q$8:Q21),IF(AND(C22&gt;$AL$1,$AC$3=$AL$2),BO23,IF($AO$18=$AO$20,$AO$21,ROUND((H22+I22)*10%,0))))))),"")</f>
        <v>4976</v>
      </c>
      <c r="R22" s="66">
        <f t="shared" si="12"/>
        <v>149</v>
      </c>
      <c r="S22" s="67">
        <f>IFERROR(IF(C22="","",IF($AO$16=$AO$17,0,IF($C22="TOTAL",SUM($S$8:S21),IF($AO$19=$AO$31,0,IF(AND($AO$32=$AO$20,C22=$AO$33),$AO$34,S21))))),"")</f>
        <v>2100</v>
      </c>
      <c r="T22" s="67">
        <f>IFERROR(IF(C22="","",IF($AO$16=$AO$17,0,IF($C22="TOTAL",SUM($T$8:T21),IF($AO$19=$AO$20,$AO$24,0)))),"")</f>
        <v>2100</v>
      </c>
      <c r="U22" s="66">
        <f t="shared" si="13"/>
        <v>0</v>
      </c>
      <c r="V22" s="66" t="str">
        <f>IF(C22="","",IF($C22="TOTAL",SUM($V$8:V21),IF(AND($AO$2=$AO$20,C22=$AO$1),ROUND(D22/31*$AP$2,0),IF(C22=$AM$6,ROUND((G22)*1/30,0),IF(C22=$AN$6,ROUND((G22)*1/31,0),"")))))</f>
        <v/>
      </c>
      <c r="W22" s="66" t="str">
        <f>IF(C22="","",IF($C22="TOTAL",SUM($W$8:W21),IF(AND($AO$2=$AO$20,C22=$AO$1),ROUND(H22/31*$AP$2,0),IF(C22=$AM$6,ROUND((K22)*1/30,0),IF(C22=$AN$6,ROUND((K22)*1/31,0),"")))))</f>
        <v/>
      </c>
      <c r="X22" s="66" t="str">
        <f t="shared" si="14"/>
        <v/>
      </c>
      <c r="Y22" s="66" t="str">
        <f>IFERROR(IF(C22="","",IF(AND(BH23="",BO23=""),"",IF($C22="TOTAL",SUM($Y$8:Y21),BH23))),"")</f>
        <v/>
      </c>
      <c r="Z22" s="66">
        <f>IFERROR(IF(C22="","",IF($C22="TOTAL",SUM($Z$8:Z21),ROUND(O22*$AO$7%,0))),"")</f>
        <v>0</v>
      </c>
      <c r="AA22" s="66">
        <f>IFERROR(IF(C22="","",IF($C22="TOTAL",SUM($AA$8:AA21),IF($AC$3=$AL$2,SUM(U22,X22,Y22,Z22),SUM(R22,U22,X22,Y22,Z22)))),"")</f>
        <v>0</v>
      </c>
      <c r="AB22" s="68">
        <f>IFERROR(IF(C22="","",IF($C22="TOTAL",SUM($AB$8:AB21),SUM(O22-AA22))),"")</f>
        <v>1610</v>
      </c>
      <c r="AC22" s="32"/>
      <c r="AD22" s="32"/>
      <c r="AF22" s="26"/>
      <c r="AG22" s="27"/>
      <c r="AH22" s="27"/>
      <c r="AI22" s="27"/>
      <c r="AJ22" s="27"/>
      <c r="AK22" s="90">
        <f t="shared" si="15"/>
        <v>7</v>
      </c>
      <c r="AL22" s="90">
        <f t="shared" si="16"/>
        <v>7</v>
      </c>
      <c r="AM22" s="92">
        <v>42917</v>
      </c>
      <c r="AN22" s="92">
        <v>43132</v>
      </c>
      <c r="AO22" s="95">
        <f>'Master Sheet'!K21</f>
        <v>3675</v>
      </c>
      <c r="AP22" s="92">
        <f t="shared" si="44"/>
        <v>43132</v>
      </c>
      <c r="AQ22" s="92">
        <f t="shared" si="18"/>
        <v>43132</v>
      </c>
      <c r="AR22" s="92" t="str">
        <f t="shared" si="19"/>
        <v/>
      </c>
      <c r="AS22" s="92">
        <f t="shared" si="20"/>
        <v>43132</v>
      </c>
      <c r="AT22" s="92">
        <f t="shared" si="33"/>
        <v>43132</v>
      </c>
      <c r="AU22" s="91">
        <f t="shared" si="35"/>
        <v>47900</v>
      </c>
      <c r="AV22" s="91">
        <f t="shared" si="43"/>
        <v>3353</v>
      </c>
      <c r="AW22" s="91">
        <f t="shared" si="36"/>
        <v>3832</v>
      </c>
      <c r="AX22" s="91"/>
      <c r="AY22" s="91">
        <f t="shared" si="37"/>
        <v>46500</v>
      </c>
      <c r="AZ22" s="91">
        <f t="shared" si="21"/>
        <v>3255</v>
      </c>
      <c r="BA22" s="91">
        <f t="shared" si="38"/>
        <v>3720</v>
      </c>
      <c r="BB22" s="91">
        <f t="shared" si="34"/>
        <v>3675</v>
      </c>
      <c r="BC22" s="91"/>
      <c r="BD22" s="91"/>
      <c r="BE22" s="125">
        <f t="shared" si="39"/>
        <v>1610</v>
      </c>
      <c r="BF22" s="91">
        <f t="shared" si="40"/>
        <v>3675</v>
      </c>
      <c r="BG22" s="91" t="str">
        <f t="shared" si="25"/>
        <v/>
      </c>
      <c r="BH22" s="91" t="str">
        <f t="shared" si="26"/>
        <v/>
      </c>
      <c r="BI22" s="91">
        <f t="shared" si="41"/>
        <v>0</v>
      </c>
      <c r="BJ22" s="133">
        <f t="shared" si="42"/>
        <v>0</v>
      </c>
      <c r="BO22" s="28" t="str">
        <f t="shared" si="29"/>
        <v/>
      </c>
    </row>
    <row r="23" spans="1:67" s="28" customFormat="1" ht="21" customHeight="1">
      <c r="A23" s="140">
        <f t="shared" si="30"/>
        <v>16</v>
      </c>
      <c r="B23" s="64">
        <f t="shared" si="1"/>
        <v>16</v>
      </c>
      <c r="C23" s="65">
        <f t="shared" si="31"/>
        <v>43191</v>
      </c>
      <c r="D23" s="66">
        <f>IFERROR(IF($C22="TOTAL","अक्षरें राशि :-",IF($C23="TOTAL",SUM($D$8:D22),IF(AU24="","",AU24))),"")</f>
        <v>47900</v>
      </c>
      <c r="E23" s="66">
        <f>IFERROR(IF($C23="TOTAL",SUM($E$8:E22),IF(AV24="","",AV24)),"")</f>
        <v>3353</v>
      </c>
      <c r="F23" s="66">
        <f>IFERROR(IF($C23="TOTAL",SUM($F$8:F22),IF(OR(C23=$AM$16,C23=$AM$17,C23=$AM$18,C23=$AM$19,C23=$AM$20,C23=$AM$21,C23=$AM$22,C23=$AM$23,C23=$AM$24),0,IF(AW24="","",AW24))),"")</f>
        <v>3832</v>
      </c>
      <c r="G23" s="66">
        <f t="shared" si="32"/>
        <v>55085</v>
      </c>
      <c r="H23" s="66">
        <f>IFERROR(IF($C23="TOTAL",SUM($H$8:H22),IF(AY24="","",AY24)),"")</f>
        <v>46500</v>
      </c>
      <c r="I23" s="66">
        <f>IFERROR(IF($C23="TOTAL",SUM($I$8:I22),IF(AZ24="","",AZ24)),"")</f>
        <v>3255</v>
      </c>
      <c r="J23" s="66">
        <f>IFERROR(IF($C23="TOTAL",SUM($J$8:J22),IF(OR(C23=$AM$16,C23=$AM$17,C23=$AM$18,C23=$AM$19,C23=$AM$20,C23=$AM$21,C23=$AM$22,C23=$AM$23,C23=$AM$24),0,IF(BA24="","",BA24))),"")</f>
        <v>3720</v>
      </c>
      <c r="K23" s="66">
        <f t="shared" si="10"/>
        <v>53475</v>
      </c>
      <c r="L23" s="66">
        <f>IFERROR(IF(C23="","",IF(D23="","",IF(H23="","",IF($C23="TOTAL",SUM($L$8:L22),SUM(D23-H23))))),"")</f>
        <v>1400</v>
      </c>
      <c r="M23" s="66">
        <f>IFERROR(IF(C23="","",IF(E23="","",IF(I23="","",IF($C23="TOTAL",SUM($M$8:M22),SUM(E23-I23))))),"")</f>
        <v>98</v>
      </c>
      <c r="N23" s="66">
        <f>IFERROR(IF(C23="","",IF(F23="","",IF(J23="","",IF($C23="TOTAL",SUM($N$8:N22),SUM(F23-J23))))),"")</f>
        <v>112</v>
      </c>
      <c r="O23" s="66">
        <f t="shared" si="11"/>
        <v>1610</v>
      </c>
      <c r="P23" s="66">
        <f>IFERROR(IF(C23="","",IF($C23="TOTAL",SUM($P$8:P22),IF(AND(C23&gt;$AL$1,$AC$3=$AL$2),BO24,IF($AO$18=$AO$20,SUM(BB24+BJ24),ROUND((D23+E23)*10%,0))))),"")</f>
        <v>5125</v>
      </c>
      <c r="Q23" s="66">
        <f>IFERROR(IF(C23="","",IF(H23="","",IF(I23="","",IF($C23="TOTAL",SUM($Q$8:Q22),IF(AND(C23&gt;$AL$1,$AC$3=$AL$2),BO24,IF($AO$18=$AO$20,$AO$21,ROUND((H23+I23)*10%,0))))))),"")</f>
        <v>4976</v>
      </c>
      <c r="R23" s="66">
        <f t="shared" si="12"/>
        <v>149</v>
      </c>
      <c r="S23" s="67">
        <f>IFERROR(IF(C23="","",IF($AO$16=$AO$17,0,IF($C23="TOTAL",SUM($S$8:S22),IF($AO$19=$AO$31,0,IF(AND($AO$32=$AO$20,C23=$AO$33),$AO$34,S22))))),"")</f>
        <v>2100</v>
      </c>
      <c r="T23" s="67">
        <f>IFERROR(IF(C23="","",IF($AO$16=$AO$17,0,IF($C23="TOTAL",SUM($T$8:T22),IF($AO$19=$AO$20,$AO$24,0)))),"")</f>
        <v>2100</v>
      </c>
      <c r="U23" s="66">
        <f t="shared" si="13"/>
        <v>0</v>
      </c>
      <c r="V23" s="66" t="str">
        <f>IF(C23="","",IF($C23="TOTAL",SUM($V$8:V22),IF(AND($AO$2=$AO$20,C23=$AO$1),ROUND(D23/31*$AP$2,0),IF(C23=$AM$6,ROUND((G23)*1/30,0),IF(C23=$AN$6,ROUND((G23)*1/31,0),"")))))</f>
        <v/>
      </c>
      <c r="W23" s="66" t="str">
        <f>IF(C23="","",IF($C23="TOTAL",SUM($W$8:W22),IF(AND($AO$2=$AO$20,C23=$AO$1),ROUND(H23/31*$AP$2,0),IF(C23=$AM$6,ROUND((K23)*1/30,0),IF(C23=$AN$6,ROUND((K23)*1/31,0),"")))))</f>
        <v/>
      </c>
      <c r="X23" s="66" t="str">
        <f t="shared" si="14"/>
        <v/>
      </c>
      <c r="Y23" s="66" t="str">
        <f>IFERROR(IF(C23="","",IF(AND(BH24="",BO24=""),"",IF($C23="TOTAL",SUM($Y$8:Y22),BH24))),"")</f>
        <v/>
      </c>
      <c r="Z23" s="66">
        <f>IFERROR(IF(C23="","",IF($C23="TOTAL",SUM($Z$8:Z22),ROUND(O23*$AO$7%,0))),"")</f>
        <v>0</v>
      </c>
      <c r="AA23" s="66">
        <f>IFERROR(IF(C23="","",IF($C23="TOTAL",SUM($AA$8:AA22),IF($AC$3=$AL$2,SUM(U23,X23,Y23,Z23),SUM(R23,U23,X23,Y23,Z23)))),"")</f>
        <v>0</v>
      </c>
      <c r="AB23" s="68">
        <f>IFERROR(IF(C23="","",IF($C23="TOTAL",SUM($AB$8:AB22),SUM(O23-AA23))),"")</f>
        <v>1610</v>
      </c>
      <c r="AC23" s="62"/>
      <c r="AD23" s="32"/>
      <c r="AF23" s="26"/>
      <c r="AG23" s="27"/>
      <c r="AH23" s="27"/>
      <c r="AI23" s="27"/>
      <c r="AJ23" s="27"/>
      <c r="AK23" s="90">
        <f t="shared" si="15"/>
        <v>7</v>
      </c>
      <c r="AL23" s="90">
        <f t="shared" si="16"/>
        <v>7</v>
      </c>
      <c r="AM23" s="92">
        <v>42948</v>
      </c>
      <c r="AN23" s="92">
        <v>43160</v>
      </c>
      <c r="AO23" s="91"/>
      <c r="AP23" s="92">
        <f t="shared" si="44"/>
        <v>43160</v>
      </c>
      <c r="AQ23" s="92">
        <f t="shared" si="18"/>
        <v>43160</v>
      </c>
      <c r="AR23" s="92" t="str">
        <f t="shared" si="19"/>
        <v/>
      </c>
      <c r="AS23" s="92">
        <f t="shared" si="20"/>
        <v>43160</v>
      </c>
      <c r="AT23" s="92">
        <f t="shared" si="33"/>
        <v>43160</v>
      </c>
      <c r="AU23" s="91">
        <f t="shared" si="35"/>
        <v>47900</v>
      </c>
      <c r="AV23" s="91">
        <f t="shared" si="43"/>
        <v>3353</v>
      </c>
      <c r="AW23" s="91">
        <f t="shared" si="36"/>
        <v>3832</v>
      </c>
      <c r="AX23" s="91"/>
      <c r="AY23" s="91">
        <f t="shared" si="37"/>
        <v>46500</v>
      </c>
      <c r="AZ23" s="91">
        <f t="shared" si="21"/>
        <v>3255</v>
      </c>
      <c r="BA23" s="91">
        <f t="shared" si="38"/>
        <v>3720</v>
      </c>
      <c r="BB23" s="91">
        <f t="shared" si="34"/>
        <v>3675</v>
      </c>
      <c r="BC23" s="91"/>
      <c r="BD23" s="91"/>
      <c r="BE23" s="125">
        <f t="shared" si="39"/>
        <v>1610</v>
      </c>
      <c r="BF23" s="91">
        <f t="shared" si="40"/>
        <v>3675</v>
      </c>
      <c r="BG23" s="91" t="str">
        <f t="shared" si="25"/>
        <v/>
      </c>
      <c r="BH23" s="91" t="str">
        <f t="shared" si="26"/>
        <v/>
      </c>
      <c r="BI23" s="91">
        <f t="shared" si="41"/>
        <v>0</v>
      </c>
      <c r="BJ23" s="133">
        <f t="shared" si="42"/>
        <v>0</v>
      </c>
      <c r="BO23" s="28" t="str">
        <f t="shared" si="29"/>
        <v/>
      </c>
    </row>
    <row r="24" spans="1:67" s="28" customFormat="1" ht="21" customHeight="1">
      <c r="A24" s="140">
        <f t="shared" si="30"/>
        <v>17</v>
      </c>
      <c r="B24" s="64">
        <f t="shared" si="1"/>
        <v>17</v>
      </c>
      <c r="C24" s="65">
        <f t="shared" si="31"/>
        <v>43221</v>
      </c>
      <c r="D24" s="66">
        <f>IFERROR(IF($C23="TOTAL","अक्षरें राशि :-",IF($C24="TOTAL",SUM($D$8:D23),IF(AU25="","",AU25))),"")</f>
        <v>47900</v>
      </c>
      <c r="E24" s="66">
        <f>IFERROR(IF($C24="TOTAL",SUM($E$8:E23),IF(AV25="","",AV25)),"")</f>
        <v>3353</v>
      </c>
      <c r="F24" s="66">
        <f>IFERROR(IF($C24="TOTAL",SUM($F$8:F23),IF(OR(C24=$AM$16,C24=$AM$17,C24=$AM$18,C24=$AM$19,C24=$AM$20,C24=$AM$21,C24=$AM$22,C24=$AM$23,C24=$AM$24),0,IF(AW25="","",AW25))),"")</f>
        <v>3832</v>
      </c>
      <c r="G24" s="66">
        <f t="shared" si="32"/>
        <v>55085</v>
      </c>
      <c r="H24" s="66">
        <f>IFERROR(IF($C24="TOTAL",SUM($H$8:H23),IF(AY25="","",AY25)),"")</f>
        <v>46500</v>
      </c>
      <c r="I24" s="66">
        <f>IFERROR(IF($C24="TOTAL",SUM($I$8:I23),IF(AZ25="","",AZ25)),"")</f>
        <v>3255</v>
      </c>
      <c r="J24" s="66">
        <f>IFERROR(IF($C24="TOTAL",SUM($J$8:J23),IF(OR(C24=$AM$16,C24=$AM$17,C24=$AM$18,C24=$AM$19,C24=$AM$20,C24=$AM$21,C24=$AM$22,C24=$AM$23,C24=$AM$24),0,IF(BA25="","",BA25))),"")</f>
        <v>3720</v>
      </c>
      <c r="K24" s="66">
        <f t="shared" si="10"/>
        <v>53475</v>
      </c>
      <c r="L24" s="66">
        <f>IFERROR(IF(C24="","",IF(D24="","",IF(H24="","",IF($C24="TOTAL",SUM($L$8:L23),SUM(D24-H24))))),"")</f>
        <v>1400</v>
      </c>
      <c r="M24" s="66">
        <f>IFERROR(IF(C24="","",IF(E24="","",IF(I24="","",IF($C24="TOTAL",SUM($M$8:M23),SUM(E24-I24))))),"")</f>
        <v>98</v>
      </c>
      <c r="N24" s="66">
        <f>IFERROR(IF(C24="","",IF(F24="","",IF(J24="","",IF($C24="TOTAL",SUM($N$8:N23),SUM(F24-J24))))),"")</f>
        <v>112</v>
      </c>
      <c r="O24" s="66">
        <f t="shared" si="11"/>
        <v>1610</v>
      </c>
      <c r="P24" s="66">
        <f>IFERROR(IF(C24="","",IF($C24="TOTAL",SUM($P$8:P23),IF(AND(C24&gt;$AL$1,$AC$3=$AL$2),BO25,IF($AO$18=$AO$20,SUM(BB25+BJ25),ROUND((D24+E24)*10%,0))))),"")</f>
        <v>5125</v>
      </c>
      <c r="Q24" s="66">
        <f>IFERROR(IF(C24="","",IF(H24="","",IF(I24="","",IF($C24="TOTAL",SUM($Q$8:Q23),IF(AND(C24&gt;$AL$1,$AC$3=$AL$2),BO25,IF($AO$18=$AO$20,$AO$21,ROUND((H24+I24)*10%,0))))))),"")</f>
        <v>4976</v>
      </c>
      <c r="R24" s="66">
        <f t="shared" si="12"/>
        <v>149</v>
      </c>
      <c r="S24" s="67">
        <f>IFERROR(IF(C24="","",IF($AO$16=$AO$17,0,IF($C24="TOTAL",SUM($S$8:S23),IF($AO$19=$AO$31,0,IF(AND($AO$32=$AO$20,C24=$AO$33),$AO$34,S23))))),"")</f>
        <v>2100</v>
      </c>
      <c r="T24" s="67">
        <f>IFERROR(IF(C24="","",IF($AO$16=$AO$17,0,IF($C24="TOTAL",SUM($T$8:T23),IF($AO$19=$AO$20,$AO$24,0)))),"")</f>
        <v>2100</v>
      </c>
      <c r="U24" s="66">
        <f t="shared" si="13"/>
        <v>0</v>
      </c>
      <c r="V24" s="66" t="str">
        <f>IF(C24="","",IF($C24="TOTAL",SUM($V$8:V23),IF(AND($AO$2=$AO$20,C24=$AO$1),ROUND(D24/31*$AP$2,0),IF(C24=$AM$6,ROUND((G24)*1/30,0),IF(C24=$AN$6,ROUND((G24)*1/31,0),"")))))</f>
        <v/>
      </c>
      <c r="W24" s="66" t="str">
        <f>IF(C24="","",IF($C24="TOTAL",SUM($W$8:W23),IF(AND($AO$2=$AO$20,C24=$AO$1),ROUND(H24/31*$AP$2,0),IF(C24=$AM$6,ROUND((K24)*1/30,0),IF(C24=$AN$6,ROUND((K24)*1/31,0),"")))))</f>
        <v/>
      </c>
      <c r="X24" s="66" t="str">
        <f t="shared" si="14"/>
        <v/>
      </c>
      <c r="Y24" s="66" t="str">
        <f>IFERROR(IF(C24="","",IF(AND(BH25="",BO25=""),"",IF($C24="TOTAL",SUM($Y$8:Y23),BH25))),"")</f>
        <v/>
      </c>
      <c r="Z24" s="66">
        <f>IFERROR(IF(C24="","",IF($C24="TOTAL",SUM($Z$8:Z23),ROUND(O24*$AO$7%,0))),"")</f>
        <v>0</v>
      </c>
      <c r="AA24" s="66">
        <f>IFERROR(IF(C24="","",IF($C24="TOTAL",SUM($AA$8:AA23),IF($AC$3=$AL$2,SUM(U24,X24,Y24,Z24),SUM(R24,U24,X24,Y24,Z24)))),"")</f>
        <v>0</v>
      </c>
      <c r="AB24" s="68">
        <f>IFERROR(IF(C24="","",IF($C24="TOTAL",SUM($AB$8:AB23),SUM(O24-AA24))),"")</f>
        <v>1610</v>
      </c>
      <c r="AC24" s="1"/>
      <c r="AD24" s="32"/>
      <c r="AF24" s="26"/>
      <c r="AG24" s="27"/>
      <c r="AH24" s="27"/>
      <c r="AI24" s="27"/>
      <c r="AJ24" s="27"/>
      <c r="AK24" s="90">
        <f t="shared" si="15"/>
        <v>7</v>
      </c>
      <c r="AL24" s="90">
        <f t="shared" si="16"/>
        <v>7</v>
      </c>
      <c r="AM24" s="92">
        <v>42979</v>
      </c>
      <c r="AN24" s="92">
        <v>43191</v>
      </c>
      <c r="AO24" s="94">
        <f>'Master Sheet'!G17</f>
        <v>2100</v>
      </c>
      <c r="AP24" s="92">
        <f t="shared" si="44"/>
        <v>43191</v>
      </c>
      <c r="AQ24" s="92">
        <f t="shared" si="18"/>
        <v>43191</v>
      </c>
      <c r="AR24" s="92" t="str">
        <f t="shared" si="19"/>
        <v/>
      </c>
      <c r="AS24" s="92">
        <f t="shared" si="20"/>
        <v>43191</v>
      </c>
      <c r="AT24" s="92">
        <f t="shared" si="33"/>
        <v>43191</v>
      </c>
      <c r="AU24" s="91">
        <f t="shared" si="35"/>
        <v>47900</v>
      </c>
      <c r="AV24" s="91">
        <f t="shared" si="43"/>
        <v>3353</v>
      </c>
      <c r="AW24" s="91">
        <f t="shared" si="36"/>
        <v>3832</v>
      </c>
      <c r="AX24" s="91"/>
      <c r="AY24" s="91">
        <f t="shared" si="37"/>
        <v>46500</v>
      </c>
      <c r="AZ24" s="91">
        <f t="shared" si="21"/>
        <v>3255</v>
      </c>
      <c r="BA24" s="91">
        <f t="shared" si="38"/>
        <v>3720</v>
      </c>
      <c r="BB24" s="91">
        <f t="shared" si="34"/>
        <v>3675</v>
      </c>
      <c r="BC24" s="91"/>
      <c r="BD24" s="91"/>
      <c r="BE24" s="125">
        <f t="shared" si="39"/>
        <v>1610</v>
      </c>
      <c r="BF24" s="91">
        <f t="shared" si="40"/>
        <v>3675</v>
      </c>
      <c r="BG24" s="91" t="str">
        <f t="shared" si="25"/>
        <v/>
      </c>
      <c r="BH24" s="91" t="str">
        <f t="shared" si="26"/>
        <v/>
      </c>
      <c r="BI24" s="91">
        <f t="shared" si="41"/>
        <v>0</v>
      </c>
      <c r="BJ24" s="133">
        <f t="shared" si="42"/>
        <v>0</v>
      </c>
      <c r="BO24" s="28" t="str">
        <f t="shared" si="29"/>
        <v/>
      </c>
    </row>
    <row r="25" spans="1:67" s="28" customFormat="1" ht="21" customHeight="1">
      <c r="A25" s="140">
        <f t="shared" si="30"/>
        <v>18</v>
      </c>
      <c r="B25" s="64">
        <f t="shared" si="1"/>
        <v>18</v>
      </c>
      <c r="C25" s="65">
        <f t="shared" si="31"/>
        <v>43252</v>
      </c>
      <c r="D25" s="66">
        <f>IFERROR(IF($C24="TOTAL","अक्षरें राशि :-",IF($C25="TOTAL",SUM($D$8:D24),IF(AU26="","",AU26))),"")</f>
        <v>47900</v>
      </c>
      <c r="E25" s="66">
        <f>IFERROR(IF($C25="TOTAL",SUM($E$8:E24),IF(AV26="","",AV26)),"")</f>
        <v>3353</v>
      </c>
      <c r="F25" s="66">
        <f>IFERROR(IF($C25="TOTAL",SUM($F$8:F24),IF(OR(C25=$AM$16,C25=$AM$17,C25=$AM$18,C25=$AM$19,C25=$AM$20,C25=$AM$21,C25=$AM$22,C25=$AM$23,C25=$AM$24),0,IF(AW26="","",AW26))),"")</f>
        <v>3832</v>
      </c>
      <c r="G25" s="66">
        <f t="shared" si="32"/>
        <v>55085</v>
      </c>
      <c r="H25" s="66">
        <f>IFERROR(IF($C25="TOTAL",SUM($H$8:H24),IF(AY26="","",AY26)),"")</f>
        <v>46500</v>
      </c>
      <c r="I25" s="66">
        <f>IFERROR(IF($C25="TOTAL",SUM($I$8:I24),IF(AZ26="","",AZ26)),"")</f>
        <v>3255</v>
      </c>
      <c r="J25" s="66">
        <f>IFERROR(IF($C25="TOTAL",SUM($J$8:J24),IF(OR(C25=$AM$16,C25=$AM$17,C25=$AM$18,C25=$AM$19,C25=$AM$20,C25=$AM$21,C25=$AM$22,C25=$AM$23,C25=$AM$24),0,IF(BA26="","",BA26))),"")</f>
        <v>3720</v>
      </c>
      <c r="K25" s="66">
        <f t="shared" si="10"/>
        <v>53475</v>
      </c>
      <c r="L25" s="66">
        <f>IFERROR(IF(C25="","",IF(D25="","",IF(H25="","",IF($C25="TOTAL",SUM($L$8:L24),SUM(D25-H25))))),"")</f>
        <v>1400</v>
      </c>
      <c r="M25" s="66">
        <f>IFERROR(IF(C25="","",IF(E25="","",IF(I25="","",IF($C25="TOTAL",SUM($M$8:M24),SUM(E25-I25))))),"")</f>
        <v>98</v>
      </c>
      <c r="N25" s="66">
        <f>IFERROR(IF(C25="","",IF(F25="","",IF(J25="","",IF($C25="TOTAL",SUM($N$8:N24),SUM(F25-J25))))),"")</f>
        <v>112</v>
      </c>
      <c r="O25" s="66">
        <f t="shared" si="11"/>
        <v>1610</v>
      </c>
      <c r="P25" s="66">
        <f>IFERROR(IF(C25="","",IF($C25="TOTAL",SUM($P$8:P24),IF(AND(C25&gt;$AL$1,$AC$3=$AL$2),BO26,IF($AO$18=$AO$20,SUM(BB26+BJ26),ROUND((D25+E25)*10%,0))))),"")</f>
        <v>5125</v>
      </c>
      <c r="Q25" s="66">
        <f>IFERROR(IF(C25="","",IF(H25="","",IF(I25="","",IF($C25="TOTAL",SUM($Q$8:Q24),IF(AND(C25&gt;$AL$1,$AC$3=$AL$2),BO26,IF($AO$18=$AO$20,$AO$21,ROUND((H25+I25)*10%,0))))))),"")</f>
        <v>4976</v>
      </c>
      <c r="R25" s="66">
        <f t="shared" si="12"/>
        <v>149</v>
      </c>
      <c r="S25" s="67">
        <f>IFERROR(IF(C25="","",IF($AO$16=$AO$17,0,IF($C25="TOTAL",SUM($S$8:S24),IF($AO$19=$AO$31,0,IF(AND($AO$32=$AO$20,C25=$AO$33),$AO$34,S24))))),"")</f>
        <v>2100</v>
      </c>
      <c r="T25" s="67">
        <f>IFERROR(IF(C25="","",IF($AO$16=$AO$17,0,IF($C25="TOTAL",SUM($T$8:T24),IF($AO$19=$AO$20,$AO$24,0)))),"")</f>
        <v>2100</v>
      </c>
      <c r="U25" s="66">
        <f t="shared" si="13"/>
        <v>0</v>
      </c>
      <c r="V25" s="66" t="str">
        <f>IF(C25="","",IF($C25="TOTAL",SUM($V$8:V24),IF(AND($AO$2=$AO$20,C25=$AO$1),ROUND(D25/31*$AP$2,0),IF(C25=$AM$6,ROUND((G25)*1/30,0),IF(C25=$AN$6,ROUND((G25)*1/31,0),"")))))</f>
        <v/>
      </c>
      <c r="W25" s="66" t="str">
        <f>IF(C25="","",IF($C25="TOTAL",SUM($W$8:W24),IF(AND($AO$2=$AO$20,C25=$AO$1),ROUND(H25/31*$AP$2,0),IF(C25=$AM$6,ROUND((K25)*1/30,0),IF(C25=$AN$6,ROUND((K25)*1/31,0),"")))))</f>
        <v/>
      </c>
      <c r="X25" s="66" t="str">
        <f t="shared" si="14"/>
        <v/>
      </c>
      <c r="Y25" s="66" t="str">
        <f>IFERROR(IF(C25="","",IF(AND(BH26="",BO26=""),"",IF($C25="TOTAL",SUM($Y$8:Y24),BH26))),"")</f>
        <v/>
      </c>
      <c r="Z25" s="66">
        <f>IFERROR(IF(C25="","",IF($C25="TOTAL",SUM($Z$8:Z24),ROUND(O25*$AO$7%,0))),"")</f>
        <v>0</v>
      </c>
      <c r="AA25" s="66">
        <f>IFERROR(IF(C25="","",IF($C25="TOTAL",SUM($AA$8:AA24),IF($AC$3=$AL$2,SUM(U25,X25,Y25,Z25),SUM(R25,U25,X25,Y25,Z25)))),"")</f>
        <v>0</v>
      </c>
      <c r="AB25" s="68">
        <f>IFERROR(IF(C25="","",IF($C25="TOTAL",SUM($AB$8:AB24),SUM(O25-AA25))),"")</f>
        <v>1610</v>
      </c>
      <c r="AC25" s="63"/>
      <c r="AD25" s="32"/>
      <c r="AF25" s="26"/>
      <c r="AG25" s="27"/>
      <c r="AH25" s="27"/>
      <c r="AI25" s="27"/>
      <c r="AJ25" s="27"/>
      <c r="AK25" s="90">
        <f t="shared" si="15"/>
        <v>7</v>
      </c>
      <c r="AL25" s="90">
        <f t="shared" si="16"/>
        <v>7</v>
      </c>
      <c r="AM25" s="91"/>
      <c r="AN25" s="92">
        <v>43221</v>
      </c>
      <c r="AO25" s="95">
        <f>'Master Sheet'!K17</f>
        <v>2100</v>
      </c>
      <c r="AP25" s="92">
        <f t="shared" si="44"/>
        <v>43221</v>
      </c>
      <c r="AQ25" s="92">
        <f t="shared" si="18"/>
        <v>43221</v>
      </c>
      <c r="AR25" s="92" t="str">
        <f t="shared" si="19"/>
        <v/>
      </c>
      <c r="AS25" s="92">
        <f t="shared" si="20"/>
        <v>43221</v>
      </c>
      <c r="AT25" s="92">
        <f t="shared" si="33"/>
        <v>43221</v>
      </c>
      <c r="AU25" s="91">
        <f t="shared" si="35"/>
        <v>47900</v>
      </c>
      <c r="AV25" s="91">
        <f t="shared" si="43"/>
        <v>3353</v>
      </c>
      <c r="AW25" s="91">
        <f t="shared" si="36"/>
        <v>3832</v>
      </c>
      <c r="AX25" s="91"/>
      <c r="AY25" s="91">
        <f t="shared" si="37"/>
        <v>46500</v>
      </c>
      <c r="AZ25" s="91">
        <f t="shared" si="21"/>
        <v>3255</v>
      </c>
      <c r="BA25" s="91">
        <f t="shared" si="38"/>
        <v>3720</v>
      </c>
      <c r="BB25" s="91">
        <f t="shared" si="34"/>
        <v>3675</v>
      </c>
      <c r="BC25" s="91"/>
      <c r="BD25" s="91"/>
      <c r="BE25" s="125">
        <f t="shared" si="39"/>
        <v>1610</v>
      </c>
      <c r="BF25" s="91">
        <f t="shared" si="40"/>
        <v>3675</v>
      </c>
      <c r="BG25" s="91" t="str">
        <f t="shared" si="25"/>
        <v/>
      </c>
      <c r="BH25" s="91" t="str">
        <f t="shared" si="26"/>
        <v/>
      </c>
      <c r="BI25" s="91">
        <f t="shared" si="41"/>
        <v>0</v>
      </c>
      <c r="BJ25" s="133">
        <f t="shared" si="42"/>
        <v>0</v>
      </c>
      <c r="BO25" s="28" t="str">
        <f t="shared" si="29"/>
        <v/>
      </c>
    </row>
    <row r="26" spans="1:67" s="28" customFormat="1" ht="21" customHeight="1">
      <c r="A26" s="140">
        <f t="shared" si="30"/>
        <v>19</v>
      </c>
      <c r="B26" s="64">
        <f t="shared" si="1"/>
        <v>19</v>
      </c>
      <c r="C26" s="65">
        <f t="shared" si="31"/>
        <v>43282</v>
      </c>
      <c r="D26" s="66">
        <f>IFERROR(IF($C25="TOTAL","अक्षरें राशि :-",IF($C26="TOTAL",SUM($D$8:D25),IF(AU27="","",AU27))),"")</f>
        <v>49300</v>
      </c>
      <c r="E26" s="66">
        <f>IFERROR(IF($C26="TOTAL",SUM($E$8:E25),IF(AV27="","",AV27)),"")</f>
        <v>4437</v>
      </c>
      <c r="F26" s="66">
        <f>IFERROR(IF($C26="TOTAL",SUM($F$8:F25),IF(OR(C26=$AM$16,C26=$AM$17,C26=$AM$18,C26=$AM$19,C26=$AM$20,C26=$AM$21,C26=$AM$22,C26=$AM$23,C26=$AM$24),0,IF(AW27="","",AW27))),"")</f>
        <v>3944</v>
      </c>
      <c r="G26" s="66">
        <f t="shared" si="32"/>
        <v>57681</v>
      </c>
      <c r="H26" s="66">
        <f>IFERROR(IF($C26="TOTAL",SUM($H$8:H25),IF(AY27="","",AY27)),"")</f>
        <v>47900</v>
      </c>
      <c r="I26" s="66">
        <f>IFERROR(IF($C26="TOTAL",SUM($I$8:I25),IF(AZ27="","",AZ27)),"")</f>
        <v>4311</v>
      </c>
      <c r="J26" s="66">
        <f>IFERROR(IF($C26="TOTAL",SUM($J$8:J25),IF(OR(C26=$AM$16,C26=$AM$17,C26=$AM$18,C26=$AM$19,C26=$AM$20,C26=$AM$21,C26=$AM$22,C26=$AM$23,C26=$AM$24),0,IF(BA27="","",BA27))),"")</f>
        <v>3832</v>
      </c>
      <c r="K26" s="66">
        <f t="shared" si="10"/>
        <v>56043</v>
      </c>
      <c r="L26" s="66">
        <f>IFERROR(IF(C26="","",IF(D26="","",IF(H26="","",IF($C26="TOTAL",SUM($L$8:L25),SUM(D26-H26))))),"")</f>
        <v>1400</v>
      </c>
      <c r="M26" s="66">
        <f>IFERROR(IF(C26="","",IF(E26="","",IF(I26="","",IF($C26="TOTAL",SUM($M$8:M25),SUM(E26-I26))))),"")</f>
        <v>126</v>
      </c>
      <c r="N26" s="66">
        <f>IFERROR(IF(C26="","",IF(F26="","",IF(J26="","",IF($C26="TOTAL",SUM($N$8:N25),SUM(F26-J26))))),"")</f>
        <v>112</v>
      </c>
      <c r="O26" s="66">
        <f t="shared" si="11"/>
        <v>1638</v>
      </c>
      <c r="P26" s="66">
        <f>IFERROR(IF(C26="","",IF($C26="TOTAL",SUM($P$8:P25),IF(AND(C26&gt;$AL$1,$AC$3=$AL$2),BO27,IF($AO$18=$AO$20,SUM(BB27+BJ27),ROUND((D26+E26)*10%,0))))),"")</f>
        <v>5374</v>
      </c>
      <c r="Q26" s="66">
        <f>IFERROR(IF(C26="","",IF(H26="","",IF(I26="","",IF($C26="TOTAL",SUM($Q$8:Q25),IF(AND(C26&gt;$AL$1,$AC$3=$AL$2),BO27,IF($AO$18=$AO$20,$AO$21,ROUND((H26+I26)*10%,0))))))),"")</f>
        <v>5221</v>
      </c>
      <c r="R26" s="66">
        <f t="shared" si="12"/>
        <v>153</v>
      </c>
      <c r="S26" s="67">
        <f>IFERROR(IF(C26="","",IF($AO$16=$AO$17,0,IF($C26="TOTAL",SUM($S$8:S25),IF($AO$19=$AO$31,0,IF(AND($AO$32=$AO$20,C26=$AO$33),$AO$34,S25))))),"")</f>
        <v>2100</v>
      </c>
      <c r="T26" s="67">
        <f>IFERROR(IF(C26="","",IF($AO$16=$AO$17,0,IF($C26="TOTAL",SUM($T$8:T25),IF($AO$19=$AO$20,$AO$24,0)))),"")</f>
        <v>2100</v>
      </c>
      <c r="U26" s="66">
        <f t="shared" si="13"/>
        <v>0</v>
      </c>
      <c r="V26" s="66" t="str">
        <f>IF(C26="","",IF($C26="TOTAL",SUM($V$8:V25),IF(AND($AO$2=$AO$20,C26=$AO$1),ROUND(D26/31*$AP$2,0),IF(C26=$AM$6,ROUND((G26)*1/30,0),IF(C26=$AN$6,ROUND((G26)*1/31,0),"")))))</f>
        <v/>
      </c>
      <c r="W26" s="66" t="str">
        <f>IF(C26="","",IF($C26="TOTAL",SUM($W$8:W25),IF(AND($AO$2=$AO$20,C26=$AO$1),ROUND(H26/31*$AP$2,0),IF(C26=$AM$6,ROUND((K26)*1/30,0),IF(C26=$AN$6,ROUND((K26)*1/31,0),"")))))</f>
        <v/>
      </c>
      <c r="X26" s="66" t="str">
        <f t="shared" si="14"/>
        <v/>
      </c>
      <c r="Y26" s="66" t="str">
        <f>IFERROR(IF(C26="","",IF(AND(BH27="",BO27=""),"",IF($C26="TOTAL",SUM($Y$8:Y25),BH27))),"")</f>
        <v/>
      </c>
      <c r="Z26" s="66">
        <f>IFERROR(IF(C26="","",IF($C26="TOTAL",SUM($Z$8:Z25),ROUND(O26*$AO$7%,0))),"")</f>
        <v>0</v>
      </c>
      <c r="AA26" s="66">
        <f>IFERROR(IF(C26="","",IF($C26="TOTAL",SUM($AA$8:AA25),IF($AC$3=$AL$2,SUM(U26,X26,Y26,Z26),SUM(R26,U26,X26,Y26,Z26)))),"")</f>
        <v>0</v>
      </c>
      <c r="AB26" s="68">
        <f>IFERROR(IF(C26="","",IF($C26="TOTAL",SUM($AB$8:AB25),SUM(O26-AA26))),"")</f>
        <v>1638</v>
      </c>
      <c r="AC26" s="63"/>
      <c r="AD26" s="32"/>
      <c r="AF26" s="26"/>
      <c r="AG26" s="27"/>
      <c r="AH26" s="27"/>
      <c r="AI26" s="27"/>
      <c r="AJ26" s="27"/>
      <c r="AK26" s="90">
        <f t="shared" si="15"/>
        <v>7</v>
      </c>
      <c r="AL26" s="90">
        <f t="shared" si="16"/>
        <v>7</v>
      </c>
      <c r="AM26" s="91"/>
      <c r="AN26" s="92">
        <v>43252</v>
      </c>
      <c r="AO26" s="91" t="str">
        <f>'Master Sheet'!G15</f>
        <v>NO</v>
      </c>
      <c r="AP26" s="92">
        <f t="shared" si="44"/>
        <v>43252</v>
      </c>
      <c r="AQ26" s="92">
        <f t="shared" si="18"/>
        <v>43252</v>
      </c>
      <c r="AR26" s="92" t="str">
        <f t="shared" si="19"/>
        <v/>
      </c>
      <c r="AS26" s="92">
        <f t="shared" si="20"/>
        <v>43252</v>
      </c>
      <c r="AT26" s="92">
        <f t="shared" si="33"/>
        <v>43252</v>
      </c>
      <c r="AU26" s="91">
        <f t="shared" si="35"/>
        <v>47900</v>
      </c>
      <c r="AV26" s="91">
        <f t="shared" si="43"/>
        <v>3353</v>
      </c>
      <c r="AW26" s="91">
        <f t="shared" si="36"/>
        <v>3832</v>
      </c>
      <c r="AX26" s="91"/>
      <c r="AY26" s="91">
        <f t="shared" si="37"/>
        <v>46500</v>
      </c>
      <c r="AZ26" s="91">
        <f t="shared" si="21"/>
        <v>3255</v>
      </c>
      <c r="BA26" s="91">
        <f t="shared" si="38"/>
        <v>3720</v>
      </c>
      <c r="BB26" s="91">
        <f t="shared" si="34"/>
        <v>3675</v>
      </c>
      <c r="BC26" s="91"/>
      <c r="BD26" s="91"/>
      <c r="BE26" s="125">
        <f t="shared" si="39"/>
        <v>1610</v>
      </c>
      <c r="BF26" s="91">
        <f t="shared" si="40"/>
        <v>3675</v>
      </c>
      <c r="BG26" s="91" t="str">
        <f t="shared" si="25"/>
        <v/>
      </c>
      <c r="BH26" s="91" t="str">
        <f t="shared" si="26"/>
        <v/>
      </c>
      <c r="BI26" s="91">
        <f t="shared" si="41"/>
        <v>0</v>
      </c>
      <c r="BJ26" s="133">
        <f t="shared" si="42"/>
        <v>0</v>
      </c>
      <c r="BO26" s="28" t="str">
        <f t="shared" si="29"/>
        <v/>
      </c>
    </row>
    <row r="27" spans="1:67" s="28" customFormat="1" ht="21" customHeight="1">
      <c r="A27" s="140">
        <f t="shared" si="30"/>
        <v>20</v>
      </c>
      <c r="B27" s="64">
        <f t="shared" si="1"/>
        <v>20</v>
      </c>
      <c r="C27" s="65">
        <f t="shared" si="31"/>
        <v>43313</v>
      </c>
      <c r="D27" s="66">
        <f>IFERROR(IF($C26="TOTAL","अक्षरें राशि :-",IF($C27="TOTAL",SUM($D$8:D26),IF(AU28="","",AU28))),"")</f>
        <v>49300</v>
      </c>
      <c r="E27" s="66">
        <f>IFERROR(IF($C27="TOTAL",SUM($E$8:E26),IF(AV28="","",AV28)),"")</f>
        <v>4437</v>
      </c>
      <c r="F27" s="66">
        <f>IFERROR(IF($C27="TOTAL",SUM($F$8:F26),IF(OR(C27=$AM$16,C27=$AM$17,C27=$AM$18,C27=$AM$19,C27=$AM$20,C27=$AM$21,C27=$AM$22,C27=$AM$23,C27=$AM$24),0,IF(AW28="","",AW28))),"")</f>
        <v>3944</v>
      </c>
      <c r="G27" s="66">
        <f t="shared" si="32"/>
        <v>57681</v>
      </c>
      <c r="H27" s="66">
        <f>IFERROR(IF($C27="TOTAL",SUM($H$8:H26),IF(AY28="","",AY28)),"")</f>
        <v>47900</v>
      </c>
      <c r="I27" s="66">
        <f>IFERROR(IF($C27="TOTAL",SUM($I$8:I26),IF(AZ28="","",AZ28)),"")</f>
        <v>4311</v>
      </c>
      <c r="J27" s="66">
        <f>IFERROR(IF($C27="TOTAL",SUM($J$8:J26),IF(OR(C27=$AM$16,C27=$AM$17,C27=$AM$18,C27=$AM$19,C27=$AM$20,C27=$AM$21,C27=$AM$22,C27=$AM$23,C27=$AM$24),0,IF(BA28="","",BA28))),"")</f>
        <v>3832</v>
      </c>
      <c r="K27" s="66">
        <f t="shared" si="10"/>
        <v>56043</v>
      </c>
      <c r="L27" s="66">
        <f>IFERROR(IF(C27="","",IF(D27="","",IF(H27="","",IF($C27="TOTAL",SUM($L$8:L26),SUM(D27-H27))))),"")</f>
        <v>1400</v>
      </c>
      <c r="M27" s="66">
        <f>IFERROR(IF(C27="","",IF(E27="","",IF(I27="","",IF($C27="TOTAL",SUM($M$8:M26),SUM(E27-I27))))),"")</f>
        <v>126</v>
      </c>
      <c r="N27" s="66">
        <f>IFERROR(IF(C27="","",IF(F27="","",IF(J27="","",IF($C27="TOTAL",SUM($N$8:N26),SUM(F27-J27))))),"")</f>
        <v>112</v>
      </c>
      <c r="O27" s="66">
        <f t="shared" si="11"/>
        <v>1638</v>
      </c>
      <c r="P27" s="66">
        <f>IFERROR(IF(C27="","",IF($C27="TOTAL",SUM($P$8:P26),IF(AND(C27&gt;$AL$1,$AC$3=$AL$2),BO28,IF($AO$18=$AO$20,SUM(BB28+BJ28),ROUND((D27+E27)*10%,0))))),"")</f>
        <v>5374</v>
      </c>
      <c r="Q27" s="66">
        <f>IFERROR(IF(C27="","",IF(H27="","",IF(I27="","",IF($C27="TOTAL",SUM($Q$8:Q26),IF(AND(C27&gt;$AL$1,$AC$3=$AL$2),BO28,IF($AO$18=$AO$20,$AO$21,ROUND((H27+I27)*10%,0))))))),"")</f>
        <v>5221</v>
      </c>
      <c r="R27" s="66">
        <f t="shared" si="12"/>
        <v>153</v>
      </c>
      <c r="S27" s="67">
        <f>IFERROR(IF(C27="","",IF($AO$16=$AO$17,0,IF($C27="TOTAL",SUM($S$8:S26),IF($AO$19=$AO$31,0,IF(AND($AO$32=$AO$20,C27=$AO$33),$AO$34,S26))))),"")</f>
        <v>2100</v>
      </c>
      <c r="T27" s="67">
        <f>IFERROR(IF(C27="","",IF($AO$16=$AO$17,0,IF($C27="TOTAL",SUM($T$8:T26),IF($AO$19=$AO$20,$AO$24,0)))),"")</f>
        <v>2100</v>
      </c>
      <c r="U27" s="66">
        <f t="shared" si="13"/>
        <v>0</v>
      </c>
      <c r="V27" s="66" t="str">
        <f>IF(C27="","",IF($C27="TOTAL",SUM($V$8:V26),IF(AND($AO$2=$AO$20,C27=$AO$1),ROUND(D27/31*$AP$2,0),IF(C27=$AM$6,ROUND((G27)*1/30,0),IF(C27=$AN$6,ROUND((G27)*1/31,0),"")))))</f>
        <v/>
      </c>
      <c r="W27" s="66" t="str">
        <f>IF(C27="","",IF($C27="TOTAL",SUM($W$8:W26),IF(AND($AO$2=$AO$20,C27=$AO$1),ROUND(H27/31*$AP$2,0),IF(C27=$AM$6,ROUND((K27)*1/30,0),IF(C27=$AN$6,ROUND((K27)*1/31,0),"")))))</f>
        <v/>
      </c>
      <c r="X27" s="66" t="str">
        <f t="shared" si="14"/>
        <v/>
      </c>
      <c r="Y27" s="66" t="str">
        <f>IFERROR(IF(C27="","",IF(AND(BH28="",BO28=""),"",IF($C27="TOTAL",SUM($Y$8:Y26),BH28))),"")</f>
        <v/>
      </c>
      <c r="Z27" s="66">
        <f>IFERROR(IF(C27="","",IF($C27="TOTAL",SUM($Z$8:Z26),ROUND(O27*$AO$7%,0))),"")</f>
        <v>0</v>
      </c>
      <c r="AA27" s="66">
        <f>IFERROR(IF(C27="","",IF($C27="TOTAL",SUM($AA$8:AA26),IF($AC$3=$AL$2,SUM(U27,X27,Y27,Z27),SUM(R27,U27,X27,Y27,Z27)))),"")</f>
        <v>0</v>
      </c>
      <c r="AB27" s="68">
        <f>IFERROR(IF(C27="","",IF($C27="TOTAL",SUM($AB$8:AB26),SUM(O27-AA27))),"")</f>
        <v>1638</v>
      </c>
      <c r="AC27" s="35"/>
      <c r="AD27" s="35"/>
      <c r="AF27" s="27"/>
      <c r="AG27" s="27"/>
      <c r="AH27" s="27"/>
      <c r="AI27" s="27"/>
      <c r="AJ27" s="27"/>
      <c r="AK27" s="90">
        <f t="shared" si="15"/>
        <v>9</v>
      </c>
      <c r="AL27" s="90">
        <f t="shared" si="16"/>
        <v>9</v>
      </c>
      <c r="AM27" s="91"/>
      <c r="AN27" s="92">
        <v>43282</v>
      </c>
      <c r="AO27" s="91">
        <f>'Master Sheet'!K15</f>
        <v>30500</v>
      </c>
      <c r="AP27" s="92">
        <f t="shared" si="44"/>
        <v>43282</v>
      </c>
      <c r="AQ27" s="92">
        <f t="shared" si="18"/>
        <v>43282</v>
      </c>
      <c r="AR27" s="92" t="str">
        <f t="shared" si="19"/>
        <v/>
      </c>
      <c r="AS27" s="92">
        <f t="shared" si="20"/>
        <v>43282</v>
      </c>
      <c r="AT27" s="92">
        <f t="shared" si="33"/>
        <v>43282</v>
      </c>
      <c r="AU27" s="91">
        <f t="shared" si="35"/>
        <v>49300</v>
      </c>
      <c r="AV27" s="91">
        <f t="shared" si="43"/>
        <v>4437</v>
      </c>
      <c r="AW27" s="91">
        <f t="shared" si="36"/>
        <v>3944</v>
      </c>
      <c r="AX27" s="91"/>
      <c r="AY27" s="91">
        <f t="shared" si="37"/>
        <v>47900</v>
      </c>
      <c r="AZ27" s="91">
        <f t="shared" si="21"/>
        <v>4311</v>
      </c>
      <c r="BA27" s="91">
        <f t="shared" si="38"/>
        <v>3832</v>
      </c>
      <c r="BB27" s="91">
        <f t="shared" si="34"/>
        <v>3675</v>
      </c>
      <c r="BC27" s="91"/>
      <c r="BD27" s="91"/>
      <c r="BE27" s="125">
        <f t="shared" si="39"/>
        <v>1638</v>
      </c>
      <c r="BF27" s="91">
        <f t="shared" si="40"/>
        <v>3675</v>
      </c>
      <c r="BG27" s="91" t="str">
        <f t="shared" si="25"/>
        <v/>
      </c>
      <c r="BH27" s="91" t="str">
        <f t="shared" si="26"/>
        <v/>
      </c>
      <c r="BI27" s="91">
        <f t="shared" si="41"/>
        <v>0</v>
      </c>
      <c r="BJ27" s="133">
        <f t="shared" si="42"/>
        <v>0</v>
      </c>
      <c r="BO27" s="28" t="str">
        <f t="shared" si="29"/>
        <v/>
      </c>
    </row>
    <row r="28" spans="1:67" s="28" customFormat="1" ht="21" customHeight="1">
      <c r="A28" s="140">
        <f t="shared" si="30"/>
        <v>21</v>
      </c>
      <c r="B28" s="64">
        <f t="shared" si="1"/>
        <v>21</v>
      </c>
      <c r="C28" s="65">
        <f t="shared" si="31"/>
        <v>43344</v>
      </c>
      <c r="D28" s="66">
        <f>IFERROR(IF($C27="TOTAL","अक्षरें राशि :-",IF($C28="TOTAL",SUM($D$8:D27),IF(AU29="","",AU29))),"")</f>
        <v>49300</v>
      </c>
      <c r="E28" s="66">
        <f>IFERROR(IF($C28="TOTAL",SUM($E$8:E27),IF(AV29="","",AV29)),"")</f>
        <v>4437</v>
      </c>
      <c r="F28" s="66">
        <f>IFERROR(IF($C28="TOTAL",SUM($F$8:F27),IF(OR(C28=$AM$16,C28=$AM$17,C28=$AM$18,C28=$AM$19,C28=$AM$20,C28=$AM$21,C28=$AM$22,C28=$AM$23,C28=$AM$24),0,IF(AW29="","",AW29))),"")</f>
        <v>3944</v>
      </c>
      <c r="G28" s="66">
        <f t="shared" si="32"/>
        <v>57681</v>
      </c>
      <c r="H28" s="66">
        <f>IFERROR(IF($C28="TOTAL",SUM($H$8:H27),IF(AY29="","",AY29)),"")</f>
        <v>47900</v>
      </c>
      <c r="I28" s="66">
        <f>IFERROR(IF($C28="TOTAL",SUM($I$8:I27),IF(AZ29="","",AZ29)),"")</f>
        <v>4311</v>
      </c>
      <c r="J28" s="66">
        <f>IFERROR(IF($C28="TOTAL",SUM($J$8:J27),IF(OR(C28=$AM$16,C28=$AM$17,C28=$AM$18,C28=$AM$19,C28=$AM$20,C28=$AM$21,C28=$AM$22,C28=$AM$23,C28=$AM$24),0,IF(BA29="","",BA29))),"")</f>
        <v>3832</v>
      </c>
      <c r="K28" s="66">
        <f t="shared" si="10"/>
        <v>56043</v>
      </c>
      <c r="L28" s="66">
        <f>IFERROR(IF(C28="","",IF(D28="","",IF(H28="","",IF($C28="TOTAL",SUM($L$8:L27),SUM(D28-H28))))),"")</f>
        <v>1400</v>
      </c>
      <c r="M28" s="66">
        <f>IFERROR(IF(C28="","",IF(E28="","",IF(I28="","",IF($C28="TOTAL",SUM($M$8:M27),SUM(E28-I28))))),"")</f>
        <v>126</v>
      </c>
      <c r="N28" s="66">
        <f>IFERROR(IF(C28="","",IF(F28="","",IF(J28="","",IF($C28="TOTAL",SUM($N$8:N27),SUM(F28-J28))))),"")</f>
        <v>112</v>
      </c>
      <c r="O28" s="66">
        <f t="shared" si="11"/>
        <v>1638</v>
      </c>
      <c r="P28" s="66">
        <f>IFERROR(IF(C28="","",IF($C28="TOTAL",SUM($P$8:P27),IF(AND(C28&gt;$AL$1,$AC$3=$AL$2),BO29,IF($AO$18=$AO$20,SUM(BB29+BJ29),ROUND((D28+E28)*10%,0))))),"")</f>
        <v>5374</v>
      </c>
      <c r="Q28" s="66">
        <f>IFERROR(IF(C28="","",IF(H28="","",IF(I28="","",IF($C28="TOTAL",SUM($Q$8:Q27),IF(AND(C28&gt;$AL$1,$AC$3=$AL$2),BO29,IF($AO$18=$AO$20,$AO$21,ROUND((H28+I28)*10%,0))))))),"")</f>
        <v>5221</v>
      </c>
      <c r="R28" s="66">
        <f t="shared" si="12"/>
        <v>153</v>
      </c>
      <c r="S28" s="67">
        <f>IFERROR(IF(C28="","",IF($AO$16=$AO$17,0,IF($C28="TOTAL",SUM($S$8:S27),IF($AO$19=$AO$31,0,IF(AND($AO$32=$AO$20,C28=$AO$33),$AO$34,S27))))),"")</f>
        <v>2100</v>
      </c>
      <c r="T28" s="67">
        <f>IFERROR(IF(C28="","",IF($AO$16=$AO$17,0,IF($C28="TOTAL",SUM($T$8:T27),IF($AO$19=$AO$20,$AO$24,0)))),"")</f>
        <v>2100</v>
      </c>
      <c r="U28" s="66">
        <f t="shared" si="13"/>
        <v>0</v>
      </c>
      <c r="V28" s="66" t="str">
        <f>IF(C28="","",IF($C28="TOTAL",SUM($V$8:V27),IF(AND($AO$2=$AO$20,C28=$AO$1),ROUND(D28/31*$AP$2,0),IF(C28=$AM$6,ROUND((G28)*1/30,0),IF(C28=$AN$6,ROUND((G28)*1/31,0),"")))))</f>
        <v/>
      </c>
      <c r="W28" s="66" t="str">
        <f>IF(C28="","",IF($C28="TOTAL",SUM($W$8:W27),IF(AND($AO$2=$AO$20,C28=$AO$1),ROUND(H28/31*$AP$2,0),IF(C28=$AM$6,ROUND((K28)*1/30,0),IF(C28=$AN$6,ROUND((K28)*1/31,0),"")))))</f>
        <v/>
      </c>
      <c r="X28" s="66" t="str">
        <f t="shared" si="14"/>
        <v/>
      </c>
      <c r="Y28" s="66" t="str">
        <f>IFERROR(IF(C28="","",IF(AND(BH29="",BO29=""),"",IF($C28="TOTAL",SUM($Y$8:Y27),BH29))),"")</f>
        <v/>
      </c>
      <c r="Z28" s="66">
        <f>IFERROR(IF(C28="","",IF($C28="TOTAL",SUM($Z$8:Z27),ROUND(O28*$AO$7%,0))),"")</f>
        <v>0</v>
      </c>
      <c r="AA28" s="66">
        <f>IFERROR(IF(C28="","",IF($C28="TOTAL",SUM($AA$8:AA27),IF($AC$3=$AL$2,SUM(U28,X28,Y28,Z28),SUM(R28,U28,X28,Y28,Z28)))),"")</f>
        <v>0</v>
      </c>
      <c r="AB28" s="68">
        <f>IFERROR(IF(C28="","",IF($C28="TOTAL",SUM($AB$8:AB27),SUM(O28-AA28))),"")</f>
        <v>1638</v>
      </c>
      <c r="AC28" s="15"/>
      <c r="AD28" s="15"/>
      <c r="AK28" s="90">
        <f t="shared" si="15"/>
        <v>9</v>
      </c>
      <c r="AL28" s="90">
        <f t="shared" si="16"/>
        <v>9</v>
      </c>
      <c r="AM28" s="91"/>
      <c r="AN28" s="92">
        <v>43313</v>
      </c>
      <c r="AO28" s="91" t="str">
        <f>'Master Sheet'!D25</f>
        <v>NO</v>
      </c>
      <c r="AP28" s="92">
        <f t="shared" si="44"/>
        <v>43313</v>
      </c>
      <c r="AQ28" s="92">
        <f t="shared" si="18"/>
        <v>43313</v>
      </c>
      <c r="AR28" s="92" t="str">
        <f t="shared" si="19"/>
        <v/>
      </c>
      <c r="AS28" s="92">
        <f t="shared" si="20"/>
        <v>43313</v>
      </c>
      <c r="AT28" s="92">
        <f t="shared" si="33"/>
        <v>43313</v>
      </c>
      <c r="AU28" s="91">
        <f t="shared" si="35"/>
        <v>49300</v>
      </c>
      <c r="AV28" s="91">
        <f t="shared" si="43"/>
        <v>4437</v>
      </c>
      <c r="AW28" s="91">
        <f t="shared" si="36"/>
        <v>3944</v>
      </c>
      <c r="AX28" s="91"/>
      <c r="AY28" s="91">
        <f t="shared" si="37"/>
        <v>47900</v>
      </c>
      <c r="AZ28" s="91">
        <f t="shared" si="21"/>
        <v>4311</v>
      </c>
      <c r="BA28" s="91">
        <f t="shared" si="38"/>
        <v>3832</v>
      </c>
      <c r="BB28" s="91">
        <f t="shared" si="34"/>
        <v>3675</v>
      </c>
      <c r="BC28" s="91"/>
      <c r="BD28" s="91"/>
      <c r="BE28" s="125">
        <f t="shared" si="39"/>
        <v>1638</v>
      </c>
      <c r="BF28" s="91">
        <f t="shared" si="40"/>
        <v>3675</v>
      </c>
      <c r="BG28" s="91" t="str">
        <f t="shared" si="25"/>
        <v/>
      </c>
      <c r="BH28" s="91" t="str">
        <f t="shared" si="26"/>
        <v/>
      </c>
      <c r="BI28" s="91">
        <f t="shared" si="41"/>
        <v>0</v>
      </c>
      <c r="BJ28" s="133">
        <f t="shared" si="42"/>
        <v>0</v>
      </c>
      <c r="BO28" s="28" t="str">
        <f t="shared" si="29"/>
        <v/>
      </c>
    </row>
    <row r="29" spans="1:67" s="28" customFormat="1" ht="21" customHeight="1">
      <c r="A29" s="140">
        <f t="shared" si="30"/>
        <v>22</v>
      </c>
      <c r="B29" s="64">
        <f t="shared" si="1"/>
        <v>22</v>
      </c>
      <c r="C29" s="65">
        <f t="shared" si="31"/>
        <v>43374</v>
      </c>
      <c r="D29" s="66">
        <f>IFERROR(IF($C28="TOTAL","अक्षरें राशि :-",IF($C29="TOTAL",SUM($D$8:D28),IF(AU30="","",AU30))),"")</f>
        <v>49300</v>
      </c>
      <c r="E29" s="66">
        <f>IFERROR(IF($C29="TOTAL",SUM($E$8:E28),IF(AV30="","",AV30)),"")</f>
        <v>4437</v>
      </c>
      <c r="F29" s="66">
        <f>IFERROR(IF($C29="TOTAL",SUM($F$8:F28),IF(OR(C29=$AM$16,C29=$AM$17,C29=$AM$18,C29=$AM$19,C29=$AM$20,C29=$AM$21,C29=$AM$22,C29=$AM$23,C29=$AM$24),0,IF(AW30="","",AW30))),"")</f>
        <v>3944</v>
      </c>
      <c r="G29" s="66">
        <f t="shared" si="32"/>
        <v>57681</v>
      </c>
      <c r="H29" s="66">
        <f>IFERROR(IF($C29="TOTAL",SUM($H$8:H28),IF(AY30="","",AY30)),"")</f>
        <v>47900</v>
      </c>
      <c r="I29" s="66">
        <f>IFERROR(IF($C29="TOTAL",SUM($I$8:I28),IF(AZ30="","",AZ30)),"")</f>
        <v>4311</v>
      </c>
      <c r="J29" s="66">
        <f>IFERROR(IF($C29="TOTAL",SUM($J$8:J28),IF(OR(C29=$AM$16,C29=$AM$17,C29=$AM$18,C29=$AM$19,C29=$AM$20,C29=$AM$21,C29=$AM$22,C29=$AM$23,C29=$AM$24),0,IF(BA30="","",BA30))),"")</f>
        <v>3832</v>
      </c>
      <c r="K29" s="66">
        <f t="shared" si="10"/>
        <v>56043</v>
      </c>
      <c r="L29" s="66">
        <f>IFERROR(IF(C29="","",IF(D29="","",IF(H29="","",IF($C29="TOTAL",SUM($L$8:L28),SUM(D29-H29))))),"")</f>
        <v>1400</v>
      </c>
      <c r="M29" s="66">
        <f>IFERROR(IF(C29="","",IF(E29="","",IF(I29="","",IF($C29="TOTAL",SUM($M$8:M28),SUM(E29-I29))))),"")</f>
        <v>126</v>
      </c>
      <c r="N29" s="66">
        <f>IFERROR(IF(C29="","",IF(F29="","",IF(J29="","",IF($C29="TOTAL",SUM($N$8:N28),SUM(F29-J29))))),"")</f>
        <v>112</v>
      </c>
      <c r="O29" s="66">
        <f t="shared" si="11"/>
        <v>1638</v>
      </c>
      <c r="P29" s="66">
        <f>IFERROR(IF(C29="","",IF($C29="TOTAL",SUM($P$8:P28),IF(AND(C29&gt;$AL$1,$AC$3=$AL$2),BO30,IF($AO$18=$AO$20,SUM(BB30+BJ30),ROUND((D29+E29)*10%,0))))),"")</f>
        <v>5374</v>
      </c>
      <c r="Q29" s="66">
        <f>IFERROR(IF(C29="","",IF(H29="","",IF(I29="","",IF($C29="TOTAL",SUM($Q$8:Q28),IF(AND(C29&gt;$AL$1,$AC$3=$AL$2),BO30,IF($AO$18=$AO$20,$AO$21,ROUND((H29+I29)*10%,0))))))),"")</f>
        <v>5221</v>
      </c>
      <c r="R29" s="66">
        <f t="shared" si="12"/>
        <v>153</v>
      </c>
      <c r="S29" s="67">
        <f>IFERROR(IF(C29="","",IF($AO$16=$AO$17,0,IF($C29="TOTAL",SUM($S$8:S28),IF($AO$19=$AO$31,0,IF(AND($AO$32=$AO$20,C29=$AO$33),$AO$34,S28))))),"")</f>
        <v>2100</v>
      </c>
      <c r="T29" s="67">
        <f>IFERROR(IF(C29="","",IF($AO$16=$AO$17,0,IF($C29="TOTAL",SUM($T$8:T28),IF($AO$19=$AO$20,$AO$24,0)))),"")</f>
        <v>2100</v>
      </c>
      <c r="U29" s="66">
        <f t="shared" si="13"/>
        <v>0</v>
      </c>
      <c r="V29" s="66" t="str">
        <f>IF(C29="","",IF($C29="TOTAL",SUM($V$8:V28),IF(AND($AO$2=$AO$20,C29=$AO$1),ROUND(D29/31*$AP$2,0),IF(C29=$AM$6,ROUND((G29)*1/30,0),IF(C29=$AN$6,ROUND((G29)*1/31,0),"")))))</f>
        <v/>
      </c>
      <c r="W29" s="66" t="str">
        <f>IF(C29="","",IF($C29="TOTAL",SUM($W$8:W28),IF(AND($AO$2=$AO$20,C29=$AO$1),ROUND(H29/31*$AP$2,0),IF(C29=$AM$6,ROUND((K29)*1/30,0),IF(C29=$AN$6,ROUND((K29)*1/31,0),"")))))</f>
        <v/>
      </c>
      <c r="X29" s="66" t="str">
        <f t="shared" si="14"/>
        <v/>
      </c>
      <c r="Y29" s="66" t="str">
        <f>IFERROR(IF(C29="","",IF(AND(BH30="",BO30=""),"",IF($C29="TOTAL",SUM($Y$8:Y28),BH30))),"")</f>
        <v/>
      </c>
      <c r="Z29" s="66">
        <f>IFERROR(IF(C29="","",IF($C29="TOTAL",SUM($Z$8:Z28),ROUND(O29*$AO$7%,0))),"")</f>
        <v>0</v>
      </c>
      <c r="AA29" s="66">
        <f>IFERROR(IF(C29="","",IF($C29="TOTAL",SUM($AA$8:AA28),IF($AC$3=$AL$2,SUM(U29,X29,Y29,Z29),SUM(R29,U29,X29,Y29,Z29)))),"")</f>
        <v>0</v>
      </c>
      <c r="AB29" s="68">
        <f>IFERROR(IF(C29="","",IF($C29="TOTAL",SUM($AB$8:AB28),SUM(O29-AA29))),"")</f>
        <v>1638</v>
      </c>
      <c r="AC29" s="15"/>
      <c r="AD29" s="15"/>
      <c r="AK29" s="90">
        <f t="shared" si="15"/>
        <v>9</v>
      </c>
      <c r="AL29" s="90">
        <f t="shared" si="16"/>
        <v>9</v>
      </c>
      <c r="AM29" s="91"/>
      <c r="AN29" s="92">
        <v>43344</v>
      </c>
      <c r="AO29" s="91">
        <f>'Master Sheet'!K25</f>
        <v>41100</v>
      </c>
      <c r="AP29" s="92">
        <f t="shared" si="44"/>
        <v>43344</v>
      </c>
      <c r="AQ29" s="92">
        <f t="shared" si="18"/>
        <v>43344</v>
      </c>
      <c r="AR29" s="92" t="str">
        <f t="shared" si="19"/>
        <v/>
      </c>
      <c r="AS29" s="92">
        <f t="shared" si="20"/>
        <v>43344</v>
      </c>
      <c r="AT29" s="92">
        <f t="shared" si="33"/>
        <v>43344</v>
      </c>
      <c r="AU29" s="91">
        <f t="shared" si="35"/>
        <v>49300</v>
      </c>
      <c r="AV29" s="91">
        <f t="shared" si="43"/>
        <v>4437</v>
      </c>
      <c r="AW29" s="91">
        <f t="shared" si="36"/>
        <v>3944</v>
      </c>
      <c r="AX29" s="91"/>
      <c r="AY29" s="91">
        <f t="shared" si="37"/>
        <v>47900</v>
      </c>
      <c r="AZ29" s="91">
        <f t="shared" si="21"/>
        <v>4311</v>
      </c>
      <c r="BA29" s="91">
        <f t="shared" si="38"/>
        <v>3832</v>
      </c>
      <c r="BB29" s="91">
        <f t="shared" si="34"/>
        <v>3675</v>
      </c>
      <c r="BC29" s="91"/>
      <c r="BD29" s="91"/>
      <c r="BE29" s="125">
        <f t="shared" si="39"/>
        <v>1638</v>
      </c>
      <c r="BF29" s="91">
        <f t="shared" si="40"/>
        <v>3675</v>
      </c>
      <c r="BG29" s="91" t="str">
        <f t="shared" si="25"/>
        <v/>
      </c>
      <c r="BH29" s="91" t="str">
        <f t="shared" si="26"/>
        <v/>
      </c>
      <c r="BI29" s="91">
        <f t="shared" si="41"/>
        <v>0</v>
      </c>
      <c r="BJ29" s="133">
        <f t="shared" si="42"/>
        <v>0</v>
      </c>
      <c r="BO29" s="28" t="str">
        <f t="shared" si="29"/>
        <v/>
      </c>
    </row>
    <row r="30" spans="1:67" s="28" customFormat="1" ht="21" customHeight="1">
      <c r="A30" s="140">
        <f t="shared" si="30"/>
        <v>23</v>
      </c>
      <c r="B30" s="64">
        <f t="shared" si="1"/>
        <v>23</v>
      </c>
      <c r="C30" s="65">
        <f t="shared" si="31"/>
        <v>43405</v>
      </c>
      <c r="D30" s="66">
        <f>IFERROR(IF($C29="TOTAL","अक्षरें राशि :-",IF($C30="TOTAL",SUM($D$8:D29),IF(AU31="","",AU31))),"")</f>
        <v>49300</v>
      </c>
      <c r="E30" s="66">
        <f>IFERROR(IF($C30="TOTAL",SUM($E$8:E29),IF(AV31="","",AV31)),"")</f>
        <v>4437</v>
      </c>
      <c r="F30" s="66">
        <f>IFERROR(IF($C30="TOTAL",SUM($F$8:F29),IF(OR(C30=$AM$16,C30=$AM$17,C30=$AM$18,C30=$AM$19,C30=$AM$20,C30=$AM$21,C30=$AM$22,C30=$AM$23,C30=$AM$24),0,IF(AW31="","",AW31))),"")</f>
        <v>3944</v>
      </c>
      <c r="G30" s="66">
        <f t="shared" si="32"/>
        <v>57681</v>
      </c>
      <c r="H30" s="66">
        <f>IFERROR(IF($C30="TOTAL",SUM($H$8:H29),IF(AY31="","",AY31)),"")</f>
        <v>47900</v>
      </c>
      <c r="I30" s="66">
        <f>IFERROR(IF($C30="TOTAL",SUM($I$8:I29),IF(AZ31="","",AZ31)),"")</f>
        <v>4311</v>
      </c>
      <c r="J30" s="66">
        <f>IFERROR(IF($C30="TOTAL",SUM($J$8:J29),IF(OR(C30=$AM$16,C30=$AM$17,C30=$AM$18,C30=$AM$19,C30=$AM$20,C30=$AM$21,C30=$AM$22,C30=$AM$23,C30=$AM$24),0,IF(BA31="","",BA31))),"")</f>
        <v>3832</v>
      </c>
      <c r="K30" s="66">
        <f t="shared" si="10"/>
        <v>56043</v>
      </c>
      <c r="L30" s="66">
        <f>IFERROR(IF(C30="","",IF(D30="","",IF(H30="","",IF($C30="TOTAL",SUM($L$8:L29),SUM(D30-H30))))),"")</f>
        <v>1400</v>
      </c>
      <c r="M30" s="66">
        <f>IFERROR(IF(C30="","",IF(E30="","",IF(I30="","",IF($C30="TOTAL",SUM($M$8:M29),SUM(E30-I30))))),"")</f>
        <v>126</v>
      </c>
      <c r="N30" s="66">
        <f>IFERROR(IF(C30="","",IF(F30="","",IF(J30="","",IF($C30="TOTAL",SUM($N$8:N29),SUM(F30-J30))))),"")</f>
        <v>112</v>
      </c>
      <c r="O30" s="66">
        <f t="shared" si="11"/>
        <v>1638</v>
      </c>
      <c r="P30" s="66">
        <f>IFERROR(IF(C30="","",IF($C30="TOTAL",SUM($P$8:P29),IF(AND(C30&gt;$AL$1,$AC$3=$AL$2),BO31,IF($AO$18=$AO$20,SUM(BB31+BJ31),ROUND((D30+E30)*10%,0))))),"")</f>
        <v>5374</v>
      </c>
      <c r="Q30" s="66">
        <f>IFERROR(IF(C30="","",IF(H30="","",IF(I30="","",IF($C30="TOTAL",SUM($Q$8:Q29),IF(AND(C30&gt;$AL$1,$AC$3=$AL$2),BO31,IF($AO$18=$AO$20,$AO$21,ROUND((H30+I30)*10%,0))))))),"")</f>
        <v>5221</v>
      </c>
      <c r="R30" s="66">
        <f t="shared" si="12"/>
        <v>153</v>
      </c>
      <c r="S30" s="67">
        <f>IFERROR(IF(C30="","",IF($AO$16=$AO$17,0,IF($C30="TOTAL",SUM($S$8:S29),IF($AO$19=$AO$31,0,IF(AND($AO$32=$AO$20,C30=$AO$33),$AO$34,S29))))),"")</f>
        <v>2100</v>
      </c>
      <c r="T30" s="67">
        <f>IFERROR(IF(C30="","",IF($AO$16=$AO$17,0,IF($C30="TOTAL",SUM($T$8:T29),IF($AO$19=$AO$20,$AO$24,0)))),"")</f>
        <v>2100</v>
      </c>
      <c r="U30" s="66">
        <f t="shared" si="13"/>
        <v>0</v>
      </c>
      <c r="V30" s="66" t="str">
        <f>IF(C30="","",IF($C30="TOTAL",SUM($V$8:V29),IF(AND($AO$2=$AO$20,C30=$AO$1),ROUND(D30/31*$AP$2,0),IF(C30=$AM$6,ROUND((G30)*1/30,0),IF(C30=$AN$6,ROUND((G30)*1/31,0),"")))))</f>
        <v/>
      </c>
      <c r="W30" s="66" t="str">
        <f>IF(C30="","",IF($C30="TOTAL",SUM($W$8:W29),IF(AND($AO$2=$AO$20,C30=$AO$1),ROUND(H30/31*$AP$2,0),IF(C30=$AM$6,ROUND((K30)*1/30,0),IF(C30=$AN$6,ROUND((K30)*1/31,0),"")))))</f>
        <v/>
      </c>
      <c r="X30" s="66" t="str">
        <f t="shared" si="14"/>
        <v/>
      </c>
      <c r="Y30" s="66" t="str">
        <f>IFERROR(IF(C30="","",IF(AND(BH31="",BO31=""),"",IF($C30="TOTAL",SUM($Y$8:Y29),BH31))),"")</f>
        <v/>
      </c>
      <c r="Z30" s="66">
        <f>IFERROR(IF(C30="","",IF($C30="TOTAL",SUM($Z$8:Z29),ROUND(O30*$AO$7%,0))),"")</f>
        <v>0</v>
      </c>
      <c r="AA30" s="66">
        <f>IFERROR(IF(C30="","",IF($C30="TOTAL",SUM($AA$8:AA29),IF($AC$3=$AL$2,SUM(U30,X30,Y30,Z30),SUM(R30,U30,X30,Y30,Z30)))),"")</f>
        <v>0</v>
      </c>
      <c r="AB30" s="68">
        <f>IFERROR(IF(C30="","",IF($C30="TOTAL",SUM($AB$8:AB29),SUM(O30-AA30))),"")</f>
        <v>1638</v>
      </c>
      <c r="AC30" s="15"/>
      <c r="AD30" s="15"/>
      <c r="AK30" s="90">
        <f t="shared" si="15"/>
        <v>9</v>
      </c>
      <c r="AL30" s="90">
        <f t="shared" si="16"/>
        <v>9</v>
      </c>
      <c r="AM30" s="91"/>
      <c r="AN30" s="92">
        <v>43374</v>
      </c>
      <c r="AO30" s="92">
        <f>'Master Sheet'!G25</f>
        <v>44287</v>
      </c>
      <c r="AP30" s="92">
        <f t="shared" si="44"/>
        <v>43374</v>
      </c>
      <c r="AQ30" s="92">
        <f t="shared" si="18"/>
        <v>43374</v>
      </c>
      <c r="AR30" s="92" t="str">
        <f t="shared" si="19"/>
        <v/>
      </c>
      <c r="AS30" s="92">
        <f t="shared" si="20"/>
        <v>43374</v>
      </c>
      <c r="AT30" s="92">
        <f t="shared" si="33"/>
        <v>43374</v>
      </c>
      <c r="AU30" s="91">
        <f t="shared" si="35"/>
        <v>49300</v>
      </c>
      <c r="AV30" s="91">
        <f t="shared" si="43"/>
        <v>4437</v>
      </c>
      <c r="AW30" s="91">
        <f t="shared" si="36"/>
        <v>3944</v>
      </c>
      <c r="AX30" s="91"/>
      <c r="AY30" s="91">
        <f t="shared" si="37"/>
        <v>47900</v>
      </c>
      <c r="AZ30" s="91">
        <f t="shared" si="21"/>
        <v>4311</v>
      </c>
      <c r="BA30" s="91">
        <f t="shared" si="38"/>
        <v>3832</v>
      </c>
      <c r="BB30" s="91">
        <f t="shared" si="34"/>
        <v>3675</v>
      </c>
      <c r="BC30" s="91"/>
      <c r="BD30" s="91"/>
      <c r="BE30" s="125">
        <f t="shared" si="39"/>
        <v>1638</v>
      </c>
      <c r="BF30" s="91">
        <f t="shared" si="40"/>
        <v>3675</v>
      </c>
      <c r="BG30" s="91" t="str">
        <f t="shared" si="25"/>
        <v/>
      </c>
      <c r="BH30" s="91" t="str">
        <f t="shared" si="26"/>
        <v/>
      </c>
      <c r="BI30" s="91">
        <f t="shared" si="41"/>
        <v>0</v>
      </c>
      <c r="BJ30" s="133">
        <f t="shared" si="42"/>
        <v>0</v>
      </c>
      <c r="BO30" s="28" t="str">
        <f t="shared" si="29"/>
        <v/>
      </c>
    </row>
    <row r="31" spans="1:67" s="28" customFormat="1" ht="21" customHeight="1">
      <c r="A31" s="140">
        <f t="shared" si="30"/>
        <v>24</v>
      </c>
      <c r="B31" s="64">
        <f t="shared" si="1"/>
        <v>24</v>
      </c>
      <c r="C31" s="65">
        <f t="shared" si="31"/>
        <v>43435</v>
      </c>
      <c r="D31" s="66">
        <f>IFERROR(IF($C30="TOTAL","अक्षरें राशि :-",IF($C31="TOTAL",SUM($D$8:D30),IF(AU32="","",AU32))),"")</f>
        <v>49300</v>
      </c>
      <c r="E31" s="66">
        <f>IFERROR(IF($C31="TOTAL",SUM($E$8:E30),IF(AV32="","",AV32)),"")</f>
        <v>4437</v>
      </c>
      <c r="F31" s="66">
        <f>IFERROR(IF($C31="TOTAL",SUM($F$8:F30),IF(OR(C31=$AM$16,C31=$AM$17,C31=$AM$18,C31=$AM$19,C31=$AM$20,C31=$AM$21,C31=$AM$22,C31=$AM$23,C31=$AM$24),0,IF(AW32="","",AW32))),"")</f>
        <v>3944</v>
      </c>
      <c r="G31" s="66">
        <f t="shared" si="32"/>
        <v>57681</v>
      </c>
      <c r="H31" s="66">
        <f>IFERROR(IF($C31="TOTAL",SUM($H$8:H30),IF(AY32="","",AY32)),"")</f>
        <v>47900</v>
      </c>
      <c r="I31" s="66">
        <f>IFERROR(IF($C31="TOTAL",SUM($I$8:I30),IF(AZ32="","",AZ32)),"")</f>
        <v>4311</v>
      </c>
      <c r="J31" s="66">
        <f>IFERROR(IF($C31="TOTAL",SUM($J$8:J30),IF(OR(C31=$AM$16,C31=$AM$17,C31=$AM$18,C31=$AM$19,C31=$AM$20,C31=$AM$21,C31=$AM$22,C31=$AM$23,C31=$AM$24),0,IF(BA32="","",BA32))),"")</f>
        <v>3832</v>
      </c>
      <c r="K31" s="66">
        <f t="shared" si="10"/>
        <v>56043</v>
      </c>
      <c r="L31" s="66">
        <f>IFERROR(IF(C31="","",IF(D31="","",IF(H31="","",IF($C31="TOTAL",SUM($L$8:L30),SUM(D31-H31))))),"")</f>
        <v>1400</v>
      </c>
      <c r="M31" s="66">
        <f>IFERROR(IF(C31="","",IF(E31="","",IF(I31="","",IF($C31="TOTAL",SUM($M$8:M30),SUM(E31-I31))))),"")</f>
        <v>126</v>
      </c>
      <c r="N31" s="66">
        <f>IFERROR(IF(C31="","",IF(F31="","",IF(J31="","",IF($C31="TOTAL",SUM($N$8:N30),SUM(F31-J31))))),"")</f>
        <v>112</v>
      </c>
      <c r="O31" s="66">
        <f t="shared" si="11"/>
        <v>1638</v>
      </c>
      <c r="P31" s="66">
        <f>IFERROR(IF(C31="","",IF($C31="TOTAL",SUM($P$8:P30),IF(AND(C31&gt;$AL$1,$AC$3=$AL$2),BO32,IF($AO$18=$AO$20,SUM(BB32+BJ32),ROUND((D31+E31)*10%,0))))),"")</f>
        <v>5374</v>
      </c>
      <c r="Q31" s="66">
        <f>IFERROR(IF(C31="","",IF(H31="","",IF(I31="","",IF($C31="TOTAL",SUM($Q$8:Q30),IF(AND(C31&gt;$AL$1,$AC$3=$AL$2),BO32,IF($AO$18=$AO$20,$AO$21,ROUND((H31+I31)*10%,0))))))),"")</f>
        <v>5221</v>
      </c>
      <c r="R31" s="66">
        <f t="shared" si="12"/>
        <v>153</v>
      </c>
      <c r="S31" s="67">
        <f>IFERROR(IF(C31="","",IF($AO$16=$AO$17,0,IF($C31="TOTAL",SUM($S$8:S30),IF($AO$19=$AO$31,0,IF(AND($AO$32=$AO$20,C31=$AO$33),$AO$34,S30))))),"")</f>
        <v>2100</v>
      </c>
      <c r="T31" s="67">
        <f>IFERROR(IF(C31="","",IF($AO$16=$AO$17,0,IF($C31="TOTAL",SUM($T$8:T30),IF($AO$19=$AO$20,$AO$24,0)))),"")</f>
        <v>2100</v>
      </c>
      <c r="U31" s="66">
        <f t="shared" si="13"/>
        <v>0</v>
      </c>
      <c r="V31" s="66" t="str">
        <f>IF(C31="","",IF($C31="TOTAL",SUM($V$8:V30),IF(AND($AO$2=$AO$20,C31=$AO$1),ROUND(D31/31*$AP$2,0),IF(C31=$AM$6,ROUND((G31)*1/30,0),IF(C31=$AN$6,ROUND((G31)*1/31,0),"")))))</f>
        <v/>
      </c>
      <c r="W31" s="66" t="str">
        <f>IF(C31="","",IF($C31="TOTAL",SUM($W$8:W30),IF(AND($AO$2=$AO$20,C31=$AO$1),ROUND(H31/31*$AP$2,0),IF(C31=$AM$6,ROUND((K31)*1/30,0),IF(C31=$AN$6,ROUND((K31)*1/31,0),"")))))</f>
        <v/>
      </c>
      <c r="X31" s="66" t="str">
        <f t="shared" si="14"/>
        <v/>
      </c>
      <c r="Y31" s="66" t="str">
        <f>IFERROR(IF(C31="","",IF(AND(BH32="",BO32=""),"",IF($C31="TOTAL",SUM($Y$8:Y30),BH32))),"")</f>
        <v/>
      </c>
      <c r="Z31" s="66">
        <f>IFERROR(IF(C31="","",IF($C31="TOTAL",SUM($Z$8:Z30),ROUND(O31*$AO$7%,0))),"")</f>
        <v>0</v>
      </c>
      <c r="AA31" s="66">
        <f>IFERROR(IF(C31="","",IF($C31="TOTAL",SUM($AA$8:AA30),IF($AC$3=$AL$2,SUM(U31,X31,Y31,Z31),SUM(R31,U31,X31,Y31,Z31)))),"")</f>
        <v>0</v>
      </c>
      <c r="AB31" s="68">
        <f>IFERROR(IF(C31="","",IF($C31="TOTAL",SUM($AB$8:AB30),SUM(O31-AA31))),"")</f>
        <v>1638</v>
      </c>
      <c r="AC31" s="15"/>
      <c r="AD31" s="15"/>
      <c r="AK31" s="90">
        <f t="shared" si="15"/>
        <v>9</v>
      </c>
      <c r="AL31" s="90">
        <f t="shared" si="16"/>
        <v>9</v>
      </c>
      <c r="AM31" s="91"/>
      <c r="AN31" s="92">
        <v>43405</v>
      </c>
      <c r="AO31" s="91" t="s">
        <v>53</v>
      </c>
      <c r="AP31" s="92">
        <f t="shared" si="44"/>
        <v>43405</v>
      </c>
      <c r="AQ31" s="92">
        <f t="shared" si="18"/>
        <v>43405</v>
      </c>
      <c r="AR31" s="92" t="str">
        <f t="shared" si="19"/>
        <v/>
      </c>
      <c r="AS31" s="92">
        <f t="shared" si="20"/>
        <v>43405</v>
      </c>
      <c r="AT31" s="92">
        <f t="shared" si="33"/>
        <v>43405</v>
      </c>
      <c r="AU31" s="91">
        <f t="shared" si="35"/>
        <v>49300</v>
      </c>
      <c r="AV31" s="91">
        <f t="shared" si="43"/>
        <v>4437</v>
      </c>
      <c r="AW31" s="91">
        <f t="shared" si="36"/>
        <v>3944</v>
      </c>
      <c r="AX31" s="91"/>
      <c r="AY31" s="91">
        <f t="shared" si="37"/>
        <v>47900</v>
      </c>
      <c r="AZ31" s="91">
        <f t="shared" si="21"/>
        <v>4311</v>
      </c>
      <c r="BA31" s="91">
        <f t="shared" si="38"/>
        <v>3832</v>
      </c>
      <c r="BB31" s="91">
        <f t="shared" si="34"/>
        <v>3675</v>
      </c>
      <c r="BC31" s="91"/>
      <c r="BD31" s="91"/>
      <c r="BE31" s="125">
        <f t="shared" si="39"/>
        <v>1638</v>
      </c>
      <c r="BF31" s="91">
        <f t="shared" si="40"/>
        <v>3675</v>
      </c>
      <c r="BG31" s="91" t="str">
        <f t="shared" si="25"/>
        <v/>
      </c>
      <c r="BH31" s="91" t="str">
        <f t="shared" si="26"/>
        <v/>
      </c>
      <c r="BI31" s="91">
        <f t="shared" si="41"/>
        <v>0</v>
      </c>
      <c r="BJ31" s="133">
        <f t="shared" si="42"/>
        <v>0</v>
      </c>
      <c r="BO31" s="28" t="str">
        <f t="shared" si="29"/>
        <v/>
      </c>
    </row>
    <row r="32" spans="1:67" s="28" customFormat="1" ht="21" customHeight="1">
      <c r="A32" s="140">
        <f t="shared" si="30"/>
        <v>25</v>
      </c>
      <c r="B32" s="64">
        <f t="shared" si="1"/>
        <v>25</v>
      </c>
      <c r="C32" s="65">
        <f t="shared" si="31"/>
        <v>43466</v>
      </c>
      <c r="D32" s="66">
        <f>IFERROR(IF($C31="TOTAL","अक्षरें राशि :-",IF($C32="TOTAL",SUM($D$8:D31),IF(AU33="","",AU33))),"")</f>
        <v>49300</v>
      </c>
      <c r="E32" s="66">
        <f>IFERROR(IF($C32="TOTAL",SUM($E$8:E31),IF(AV33="","",AV33)),"")</f>
        <v>5916</v>
      </c>
      <c r="F32" s="66">
        <f>IFERROR(IF($C32="TOTAL",SUM($F$8:F31),IF(OR(C32=$AM$16,C32=$AM$17,C32=$AM$18,C32=$AM$19,C32=$AM$20,C32=$AM$21,C32=$AM$22,C32=$AM$23,C32=$AM$24),0,IF(AW33="","",AW33))),"")</f>
        <v>3944</v>
      </c>
      <c r="G32" s="66">
        <f t="shared" si="32"/>
        <v>59160</v>
      </c>
      <c r="H32" s="66">
        <f>IFERROR(IF($C32="TOTAL",SUM($H$8:H31),IF(AY33="","",AY33)),"")</f>
        <v>47900</v>
      </c>
      <c r="I32" s="66">
        <f>IFERROR(IF($C32="TOTAL",SUM($I$8:I31),IF(AZ33="","",AZ33)),"")</f>
        <v>5748</v>
      </c>
      <c r="J32" s="66">
        <f>IFERROR(IF($C32="TOTAL",SUM($J$8:J31),IF(OR(C32=$AM$16,C32=$AM$17,C32=$AM$18,C32=$AM$19,C32=$AM$20,C32=$AM$21,C32=$AM$22,C32=$AM$23,C32=$AM$24),0,IF(BA33="","",BA33))),"")</f>
        <v>3832</v>
      </c>
      <c r="K32" s="66">
        <f t="shared" si="10"/>
        <v>57480</v>
      </c>
      <c r="L32" s="66">
        <f>IFERROR(IF(C32="","",IF(D32="","",IF(H32="","",IF($C32="TOTAL",SUM($L$8:L31),SUM(D32-H32))))),"")</f>
        <v>1400</v>
      </c>
      <c r="M32" s="66">
        <f>IFERROR(IF(C32="","",IF(E32="","",IF(I32="","",IF($C32="TOTAL",SUM($M$8:M31),SUM(E32-I32))))),"")</f>
        <v>168</v>
      </c>
      <c r="N32" s="66">
        <f>IFERROR(IF(C32="","",IF(F32="","",IF(J32="","",IF($C32="TOTAL",SUM($N$8:N31),SUM(F32-J32))))),"")</f>
        <v>112</v>
      </c>
      <c r="O32" s="66">
        <f t="shared" si="11"/>
        <v>1680</v>
      </c>
      <c r="P32" s="66">
        <f>IFERROR(IF(C32="","",IF($C32="TOTAL",SUM($P$8:P31),IF(AND(C32&gt;$AL$1,$AC$3=$AL$2),BO33,IF($AO$18=$AO$20,SUM(BB33+BJ33),ROUND((D32+E32)*10%,0))))),"")</f>
        <v>5522</v>
      </c>
      <c r="Q32" s="66">
        <f>IFERROR(IF(C32="","",IF(H32="","",IF(I32="","",IF($C32="TOTAL",SUM($Q$8:Q31),IF(AND(C32&gt;$AL$1,$AC$3=$AL$2),BO33,IF($AO$18=$AO$20,$AO$21,ROUND((H32+I32)*10%,0))))))),"")</f>
        <v>5365</v>
      </c>
      <c r="R32" s="66">
        <f t="shared" si="12"/>
        <v>157</v>
      </c>
      <c r="S32" s="67">
        <f>IFERROR(IF(C32="","",IF($AO$16=$AO$17,0,IF($C32="TOTAL",SUM($S$8:S31),IF($AO$19=$AO$31,0,IF(AND($AO$32=$AO$20,C32=$AO$33),$AO$34,S31))))),"")</f>
        <v>2100</v>
      </c>
      <c r="T32" s="67">
        <f>IFERROR(IF(C32="","",IF($AO$16=$AO$17,0,IF($C32="TOTAL",SUM($T$8:T31),IF($AO$19=$AO$20,$AO$24,0)))),"")</f>
        <v>2100</v>
      </c>
      <c r="U32" s="66">
        <f t="shared" si="13"/>
        <v>0</v>
      </c>
      <c r="V32" s="66" t="str">
        <f>IF(C32="","",IF($C32="TOTAL",SUM($V$8:V31),IF(AND($AO$2=$AO$20,C32=$AO$1),ROUND(D32/31*$AP$2,0),IF(C32=$AM$6,ROUND((G32)*1/30,0),IF(C32=$AN$6,ROUND((G32)*1/31,0),"")))))</f>
        <v/>
      </c>
      <c r="W32" s="66" t="str">
        <f>IF(C32="","",IF($C32="TOTAL",SUM($W$8:W31),IF(AND($AO$2=$AO$20,C32=$AO$1),ROUND(H32/31*$AP$2,0),IF(C32=$AM$6,ROUND((K32)*1/30,0),IF(C32=$AN$6,ROUND((K32)*1/31,0),"")))))</f>
        <v/>
      </c>
      <c r="X32" s="66" t="str">
        <f t="shared" si="14"/>
        <v/>
      </c>
      <c r="Y32" s="66" t="str">
        <f>IFERROR(IF(C32="","",IF(AND(BH33="",BO33=""),"",IF($C32="TOTAL",SUM($Y$8:Y31),BH33))),"")</f>
        <v/>
      </c>
      <c r="Z32" s="66">
        <f>IFERROR(IF(C32="","",IF($C32="TOTAL",SUM($Z$8:Z31),ROUND(O32*$AO$7%,0))),"")</f>
        <v>0</v>
      </c>
      <c r="AA32" s="66">
        <f>IFERROR(IF(C32="","",IF($C32="TOTAL",SUM($AA$8:AA31),IF($AC$3=$AL$2,SUM(U32,X32,Y32,Z32),SUM(R32,U32,X32,Y32,Z32)))),"")</f>
        <v>0</v>
      </c>
      <c r="AB32" s="68">
        <f>IFERROR(IF(C32="","",IF($C32="TOTAL",SUM($AB$8:AB31),SUM(O32-AA32))),"")</f>
        <v>1680</v>
      </c>
      <c r="AC32" s="15"/>
      <c r="AD32" s="15"/>
      <c r="AK32" s="90">
        <f t="shared" si="15"/>
        <v>9</v>
      </c>
      <c r="AL32" s="90">
        <f t="shared" si="16"/>
        <v>9</v>
      </c>
      <c r="AM32" s="91"/>
      <c r="AN32" s="92">
        <v>43435</v>
      </c>
      <c r="AO32" s="91" t="str">
        <f>'Master Sheet'!D19</f>
        <v>NO</v>
      </c>
      <c r="AP32" s="92">
        <f t="shared" si="44"/>
        <v>43435</v>
      </c>
      <c r="AQ32" s="92">
        <f t="shared" si="18"/>
        <v>43435</v>
      </c>
      <c r="AR32" s="92" t="str">
        <f t="shared" si="19"/>
        <v/>
      </c>
      <c r="AS32" s="92">
        <f t="shared" si="20"/>
        <v>43435</v>
      </c>
      <c r="AT32" s="92">
        <f t="shared" si="33"/>
        <v>43435</v>
      </c>
      <c r="AU32" s="91">
        <f t="shared" si="35"/>
        <v>49300</v>
      </c>
      <c r="AV32" s="91">
        <f t="shared" si="43"/>
        <v>4437</v>
      </c>
      <c r="AW32" s="91">
        <f t="shared" si="36"/>
        <v>3944</v>
      </c>
      <c r="AX32" s="91"/>
      <c r="AY32" s="91">
        <f t="shared" si="37"/>
        <v>47900</v>
      </c>
      <c r="AZ32" s="91">
        <f t="shared" si="21"/>
        <v>4311</v>
      </c>
      <c r="BA32" s="91">
        <f t="shared" si="38"/>
        <v>3832</v>
      </c>
      <c r="BB32" s="91">
        <f t="shared" si="34"/>
        <v>3675</v>
      </c>
      <c r="BC32" s="91"/>
      <c r="BD32" s="91"/>
      <c r="BE32" s="125">
        <f t="shared" si="39"/>
        <v>1638</v>
      </c>
      <c r="BF32" s="91">
        <f t="shared" si="40"/>
        <v>3675</v>
      </c>
      <c r="BG32" s="91" t="str">
        <f t="shared" si="25"/>
        <v/>
      </c>
      <c r="BH32" s="91" t="str">
        <f t="shared" si="26"/>
        <v/>
      </c>
      <c r="BI32" s="91">
        <f t="shared" si="41"/>
        <v>0</v>
      </c>
      <c r="BJ32" s="133">
        <f t="shared" si="42"/>
        <v>0</v>
      </c>
      <c r="BO32" s="28" t="str">
        <f t="shared" si="29"/>
        <v/>
      </c>
    </row>
    <row r="33" spans="1:67" s="28" customFormat="1" ht="21" customHeight="1">
      <c r="A33" s="140">
        <f t="shared" si="30"/>
        <v>26</v>
      </c>
      <c r="B33" s="64">
        <f t="shared" si="1"/>
        <v>26</v>
      </c>
      <c r="C33" s="65">
        <f t="shared" si="31"/>
        <v>43497</v>
      </c>
      <c r="D33" s="66">
        <f>IFERROR(IF($C32="TOTAL","अक्षरें राशि :-",IF($C33="TOTAL",SUM($D$8:D32),IF(AU34="","",AU34))),"")</f>
        <v>49300</v>
      </c>
      <c r="E33" s="66">
        <f>IFERROR(IF($C33="TOTAL",SUM($E$8:E32),IF(AV34="","",AV34)),"")</f>
        <v>5916</v>
      </c>
      <c r="F33" s="66">
        <f>IFERROR(IF($C33="TOTAL",SUM($F$8:F32),IF(OR(C33=$AM$16,C33=$AM$17,C33=$AM$18,C33=$AM$19,C33=$AM$20,C33=$AM$21,C33=$AM$22,C33=$AM$23,C33=$AM$24),0,IF(AW34="","",AW34))),"")</f>
        <v>3944</v>
      </c>
      <c r="G33" s="66">
        <f t="shared" si="32"/>
        <v>59160</v>
      </c>
      <c r="H33" s="66">
        <f>IFERROR(IF($C33="TOTAL",SUM($H$8:H32),IF(AY34="","",AY34)),"")</f>
        <v>47900</v>
      </c>
      <c r="I33" s="66">
        <f>IFERROR(IF($C33="TOTAL",SUM($I$8:I32),IF(AZ34="","",AZ34)),"")</f>
        <v>5748</v>
      </c>
      <c r="J33" s="66">
        <f>IFERROR(IF($C33="TOTAL",SUM($J$8:J32),IF(OR(C33=$AM$16,C33=$AM$17,C33=$AM$18,C33=$AM$19,C33=$AM$20,C33=$AM$21,C33=$AM$22,C33=$AM$23,C33=$AM$24),0,IF(BA34="","",BA34))),"")</f>
        <v>3832</v>
      </c>
      <c r="K33" s="66">
        <f t="shared" si="10"/>
        <v>57480</v>
      </c>
      <c r="L33" s="66">
        <f>IFERROR(IF(C33="","",IF(D33="","",IF(H33="","",IF($C33="TOTAL",SUM($L$8:L32),SUM(D33-H33))))),"")</f>
        <v>1400</v>
      </c>
      <c r="M33" s="66">
        <f>IFERROR(IF(C33="","",IF(E33="","",IF(I33="","",IF($C33="TOTAL",SUM($M$8:M32),SUM(E33-I33))))),"")</f>
        <v>168</v>
      </c>
      <c r="N33" s="66">
        <f>IFERROR(IF(C33="","",IF(F33="","",IF(J33="","",IF($C33="TOTAL",SUM($N$8:N32),SUM(F33-J33))))),"")</f>
        <v>112</v>
      </c>
      <c r="O33" s="66">
        <f t="shared" si="11"/>
        <v>1680</v>
      </c>
      <c r="P33" s="66">
        <f>IFERROR(IF(C33="","",IF($C33="TOTAL",SUM($P$8:P32),IF(AND(C33&gt;$AL$1,$AC$3=$AL$2),BO34,IF($AO$18=$AO$20,SUM(BB34+BJ34),ROUND((D33+E33)*10%,0))))),"")</f>
        <v>5522</v>
      </c>
      <c r="Q33" s="66">
        <f>IFERROR(IF(C33="","",IF(H33="","",IF(I33="","",IF($C33="TOTAL",SUM($Q$8:Q32),IF(AND(C33&gt;$AL$1,$AC$3=$AL$2),BO34,IF($AO$18=$AO$20,$AO$21,ROUND((H33+I33)*10%,0))))))),"")</f>
        <v>5365</v>
      </c>
      <c r="R33" s="66">
        <f t="shared" si="12"/>
        <v>157</v>
      </c>
      <c r="S33" s="67">
        <f>IFERROR(IF(C33="","",IF($AO$16=$AO$17,0,IF($C33="TOTAL",SUM($S$8:S32),IF($AO$19=$AO$31,0,IF(AND($AO$32=$AO$20,C33=$AO$33),$AO$34,S32))))),"")</f>
        <v>2100</v>
      </c>
      <c r="T33" s="67">
        <f>IFERROR(IF(C33="","",IF($AO$16=$AO$17,0,IF($C33="TOTAL",SUM($T$8:T32),IF($AO$19=$AO$20,$AO$24,0)))),"")</f>
        <v>2100</v>
      </c>
      <c r="U33" s="66">
        <f t="shared" si="13"/>
        <v>0</v>
      </c>
      <c r="V33" s="66" t="str">
        <f>IF(C33="","",IF($C33="TOTAL",SUM($V$8:V32),IF(AND($AO$2=$AO$20,C33=$AO$1),ROUND(D33/31*$AP$2,0),IF(C33=$AM$6,ROUND((G33)*1/30,0),IF(C33=$AN$6,ROUND((G33)*1/31,0),"")))))</f>
        <v/>
      </c>
      <c r="W33" s="66" t="str">
        <f>IF(C33="","",IF($C33="TOTAL",SUM($W$8:W32),IF(AND($AO$2=$AO$20,C33=$AO$1),ROUND(H33/31*$AP$2,0),IF(C33=$AM$6,ROUND((K33)*1/30,0),IF(C33=$AN$6,ROUND((K33)*1/31,0),"")))))</f>
        <v/>
      </c>
      <c r="X33" s="66" t="str">
        <f t="shared" si="14"/>
        <v/>
      </c>
      <c r="Y33" s="66" t="str">
        <f>IFERROR(IF(C33="","",IF(AND(BH34="",BO34=""),"",IF($C33="TOTAL",SUM($Y$8:Y32),BH34))),"")</f>
        <v/>
      </c>
      <c r="Z33" s="66">
        <f>IFERROR(IF(C33="","",IF($C33="TOTAL",SUM($Z$8:Z32),ROUND(O33*$AO$7%,0))),"")</f>
        <v>0</v>
      </c>
      <c r="AA33" s="66">
        <f>IFERROR(IF(C33="","",IF($C33="TOTAL",SUM($AA$8:AA32),IF($AC$3=$AL$2,SUM(U33,X33,Y33,Z33),SUM(R33,U33,X33,Y33,Z33)))),"")</f>
        <v>0</v>
      </c>
      <c r="AB33" s="68">
        <f>IFERROR(IF(C33="","",IF($C33="TOTAL",SUM($AB$8:AB32),SUM(O33-AA33))),"")</f>
        <v>1680</v>
      </c>
      <c r="AC33" s="15"/>
      <c r="AD33" s="15"/>
      <c r="AK33" s="90">
        <f t="shared" si="15"/>
        <v>12</v>
      </c>
      <c r="AL33" s="90">
        <f t="shared" si="16"/>
        <v>12</v>
      </c>
      <c r="AM33" s="91"/>
      <c r="AN33" s="92">
        <v>43466</v>
      </c>
      <c r="AO33" s="91">
        <f>'Master Sheet'!G19</f>
        <v>43525</v>
      </c>
      <c r="AP33" s="92">
        <f t="shared" si="44"/>
        <v>43466</v>
      </c>
      <c r="AQ33" s="92">
        <f t="shared" si="18"/>
        <v>43466</v>
      </c>
      <c r="AR33" s="92" t="str">
        <f t="shared" si="19"/>
        <v/>
      </c>
      <c r="AS33" s="92">
        <f t="shared" si="20"/>
        <v>43466</v>
      </c>
      <c r="AT33" s="92">
        <f t="shared" si="33"/>
        <v>43466</v>
      </c>
      <c r="AU33" s="91">
        <f t="shared" si="35"/>
        <v>49300</v>
      </c>
      <c r="AV33" s="91">
        <f t="shared" si="43"/>
        <v>5916</v>
      </c>
      <c r="AW33" s="91">
        <f t="shared" si="36"/>
        <v>3944</v>
      </c>
      <c r="AX33" s="91"/>
      <c r="AY33" s="91">
        <f t="shared" si="37"/>
        <v>47900</v>
      </c>
      <c r="AZ33" s="91">
        <f t="shared" si="21"/>
        <v>5748</v>
      </c>
      <c r="BA33" s="91">
        <f t="shared" si="38"/>
        <v>3832</v>
      </c>
      <c r="BB33" s="91">
        <f t="shared" si="34"/>
        <v>3675</v>
      </c>
      <c r="BC33" s="91"/>
      <c r="BD33" s="91"/>
      <c r="BE33" s="125">
        <f t="shared" si="39"/>
        <v>1680</v>
      </c>
      <c r="BF33" s="91">
        <f t="shared" si="40"/>
        <v>3675</v>
      </c>
      <c r="BG33" s="91" t="str">
        <f t="shared" si="25"/>
        <v/>
      </c>
      <c r="BH33" s="91" t="str">
        <f t="shared" si="26"/>
        <v/>
      </c>
      <c r="BI33" s="91">
        <f t="shared" si="41"/>
        <v>0</v>
      </c>
      <c r="BJ33" s="133">
        <f t="shared" si="42"/>
        <v>0</v>
      </c>
      <c r="BO33" s="28" t="str">
        <f t="shared" si="29"/>
        <v/>
      </c>
    </row>
    <row r="34" spans="1:67" s="28" customFormat="1" ht="21" customHeight="1">
      <c r="A34" s="140">
        <f t="shared" si="30"/>
        <v>27</v>
      </c>
      <c r="B34" s="64">
        <f t="shared" si="1"/>
        <v>27</v>
      </c>
      <c r="C34" s="65">
        <f t="shared" si="31"/>
        <v>43525</v>
      </c>
      <c r="D34" s="66">
        <f>IFERROR(IF($C33="TOTAL","अक्षरें राशि :-",IF($C34="TOTAL",SUM($D$8:D33),IF(AU35="","",AU35))),"")</f>
        <v>49300</v>
      </c>
      <c r="E34" s="66">
        <f>IFERROR(IF($C34="TOTAL",SUM($E$8:E33),IF(AV35="","",AV35)),"")</f>
        <v>5916</v>
      </c>
      <c r="F34" s="66">
        <f>IFERROR(IF($C34="TOTAL",SUM($F$8:F33),IF(OR(C34=$AM$16,C34=$AM$17,C34=$AM$18,C34=$AM$19,C34=$AM$20,C34=$AM$21,C34=$AM$22,C34=$AM$23,C34=$AM$24),0,IF(AW35="","",AW35))),"")</f>
        <v>3944</v>
      </c>
      <c r="G34" s="66">
        <f t="shared" si="32"/>
        <v>59160</v>
      </c>
      <c r="H34" s="66">
        <f>IFERROR(IF($C34="TOTAL",SUM($H$8:H33),IF(AY35="","",AY35)),"")</f>
        <v>47900</v>
      </c>
      <c r="I34" s="66">
        <f>IFERROR(IF($C34="TOTAL",SUM($I$8:I33),IF(AZ35="","",AZ35)),"")</f>
        <v>5748</v>
      </c>
      <c r="J34" s="66">
        <f>IFERROR(IF($C34="TOTAL",SUM($J$8:J33),IF(OR(C34=$AM$16,C34=$AM$17,C34=$AM$18,C34=$AM$19,C34=$AM$20,C34=$AM$21,C34=$AM$22,C34=$AM$23,C34=$AM$24),0,IF(BA35="","",BA35))),"")</f>
        <v>3832</v>
      </c>
      <c r="K34" s="66">
        <f t="shared" si="10"/>
        <v>57480</v>
      </c>
      <c r="L34" s="66">
        <f>IFERROR(IF(C34="","",IF(D34="","",IF(H34="","",IF($C34="TOTAL",SUM($L$8:L33),SUM(D34-H34))))),"")</f>
        <v>1400</v>
      </c>
      <c r="M34" s="66">
        <f>IFERROR(IF(C34="","",IF(E34="","",IF(I34="","",IF($C34="TOTAL",SUM($M$8:M33),SUM(E34-I34))))),"")</f>
        <v>168</v>
      </c>
      <c r="N34" s="66">
        <f>IFERROR(IF(C34="","",IF(F34="","",IF(J34="","",IF($C34="TOTAL",SUM($N$8:N33),SUM(F34-J34))))),"")</f>
        <v>112</v>
      </c>
      <c r="O34" s="66">
        <f t="shared" si="11"/>
        <v>1680</v>
      </c>
      <c r="P34" s="66">
        <f>IFERROR(IF(C34="","",IF($C34="TOTAL",SUM($P$8:P33),IF(AND(C34&gt;$AL$1,$AC$3=$AL$2),BO35,IF($AO$18=$AO$20,SUM(BB35+BJ35),ROUND((D34+E34)*10%,0))))),"")</f>
        <v>5522</v>
      </c>
      <c r="Q34" s="66">
        <f>IFERROR(IF(C34="","",IF(H34="","",IF(I34="","",IF($C34="TOTAL",SUM($Q$8:Q33),IF(AND(C34&gt;$AL$1,$AC$3=$AL$2),BO35,IF($AO$18=$AO$20,$AO$21,ROUND((H34+I34)*10%,0))))))),"")</f>
        <v>5365</v>
      </c>
      <c r="R34" s="66">
        <f t="shared" si="12"/>
        <v>157</v>
      </c>
      <c r="S34" s="67">
        <f>IFERROR(IF(C34="","",IF($AO$16=$AO$17,0,IF($C34="TOTAL",SUM($S$8:S33),IF($AO$19=$AO$31,0,IF(AND($AO$32=$AO$20,C34=$AO$33),$AO$34,S33))))),"")</f>
        <v>2100</v>
      </c>
      <c r="T34" s="67">
        <f>IFERROR(IF(C34="","",IF($AO$16=$AO$17,0,IF($C34="TOTAL",SUM($T$8:T33),IF($AO$19=$AO$20,$AO$24,0)))),"")</f>
        <v>2100</v>
      </c>
      <c r="U34" s="66">
        <f t="shared" si="13"/>
        <v>0</v>
      </c>
      <c r="V34" s="66" t="str">
        <f>IF(C34="","",IF($C34="TOTAL",SUM($V$8:V33),IF(AND($AO$2=$AO$20,C34=$AO$1),ROUND(D34/31*$AP$2,0),IF(C34=$AM$6,ROUND((G34)*1/30,0),IF(C34=$AN$6,ROUND((G34)*1/31,0),"")))))</f>
        <v/>
      </c>
      <c r="W34" s="66" t="str">
        <f>IF(C34="","",IF($C34="TOTAL",SUM($W$8:W33),IF(AND($AO$2=$AO$20,C34=$AO$1),ROUND(H34/31*$AP$2,0),IF(C34=$AM$6,ROUND((K34)*1/30,0),IF(C34=$AN$6,ROUND((K34)*1/31,0),"")))))</f>
        <v/>
      </c>
      <c r="X34" s="66" t="str">
        <f t="shared" si="14"/>
        <v/>
      </c>
      <c r="Y34" s="66" t="str">
        <f>IFERROR(IF(C34="","",IF(AND(BH35="",BO35=""),"",IF($C34="TOTAL",SUM($Y$8:Y33),BH35))),"")</f>
        <v/>
      </c>
      <c r="Z34" s="66">
        <f>IFERROR(IF(C34="","",IF($C34="TOTAL",SUM($Z$8:Z33),ROUND(O34*$AO$7%,0))),"")</f>
        <v>0</v>
      </c>
      <c r="AA34" s="66">
        <f>IFERROR(IF(C34="","",IF($C34="TOTAL",SUM($AA$8:AA33),IF($AC$3=$AL$2,SUM(U34,X34,Y34,Z34),SUM(R34,U34,X34,Y34,Z34)))),"")</f>
        <v>0</v>
      </c>
      <c r="AB34" s="68">
        <f>IFERROR(IF(C34="","",IF($C34="TOTAL",SUM($AB$8:AB33),SUM(O34-AA34))),"")</f>
        <v>1680</v>
      </c>
      <c r="AC34" s="15"/>
      <c r="AD34" s="15"/>
      <c r="AK34" s="90">
        <f t="shared" si="15"/>
        <v>12</v>
      </c>
      <c r="AL34" s="90">
        <f t="shared" si="16"/>
        <v>12</v>
      </c>
      <c r="AM34" s="91"/>
      <c r="AN34" s="92">
        <v>43497</v>
      </c>
      <c r="AO34" s="91">
        <f>'Master Sheet'!K19</f>
        <v>3000</v>
      </c>
      <c r="AP34" s="92">
        <f t="shared" si="44"/>
        <v>43497</v>
      </c>
      <c r="AQ34" s="92">
        <f t="shared" si="18"/>
        <v>43497</v>
      </c>
      <c r="AR34" s="92" t="str">
        <f t="shared" si="19"/>
        <v/>
      </c>
      <c r="AS34" s="92">
        <f t="shared" si="20"/>
        <v>43497</v>
      </c>
      <c r="AT34" s="92">
        <f t="shared" si="33"/>
        <v>43497</v>
      </c>
      <c r="AU34" s="91">
        <f t="shared" si="35"/>
        <v>49300</v>
      </c>
      <c r="AV34" s="91">
        <f t="shared" si="43"/>
        <v>5916</v>
      </c>
      <c r="AW34" s="91">
        <f t="shared" si="36"/>
        <v>3944</v>
      </c>
      <c r="AX34" s="91"/>
      <c r="AY34" s="91">
        <f t="shared" si="37"/>
        <v>47900</v>
      </c>
      <c r="AZ34" s="91">
        <f t="shared" si="21"/>
        <v>5748</v>
      </c>
      <c r="BA34" s="91">
        <f t="shared" si="38"/>
        <v>3832</v>
      </c>
      <c r="BB34" s="91">
        <f t="shared" si="34"/>
        <v>3675</v>
      </c>
      <c r="BC34" s="91"/>
      <c r="BD34" s="91"/>
      <c r="BE34" s="125">
        <f t="shared" si="39"/>
        <v>1680</v>
      </c>
      <c r="BF34" s="91">
        <f t="shared" si="40"/>
        <v>3675</v>
      </c>
      <c r="BG34" s="91" t="str">
        <f t="shared" si="25"/>
        <v/>
      </c>
      <c r="BH34" s="91" t="str">
        <f t="shared" si="26"/>
        <v/>
      </c>
      <c r="BI34" s="91">
        <f t="shared" si="41"/>
        <v>0</v>
      </c>
      <c r="BJ34" s="133">
        <f t="shared" si="42"/>
        <v>0</v>
      </c>
      <c r="BO34" s="28" t="str">
        <f t="shared" si="29"/>
        <v/>
      </c>
    </row>
    <row r="35" spans="1:67" s="28" customFormat="1" ht="21" customHeight="1">
      <c r="A35" s="140">
        <f t="shared" si="30"/>
        <v>28</v>
      </c>
      <c r="B35" s="64">
        <f t="shared" si="1"/>
        <v>28</v>
      </c>
      <c r="C35" s="65">
        <f t="shared" si="31"/>
        <v>43556</v>
      </c>
      <c r="D35" s="66">
        <f>IFERROR(IF($C34="TOTAL","अक्षरें राशि :-",IF($C35="TOTAL",SUM($D$8:D34),IF(AU36="","",AU36))),"")</f>
        <v>49300</v>
      </c>
      <c r="E35" s="66">
        <f>IFERROR(IF($C35="TOTAL",SUM($E$8:E34),IF(AV36="","",AV36)),"")</f>
        <v>5916</v>
      </c>
      <c r="F35" s="66">
        <f>IFERROR(IF($C35="TOTAL",SUM($F$8:F34),IF(OR(C35=$AM$16,C35=$AM$17,C35=$AM$18,C35=$AM$19,C35=$AM$20,C35=$AM$21,C35=$AM$22,C35=$AM$23,C35=$AM$24),0,IF(AW36="","",AW36))),"")</f>
        <v>3944</v>
      </c>
      <c r="G35" s="66">
        <f t="shared" si="32"/>
        <v>59160</v>
      </c>
      <c r="H35" s="66">
        <f>IFERROR(IF($C35="TOTAL",SUM($H$8:H34),IF(AY36="","",AY36)),"")</f>
        <v>47900</v>
      </c>
      <c r="I35" s="66">
        <f>IFERROR(IF($C35="TOTAL",SUM($I$8:I34),IF(AZ36="","",AZ36)),"")</f>
        <v>5748</v>
      </c>
      <c r="J35" s="66">
        <f>IFERROR(IF($C35="TOTAL",SUM($J$8:J34),IF(OR(C35=$AM$16,C35=$AM$17,C35=$AM$18,C35=$AM$19,C35=$AM$20,C35=$AM$21,C35=$AM$22,C35=$AM$23,C35=$AM$24),0,IF(BA36="","",BA36))),"")</f>
        <v>3832</v>
      </c>
      <c r="K35" s="66">
        <f t="shared" si="10"/>
        <v>57480</v>
      </c>
      <c r="L35" s="66">
        <f>IFERROR(IF(C35="","",IF(D35="","",IF(H35="","",IF($C35="TOTAL",SUM($L$8:L34),SUM(D35-H35))))),"")</f>
        <v>1400</v>
      </c>
      <c r="M35" s="66">
        <f>IFERROR(IF(C35="","",IF(E35="","",IF(I35="","",IF($C35="TOTAL",SUM($M$8:M34),SUM(E35-I35))))),"")</f>
        <v>168</v>
      </c>
      <c r="N35" s="66">
        <f>IFERROR(IF(C35="","",IF(F35="","",IF(J35="","",IF($C35="TOTAL",SUM($N$8:N34),SUM(F35-J35))))),"")</f>
        <v>112</v>
      </c>
      <c r="O35" s="66">
        <f t="shared" si="11"/>
        <v>1680</v>
      </c>
      <c r="P35" s="66">
        <f>IFERROR(IF(C35="","",IF($C35="TOTAL",SUM($P$8:P34),IF(AND(C35&gt;$AL$1,$AC$3=$AL$2),BO36,IF($AO$18=$AO$20,SUM(BB36+BJ36),ROUND((D35+E35)*10%,0))))),"")</f>
        <v>5522</v>
      </c>
      <c r="Q35" s="66">
        <f>IFERROR(IF(C35="","",IF(H35="","",IF(I35="","",IF($C35="TOTAL",SUM($Q$8:Q34),IF(AND(C35&gt;$AL$1,$AC$3=$AL$2),BO36,IF($AO$18=$AO$20,$AO$21,ROUND((H35+I35)*10%,0))))))),"")</f>
        <v>5365</v>
      </c>
      <c r="R35" s="66">
        <f t="shared" si="12"/>
        <v>157</v>
      </c>
      <c r="S35" s="67">
        <f>IFERROR(IF(C35="","",IF($AO$16=$AO$17,0,IF($C35="TOTAL",SUM($S$8:S34),IF($AO$19=$AO$31,0,IF(AND($AO$32=$AO$20,C35=$AO$33),$AO$34,S34))))),"")</f>
        <v>2100</v>
      </c>
      <c r="T35" s="67">
        <f>IFERROR(IF(C35="","",IF($AO$16=$AO$17,0,IF($C35="TOTAL",SUM($T$8:T34),IF($AO$19=$AO$20,$AO$24,0)))),"")</f>
        <v>2100</v>
      </c>
      <c r="U35" s="66">
        <f t="shared" si="13"/>
        <v>0</v>
      </c>
      <c r="V35" s="66" t="str">
        <f>IF(C35="","",IF($C35="TOTAL",SUM($V$8:V34),IF(AND($AO$2=$AO$20,C35=$AO$1),ROUND(D35/31*$AP$2,0),IF(C35=$AM$6,ROUND((G35)*1/30,0),IF(C35=$AN$6,ROUND((G35)*1/31,0),"")))))</f>
        <v/>
      </c>
      <c r="W35" s="66" t="str">
        <f>IF(C35="","",IF($C35="TOTAL",SUM($W$8:W34),IF(AND($AO$2=$AO$20,C35=$AO$1),ROUND(H35/31*$AP$2,0),IF(C35=$AM$6,ROUND((K35)*1/30,0),IF(C35=$AN$6,ROUND((K35)*1/31,0),"")))))</f>
        <v/>
      </c>
      <c r="X35" s="66" t="str">
        <f t="shared" si="14"/>
        <v/>
      </c>
      <c r="Y35" s="66" t="str">
        <f>IFERROR(IF(C35="","",IF(AND(BH36="",BO36=""),"",IF($C35="TOTAL",SUM($Y$8:Y34),BH36))),"")</f>
        <v/>
      </c>
      <c r="Z35" s="66">
        <f>IFERROR(IF(C35="","",IF($C35="TOTAL",SUM($Z$8:Z34),ROUND(O35*$AO$7%,0))),"")</f>
        <v>0</v>
      </c>
      <c r="AA35" s="66">
        <f>IFERROR(IF(C35="","",IF($C35="TOTAL",SUM($AA$8:AA34),IF($AC$3=$AL$2,SUM(U35,X35,Y35,Z35),SUM(R35,U35,X35,Y35,Z35)))),"")</f>
        <v>0</v>
      </c>
      <c r="AB35" s="68">
        <f>IFERROR(IF(C35="","",IF($C35="TOTAL",SUM($AB$8:AB34),SUM(O35-AA35))),"")</f>
        <v>1680</v>
      </c>
      <c r="AC35" s="15"/>
      <c r="AD35" s="15"/>
      <c r="AK35" s="90">
        <f t="shared" si="15"/>
        <v>12</v>
      </c>
      <c r="AL35" s="90">
        <f t="shared" si="16"/>
        <v>12</v>
      </c>
      <c r="AM35" s="91"/>
      <c r="AN35" s="92">
        <v>43525</v>
      </c>
      <c r="AO35" s="91"/>
      <c r="AP35" s="92">
        <f t="shared" si="44"/>
        <v>43525</v>
      </c>
      <c r="AQ35" s="92">
        <f t="shared" si="18"/>
        <v>43525</v>
      </c>
      <c r="AR35" s="92" t="str">
        <f t="shared" si="19"/>
        <v/>
      </c>
      <c r="AS35" s="92">
        <f t="shared" si="20"/>
        <v>43525</v>
      </c>
      <c r="AT35" s="92">
        <f t="shared" si="33"/>
        <v>43525</v>
      </c>
      <c r="AU35" s="91">
        <f t="shared" si="35"/>
        <v>49300</v>
      </c>
      <c r="AV35" s="91">
        <f t="shared" si="43"/>
        <v>5916</v>
      </c>
      <c r="AW35" s="91">
        <f t="shared" si="36"/>
        <v>3944</v>
      </c>
      <c r="AX35" s="91"/>
      <c r="AY35" s="91">
        <f t="shared" si="37"/>
        <v>47900</v>
      </c>
      <c r="AZ35" s="91">
        <f t="shared" si="21"/>
        <v>5748</v>
      </c>
      <c r="BA35" s="91">
        <f t="shared" si="38"/>
        <v>3832</v>
      </c>
      <c r="BB35" s="91">
        <f t="shared" si="34"/>
        <v>3675</v>
      </c>
      <c r="BC35" s="91"/>
      <c r="BD35" s="91"/>
      <c r="BE35" s="125">
        <f t="shared" si="39"/>
        <v>1680</v>
      </c>
      <c r="BF35" s="91">
        <f t="shared" si="40"/>
        <v>3675</v>
      </c>
      <c r="BG35" s="91" t="str">
        <f t="shared" si="25"/>
        <v/>
      </c>
      <c r="BH35" s="91" t="str">
        <f t="shared" si="26"/>
        <v/>
      </c>
      <c r="BI35" s="91">
        <f t="shared" si="41"/>
        <v>0</v>
      </c>
      <c r="BJ35" s="133">
        <f t="shared" si="42"/>
        <v>0</v>
      </c>
      <c r="BO35" s="28" t="str">
        <f t="shared" si="29"/>
        <v/>
      </c>
    </row>
    <row r="36" spans="1:67" s="28" customFormat="1" ht="21" customHeight="1">
      <c r="A36" s="140">
        <f t="shared" si="30"/>
        <v>29</v>
      </c>
      <c r="B36" s="64">
        <f t="shared" si="1"/>
        <v>29</v>
      </c>
      <c r="C36" s="65">
        <f t="shared" si="31"/>
        <v>43586</v>
      </c>
      <c r="D36" s="66">
        <f>IFERROR(IF($C35="TOTAL","अक्षरें राशि :-",IF($C36="TOTAL",SUM($D$8:D35),IF(AU37="","",AU37))),"")</f>
        <v>49300</v>
      </c>
      <c r="E36" s="66">
        <f>IFERROR(IF($C36="TOTAL",SUM($E$8:E35),IF(AV37="","",AV37)),"")</f>
        <v>5916</v>
      </c>
      <c r="F36" s="66">
        <f>IFERROR(IF($C36="TOTAL",SUM($F$8:F35),IF(OR(C36=$AM$16,C36=$AM$17,C36=$AM$18,C36=$AM$19,C36=$AM$20,C36=$AM$21,C36=$AM$22,C36=$AM$23,C36=$AM$24),0,IF(AW37="","",AW37))),"")</f>
        <v>3944</v>
      </c>
      <c r="G36" s="66">
        <f t="shared" si="32"/>
        <v>59160</v>
      </c>
      <c r="H36" s="66">
        <f>IFERROR(IF($C36="TOTAL",SUM($H$8:H35),IF(AY37="","",AY37)),"")</f>
        <v>47900</v>
      </c>
      <c r="I36" s="66">
        <f>IFERROR(IF($C36="TOTAL",SUM($I$8:I35),IF(AZ37="","",AZ37)),"")</f>
        <v>5748</v>
      </c>
      <c r="J36" s="66">
        <f>IFERROR(IF($C36="TOTAL",SUM($J$8:J35),IF(OR(C36=$AM$16,C36=$AM$17,C36=$AM$18,C36=$AM$19,C36=$AM$20,C36=$AM$21,C36=$AM$22,C36=$AM$23,C36=$AM$24),0,IF(BA37="","",BA37))),"")</f>
        <v>3832</v>
      </c>
      <c r="K36" s="66">
        <f t="shared" si="10"/>
        <v>57480</v>
      </c>
      <c r="L36" s="66">
        <f>IFERROR(IF(C36="","",IF(D36="","",IF(H36="","",IF($C36="TOTAL",SUM($L$8:L35),SUM(D36-H36))))),"")</f>
        <v>1400</v>
      </c>
      <c r="M36" s="66">
        <f>IFERROR(IF(C36="","",IF(E36="","",IF(I36="","",IF($C36="TOTAL",SUM($M$8:M35),SUM(E36-I36))))),"")</f>
        <v>168</v>
      </c>
      <c r="N36" s="66">
        <f>IFERROR(IF(C36="","",IF(F36="","",IF(J36="","",IF($C36="TOTAL",SUM($N$8:N35),SUM(F36-J36))))),"")</f>
        <v>112</v>
      </c>
      <c r="O36" s="66">
        <f t="shared" si="11"/>
        <v>1680</v>
      </c>
      <c r="P36" s="66">
        <f>IFERROR(IF(C36="","",IF($C36="TOTAL",SUM($P$8:P35),IF(AND(C36&gt;$AL$1,$AC$3=$AL$2),BO37,IF($AO$18=$AO$20,SUM(BB37+BJ37),ROUND((D36+E36)*10%,0))))),"")</f>
        <v>5522</v>
      </c>
      <c r="Q36" s="66">
        <f>IFERROR(IF(C36="","",IF(H36="","",IF(I36="","",IF($C36="TOTAL",SUM($Q$8:Q35),IF(AND(C36&gt;$AL$1,$AC$3=$AL$2),BO37,IF($AO$18=$AO$20,$AO$21,ROUND((H36+I36)*10%,0))))))),"")</f>
        <v>5365</v>
      </c>
      <c r="R36" s="66">
        <f t="shared" si="12"/>
        <v>157</v>
      </c>
      <c r="S36" s="67">
        <f>IFERROR(IF(C36="","",IF($AO$16=$AO$17,0,IF($C36="TOTAL",SUM($S$8:S35),IF($AO$19=$AO$31,0,IF(AND($AO$32=$AO$20,C36=$AO$33),$AO$34,S35))))),"")</f>
        <v>2100</v>
      </c>
      <c r="T36" s="67">
        <f>IFERROR(IF(C36="","",IF($AO$16=$AO$17,0,IF($C36="TOTAL",SUM($T$8:T35),IF($AO$19=$AO$20,$AO$24,0)))),"")</f>
        <v>2100</v>
      </c>
      <c r="U36" s="66">
        <f t="shared" si="13"/>
        <v>0</v>
      </c>
      <c r="V36" s="66" t="str">
        <f>IF(C36="","",IF($C36="TOTAL",SUM($V$8:V35),IF(AND($AO$2=$AO$20,C36=$AO$1),ROUND(D36/31*$AP$2,0),IF(C36=$AM$6,ROUND((G36)*1/30,0),IF(C36=$AN$6,ROUND((G36)*1/31,0),"")))))</f>
        <v/>
      </c>
      <c r="W36" s="66" t="str">
        <f>IF(C36="","",IF($C36="TOTAL",SUM($W$8:W35),IF(AND($AO$2=$AO$20,C36=$AO$1),ROUND(H36/31*$AP$2,0),IF(C36=$AM$6,ROUND((K36)*1/30,0),IF(C36=$AN$6,ROUND((K36)*1/31,0),"")))))</f>
        <v/>
      </c>
      <c r="X36" s="66" t="str">
        <f t="shared" si="14"/>
        <v/>
      </c>
      <c r="Y36" s="66" t="str">
        <f>IFERROR(IF(C36="","",IF(AND(BH37="",BO37=""),"",IF($C36="TOTAL",SUM($Y$8:Y35),BH37))),"")</f>
        <v/>
      </c>
      <c r="Z36" s="66">
        <f>IFERROR(IF(C36="","",IF($C36="TOTAL",SUM($Z$8:Z35),ROUND(O36*$AO$7%,0))),"")</f>
        <v>0</v>
      </c>
      <c r="AA36" s="66">
        <f>IFERROR(IF(C36="","",IF($C36="TOTAL",SUM($AA$8:AA35),IF($AC$3=$AL$2,SUM(U36,X36,Y36,Z36),SUM(R36,U36,X36,Y36,Z36)))),"")</f>
        <v>0</v>
      </c>
      <c r="AB36" s="68">
        <f>IFERROR(IF(C36="","",IF($C36="TOTAL",SUM($AB$8:AB35),SUM(O36-AA36))),"")</f>
        <v>1680</v>
      </c>
      <c r="AC36" s="15"/>
      <c r="AD36" s="15"/>
      <c r="AK36" s="90">
        <f t="shared" si="15"/>
        <v>12</v>
      </c>
      <c r="AL36" s="90">
        <f t="shared" si="16"/>
        <v>12</v>
      </c>
      <c r="AM36" s="91"/>
      <c r="AN36" s="92">
        <v>43556</v>
      </c>
      <c r="AO36" s="91" t="str">
        <f>'Master Sheet'!D23</f>
        <v>NO</v>
      </c>
      <c r="AP36" s="92">
        <f t="shared" si="44"/>
        <v>43556</v>
      </c>
      <c r="AQ36" s="92">
        <f t="shared" si="18"/>
        <v>43556</v>
      </c>
      <c r="AR36" s="92" t="str">
        <f t="shared" si="19"/>
        <v/>
      </c>
      <c r="AS36" s="92">
        <f t="shared" si="20"/>
        <v>43556</v>
      </c>
      <c r="AT36" s="92">
        <f t="shared" si="33"/>
        <v>43556</v>
      </c>
      <c r="AU36" s="91">
        <f t="shared" si="35"/>
        <v>49300</v>
      </c>
      <c r="AV36" s="91">
        <f t="shared" si="43"/>
        <v>5916</v>
      </c>
      <c r="AW36" s="91">
        <f t="shared" si="36"/>
        <v>3944</v>
      </c>
      <c r="AX36" s="91"/>
      <c r="AY36" s="91">
        <f t="shared" si="37"/>
        <v>47900</v>
      </c>
      <c r="AZ36" s="91">
        <f t="shared" si="21"/>
        <v>5748</v>
      </c>
      <c r="BA36" s="91">
        <f t="shared" si="38"/>
        <v>3832</v>
      </c>
      <c r="BB36" s="91">
        <f t="shared" si="34"/>
        <v>3675</v>
      </c>
      <c r="BC36" s="91"/>
      <c r="BD36" s="91"/>
      <c r="BE36" s="125">
        <f t="shared" si="39"/>
        <v>1680</v>
      </c>
      <c r="BF36" s="91">
        <f t="shared" si="40"/>
        <v>3675</v>
      </c>
      <c r="BG36" s="91" t="str">
        <f t="shared" si="25"/>
        <v/>
      </c>
      <c r="BH36" s="91" t="str">
        <f t="shared" si="26"/>
        <v/>
      </c>
      <c r="BI36" s="91">
        <f t="shared" si="41"/>
        <v>0</v>
      </c>
      <c r="BJ36" s="133">
        <f t="shared" si="42"/>
        <v>0</v>
      </c>
      <c r="BO36" s="28" t="str">
        <f t="shared" si="29"/>
        <v/>
      </c>
    </row>
    <row r="37" spans="1:67" s="28" customFormat="1" ht="21" customHeight="1">
      <c r="A37" s="140">
        <f t="shared" si="30"/>
        <v>30</v>
      </c>
      <c r="B37" s="64">
        <f t="shared" si="1"/>
        <v>30</v>
      </c>
      <c r="C37" s="65">
        <f t="shared" si="31"/>
        <v>43617</v>
      </c>
      <c r="D37" s="66">
        <f>IFERROR(IF($C36="TOTAL","अक्षरें राशि :-",IF($C37="TOTAL",SUM($D$8:D36),IF(AU38="","",AU38))),"")</f>
        <v>49300</v>
      </c>
      <c r="E37" s="66">
        <f>IFERROR(IF($C37="TOTAL",SUM($E$8:E36),IF(AV38="","",AV38)),"")</f>
        <v>5916</v>
      </c>
      <c r="F37" s="66">
        <f>IFERROR(IF($C37="TOTAL",SUM($F$8:F36),IF(OR(C37=$AM$16,C37=$AM$17,C37=$AM$18,C37=$AM$19,C37=$AM$20,C37=$AM$21,C37=$AM$22,C37=$AM$23,C37=$AM$24),0,IF(AW38="","",AW38))),"")</f>
        <v>3944</v>
      </c>
      <c r="G37" s="66">
        <f t="shared" si="32"/>
        <v>59160</v>
      </c>
      <c r="H37" s="66">
        <f>IFERROR(IF($C37="TOTAL",SUM($H$8:H36),IF(AY38="","",AY38)),"")</f>
        <v>47900</v>
      </c>
      <c r="I37" s="66">
        <f>IFERROR(IF($C37="TOTAL",SUM($I$8:I36),IF(AZ38="","",AZ38)),"")</f>
        <v>5748</v>
      </c>
      <c r="J37" s="66">
        <f>IFERROR(IF($C37="TOTAL",SUM($J$8:J36),IF(OR(C37=$AM$16,C37=$AM$17,C37=$AM$18,C37=$AM$19,C37=$AM$20,C37=$AM$21,C37=$AM$22,C37=$AM$23,C37=$AM$24),0,IF(BA38="","",BA38))),"")</f>
        <v>3832</v>
      </c>
      <c r="K37" s="66">
        <f t="shared" si="10"/>
        <v>57480</v>
      </c>
      <c r="L37" s="66">
        <f>IFERROR(IF(C37="","",IF(D37="","",IF(H37="","",IF($C37="TOTAL",SUM($L$8:L36),SUM(D37-H37))))),"")</f>
        <v>1400</v>
      </c>
      <c r="M37" s="66">
        <f>IFERROR(IF(C37="","",IF(E37="","",IF(I37="","",IF($C37="TOTAL",SUM($M$8:M36),SUM(E37-I37))))),"")</f>
        <v>168</v>
      </c>
      <c r="N37" s="66">
        <f>IFERROR(IF(C37="","",IF(F37="","",IF(J37="","",IF($C37="TOTAL",SUM($N$8:N36),SUM(F37-J37))))),"")</f>
        <v>112</v>
      </c>
      <c r="O37" s="66">
        <f t="shared" si="11"/>
        <v>1680</v>
      </c>
      <c r="P37" s="66">
        <f>IFERROR(IF(C37="","",IF($C37="TOTAL",SUM($P$8:P36),IF(AND(C37&gt;$AL$1,$AC$3=$AL$2),BO38,IF($AO$18=$AO$20,SUM(BB38+BJ38),ROUND((D37+E37)*10%,0))))),"")</f>
        <v>5522</v>
      </c>
      <c r="Q37" s="66">
        <f>IFERROR(IF(C37="","",IF(H37="","",IF(I37="","",IF($C37="TOTAL",SUM($Q$8:Q36),IF(AND(C37&gt;$AL$1,$AC$3=$AL$2),BO38,IF($AO$18=$AO$20,$AO$21,ROUND((H37+I37)*10%,0))))))),"")</f>
        <v>5365</v>
      </c>
      <c r="R37" s="66">
        <f t="shared" si="12"/>
        <v>157</v>
      </c>
      <c r="S37" s="67">
        <f>IFERROR(IF(C37="","",IF($AO$16=$AO$17,0,IF($C37="TOTAL",SUM($S$8:S36),IF($AO$19=$AO$31,0,IF(AND($AO$32=$AO$20,C37=$AO$33),$AO$34,S36))))),"")</f>
        <v>2100</v>
      </c>
      <c r="T37" s="67">
        <f>IFERROR(IF(C37="","",IF($AO$16=$AO$17,0,IF($C37="TOTAL",SUM($T$8:T36),IF($AO$19=$AO$20,$AO$24,0)))),"")</f>
        <v>2100</v>
      </c>
      <c r="U37" s="66">
        <f t="shared" si="13"/>
        <v>0</v>
      </c>
      <c r="V37" s="66" t="str">
        <f>IF(C37="","",IF($C37="TOTAL",SUM($V$8:V36),IF(AND($AO$2=$AO$20,C37=$AO$1),ROUND(D37/31*$AP$2,0),IF(C37=$AM$6,ROUND((G37)*1/30,0),IF(C37=$AN$6,ROUND((G37)*1/31,0),"")))))</f>
        <v/>
      </c>
      <c r="W37" s="66" t="str">
        <f>IF(C37="","",IF($C37="TOTAL",SUM($W$8:W36),IF(AND($AO$2=$AO$20,C37=$AO$1),ROUND(H37/31*$AP$2,0),IF(C37=$AM$6,ROUND((K37)*1/30,0),IF(C37=$AN$6,ROUND((K37)*1/31,0),"")))))</f>
        <v/>
      </c>
      <c r="X37" s="66" t="str">
        <f t="shared" si="14"/>
        <v/>
      </c>
      <c r="Y37" s="66" t="str">
        <f>IFERROR(IF(C37="","",IF(AND(BH38="",BO38=""),"",IF($C37="TOTAL",SUM($Y$8:Y36),BH38))),"")</f>
        <v/>
      </c>
      <c r="Z37" s="66">
        <f>IFERROR(IF(C37="","",IF($C37="TOTAL",SUM($Z$8:Z36),ROUND(O37*$AO$7%,0))),"")</f>
        <v>0</v>
      </c>
      <c r="AA37" s="66">
        <f>IFERROR(IF(C37="","",IF($C37="TOTAL",SUM($AA$8:AA36),IF($AC$3=$AL$2,SUM(U37,X37,Y37,Z37),SUM(R37,U37,X37,Y37,Z37)))),"")</f>
        <v>0</v>
      </c>
      <c r="AB37" s="68">
        <f>IFERROR(IF(C37="","",IF($C37="TOTAL",SUM($AB$8:AB36),SUM(O37-AA37))),"")</f>
        <v>1680</v>
      </c>
      <c r="AC37" s="15"/>
      <c r="AD37" s="15"/>
      <c r="AK37" s="90">
        <f t="shared" si="15"/>
        <v>12</v>
      </c>
      <c r="AL37" s="90">
        <f t="shared" si="16"/>
        <v>12</v>
      </c>
      <c r="AM37" s="91"/>
      <c r="AN37" s="92">
        <v>43586</v>
      </c>
      <c r="AO37" s="91">
        <f>'Master Sheet'!G23</f>
        <v>44287</v>
      </c>
      <c r="AP37" s="92">
        <f t="shared" si="44"/>
        <v>43586</v>
      </c>
      <c r="AQ37" s="92">
        <f t="shared" si="18"/>
        <v>43586</v>
      </c>
      <c r="AR37" s="92" t="str">
        <f t="shared" si="19"/>
        <v/>
      </c>
      <c r="AS37" s="92">
        <f t="shared" si="20"/>
        <v>43586</v>
      </c>
      <c r="AT37" s="92">
        <f t="shared" si="33"/>
        <v>43586</v>
      </c>
      <c r="AU37" s="91">
        <f t="shared" si="35"/>
        <v>49300</v>
      </c>
      <c r="AV37" s="91">
        <f t="shared" si="43"/>
        <v>5916</v>
      </c>
      <c r="AW37" s="91">
        <f t="shared" si="36"/>
        <v>3944</v>
      </c>
      <c r="AX37" s="91"/>
      <c r="AY37" s="91">
        <f t="shared" si="37"/>
        <v>47900</v>
      </c>
      <c r="AZ37" s="91">
        <f t="shared" si="21"/>
        <v>5748</v>
      </c>
      <c r="BA37" s="91">
        <f t="shared" si="38"/>
        <v>3832</v>
      </c>
      <c r="BB37" s="91">
        <f t="shared" si="34"/>
        <v>3675</v>
      </c>
      <c r="BC37" s="91"/>
      <c r="BD37" s="91"/>
      <c r="BE37" s="125">
        <f t="shared" si="39"/>
        <v>1680</v>
      </c>
      <c r="BF37" s="91">
        <f t="shared" si="40"/>
        <v>3675</v>
      </c>
      <c r="BG37" s="91" t="str">
        <f t="shared" si="25"/>
        <v/>
      </c>
      <c r="BH37" s="91" t="str">
        <f t="shared" si="26"/>
        <v/>
      </c>
      <c r="BI37" s="91">
        <f t="shared" si="41"/>
        <v>0</v>
      </c>
      <c r="BJ37" s="133">
        <f t="shared" si="42"/>
        <v>0</v>
      </c>
      <c r="BO37" s="28" t="str">
        <f t="shared" si="29"/>
        <v/>
      </c>
    </row>
    <row r="38" spans="1:67" s="28" customFormat="1" ht="21" customHeight="1">
      <c r="A38" s="140">
        <f t="shared" si="30"/>
        <v>31</v>
      </c>
      <c r="B38" s="64">
        <f t="shared" si="1"/>
        <v>31</v>
      </c>
      <c r="C38" s="65">
        <f t="shared" si="31"/>
        <v>43647</v>
      </c>
      <c r="D38" s="66">
        <f>IFERROR(IF($C37="TOTAL","अक्षरें राशि :-",IF($C38="TOTAL",SUM($D$8:D37),IF(AU39="","",AU39))),"")</f>
        <v>50800</v>
      </c>
      <c r="E38" s="66">
        <f>IFERROR(IF($C38="TOTAL",SUM($E$8:E37),IF(AV39="","",AV39)),"")</f>
        <v>8636</v>
      </c>
      <c r="F38" s="66">
        <f>IFERROR(IF($C38="TOTAL",SUM($F$8:F37),IF(OR(C38=$AM$16,C38=$AM$17,C38=$AM$18,C38=$AM$19,C38=$AM$20,C38=$AM$21,C38=$AM$22,C38=$AM$23,C38=$AM$24),0,IF(AW39="","",AW39))),"")</f>
        <v>4064</v>
      </c>
      <c r="G38" s="66">
        <f t="shared" si="32"/>
        <v>63500</v>
      </c>
      <c r="H38" s="66">
        <f>IFERROR(IF($C38="TOTAL",SUM($H$8:H37),IF(AY39="","",AY39)),"")</f>
        <v>49300</v>
      </c>
      <c r="I38" s="66">
        <f>IFERROR(IF($C38="TOTAL",SUM($I$8:I37),IF(AZ39="","",AZ39)),"")</f>
        <v>8381</v>
      </c>
      <c r="J38" s="66">
        <f>IFERROR(IF($C38="TOTAL",SUM($J$8:J37),IF(OR(C38=$AM$16,C38=$AM$17,C38=$AM$18,C38=$AM$19,C38=$AM$20,C38=$AM$21,C38=$AM$22,C38=$AM$23,C38=$AM$24),0,IF(BA39="","",BA39))),"")</f>
        <v>3944</v>
      </c>
      <c r="K38" s="66">
        <f t="shared" si="10"/>
        <v>61625</v>
      </c>
      <c r="L38" s="66">
        <f>IFERROR(IF(C38="","",IF(D38="","",IF(H38="","",IF($C38="TOTAL",SUM($L$8:L37),SUM(D38-H38))))),"")</f>
        <v>1500</v>
      </c>
      <c r="M38" s="66">
        <f>IFERROR(IF(C38="","",IF(E38="","",IF(I38="","",IF($C38="TOTAL",SUM($M$8:M37),SUM(E38-I38))))),"")</f>
        <v>255</v>
      </c>
      <c r="N38" s="66">
        <f>IFERROR(IF(C38="","",IF(F38="","",IF(J38="","",IF($C38="TOTAL",SUM($N$8:N37),SUM(F38-J38))))),"")</f>
        <v>120</v>
      </c>
      <c r="O38" s="66">
        <f t="shared" si="11"/>
        <v>1875</v>
      </c>
      <c r="P38" s="66">
        <f>IFERROR(IF(C38="","",IF($C38="TOTAL",SUM($P$8:P37),IF(AND(C38&gt;$AL$1,$AC$3=$AL$2),BO39,IF($AO$18=$AO$20,SUM(BB39+BJ39),ROUND((D38+E38)*10%,0))))),"")</f>
        <v>5944</v>
      </c>
      <c r="Q38" s="66">
        <f>IFERROR(IF(C38="","",IF(H38="","",IF(I38="","",IF($C38="TOTAL",SUM($Q$8:Q37),IF(AND(C38&gt;$AL$1,$AC$3=$AL$2),BO39,IF($AO$18=$AO$20,$AO$21,ROUND((H38+I38)*10%,0))))))),"")</f>
        <v>5768</v>
      </c>
      <c r="R38" s="66">
        <f t="shared" si="12"/>
        <v>176</v>
      </c>
      <c r="S38" s="67">
        <f>IFERROR(IF(C38="","",IF($AO$16=$AO$17,0,IF($C38="TOTAL",SUM($S$8:S37),IF($AO$19=$AO$31,0,IF(AND($AO$32=$AO$20,C38=$AO$33),$AO$34,S37))))),"")</f>
        <v>2100</v>
      </c>
      <c r="T38" s="67">
        <f>IFERROR(IF(C38="","",IF($AO$16=$AO$17,0,IF($C38="TOTAL",SUM($T$8:T37),IF($AO$19=$AO$20,$AO$24,0)))),"")</f>
        <v>2100</v>
      </c>
      <c r="U38" s="66">
        <f t="shared" si="13"/>
        <v>0</v>
      </c>
      <c r="V38" s="66" t="str">
        <f>IF(C38="","",IF($C38="TOTAL",SUM($V$8:V37),IF(AND($AO$2=$AO$20,C38=$AO$1),ROUND(D38/31*$AP$2,0),IF(C38=$AM$6,ROUND((G38)*1/30,0),IF(C38=$AN$6,ROUND((G38)*1/31,0),"")))))</f>
        <v/>
      </c>
      <c r="W38" s="66" t="str">
        <f>IF(C38="","",IF($C38="TOTAL",SUM($W$8:W37),IF(AND($AO$2=$AO$20,C38=$AO$1),ROUND(H38/31*$AP$2,0),IF(C38=$AM$6,ROUND((K38)*1/30,0),IF(C38=$AN$6,ROUND((K38)*1/31,0),"")))))</f>
        <v/>
      </c>
      <c r="X38" s="66" t="str">
        <f t="shared" si="14"/>
        <v/>
      </c>
      <c r="Y38" s="66" t="str">
        <f>IFERROR(IF(C38="","",IF(AND(BH39="",BO39=""),"",IF($C38="TOTAL",SUM($Y$8:Y37),BH39))),"")</f>
        <v/>
      </c>
      <c r="Z38" s="66">
        <f>IFERROR(IF(C38="","",IF($C38="TOTAL",SUM($Z$8:Z37),ROUND(O38*$AO$7%,0))),"")</f>
        <v>0</v>
      </c>
      <c r="AA38" s="66">
        <f>IFERROR(IF(C38="","",IF($C38="TOTAL",SUM($AA$8:AA37),IF($AC$3=$AL$2,SUM(U38,X38,Y38,Z38),SUM(R38,U38,X38,Y38,Z38)))),"")</f>
        <v>0</v>
      </c>
      <c r="AB38" s="68">
        <f>IFERROR(IF(C38="","",IF($C38="TOTAL",SUM($AB$8:AB37),SUM(O38-AA38))),"")</f>
        <v>1875</v>
      </c>
      <c r="AC38" s="15"/>
      <c r="AD38" s="15"/>
      <c r="AK38" s="90">
        <f t="shared" si="15"/>
        <v>12</v>
      </c>
      <c r="AL38" s="90">
        <f t="shared" si="16"/>
        <v>12</v>
      </c>
      <c r="AM38" s="91"/>
      <c r="AN38" s="92">
        <v>43617</v>
      </c>
      <c r="AO38" s="91">
        <f>'Master Sheet'!K23</f>
        <v>5000</v>
      </c>
      <c r="AP38" s="92">
        <f t="shared" si="44"/>
        <v>43617</v>
      </c>
      <c r="AQ38" s="92">
        <f t="shared" si="18"/>
        <v>43617</v>
      </c>
      <c r="AR38" s="92" t="str">
        <f t="shared" si="19"/>
        <v/>
      </c>
      <c r="AS38" s="92">
        <f t="shared" si="20"/>
        <v>43617</v>
      </c>
      <c r="AT38" s="92">
        <f t="shared" si="33"/>
        <v>43617</v>
      </c>
      <c r="AU38" s="91">
        <f t="shared" si="35"/>
        <v>49300</v>
      </c>
      <c r="AV38" s="91">
        <f t="shared" si="43"/>
        <v>5916</v>
      </c>
      <c r="AW38" s="91">
        <f t="shared" si="36"/>
        <v>3944</v>
      </c>
      <c r="AX38" s="91"/>
      <c r="AY38" s="91">
        <f t="shared" si="37"/>
        <v>47900</v>
      </c>
      <c r="AZ38" s="91">
        <f t="shared" si="21"/>
        <v>5748</v>
      </c>
      <c r="BA38" s="91">
        <f t="shared" si="38"/>
        <v>3832</v>
      </c>
      <c r="BB38" s="91">
        <f t="shared" si="34"/>
        <v>3675</v>
      </c>
      <c r="BC38" s="91"/>
      <c r="BD38" s="91"/>
      <c r="BE38" s="125">
        <f t="shared" si="39"/>
        <v>1680</v>
      </c>
      <c r="BF38" s="91">
        <f t="shared" si="40"/>
        <v>3675</v>
      </c>
      <c r="BG38" s="91" t="str">
        <f t="shared" si="25"/>
        <v/>
      </c>
      <c r="BH38" s="91" t="str">
        <f t="shared" si="26"/>
        <v/>
      </c>
      <c r="BI38" s="91">
        <f t="shared" si="41"/>
        <v>0</v>
      </c>
      <c r="BJ38" s="133">
        <f t="shared" si="42"/>
        <v>0</v>
      </c>
      <c r="BO38" s="28" t="str">
        <f t="shared" si="29"/>
        <v/>
      </c>
    </row>
    <row r="39" spans="1:67" s="28" customFormat="1" ht="21" customHeight="1">
      <c r="A39" s="140">
        <f t="shared" si="30"/>
        <v>32</v>
      </c>
      <c r="B39" s="64">
        <f t="shared" si="1"/>
        <v>32</v>
      </c>
      <c r="C39" s="65">
        <f t="shared" si="31"/>
        <v>43678</v>
      </c>
      <c r="D39" s="66">
        <f>IFERROR(IF($C38="TOTAL","अक्षरें राशि :-",IF($C39="TOTAL",SUM($D$8:D38),IF(AU40="","",AU40))),"")</f>
        <v>50800</v>
      </c>
      <c r="E39" s="66">
        <f>IFERROR(IF($C39="TOTAL",SUM($E$8:E38),IF(AV40="","",AV40)),"")</f>
        <v>8636</v>
      </c>
      <c r="F39" s="66">
        <f>IFERROR(IF($C39="TOTAL",SUM($F$8:F38),IF(OR(C39=$AM$16,C39=$AM$17,C39=$AM$18,C39=$AM$19,C39=$AM$20,C39=$AM$21,C39=$AM$22,C39=$AM$23,C39=$AM$24),0,IF(AW40="","",AW40))),"")</f>
        <v>4064</v>
      </c>
      <c r="G39" s="66">
        <f t="shared" si="32"/>
        <v>63500</v>
      </c>
      <c r="H39" s="66">
        <f>IFERROR(IF($C39="TOTAL",SUM($H$8:H38),IF(AY40="","",AY40)),"")</f>
        <v>49300</v>
      </c>
      <c r="I39" s="66">
        <f>IFERROR(IF($C39="TOTAL",SUM($I$8:I38),IF(AZ40="","",AZ40)),"")</f>
        <v>8381</v>
      </c>
      <c r="J39" s="66">
        <f>IFERROR(IF($C39="TOTAL",SUM($J$8:J38),IF(OR(C39=$AM$16,C39=$AM$17,C39=$AM$18,C39=$AM$19,C39=$AM$20,C39=$AM$21,C39=$AM$22,C39=$AM$23,C39=$AM$24),0,IF(BA40="","",BA40))),"")</f>
        <v>3944</v>
      </c>
      <c r="K39" s="66">
        <f t="shared" si="10"/>
        <v>61625</v>
      </c>
      <c r="L39" s="66">
        <f>IFERROR(IF(C39="","",IF(D39="","",IF(H39="","",IF($C39="TOTAL",SUM($L$8:L38),SUM(D39-H39))))),"")</f>
        <v>1500</v>
      </c>
      <c r="M39" s="66">
        <f>IFERROR(IF(C39="","",IF(E39="","",IF(I39="","",IF($C39="TOTAL",SUM($M$8:M38),SUM(E39-I39))))),"")</f>
        <v>255</v>
      </c>
      <c r="N39" s="66">
        <f>IFERROR(IF(C39="","",IF(F39="","",IF(J39="","",IF($C39="TOTAL",SUM($N$8:N38),SUM(F39-J39))))),"")</f>
        <v>120</v>
      </c>
      <c r="O39" s="66">
        <f t="shared" si="11"/>
        <v>1875</v>
      </c>
      <c r="P39" s="66">
        <f>IFERROR(IF(C39="","",IF($C39="TOTAL",SUM($P$8:P38),IF(AND(C39&gt;$AL$1,$AC$3=$AL$2),BO40,IF($AO$18=$AO$20,SUM(BB40+BJ40),ROUND((D39+E39)*10%,0))))),"")</f>
        <v>5944</v>
      </c>
      <c r="Q39" s="66">
        <f>IFERROR(IF(C39="","",IF(H39="","",IF(I39="","",IF($C39="TOTAL",SUM($Q$8:Q38),IF(AND(C39&gt;$AL$1,$AC$3=$AL$2),BO40,IF($AO$18=$AO$20,$AO$21,ROUND((H39+I39)*10%,0))))))),"")</f>
        <v>5768</v>
      </c>
      <c r="R39" s="66">
        <f t="shared" si="12"/>
        <v>176</v>
      </c>
      <c r="S39" s="67">
        <f>IFERROR(IF(C39="","",IF($AO$16=$AO$17,0,IF($C39="TOTAL",SUM($S$8:S38),IF($AO$19=$AO$31,0,IF(AND($AO$32=$AO$20,C39=$AO$33),$AO$34,S38))))),"")</f>
        <v>2100</v>
      </c>
      <c r="T39" s="67">
        <f>IFERROR(IF(C39="","",IF($AO$16=$AO$17,0,IF($C39="TOTAL",SUM($T$8:T38),IF($AO$19=$AO$20,$AO$24,0)))),"")</f>
        <v>2100</v>
      </c>
      <c r="U39" s="66">
        <f t="shared" si="13"/>
        <v>0</v>
      </c>
      <c r="V39" s="66" t="str">
        <f>IF(C39="","",IF($C39="TOTAL",SUM($V$8:V38),IF(AND($AO$2=$AO$20,C39=$AO$1),ROUND(D39/31*$AP$2,0),IF(C39=$AM$6,ROUND((G39)*1/30,0),IF(C39=$AN$6,ROUND((G39)*1/31,0),"")))))</f>
        <v/>
      </c>
      <c r="W39" s="66" t="str">
        <f>IF(C39="","",IF($C39="TOTAL",SUM($W$8:W38),IF(AND($AO$2=$AO$20,C39=$AO$1),ROUND(H39/31*$AP$2,0),IF(C39=$AM$6,ROUND((K39)*1/30,0),IF(C39=$AN$6,ROUND((K39)*1/31,0),"")))))</f>
        <v/>
      </c>
      <c r="X39" s="66" t="str">
        <f t="shared" si="14"/>
        <v/>
      </c>
      <c r="Y39" s="66" t="str">
        <f>IFERROR(IF(C39="","",IF(AND(BH40="",BO40=""),"",IF($C39="TOTAL",SUM($Y$8:Y38),BH40))),"")</f>
        <v/>
      </c>
      <c r="Z39" s="66">
        <f>IFERROR(IF(C39="","",IF($C39="TOTAL",SUM($Z$8:Z38),ROUND(O39*$AO$7%,0))),"")</f>
        <v>0</v>
      </c>
      <c r="AA39" s="66">
        <f>IFERROR(IF(C39="","",IF($C39="TOTAL",SUM($AA$8:AA38),IF($AC$3=$AL$2,SUM(U39,X39,Y39,Z39),SUM(R39,U39,X39,Y39,Z39)))),"")</f>
        <v>0</v>
      </c>
      <c r="AB39" s="68">
        <f>IFERROR(IF(C39="","",IF($C39="TOTAL",SUM($AB$8:AB38),SUM(O39-AA39))),"")</f>
        <v>1875</v>
      </c>
      <c r="AC39" s="15"/>
      <c r="AD39" s="15"/>
      <c r="AK39" s="90">
        <f t="shared" si="15"/>
        <v>17</v>
      </c>
      <c r="AL39" s="90">
        <f t="shared" si="16"/>
        <v>17</v>
      </c>
      <c r="AM39" s="91"/>
      <c r="AN39" s="92">
        <v>43647</v>
      </c>
      <c r="AO39" s="91"/>
      <c r="AP39" s="92">
        <f t="shared" si="44"/>
        <v>43647</v>
      </c>
      <c r="AQ39" s="92">
        <f t="shared" si="18"/>
        <v>43647</v>
      </c>
      <c r="AR39" s="92" t="str">
        <f t="shared" si="19"/>
        <v/>
      </c>
      <c r="AS39" s="92">
        <f t="shared" si="20"/>
        <v>43647</v>
      </c>
      <c r="AT39" s="92">
        <f t="shared" si="33"/>
        <v>43647</v>
      </c>
      <c r="AU39" s="91">
        <f t="shared" si="35"/>
        <v>50800</v>
      </c>
      <c r="AV39" s="91">
        <f t="shared" si="43"/>
        <v>8636</v>
      </c>
      <c r="AW39" s="91">
        <f t="shared" si="36"/>
        <v>4064</v>
      </c>
      <c r="AX39" s="91"/>
      <c r="AY39" s="91">
        <f t="shared" si="37"/>
        <v>49300</v>
      </c>
      <c r="AZ39" s="91">
        <f t="shared" si="21"/>
        <v>8381</v>
      </c>
      <c r="BA39" s="91">
        <f t="shared" si="38"/>
        <v>3944</v>
      </c>
      <c r="BB39" s="91">
        <f t="shared" si="34"/>
        <v>3675</v>
      </c>
      <c r="BC39" s="91"/>
      <c r="BD39" s="91"/>
      <c r="BE39" s="125">
        <f t="shared" si="39"/>
        <v>1875</v>
      </c>
      <c r="BF39" s="91">
        <f t="shared" si="40"/>
        <v>3675</v>
      </c>
      <c r="BG39" s="91" t="str">
        <f t="shared" si="25"/>
        <v/>
      </c>
      <c r="BH39" s="91" t="str">
        <f t="shared" si="26"/>
        <v/>
      </c>
      <c r="BI39" s="91">
        <f t="shared" si="41"/>
        <v>0</v>
      </c>
      <c r="BJ39" s="133">
        <f t="shared" si="42"/>
        <v>0</v>
      </c>
      <c r="BO39" s="28" t="str">
        <f t="shared" si="29"/>
        <v/>
      </c>
    </row>
    <row r="40" spans="1:67" s="28" customFormat="1" ht="21" customHeight="1">
      <c r="A40" s="140">
        <f t="shared" si="30"/>
        <v>33</v>
      </c>
      <c r="B40" s="64">
        <f t="shared" si="1"/>
        <v>33</v>
      </c>
      <c r="C40" s="65">
        <f t="shared" si="31"/>
        <v>43709</v>
      </c>
      <c r="D40" s="66">
        <f>IFERROR(IF($C39="TOTAL","अक्षरें राशि :-",IF($C40="TOTAL",SUM($D$8:D39),IF(AU41="","",AU41))),"")</f>
        <v>50800</v>
      </c>
      <c r="E40" s="66">
        <f>IFERROR(IF($C40="TOTAL",SUM($E$8:E39),IF(AV41="","",AV41)),"")</f>
        <v>8636</v>
      </c>
      <c r="F40" s="66">
        <f>IFERROR(IF($C40="TOTAL",SUM($F$8:F39),IF(OR(C40=$AM$16,C40=$AM$17,C40=$AM$18,C40=$AM$19,C40=$AM$20,C40=$AM$21,C40=$AM$22,C40=$AM$23,C40=$AM$24),0,IF(AW41="","",AW41))),"")</f>
        <v>4064</v>
      </c>
      <c r="G40" s="66">
        <f t="shared" si="32"/>
        <v>63500</v>
      </c>
      <c r="H40" s="66">
        <f>IFERROR(IF($C40="TOTAL",SUM($H$8:H39),IF(AY41="","",AY41)),"")</f>
        <v>49300</v>
      </c>
      <c r="I40" s="66">
        <f>IFERROR(IF($C40="TOTAL",SUM($I$8:I39),IF(AZ41="","",AZ41)),"")</f>
        <v>8381</v>
      </c>
      <c r="J40" s="66">
        <f>IFERROR(IF($C40="TOTAL",SUM($J$8:J39),IF(OR(C40=$AM$16,C40=$AM$17,C40=$AM$18,C40=$AM$19,C40=$AM$20,C40=$AM$21,C40=$AM$22,C40=$AM$23,C40=$AM$24),0,IF(BA41="","",BA41))),"")</f>
        <v>3944</v>
      </c>
      <c r="K40" s="66">
        <f t="shared" si="10"/>
        <v>61625</v>
      </c>
      <c r="L40" s="66">
        <f>IFERROR(IF(C40="","",IF(D40="","",IF(H40="","",IF($C40="TOTAL",SUM($L$8:L39),SUM(D40-H40))))),"")</f>
        <v>1500</v>
      </c>
      <c r="M40" s="66">
        <f>IFERROR(IF(C40="","",IF(E40="","",IF(I40="","",IF($C40="TOTAL",SUM($M$8:M39),SUM(E40-I40))))),"")</f>
        <v>255</v>
      </c>
      <c r="N40" s="66">
        <f>IFERROR(IF(C40="","",IF(F40="","",IF(J40="","",IF($C40="TOTAL",SUM($N$8:N39),SUM(F40-J40))))),"")</f>
        <v>120</v>
      </c>
      <c r="O40" s="66">
        <f t="shared" si="11"/>
        <v>1875</v>
      </c>
      <c r="P40" s="66">
        <f>IFERROR(IF(C40="","",IF($C40="TOTAL",SUM($P$8:P39),IF(AND(C40&gt;$AL$1,$AC$3=$AL$2),BO41,IF($AO$18=$AO$20,SUM(BB41+BJ41),ROUND((D40+E40)*10%,0))))),"")</f>
        <v>5944</v>
      </c>
      <c r="Q40" s="66">
        <f>IFERROR(IF(C40="","",IF(H40="","",IF(I40="","",IF($C40="TOTAL",SUM($Q$8:Q39),IF(AND(C40&gt;$AL$1,$AC$3=$AL$2),BO41,IF($AO$18=$AO$20,$AO$21,ROUND((H40+I40)*10%,0))))))),"")</f>
        <v>5768</v>
      </c>
      <c r="R40" s="66">
        <f t="shared" si="12"/>
        <v>176</v>
      </c>
      <c r="S40" s="67">
        <f>IFERROR(IF(C40="","",IF($AO$16=$AO$17,0,IF($C40="TOTAL",SUM($S$8:S39),IF($AO$19=$AO$31,0,IF(AND($AO$32=$AO$20,C40=$AO$33),$AO$34,S39))))),"")</f>
        <v>2100</v>
      </c>
      <c r="T40" s="67">
        <f>IFERROR(IF(C40="","",IF($AO$16=$AO$17,0,IF($C40="TOTAL",SUM($T$8:T39),IF($AO$19=$AO$20,$AO$24,0)))),"")</f>
        <v>2100</v>
      </c>
      <c r="U40" s="66">
        <f t="shared" si="13"/>
        <v>0</v>
      </c>
      <c r="V40" s="66" t="str">
        <f>IF(C40="","",IF($C40="TOTAL",SUM($V$8:V39),IF(AND($AO$2=$AO$20,C40=$AO$1),ROUND(D40/31*$AP$2,0),IF(C40=$AM$6,ROUND((G40)*1/30,0),IF(C40=$AN$6,ROUND((G40)*1/31,0),"")))))</f>
        <v/>
      </c>
      <c r="W40" s="66" t="str">
        <f>IF(C40="","",IF($C40="TOTAL",SUM($W$8:W39),IF(AND($AO$2=$AO$20,C40=$AO$1),ROUND(H40/31*$AP$2,0),IF(C40=$AM$6,ROUND((K40)*1/30,0),IF(C40=$AN$6,ROUND((K40)*1/31,0),"")))))</f>
        <v/>
      </c>
      <c r="X40" s="66" t="str">
        <f t="shared" si="14"/>
        <v/>
      </c>
      <c r="Y40" s="66" t="str">
        <f>IFERROR(IF(C40="","",IF(AND(BH41="",BO41=""),"",IF($C40="TOTAL",SUM($Y$8:Y39),BH41))),"")</f>
        <v/>
      </c>
      <c r="Z40" s="66">
        <f>IFERROR(IF(C40="","",IF($C40="TOTAL",SUM($Z$8:Z39),ROUND(O40*$AO$7%,0))),"")</f>
        <v>0</v>
      </c>
      <c r="AA40" s="66">
        <f>IFERROR(IF(C40="","",IF($C40="TOTAL",SUM($AA$8:AA39),IF($AC$3=$AL$2,SUM(U40,X40,Y40,Z40),SUM(R40,U40,X40,Y40,Z40)))),"")</f>
        <v>0</v>
      </c>
      <c r="AB40" s="68">
        <f>IFERROR(IF(C40="","",IF($C40="TOTAL",SUM($AB$8:AB39),SUM(O40-AA40))),"")</f>
        <v>1875</v>
      </c>
      <c r="AC40" s="15"/>
      <c r="AD40" s="15"/>
      <c r="AK40" s="90">
        <f t="shared" si="15"/>
        <v>17</v>
      </c>
      <c r="AL40" s="90">
        <f t="shared" si="16"/>
        <v>17</v>
      </c>
      <c r="AM40" s="91"/>
      <c r="AN40" s="92">
        <v>43678</v>
      </c>
      <c r="AO40" s="91"/>
      <c r="AP40" s="92">
        <f t="shared" si="44"/>
        <v>43678</v>
      </c>
      <c r="AQ40" s="92">
        <f t="shared" si="18"/>
        <v>43678</v>
      </c>
      <c r="AR40" s="92" t="str">
        <f t="shared" si="19"/>
        <v/>
      </c>
      <c r="AS40" s="92">
        <f t="shared" si="20"/>
        <v>43678</v>
      </c>
      <c r="AT40" s="92">
        <f t="shared" si="33"/>
        <v>43678</v>
      </c>
      <c r="AU40" s="91">
        <f t="shared" si="35"/>
        <v>50800</v>
      </c>
      <c r="AV40" s="91">
        <f t="shared" si="43"/>
        <v>8636</v>
      </c>
      <c r="AW40" s="91">
        <f t="shared" si="36"/>
        <v>4064</v>
      </c>
      <c r="AX40" s="91"/>
      <c r="AY40" s="91">
        <f t="shared" si="37"/>
        <v>49300</v>
      </c>
      <c r="AZ40" s="91">
        <f t="shared" si="21"/>
        <v>8381</v>
      </c>
      <c r="BA40" s="91">
        <f t="shared" si="38"/>
        <v>3944</v>
      </c>
      <c r="BB40" s="91">
        <f t="shared" si="34"/>
        <v>3675</v>
      </c>
      <c r="BC40" s="91"/>
      <c r="BD40" s="91"/>
      <c r="BE40" s="125">
        <f t="shared" si="39"/>
        <v>1875</v>
      </c>
      <c r="BF40" s="91">
        <f t="shared" si="40"/>
        <v>3675</v>
      </c>
      <c r="BG40" s="91" t="str">
        <f t="shared" si="25"/>
        <v/>
      </c>
      <c r="BH40" s="91" t="str">
        <f t="shared" si="26"/>
        <v/>
      </c>
      <c r="BI40" s="91">
        <f t="shared" si="41"/>
        <v>0</v>
      </c>
      <c r="BJ40" s="133">
        <f t="shared" si="42"/>
        <v>0</v>
      </c>
      <c r="BO40" s="28" t="str">
        <f t="shared" si="29"/>
        <v/>
      </c>
    </row>
    <row r="41" spans="1:67" s="28" customFormat="1" ht="21" customHeight="1">
      <c r="A41" s="140">
        <f t="shared" si="30"/>
        <v>34</v>
      </c>
      <c r="B41" s="64">
        <f t="shared" si="1"/>
        <v>34</v>
      </c>
      <c r="C41" s="65">
        <f t="shared" si="31"/>
        <v>43739</v>
      </c>
      <c r="D41" s="66">
        <f>IFERROR(IF($C40="TOTAL","अक्षरें राशि :-",IF($C41="TOTAL",SUM($D$8:D40),IF(AU42="","",AU42))),"")</f>
        <v>50800</v>
      </c>
      <c r="E41" s="66">
        <f>IFERROR(IF($C41="TOTAL",SUM($E$8:E40),IF(AV42="","",AV42)),"")</f>
        <v>8636</v>
      </c>
      <c r="F41" s="66">
        <f>IFERROR(IF($C41="TOTAL",SUM($F$8:F40),IF(OR(C41=$AM$16,C41=$AM$17,C41=$AM$18,C41=$AM$19,C41=$AM$20,C41=$AM$21,C41=$AM$22,C41=$AM$23,C41=$AM$24),0,IF(AW42="","",AW42))),"")</f>
        <v>4064</v>
      </c>
      <c r="G41" s="66">
        <f t="shared" si="32"/>
        <v>63500</v>
      </c>
      <c r="H41" s="66">
        <f>IFERROR(IF($C41="TOTAL",SUM($H$8:H40),IF(AY42="","",AY42)),"")</f>
        <v>49300</v>
      </c>
      <c r="I41" s="66">
        <f>IFERROR(IF($C41="TOTAL",SUM($I$8:I40),IF(AZ42="","",AZ42)),"")</f>
        <v>8381</v>
      </c>
      <c r="J41" s="66">
        <f>IFERROR(IF($C41="TOTAL",SUM($J$8:J40),IF(OR(C41=$AM$16,C41=$AM$17,C41=$AM$18,C41=$AM$19,C41=$AM$20,C41=$AM$21,C41=$AM$22,C41=$AM$23,C41=$AM$24),0,IF(BA42="","",BA42))),"")</f>
        <v>3944</v>
      </c>
      <c r="K41" s="66">
        <f t="shared" si="10"/>
        <v>61625</v>
      </c>
      <c r="L41" s="66">
        <f>IFERROR(IF(C41="","",IF(D41="","",IF(H41="","",IF($C41="TOTAL",SUM($L$8:L40),SUM(D41-H41))))),"")</f>
        <v>1500</v>
      </c>
      <c r="M41" s="66">
        <f>IFERROR(IF(C41="","",IF(E41="","",IF(I41="","",IF($C41="TOTAL",SUM($M$8:M40),SUM(E41-I41))))),"")</f>
        <v>255</v>
      </c>
      <c r="N41" s="66">
        <f>IFERROR(IF(C41="","",IF(F41="","",IF(J41="","",IF($C41="TOTAL",SUM($N$8:N40),SUM(F41-J41))))),"")</f>
        <v>120</v>
      </c>
      <c r="O41" s="66">
        <f t="shared" si="11"/>
        <v>1875</v>
      </c>
      <c r="P41" s="66">
        <f>IFERROR(IF(C41="","",IF($C41="TOTAL",SUM($P$8:P40),IF(AND(C41&gt;$AL$1,$AC$3=$AL$2),BO42,IF($AO$18=$AO$20,SUM(BB42+BJ42),ROUND((D41+E41)*10%,0))))),"")</f>
        <v>5944</v>
      </c>
      <c r="Q41" s="66">
        <f>IFERROR(IF(C41="","",IF(H41="","",IF(I41="","",IF($C41="TOTAL",SUM($Q$8:Q40),IF(AND(C41&gt;$AL$1,$AC$3=$AL$2),BO42,IF($AO$18=$AO$20,$AO$21,ROUND((H41+I41)*10%,0))))))),"")</f>
        <v>5768</v>
      </c>
      <c r="R41" s="66">
        <f t="shared" si="12"/>
        <v>176</v>
      </c>
      <c r="S41" s="67">
        <f>IFERROR(IF(C41="","",IF($AO$16=$AO$17,0,IF($C41="TOTAL",SUM($S$8:S40),IF($AO$19=$AO$31,0,IF(AND($AO$32=$AO$20,C41=$AO$33),$AO$34,S40))))),"")</f>
        <v>2100</v>
      </c>
      <c r="T41" s="67">
        <f>IFERROR(IF(C41="","",IF($AO$16=$AO$17,0,IF($C41="TOTAL",SUM($T$8:T40),IF($AO$19=$AO$20,$AO$24,0)))),"")</f>
        <v>2100</v>
      </c>
      <c r="U41" s="66">
        <f t="shared" si="13"/>
        <v>0</v>
      </c>
      <c r="V41" s="66" t="str">
        <f>IF(C41="","",IF($C41="TOTAL",SUM($V$8:V40),IF(AND($AO$2=$AO$20,C41=$AO$1),ROUND(D41/31*$AP$2,0),IF(C41=$AM$6,ROUND((G41)*1/30,0),IF(C41=$AN$6,ROUND((G41)*1/31,0),"")))))</f>
        <v/>
      </c>
      <c r="W41" s="66" t="str">
        <f>IF(C41="","",IF($C41="TOTAL",SUM($W$8:W40),IF(AND($AO$2=$AO$20,C41=$AO$1),ROUND(H41/31*$AP$2,0),IF(C41=$AM$6,ROUND((K41)*1/30,0),IF(C41=$AN$6,ROUND((K41)*1/31,0),"")))))</f>
        <v/>
      </c>
      <c r="X41" s="66" t="str">
        <f t="shared" si="14"/>
        <v/>
      </c>
      <c r="Y41" s="66" t="str">
        <f>IFERROR(IF(C41="","",IF(AND(BH42="",BO42=""),"",IF($C41="TOTAL",SUM($Y$8:Y40),BH42))),"")</f>
        <v/>
      </c>
      <c r="Z41" s="66">
        <f>IFERROR(IF(C41="","",IF($C41="TOTAL",SUM($Z$8:Z40),ROUND(O41*$AO$7%,0))),"")</f>
        <v>0</v>
      </c>
      <c r="AA41" s="66">
        <f>IFERROR(IF(C41="","",IF($C41="TOTAL",SUM($AA$8:AA40),IF($AC$3=$AL$2,SUM(U41,X41,Y41,Z41),SUM(R41,U41,X41,Y41,Z41)))),"")</f>
        <v>0</v>
      </c>
      <c r="AB41" s="68">
        <f>IFERROR(IF(C41="","",IF($C41="TOTAL",SUM($AB$8:AB40),SUM(O41-AA41))),"")</f>
        <v>1875</v>
      </c>
      <c r="AC41" s="15"/>
      <c r="AD41" s="15"/>
      <c r="AK41" s="90">
        <f t="shared" si="15"/>
        <v>17</v>
      </c>
      <c r="AL41" s="90">
        <f t="shared" si="16"/>
        <v>17</v>
      </c>
      <c r="AM41" s="91"/>
      <c r="AN41" s="92">
        <v>43709</v>
      </c>
      <c r="AO41" s="91"/>
      <c r="AP41" s="92">
        <f t="shared" si="44"/>
        <v>43709</v>
      </c>
      <c r="AQ41" s="92">
        <f t="shared" si="18"/>
        <v>43709</v>
      </c>
      <c r="AR41" s="92" t="str">
        <f t="shared" si="19"/>
        <v/>
      </c>
      <c r="AS41" s="92">
        <f t="shared" si="20"/>
        <v>43709</v>
      </c>
      <c r="AT41" s="92">
        <f t="shared" si="33"/>
        <v>43709</v>
      </c>
      <c r="AU41" s="91">
        <f t="shared" si="35"/>
        <v>50800</v>
      </c>
      <c r="AV41" s="91">
        <f t="shared" si="43"/>
        <v>8636</v>
      </c>
      <c r="AW41" s="91">
        <f t="shared" si="36"/>
        <v>4064</v>
      </c>
      <c r="AX41" s="91"/>
      <c r="AY41" s="91">
        <f t="shared" si="37"/>
        <v>49300</v>
      </c>
      <c r="AZ41" s="91">
        <f t="shared" si="21"/>
        <v>8381</v>
      </c>
      <c r="BA41" s="91">
        <f t="shared" si="38"/>
        <v>3944</v>
      </c>
      <c r="BB41" s="91">
        <f t="shared" si="34"/>
        <v>3675</v>
      </c>
      <c r="BC41" s="91"/>
      <c r="BD41" s="91"/>
      <c r="BE41" s="125">
        <f t="shared" si="39"/>
        <v>1875</v>
      </c>
      <c r="BF41" s="91">
        <f t="shared" si="40"/>
        <v>3675</v>
      </c>
      <c r="BG41" s="91" t="str">
        <f t="shared" si="25"/>
        <v/>
      </c>
      <c r="BH41" s="91" t="str">
        <f t="shared" si="26"/>
        <v/>
      </c>
      <c r="BI41" s="91">
        <f t="shared" si="41"/>
        <v>0</v>
      </c>
      <c r="BJ41" s="133">
        <f t="shared" si="42"/>
        <v>0</v>
      </c>
      <c r="BO41" s="28" t="str">
        <f t="shared" si="29"/>
        <v/>
      </c>
    </row>
    <row r="42" spans="1:67" s="28" customFormat="1" ht="21" customHeight="1">
      <c r="A42" s="140">
        <f t="shared" si="30"/>
        <v>35</v>
      </c>
      <c r="B42" s="64">
        <f t="shared" si="1"/>
        <v>35</v>
      </c>
      <c r="C42" s="65">
        <f t="shared" si="31"/>
        <v>43770</v>
      </c>
      <c r="D42" s="66">
        <f>IFERROR(IF($C41="TOTAL","अक्षरें राशि :-",IF($C42="TOTAL",SUM($D$8:D41),IF(AU43="","",AU43))),"")</f>
        <v>50800</v>
      </c>
      <c r="E42" s="66">
        <f>IFERROR(IF($C42="TOTAL",SUM($E$8:E41),IF(AV43="","",AV43)),"")</f>
        <v>8636</v>
      </c>
      <c r="F42" s="66">
        <f>IFERROR(IF($C42="TOTAL",SUM($F$8:F41),IF(OR(C42=$AM$16,C42=$AM$17,C42=$AM$18,C42=$AM$19,C42=$AM$20,C42=$AM$21,C42=$AM$22,C42=$AM$23,C42=$AM$24),0,IF(AW43="","",AW43))),"")</f>
        <v>4064</v>
      </c>
      <c r="G42" s="66">
        <f t="shared" si="32"/>
        <v>63500</v>
      </c>
      <c r="H42" s="66">
        <f>IFERROR(IF($C42="TOTAL",SUM($H$8:H41),IF(AY43="","",AY43)),"")</f>
        <v>49300</v>
      </c>
      <c r="I42" s="66">
        <f>IFERROR(IF($C42="TOTAL",SUM($I$8:I41),IF(AZ43="","",AZ43)),"")</f>
        <v>8381</v>
      </c>
      <c r="J42" s="66">
        <f>IFERROR(IF($C42="TOTAL",SUM($J$8:J41),IF(OR(C42=$AM$16,C42=$AM$17,C42=$AM$18,C42=$AM$19,C42=$AM$20,C42=$AM$21,C42=$AM$22,C42=$AM$23,C42=$AM$24),0,IF(BA43="","",BA43))),"")</f>
        <v>3944</v>
      </c>
      <c r="K42" s="66">
        <f t="shared" si="10"/>
        <v>61625</v>
      </c>
      <c r="L42" s="66">
        <f>IFERROR(IF(C42="","",IF(D42="","",IF(H42="","",IF($C42="TOTAL",SUM($L$8:L41),SUM(D42-H42))))),"")</f>
        <v>1500</v>
      </c>
      <c r="M42" s="66">
        <f>IFERROR(IF(C42="","",IF(E42="","",IF(I42="","",IF($C42="TOTAL",SUM($M$8:M41),SUM(E42-I42))))),"")</f>
        <v>255</v>
      </c>
      <c r="N42" s="66">
        <f>IFERROR(IF(C42="","",IF(F42="","",IF(J42="","",IF($C42="TOTAL",SUM($N$8:N41),SUM(F42-J42))))),"")</f>
        <v>120</v>
      </c>
      <c r="O42" s="66">
        <f t="shared" si="11"/>
        <v>1875</v>
      </c>
      <c r="P42" s="66">
        <f>IFERROR(IF(C42="","",IF($C42="TOTAL",SUM($P$8:P41),IF(AND(C42&gt;$AL$1,$AC$3=$AL$2),BO43,IF($AO$18=$AO$20,SUM(BB43+BJ43),ROUND((D42+E42)*10%,0))))),"")</f>
        <v>5944</v>
      </c>
      <c r="Q42" s="66">
        <f>IFERROR(IF(C42="","",IF(H42="","",IF(I42="","",IF($C42="TOTAL",SUM($Q$8:Q41),IF(AND(C42&gt;$AL$1,$AC$3=$AL$2),BO43,IF($AO$18=$AO$20,$AO$21,ROUND((H42+I42)*10%,0))))))),"")</f>
        <v>5768</v>
      </c>
      <c r="R42" s="66">
        <f t="shared" si="12"/>
        <v>176</v>
      </c>
      <c r="S42" s="67">
        <f>IFERROR(IF(C42="","",IF($AO$16=$AO$17,0,IF($C42="TOTAL",SUM($S$8:S41),IF($AO$19=$AO$31,0,IF(AND($AO$32=$AO$20,C42=$AO$33),$AO$34,S41))))),"")</f>
        <v>2100</v>
      </c>
      <c r="T42" s="67">
        <f>IFERROR(IF(C42="","",IF($AO$16=$AO$17,0,IF($C42="TOTAL",SUM($T$8:T41),IF($AO$19=$AO$20,$AO$24,0)))),"")</f>
        <v>2100</v>
      </c>
      <c r="U42" s="66">
        <f t="shared" si="13"/>
        <v>0</v>
      </c>
      <c r="V42" s="66" t="str">
        <f>IF(C42="","",IF($C42="TOTAL",SUM($V$8:V41),IF(AND($AO$2=$AO$20,C42=$AO$1),ROUND(D42/31*$AP$2,0),IF(C42=$AM$6,ROUND((G42)*1/30,0),IF(C42=$AN$6,ROUND((G42)*1/31,0),"")))))</f>
        <v/>
      </c>
      <c r="W42" s="66" t="str">
        <f>IF(C42="","",IF($C42="TOTAL",SUM($W$8:W41),IF(AND($AO$2=$AO$20,C42=$AO$1),ROUND(H42/31*$AP$2,0),IF(C42=$AM$6,ROUND((K42)*1/30,0),IF(C42=$AN$6,ROUND((K42)*1/31,0),"")))))</f>
        <v/>
      </c>
      <c r="X42" s="66" t="str">
        <f t="shared" si="14"/>
        <v/>
      </c>
      <c r="Y42" s="66" t="str">
        <f>IFERROR(IF(C42="","",IF(AND(BH43="",BO43=""),"",IF($C42="TOTAL",SUM($Y$8:Y41),BH43))),"")</f>
        <v/>
      </c>
      <c r="Z42" s="66">
        <f>IFERROR(IF(C42="","",IF($C42="TOTAL",SUM($Z$8:Z41),ROUND(O42*$AO$7%,0))),"")</f>
        <v>0</v>
      </c>
      <c r="AA42" s="66">
        <f>IFERROR(IF(C42="","",IF($C42="TOTAL",SUM($AA$8:AA41),IF($AC$3=$AL$2,SUM(U42,X42,Y42,Z42),SUM(R42,U42,X42,Y42,Z42)))),"")</f>
        <v>0</v>
      </c>
      <c r="AB42" s="68">
        <f>IFERROR(IF(C42="","",IF($C42="TOTAL",SUM($AB$8:AB41),SUM(O42-AA42))),"")</f>
        <v>1875</v>
      </c>
      <c r="AC42" s="15"/>
      <c r="AD42" s="15"/>
      <c r="AK42" s="90">
        <f t="shared" si="15"/>
        <v>17</v>
      </c>
      <c r="AL42" s="90">
        <f t="shared" si="16"/>
        <v>17</v>
      </c>
      <c r="AM42" s="91"/>
      <c r="AN42" s="92">
        <v>43739</v>
      </c>
      <c r="AO42" s="91"/>
      <c r="AP42" s="92">
        <f t="shared" si="44"/>
        <v>43739</v>
      </c>
      <c r="AQ42" s="92">
        <f t="shared" si="18"/>
        <v>43739</v>
      </c>
      <c r="AR42" s="92" t="str">
        <f t="shared" si="19"/>
        <v/>
      </c>
      <c r="AS42" s="92">
        <f t="shared" si="20"/>
        <v>43739</v>
      </c>
      <c r="AT42" s="92">
        <f t="shared" si="33"/>
        <v>43739</v>
      </c>
      <c r="AU42" s="91">
        <f t="shared" si="35"/>
        <v>50800</v>
      </c>
      <c r="AV42" s="91">
        <f t="shared" si="43"/>
        <v>8636</v>
      </c>
      <c r="AW42" s="91">
        <f t="shared" si="36"/>
        <v>4064</v>
      </c>
      <c r="AX42" s="91"/>
      <c r="AY42" s="91">
        <f t="shared" si="37"/>
        <v>49300</v>
      </c>
      <c r="AZ42" s="91">
        <f t="shared" si="21"/>
        <v>8381</v>
      </c>
      <c r="BA42" s="91">
        <f t="shared" si="38"/>
        <v>3944</v>
      </c>
      <c r="BB42" s="91">
        <f t="shared" si="34"/>
        <v>3675</v>
      </c>
      <c r="BC42" s="91"/>
      <c r="BD42" s="91"/>
      <c r="BE42" s="125">
        <f t="shared" si="39"/>
        <v>1875</v>
      </c>
      <c r="BF42" s="91">
        <f t="shared" si="40"/>
        <v>3675</v>
      </c>
      <c r="BG42" s="91" t="str">
        <f t="shared" si="25"/>
        <v/>
      </c>
      <c r="BH42" s="91" t="str">
        <f t="shared" si="26"/>
        <v/>
      </c>
      <c r="BI42" s="91">
        <f t="shared" si="41"/>
        <v>0</v>
      </c>
      <c r="BJ42" s="133">
        <f t="shared" si="42"/>
        <v>0</v>
      </c>
      <c r="BO42" s="28" t="str">
        <f t="shared" si="29"/>
        <v/>
      </c>
    </row>
    <row r="43" spans="1:67" s="28" customFormat="1" ht="21" customHeight="1">
      <c r="A43" s="140">
        <f t="shared" si="30"/>
        <v>36</v>
      </c>
      <c r="B43" s="64">
        <f t="shared" si="1"/>
        <v>36</v>
      </c>
      <c r="C43" s="65">
        <f t="shared" si="31"/>
        <v>43800</v>
      </c>
      <c r="D43" s="66">
        <f>IFERROR(IF($C42="TOTAL","अक्षरें राशि :-",IF($C43="TOTAL",SUM($D$8:D42),IF(AU44="","",AU44))),"")</f>
        <v>50800</v>
      </c>
      <c r="E43" s="66">
        <f>IFERROR(IF($C43="TOTAL",SUM($E$8:E42),IF(AV44="","",AV44)),"")</f>
        <v>8636</v>
      </c>
      <c r="F43" s="66">
        <f>IFERROR(IF($C43="TOTAL",SUM($F$8:F42),IF(OR(C43=$AM$16,C43=$AM$17,C43=$AM$18,C43=$AM$19,C43=$AM$20,C43=$AM$21,C43=$AM$22,C43=$AM$23,C43=$AM$24),0,IF(AW44="","",AW44))),"")</f>
        <v>4064</v>
      </c>
      <c r="G43" s="66">
        <f t="shared" si="32"/>
        <v>63500</v>
      </c>
      <c r="H43" s="66">
        <f>IFERROR(IF($C43="TOTAL",SUM($H$8:H42),IF(AY44="","",AY44)),"")</f>
        <v>49300</v>
      </c>
      <c r="I43" s="66">
        <f>IFERROR(IF($C43="TOTAL",SUM($I$8:I42),IF(AZ44="","",AZ44)),"")</f>
        <v>8381</v>
      </c>
      <c r="J43" s="66">
        <f>IFERROR(IF($C43="TOTAL",SUM($J$8:J42),IF(OR(C43=$AM$16,C43=$AM$17,C43=$AM$18,C43=$AM$19,C43=$AM$20,C43=$AM$21,C43=$AM$22,C43=$AM$23,C43=$AM$24),0,IF(BA44="","",BA44))),"")</f>
        <v>3944</v>
      </c>
      <c r="K43" s="66">
        <f t="shared" si="10"/>
        <v>61625</v>
      </c>
      <c r="L43" s="66">
        <f>IFERROR(IF(C43="","",IF(D43="","",IF(H43="","",IF($C43="TOTAL",SUM($L$8:L42),SUM(D43-H43))))),"")</f>
        <v>1500</v>
      </c>
      <c r="M43" s="66">
        <f>IFERROR(IF(C43="","",IF(E43="","",IF(I43="","",IF($C43="TOTAL",SUM($M$8:M42),SUM(E43-I43))))),"")</f>
        <v>255</v>
      </c>
      <c r="N43" s="66">
        <f>IFERROR(IF(C43="","",IF(F43="","",IF(J43="","",IF($C43="TOTAL",SUM($N$8:N42),SUM(F43-J43))))),"")</f>
        <v>120</v>
      </c>
      <c r="O43" s="66">
        <f t="shared" si="11"/>
        <v>1875</v>
      </c>
      <c r="P43" s="66">
        <f>IFERROR(IF(C43="","",IF($C43="TOTAL",SUM($P$8:P42),IF(AND(C43&gt;$AL$1,$AC$3=$AL$2),BO44,IF($AO$18=$AO$20,SUM(BB44+BJ44),ROUND((D43+E43)*10%,0))))),"")</f>
        <v>5944</v>
      </c>
      <c r="Q43" s="66">
        <f>IFERROR(IF(C43="","",IF(H43="","",IF(I43="","",IF($C43="TOTAL",SUM($Q$8:Q42),IF(AND(C43&gt;$AL$1,$AC$3=$AL$2),BO44,IF($AO$18=$AO$20,$AO$21,ROUND((H43+I43)*10%,0))))))),"")</f>
        <v>5768</v>
      </c>
      <c r="R43" s="66">
        <f t="shared" si="12"/>
        <v>176</v>
      </c>
      <c r="S43" s="67">
        <f>IFERROR(IF(C43="","",IF($AO$16=$AO$17,0,IF($C43="TOTAL",SUM($S$8:S42),IF($AO$19=$AO$31,0,IF(AND($AO$32=$AO$20,C43=$AO$33),$AO$34,S42))))),"")</f>
        <v>2100</v>
      </c>
      <c r="T43" s="67">
        <f>IFERROR(IF(C43="","",IF($AO$16=$AO$17,0,IF($C43="TOTAL",SUM($T$8:T42),IF($AO$19=$AO$20,$AO$24,0)))),"")</f>
        <v>2100</v>
      </c>
      <c r="U43" s="66">
        <f t="shared" si="13"/>
        <v>0</v>
      </c>
      <c r="V43" s="66" t="str">
        <f>IF(C43="","",IF($C43="TOTAL",SUM($V$8:V42),IF(AND($AO$2=$AO$20,C43=$AO$1),ROUND(D43/31*$AP$2,0),IF(C43=$AM$6,ROUND((G43)*1/30,0),IF(C43=$AN$6,ROUND((G43)*1/31,0),"")))))</f>
        <v/>
      </c>
      <c r="W43" s="66" t="str">
        <f>IF(C43="","",IF($C43="TOTAL",SUM($W$8:W42),IF(AND($AO$2=$AO$20,C43=$AO$1),ROUND(H43/31*$AP$2,0),IF(C43=$AM$6,ROUND((K43)*1/30,0),IF(C43=$AN$6,ROUND((K43)*1/31,0),"")))))</f>
        <v/>
      </c>
      <c r="X43" s="66" t="str">
        <f t="shared" si="14"/>
        <v/>
      </c>
      <c r="Y43" s="66" t="str">
        <f>IFERROR(IF(C43="","",IF(AND(BH44="",BO44=""),"",IF($C43="TOTAL",SUM($Y$8:Y42),BH44))),"")</f>
        <v/>
      </c>
      <c r="Z43" s="66">
        <f>IFERROR(IF(C43="","",IF($C43="TOTAL",SUM($Z$8:Z42),ROUND(O43*$AO$7%,0))),"")</f>
        <v>0</v>
      </c>
      <c r="AA43" s="66">
        <f>IFERROR(IF(C43="","",IF($C43="TOTAL",SUM($AA$8:AA42),IF($AC$3=$AL$2,SUM(U43,X43,Y43,Z43),SUM(R43,U43,X43,Y43,Z43)))),"")</f>
        <v>0</v>
      </c>
      <c r="AB43" s="68">
        <f>IFERROR(IF(C43="","",IF($C43="TOTAL",SUM($AB$8:AB42),SUM(O43-AA43))),"")</f>
        <v>1875</v>
      </c>
      <c r="AC43" s="15"/>
      <c r="AD43" s="15"/>
      <c r="AK43" s="90">
        <f t="shared" si="15"/>
        <v>17</v>
      </c>
      <c r="AL43" s="90">
        <f t="shared" si="16"/>
        <v>17</v>
      </c>
      <c r="AM43" s="91"/>
      <c r="AN43" s="92">
        <v>43770</v>
      </c>
      <c r="AO43" s="91"/>
      <c r="AP43" s="92">
        <f t="shared" si="44"/>
        <v>43770</v>
      </c>
      <c r="AQ43" s="92">
        <f t="shared" si="18"/>
        <v>43770</v>
      </c>
      <c r="AR43" s="92" t="str">
        <f t="shared" si="19"/>
        <v/>
      </c>
      <c r="AS43" s="92">
        <f t="shared" si="20"/>
        <v>43770</v>
      </c>
      <c r="AT43" s="92">
        <f t="shared" si="33"/>
        <v>43770</v>
      </c>
      <c r="AU43" s="91">
        <f t="shared" si="35"/>
        <v>50800</v>
      </c>
      <c r="AV43" s="91">
        <f t="shared" si="43"/>
        <v>8636</v>
      </c>
      <c r="AW43" s="91">
        <f t="shared" si="36"/>
        <v>4064</v>
      </c>
      <c r="AX43" s="91"/>
      <c r="AY43" s="91">
        <f t="shared" si="37"/>
        <v>49300</v>
      </c>
      <c r="AZ43" s="91">
        <f t="shared" si="21"/>
        <v>8381</v>
      </c>
      <c r="BA43" s="91">
        <f t="shared" si="38"/>
        <v>3944</v>
      </c>
      <c r="BB43" s="91">
        <f t="shared" si="34"/>
        <v>3675</v>
      </c>
      <c r="BC43" s="91"/>
      <c r="BD43" s="91"/>
      <c r="BE43" s="125">
        <f t="shared" si="39"/>
        <v>1875</v>
      </c>
      <c r="BF43" s="91">
        <f t="shared" si="40"/>
        <v>3675</v>
      </c>
      <c r="BG43" s="91" t="str">
        <f t="shared" si="25"/>
        <v/>
      </c>
      <c r="BH43" s="91" t="str">
        <f t="shared" si="26"/>
        <v/>
      </c>
      <c r="BI43" s="91">
        <f t="shared" si="41"/>
        <v>0</v>
      </c>
      <c r="BJ43" s="133">
        <f t="shared" si="42"/>
        <v>0</v>
      </c>
      <c r="BO43" s="28" t="str">
        <f t="shared" si="29"/>
        <v/>
      </c>
    </row>
    <row r="44" spans="1:67" s="28" customFormat="1" ht="21" customHeight="1">
      <c r="A44" s="140">
        <f t="shared" si="30"/>
        <v>37</v>
      </c>
      <c r="B44" s="64">
        <f t="shared" si="1"/>
        <v>37</v>
      </c>
      <c r="C44" s="65">
        <f t="shared" si="31"/>
        <v>43831</v>
      </c>
      <c r="D44" s="66">
        <f>IFERROR(IF($C43="TOTAL","अक्षरें राशि :-",IF($C44="TOTAL",SUM($D$8:D43),IF(AU45="","",AU45))),"")</f>
        <v>50800</v>
      </c>
      <c r="E44" s="66">
        <f>IFERROR(IF($C44="TOTAL",SUM($E$8:E43),IF(AV45="","",AV45)),"")</f>
        <v>8636</v>
      </c>
      <c r="F44" s="66">
        <f>IFERROR(IF($C44="TOTAL",SUM($F$8:F43),IF(OR(C44=$AM$16,C44=$AM$17,C44=$AM$18,C44=$AM$19,C44=$AM$20,C44=$AM$21,C44=$AM$22,C44=$AM$23,C44=$AM$24),0,IF(AW45="","",AW45))),"")</f>
        <v>4064</v>
      </c>
      <c r="G44" s="66">
        <f t="shared" si="32"/>
        <v>63500</v>
      </c>
      <c r="H44" s="66">
        <f>IFERROR(IF($C44="TOTAL",SUM($H$8:H43),IF(AY45="","",AY45)),"")</f>
        <v>49300</v>
      </c>
      <c r="I44" s="66">
        <f>IFERROR(IF($C44="TOTAL",SUM($I$8:I43),IF(AZ45="","",AZ45)),"")</f>
        <v>8381</v>
      </c>
      <c r="J44" s="66">
        <f>IFERROR(IF($C44="TOTAL",SUM($J$8:J43),IF(OR(C44=$AM$16,C44=$AM$17,C44=$AM$18,C44=$AM$19,C44=$AM$20,C44=$AM$21,C44=$AM$22,C44=$AM$23,C44=$AM$24),0,IF(BA45="","",BA45))),"")</f>
        <v>3944</v>
      </c>
      <c r="K44" s="66">
        <f t="shared" si="10"/>
        <v>61625</v>
      </c>
      <c r="L44" s="66">
        <f>IFERROR(IF(C44="","",IF(D44="","",IF(H44="","",IF($C44="TOTAL",SUM($L$8:L43),SUM(D44-H44))))),"")</f>
        <v>1500</v>
      </c>
      <c r="M44" s="66">
        <f>IFERROR(IF(C44="","",IF(E44="","",IF(I44="","",IF($C44="TOTAL",SUM($M$8:M43),SUM(E44-I44))))),"")</f>
        <v>255</v>
      </c>
      <c r="N44" s="66">
        <f>IFERROR(IF(C44="","",IF(F44="","",IF(J44="","",IF($C44="TOTAL",SUM($N$8:N43),SUM(F44-J44))))),"")</f>
        <v>120</v>
      </c>
      <c r="O44" s="66">
        <f t="shared" si="11"/>
        <v>1875</v>
      </c>
      <c r="P44" s="66">
        <f>IFERROR(IF(C44="","",IF($C44="TOTAL",SUM($P$8:P43),IF(AND(C44&gt;$AL$1,$AC$3=$AL$2),BO45,IF($AO$18=$AO$20,SUM(BB45+BJ45),ROUND((D44+E44)*10%,0))))),"")</f>
        <v>5944</v>
      </c>
      <c r="Q44" s="66">
        <f>IFERROR(IF(C44="","",IF(H44="","",IF(I44="","",IF($C44="TOTAL",SUM($Q$8:Q43),IF(AND(C44&gt;$AL$1,$AC$3=$AL$2),BO45,IF($AO$18=$AO$20,$AO$21,ROUND((H44+I44)*10%,0))))))),"")</f>
        <v>5768</v>
      </c>
      <c r="R44" s="66">
        <f t="shared" si="12"/>
        <v>176</v>
      </c>
      <c r="S44" s="67">
        <f>IFERROR(IF(C44="","",IF($AO$16=$AO$17,0,IF($C44="TOTAL",SUM($S$8:S43),IF($AO$19=$AO$31,0,IF(AND($AO$32=$AO$20,C44=$AO$33),$AO$34,S43))))),"")</f>
        <v>2100</v>
      </c>
      <c r="T44" s="67">
        <f>IFERROR(IF(C44="","",IF($AO$16=$AO$17,0,IF($C44="TOTAL",SUM($T$8:T43),IF($AO$19=$AO$20,$AO$24,0)))),"")</f>
        <v>2100</v>
      </c>
      <c r="U44" s="66">
        <f t="shared" si="13"/>
        <v>0</v>
      </c>
      <c r="V44" s="66" t="str">
        <f>IF(C44="","",IF($C44="TOTAL",SUM($V$8:V43),IF(AND($AO$2=$AO$20,C44=$AO$1),ROUND(D44/31*$AP$2,0),IF(C44=$AM$6,ROUND((G44)*1/30,0),IF(C44=$AN$6,ROUND((G44)*1/31,0),"")))))</f>
        <v/>
      </c>
      <c r="W44" s="66" t="str">
        <f>IF(C44="","",IF($C44="TOTAL",SUM($W$8:W43),IF(AND($AO$2=$AO$20,C44=$AO$1),ROUND(H44/31*$AP$2,0),IF(C44=$AM$6,ROUND((K44)*1/30,0),IF(C44=$AN$6,ROUND((K44)*1/31,0),"")))))</f>
        <v/>
      </c>
      <c r="X44" s="66" t="str">
        <f t="shared" si="14"/>
        <v/>
      </c>
      <c r="Y44" s="66" t="str">
        <f>IFERROR(IF(C44="","",IF(AND(BH45="",BO45=""),"",IF($C44="TOTAL",SUM($Y$8:Y43),BH45))),"")</f>
        <v/>
      </c>
      <c r="Z44" s="66">
        <f>IFERROR(IF(C44="","",IF($C44="TOTAL",SUM($Z$8:Z43),ROUND(O44*$AO$7%,0))),"")</f>
        <v>0</v>
      </c>
      <c r="AA44" s="66">
        <f>IFERROR(IF(C44="","",IF($C44="TOTAL",SUM($AA$8:AA43),IF($AC$3=$AL$2,SUM(U44,X44,Y44,Z44),SUM(R44,U44,X44,Y44,Z44)))),"")</f>
        <v>0</v>
      </c>
      <c r="AB44" s="68">
        <f>IFERROR(IF(C44="","",IF($C44="TOTAL",SUM($AB$8:AB43),SUM(O44-AA44))),"")</f>
        <v>1875</v>
      </c>
      <c r="AC44" s="15"/>
      <c r="AD44" s="15"/>
      <c r="AK44" s="90">
        <f t="shared" si="15"/>
        <v>17</v>
      </c>
      <c r="AL44" s="90">
        <f t="shared" si="16"/>
        <v>17</v>
      </c>
      <c r="AM44" s="91"/>
      <c r="AN44" s="92">
        <v>43800</v>
      </c>
      <c r="AO44" s="91"/>
      <c r="AP44" s="92">
        <f t="shared" si="44"/>
        <v>43800</v>
      </c>
      <c r="AQ44" s="92">
        <f t="shared" si="18"/>
        <v>43800</v>
      </c>
      <c r="AR44" s="92" t="str">
        <f t="shared" si="19"/>
        <v/>
      </c>
      <c r="AS44" s="92">
        <f t="shared" si="20"/>
        <v>43800</v>
      </c>
      <c r="AT44" s="92">
        <f t="shared" si="33"/>
        <v>43800</v>
      </c>
      <c r="AU44" s="91">
        <f t="shared" si="35"/>
        <v>50800</v>
      </c>
      <c r="AV44" s="91">
        <f t="shared" si="43"/>
        <v>8636</v>
      </c>
      <c r="AW44" s="91">
        <f t="shared" si="36"/>
        <v>4064</v>
      </c>
      <c r="AX44" s="91"/>
      <c r="AY44" s="91">
        <f t="shared" si="37"/>
        <v>49300</v>
      </c>
      <c r="AZ44" s="91">
        <f t="shared" si="21"/>
        <v>8381</v>
      </c>
      <c r="BA44" s="91">
        <f t="shared" si="38"/>
        <v>3944</v>
      </c>
      <c r="BB44" s="91">
        <f t="shared" si="34"/>
        <v>3675</v>
      </c>
      <c r="BC44" s="91"/>
      <c r="BD44" s="91"/>
      <c r="BE44" s="125">
        <f t="shared" si="39"/>
        <v>1875</v>
      </c>
      <c r="BF44" s="91">
        <f t="shared" si="40"/>
        <v>3675</v>
      </c>
      <c r="BG44" s="91" t="str">
        <f t="shared" si="25"/>
        <v/>
      </c>
      <c r="BH44" s="91" t="str">
        <f t="shared" si="26"/>
        <v/>
      </c>
      <c r="BI44" s="91">
        <f t="shared" si="41"/>
        <v>0</v>
      </c>
      <c r="BJ44" s="133">
        <f t="shared" si="42"/>
        <v>0</v>
      </c>
      <c r="BO44" s="28" t="str">
        <f t="shared" si="29"/>
        <v/>
      </c>
    </row>
    <row r="45" spans="1:67" s="28" customFormat="1" ht="21" customHeight="1">
      <c r="A45" s="140">
        <f t="shared" si="30"/>
        <v>38</v>
      </c>
      <c r="B45" s="64">
        <f t="shared" si="1"/>
        <v>38</v>
      </c>
      <c r="C45" s="65">
        <f t="shared" si="31"/>
        <v>43862</v>
      </c>
      <c r="D45" s="66">
        <f>IFERROR(IF($C44="TOTAL","अक्षरें राशि :-",IF($C45="TOTAL",SUM($D$8:D44),IF(AU46="","",AU46))),"")</f>
        <v>50800</v>
      </c>
      <c r="E45" s="66">
        <f>IFERROR(IF($C45="TOTAL",SUM($E$8:E44),IF(AV46="","",AV46)),"")</f>
        <v>8636</v>
      </c>
      <c r="F45" s="66">
        <f>IFERROR(IF($C45="TOTAL",SUM($F$8:F44),IF(OR(C45=$AM$16,C45=$AM$17,C45=$AM$18,C45=$AM$19,C45=$AM$20,C45=$AM$21,C45=$AM$22,C45=$AM$23,C45=$AM$24),0,IF(AW46="","",AW46))),"")</f>
        <v>4064</v>
      </c>
      <c r="G45" s="66">
        <f t="shared" si="32"/>
        <v>63500</v>
      </c>
      <c r="H45" s="66">
        <f>IFERROR(IF($C45="TOTAL",SUM($H$8:H44),IF(AY46="","",AY46)),"")</f>
        <v>49300</v>
      </c>
      <c r="I45" s="66">
        <f>IFERROR(IF($C45="TOTAL",SUM($I$8:I44),IF(AZ46="","",AZ46)),"")</f>
        <v>8381</v>
      </c>
      <c r="J45" s="66">
        <f>IFERROR(IF($C45="TOTAL",SUM($J$8:J44),IF(OR(C45=$AM$16,C45=$AM$17,C45=$AM$18,C45=$AM$19,C45=$AM$20,C45=$AM$21,C45=$AM$22,C45=$AM$23,C45=$AM$24),0,IF(BA46="","",BA46))),"")</f>
        <v>3944</v>
      </c>
      <c r="K45" s="66">
        <f t="shared" si="10"/>
        <v>61625</v>
      </c>
      <c r="L45" s="66">
        <f>IFERROR(IF(C45="","",IF(D45="","",IF(H45="","",IF($C45="TOTAL",SUM($L$8:L44),SUM(D45-H45))))),"")</f>
        <v>1500</v>
      </c>
      <c r="M45" s="66">
        <f>IFERROR(IF(C45="","",IF(E45="","",IF(I45="","",IF($C45="TOTAL",SUM($M$8:M44),SUM(E45-I45))))),"")</f>
        <v>255</v>
      </c>
      <c r="N45" s="66">
        <f>IFERROR(IF(C45="","",IF(F45="","",IF(J45="","",IF($C45="TOTAL",SUM($N$8:N44),SUM(F45-J45))))),"")</f>
        <v>120</v>
      </c>
      <c r="O45" s="66">
        <f t="shared" si="11"/>
        <v>1875</v>
      </c>
      <c r="P45" s="66">
        <f>IFERROR(IF(C45="","",IF($C45="TOTAL",SUM($P$8:P44),IF(AND(C45&gt;$AL$1,$AC$3=$AL$2),BO46,IF($AO$18=$AO$20,SUM(BB46+BJ46),ROUND((D45+E45)*10%,0))))),"")</f>
        <v>5944</v>
      </c>
      <c r="Q45" s="66">
        <f>IFERROR(IF(C45="","",IF(H45="","",IF(I45="","",IF($C45="TOTAL",SUM($Q$8:Q44),IF(AND(C45&gt;$AL$1,$AC$3=$AL$2),BO46,IF($AO$18=$AO$20,$AO$21,ROUND((H45+I45)*10%,0))))))),"")</f>
        <v>5768</v>
      </c>
      <c r="R45" s="66">
        <f t="shared" si="12"/>
        <v>176</v>
      </c>
      <c r="S45" s="67">
        <f>IFERROR(IF(C45="","",IF($AO$16=$AO$17,0,IF($C45="TOTAL",SUM($S$8:S44),IF($AO$19=$AO$31,0,IF(AND($AO$32=$AO$20,C45=$AO$33),$AO$34,S44))))),"")</f>
        <v>2100</v>
      </c>
      <c r="T45" s="67">
        <f>IFERROR(IF(C45="","",IF($AO$16=$AO$17,0,IF($C45="TOTAL",SUM($T$8:T44),IF($AO$19=$AO$20,$AO$24,0)))),"")</f>
        <v>2100</v>
      </c>
      <c r="U45" s="66">
        <f t="shared" si="13"/>
        <v>0</v>
      </c>
      <c r="V45" s="66" t="str">
        <f>IF(C45="","",IF($C45="TOTAL",SUM($V$8:V44),IF(AND($AO$2=$AO$20,C45=$AO$1),ROUND(D45/31*$AP$2,0),IF(C45=$AM$6,ROUND((G45)*1/30,0),IF(C45=$AN$6,ROUND((G45)*1/31,0),"")))))</f>
        <v/>
      </c>
      <c r="W45" s="66" t="str">
        <f>IF(C45="","",IF($C45="TOTAL",SUM($W$8:W44),IF(AND($AO$2=$AO$20,C45=$AO$1),ROUND(H45/31*$AP$2,0),IF(C45=$AM$6,ROUND((K45)*1/30,0),IF(C45=$AN$6,ROUND((K45)*1/31,0),"")))))</f>
        <v/>
      </c>
      <c r="X45" s="66" t="str">
        <f t="shared" si="14"/>
        <v/>
      </c>
      <c r="Y45" s="66" t="str">
        <f>IFERROR(IF(C45="","",IF(AND(BH46="",BO46=""),"",IF($C45="TOTAL",SUM($Y$8:Y44),BH46))),"")</f>
        <v/>
      </c>
      <c r="Z45" s="66">
        <f>IFERROR(IF(C45="","",IF($C45="TOTAL",SUM($Z$8:Z44),ROUND(O45*$AO$7%,0))),"")</f>
        <v>0</v>
      </c>
      <c r="AA45" s="66">
        <f>IFERROR(IF(C45="","",IF($C45="TOTAL",SUM($AA$8:AA44),IF($AC$3=$AL$2,SUM(U45,X45,Y45,Z45),SUM(R45,U45,X45,Y45,Z45)))),"")</f>
        <v>0</v>
      </c>
      <c r="AB45" s="68">
        <f>IFERROR(IF(C45="","",IF($C45="TOTAL",SUM($AB$8:AB44),SUM(O45-AA45))),"")</f>
        <v>1875</v>
      </c>
      <c r="AC45" s="15"/>
      <c r="AD45" s="15"/>
      <c r="AK45" s="90">
        <f t="shared" si="15"/>
        <v>17</v>
      </c>
      <c r="AL45" s="90">
        <f t="shared" si="16"/>
        <v>17</v>
      </c>
      <c r="AM45" s="91"/>
      <c r="AN45" s="92">
        <v>43831</v>
      </c>
      <c r="AO45" s="91"/>
      <c r="AP45" s="92">
        <f t="shared" si="44"/>
        <v>43831</v>
      </c>
      <c r="AQ45" s="92">
        <f t="shared" si="18"/>
        <v>43831</v>
      </c>
      <c r="AR45" s="92" t="str">
        <f t="shared" si="19"/>
        <v/>
      </c>
      <c r="AS45" s="92">
        <f t="shared" si="20"/>
        <v>43831</v>
      </c>
      <c r="AT45" s="92">
        <f t="shared" si="33"/>
        <v>43831</v>
      </c>
      <c r="AU45" s="91">
        <f t="shared" si="35"/>
        <v>50800</v>
      </c>
      <c r="AV45" s="91">
        <f t="shared" si="43"/>
        <v>8636</v>
      </c>
      <c r="AW45" s="91">
        <f t="shared" si="36"/>
        <v>4064</v>
      </c>
      <c r="AX45" s="91"/>
      <c r="AY45" s="91">
        <f t="shared" si="37"/>
        <v>49300</v>
      </c>
      <c r="AZ45" s="91">
        <f t="shared" si="21"/>
        <v>8381</v>
      </c>
      <c r="BA45" s="91">
        <f t="shared" si="38"/>
        <v>3944</v>
      </c>
      <c r="BB45" s="91">
        <f t="shared" si="34"/>
        <v>3675</v>
      </c>
      <c r="BC45" s="91"/>
      <c r="BD45" s="91"/>
      <c r="BE45" s="125">
        <f t="shared" si="39"/>
        <v>1875</v>
      </c>
      <c r="BF45" s="91">
        <f t="shared" si="40"/>
        <v>3675</v>
      </c>
      <c r="BG45" s="91" t="str">
        <f t="shared" si="25"/>
        <v/>
      </c>
      <c r="BH45" s="91" t="str">
        <f t="shared" si="26"/>
        <v/>
      </c>
      <c r="BI45" s="91">
        <f t="shared" si="41"/>
        <v>0</v>
      </c>
      <c r="BJ45" s="133">
        <f t="shared" si="42"/>
        <v>0</v>
      </c>
      <c r="BO45" s="28" t="str">
        <f t="shared" si="29"/>
        <v/>
      </c>
    </row>
    <row r="46" spans="1:67" s="28" customFormat="1" ht="21" customHeight="1">
      <c r="A46" s="140">
        <f t="shared" si="30"/>
        <v>39</v>
      </c>
      <c r="B46" s="64">
        <f t="shared" si="1"/>
        <v>39</v>
      </c>
      <c r="C46" s="65">
        <f t="shared" si="31"/>
        <v>43891</v>
      </c>
      <c r="D46" s="66">
        <f>IFERROR(IF($C45="TOTAL","अक्षरें राशि :-",IF($C46="TOTAL",SUM($D$8:D45),IF(AU47="","",AU47))),"")</f>
        <v>50800</v>
      </c>
      <c r="E46" s="66">
        <f>IFERROR(IF($C46="TOTAL",SUM($E$8:E45),IF(AV47="","",AV47)),"")</f>
        <v>8636</v>
      </c>
      <c r="F46" s="66">
        <f>IFERROR(IF($C46="TOTAL",SUM($F$8:F45),IF(OR(C46=$AM$16,C46=$AM$17,C46=$AM$18,C46=$AM$19,C46=$AM$20,C46=$AM$21,C46=$AM$22,C46=$AM$23,C46=$AM$24),0,IF(AW47="","",AW47))),"")</f>
        <v>4064</v>
      </c>
      <c r="G46" s="66">
        <f t="shared" si="32"/>
        <v>63500</v>
      </c>
      <c r="H46" s="66">
        <f>IFERROR(IF($C46="TOTAL",SUM($H$8:H45),IF(AY47="","",AY47)),"")</f>
        <v>49300</v>
      </c>
      <c r="I46" s="66">
        <f>IFERROR(IF($C46="TOTAL",SUM($I$8:I45),IF(AZ47="","",AZ47)),"")</f>
        <v>8381</v>
      </c>
      <c r="J46" s="66">
        <f>IFERROR(IF($C46="TOTAL",SUM($J$8:J45),IF(OR(C46=$AM$16,C46=$AM$17,C46=$AM$18,C46=$AM$19,C46=$AM$20,C46=$AM$21,C46=$AM$22,C46=$AM$23,C46=$AM$24),0,IF(BA47="","",BA47))),"")</f>
        <v>3944</v>
      </c>
      <c r="K46" s="66">
        <f t="shared" si="10"/>
        <v>61625</v>
      </c>
      <c r="L46" s="66">
        <f>IFERROR(IF(C46="","",IF(D46="","",IF(H46="","",IF($C46="TOTAL",SUM($L$8:L45),SUM(D46-H46))))),"")</f>
        <v>1500</v>
      </c>
      <c r="M46" s="66">
        <f>IFERROR(IF(C46="","",IF(E46="","",IF(I46="","",IF($C46="TOTAL",SUM($M$8:M45),SUM(E46-I46))))),"")</f>
        <v>255</v>
      </c>
      <c r="N46" s="66">
        <f>IFERROR(IF(C46="","",IF(F46="","",IF(J46="","",IF($C46="TOTAL",SUM($N$8:N45),SUM(F46-J46))))),"")</f>
        <v>120</v>
      </c>
      <c r="O46" s="66">
        <f t="shared" si="11"/>
        <v>1875</v>
      </c>
      <c r="P46" s="66">
        <f>IFERROR(IF(C46="","",IF($C46="TOTAL",SUM($P$8:P45),IF(AND(C46&gt;$AL$1,$AC$3=$AL$2),BO47,IF($AO$18=$AO$20,SUM(BB47+BJ47),ROUND((D46+E46)*10%,0))))),"")</f>
        <v>5944</v>
      </c>
      <c r="Q46" s="66">
        <f>IFERROR(IF(C46="","",IF(H46="","",IF(I46="","",IF($C46="TOTAL",SUM($Q$8:Q45),IF(AND(C46&gt;$AL$1,$AC$3=$AL$2),BO47,IF($AO$18=$AO$20,$AO$21,ROUND((H46+I46)*10%,0))))))),"")</f>
        <v>5768</v>
      </c>
      <c r="R46" s="66">
        <f t="shared" si="12"/>
        <v>176</v>
      </c>
      <c r="S46" s="67">
        <f>IFERROR(IF(C46="","",IF($AO$16=$AO$17,0,IF($C46="TOTAL",SUM($S$8:S45),IF($AO$19=$AO$31,0,IF(AND($AO$32=$AO$20,C46=$AO$33),$AO$34,S45))))),"")</f>
        <v>2100</v>
      </c>
      <c r="T46" s="67">
        <f>IFERROR(IF(C46="","",IF($AO$16=$AO$17,0,IF($C46="TOTAL",SUM($T$8:T45),IF($AO$19=$AO$20,$AO$24,0)))),"")</f>
        <v>2100</v>
      </c>
      <c r="U46" s="66">
        <f t="shared" si="13"/>
        <v>0</v>
      </c>
      <c r="V46" s="66">
        <f>IF(C46="","",IF($C46="TOTAL",SUM($V$8:V45),IF(AND($AO$2=$AO$20,C46=$AO$1),ROUND(D46/31*$AP$2,0),IF(C46=$AM$6,ROUND((G46)*1/30,0),IF(C46=$AN$6,ROUND((G46)*1/31,0),"")))))</f>
        <v>4916</v>
      </c>
      <c r="W46" s="66">
        <f>IF(C46="","",IF($C46="TOTAL",SUM($W$8:W45),IF(AND($AO$2=$AO$20,C46=$AO$1),ROUND(H46/31*$AP$2,0),IF(C46=$AM$6,ROUND((K46)*1/30,0),IF(C46=$AN$6,ROUND((K46)*1/31,0),"")))))</f>
        <v>4771</v>
      </c>
      <c r="X46" s="66">
        <f t="shared" si="14"/>
        <v>145</v>
      </c>
      <c r="Y46" s="66" t="str">
        <f>IFERROR(IF(C46="","",IF(AND(BH47="",BO47=""),"",IF($C46="TOTAL",SUM($Y$8:Y45),BH47))),"")</f>
        <v/>
      </c>
      <c r="Z46" s="66">
        <f>IFERROR(IF(C46="","",IF($C46="TOTAL",SUM($Z$8:Z45),ROUND(O46*$AO$7%,0))),"")</f>
        <v>0</v>
      </c>
      <c r="AA46" s="66">
        <f>IFERROR(IF(C46="","",IF($C46="TOTAL",SUM($AA$8:AA45),IF($AC$3=$AL$2,SUM(U46,X46,Y46,Z46),SUM(R46,U46,X46,Y46,Z46)))),"")</f>
        <v>145</v>
      </c>
      <c r="AB46" s="68">
        <f>IFERROR(IF(C46="","",IF($C46="TOTAL",SUM($AB$8:AB45),SUM(O46-AA46))),"")</f>
        <v>1730</v>
      </c>
      <c r="AC46" s="15"/>
      <c r="AD46" s="15"/>
      <c r="AK46" s="90">
        <f t="shared" si="15"/>
        <v>17</v>
      </c>
      <c r="AL46" s="90">
        <f t="shared" si="16"/>
        <v>17</v>
      </c>
      <c r="AM46" s="91"/>
      <c r="AN46" s="92">
        <v>43862</v>
      </c>
      <c r="AO46" s="91"/>
      <c r="AP46" s="92">
        <f t="shared" si="44"/>
        <v>43862</v>
      </c>
      <c r="AQ46" s="92">
        <f t="shared" si="18"/>
        <v>43862</v>
      </c>
      <c r="AR46" s="92" t="str">
        <f t="shared" si="19"/>
        <v/>
      </c>
      <c r="AS46" s="92">
        <f t="shared" si="20"/>
        <v>43862</v>
      </c>
      <c r="AT46" s="92">
        <f t="shared" si="33"/>
        <v>43862</v>
      </c>
      <c r="AU46" s="91">
        <f t="shared" si="35"/>
        <v>50800</v>
      </c>
      <c r="AV46" s="91">
        <f t="shared" si="43"/>
        <v>8636</v>
      </c>
      <c r="AW46" s="91">
        <f t="shared" si="36"/>
        <v>4064</v>
      </c>
      <c r="AX46" s="91"/>
      <c r="AY46" s="91">
        <f t="shared" si="37"/>
        <v>49300</v>
      </c>
      <c r="AZ46" s="91">
        <f t="shared" si="21"/>
        <v>8381</v>
      </c>
      <c r="BA46" s="91">
        <f t="shared" si="38"/>
        <v>3944</v>
      </c>
      <c r="BB46" s="91">
        <f t="shared" si="34"/>
        <v>3675</v>
      </c>
      <c r="BC46" s="91"/>
      <c r="BD46" s="91"/>
      <c r="BE46" s="125">
        <f t="shared" si="39"/>
        <v>1875</v>
      </c>
      <c r="BF46" s="91">
        <f t="shared" si="40"/>
        <v>3675</v>
      </c>
      <c r="BG46" s="91" t="str">
        <f t="shared" si="25"/>
        <v/>
      </c>
      <c r="BH46" s="91" t="str">
        <f t="shared" si="26"/>
        <v/>
      </c>
      <c r="BI46" s="91">
        <f t="shared" si="41"/>
        <v>0</v>
      </c>
      <c r="BJ46" s="133">
        <f t="shared" si="42"/>
        <v>0</v>
      </c>
      <c r="BO46" s="28" t="str">
        <f t="shared" si="29"/>
        <v/>
      </c>
    </row>
    <row r="47" spans="1:67" s="28" customFormat="1" ht="21" customHeight="1">
      <c r="A47" s="140">
        <f t="shared" si="30"/>
        <v>40</v>
      </c>
      <c r="B47" s="64">
        <f t="shared" si="1"/>
        <v>40</v>
      </c>
      <c r="C47" s="65">
        <f t="shared" si="31"/>
        <v>43922</v>
      </c>
      <c r="D47" s="66">
        <f>IFERROR(IF($C46="TOTAL","अक्षरें राशि :-",IF($C47="TOTAL",SUM($D$8:D46),IF(AU48="","",AU48))),"")</f>
        <v>50800</v>
      </c>
      <c r="E47" s="66">
        <f>IFERROR(IF($C47="TOTAL",SUM($E$8:E46),IF(AV48="","",AV48)),"")</f>
        <v>8636</v>
      </c>
      <c r="F47" s="66">
        <f>IFERROR(IF($C47="TOTAL",SUM($F$8:F46),IF(OR(C47=$AM$16,C47=$AM$17,C47=$AM$18,C47=$AM$19,C47=$AM$20,C47=$AM$21,C47=$AM$22,C47=$AM$23,C47=$AM$24),0,IF(AW48="","",AW48))),"")</f>
        <v>4064</v>
      </c>
      <c r="G47" s="66">
        <f t="shared" si="32"/>
        <v>63500</v>
      </c>
      <c r="H47" s="66">
        <f>IFERROR(IF($C47="TOTAL",SUM($H$8:H46),IF(AY48="","",AY48)),"")</f>
        <v>49300</v>
      </c>
      <c r="I47" s="66">
        <f>IFERROR(IF($C47="TOTAL",SUM($I$8:I46),IF(AZ48="","",AZ48)),"")</f>
        <v>8381</v>
      </c>
      <c r="J47" s="66">
        <f>IFERROR(IF($C47="TOTAL",SUM($J$8:J46),IF(OR(C47=$AM$16,C47=$AM$17,C47=$AM$18,C47=$AM$19,C47=$AM$20,C47=$AM$21,C47=$AM$22,C47=$AM$23,C47=$AM$24),0,IF(BA48="","",BA48))),"")</f>
        <v>3944</v>
      </c>
      <c r="K47" s="66">
        <f t="shared" si="10"/>
        <v>61625</v>
      </c>
      <c r="L47" s="66">
        <f>IFERROR(IF(C47="","",IF(D47="","",IF(H47="","",IF($C47="TOTAL",SUM($L$8:L46),SUM(D47-H47))))),"")</f>
        <v>1500</v>
      </c>
      <c r="M47" s="66">
        <f>IFERROR(IF(C47="","",IF(E47="","",IF(I47="","",IF($C47="TOTAL",SUM($M$8:M46),SUM(E47-I47))))),"")</f>
        <v>255</v>
      </c>
      <c r="N47" s="66">
        <f>IFERROR(IF(C47="","",IF(F47="","",IF(J47="","",IF($C47="TOTAL",SUM($N$8:N46),SUM(F47-J47))))),"")</f>
        <v>120</v>
      </c>
      <c r="O47" s="66">
        <f t="shared" si="11"/>
        <v>1875</v>
      </c>
      <c r="P47" s="66">
        <f>IFERROR(IF(C47="","",IF($C47="TOTAL",SUM($P$8:P46),IF(AND(C47&gt;$AL$1,$AC$3=$AL$2),BO48,IF($AO$18=$AO$20,SUM(BB48+BJ48),ROUND((D47+E47)*10%,0))))),"")</f>
        <v>5944</v>
      </c>
      <c r="Q47" s="66">
        <f>IFERROR(IF(C47="","",IF(H47="","",IF(I47="","",IF($C47="TOTAL",SUM($Q$8:Q46),IF(AND(C47&gt;$AL$1,$AC$3=$AL$2),BO48,IF($AO$18=$AO$20,$AO$21,ROUND((H47+I47)*10%,0))))))),"")</f>
        <v>5768</v>
      </c>
      <c r="R47" s="66">
        <f t="shared" si="12"/>
        <v>176</v>
      </c>
      <c r="S47" s="67">
        <f>IFERROR(IF(C47="","",IF($AO$16=$AO$17,0,IF($C47="TOTAL",SUM($S$8:S46),IF($AO$19=$AO$31,0,IF(AND($AO$32=$AO$20,C47=$AO$33),$AO$34,S46))))),"")</f>
        <v>2100</v>
      </c>
      <c r="T47" s="67">
        <f>IFERROR(IF(C47="","",IF($AO$16=$AO$17,0,IF($C47="TOTAL",SUM($T$8:T46),IF($AO$19=$AO$20,$AO$24,0)))),"")</f>
        <v>2100</v>
      </c>
      <c r="U47" s="66">
        <f t="shared" si="13"/>
        <v>0</v>
      </c>
      <c r="V47" s="66" t="str">
        <f>IF(C47="","",IF($C47="TOTAL",SUM($V$8:V46),IF(AND($AO$2=$AO$20,C47=$AO$1),ROUND(D47/31*$AP$2,0),IF(C47=$AM$6,ROUND((G47)*1/30,0),IF(C47=$AN$6,ROUND((G47)*1/31,0),"")))))</f>
        <v/>
      </c>
      <c r="W47" s="66" t="str">
        <f>IF(C47="","",IF($C47="TOTAL",SUM($W$8:W46),IF(AND($AO$2=$AO$20,C47=$AO$1),ROUND(H47/31*$AP$2,0),IF(C47=$AM$6,ROUND((K47)*1/30,0),IF(C47=$AN$6,ROUND((K47)*1/31,0),"")))))</f>
        <v/>
      </c>
      <c r="X47" s="66" t="str">
        <f t="shared" si="14"/>
        <v/>
      </c>
      <c r="Y47" s="66" t="str">
        <f>IFERROR(IF(C47="","",IF(AND(BH48="",BO48=""),"",IF($C47="TOTAL",SUM($Y$8:Y46),BH48))),"")</f>
        <v/>
      </c>
      <c r="Z47" s="66">
        <f>IFERROR(IF(C47="","",IF($C47="TOTAL",SUM($Z$8:Z46),ROUND(O47*$AO$7%,0))),"")</f>
        <v>0</v>
      </c>
      <c r="AA47" s="66">
        <f>IFERROR(IF(C47="","",IF($C47="TOTAL",SUM($AA$8:AA46),IF($AC$3=$AL$2,SUM(U47,X47,Y47,Z47),SUM(R47,U47,X47,Y47,Z47)))),"")</f>
        <v>0</v>
      </c>
      <c r="AB47" s="68">
        <f>IFERROR(IF(C47="","",IF($C47="TOTAL",SUM($AB$8:AB46),SUM(O47-AA47))),"")</f>
        <v>1875</v>
      </c>
      <c r="AC47" s="15"/>
      <c r="AD47" s="15"/>
      <c r="AK47" s="90">
        <f t="shared" si="15"/>
        <v>17</v>
      </c>
      <c r="AL47" s="90">
        <f t="shared" si="16"/>
        <v>17</v>
      </c>
      <c r="AM47" s="91"/>
      <c r="AN47" s="92">
        <v>43891</v>
      </c>
      <c r="AO47" s="91"/>
      <c r="AP47" s="92">
        <f t="shared" si="44"/>
        <v>43891</v>
      </c>
      <c r="AQ47" s="92">
        <f t="shared" si="18"/>
        <v>43891</v>
      </c>
      <c r="AR47" s="92" t="str">
        <f t="shared" si="19"/>
        <v/>
      </c>
      <c r="AS47" s="92">
        <f t="shared" si="20"/>
        <v>43891</v>
      </c>
      <c r="AT47" s="92">
        <f t="shared" si="33"/>
        <v>43891</v>
      </c>
      <c r="AU47" s="91">
        <f t="shared" si="35"/>
        <v>50800</v>
      </c>
      <c r="AV47" s="91">
        <f t="shared" si="43"/>
        <v>8636</v>
      </c>
      <c r="AW47" s="91">
        <f t="shared" si="36"/>
        <v>4064</v>
      </c>
      <c r="AX47" s="91"/>
      <c r="AY47" s="91">
        <f t="shared" si="37"/>
        <v>49300</v>
      </c>
      <c r="AZ47" s="91">
        <f t="shared" si="21"/>
        <v>8381</v>
      </c>
      <c r="BA47" s="91">
        <f t="shared" si="38"/>
        <v>3944</v>
      </c>
      <c r="BB47" s="91">
        <f t="shared" si="34"/>
        <v>3675</v>
      </c>
      <c r="BC47" s="91"/>
      <c r="BD47" s="91"/>
      <c r="BE47" s="125">
        <f t="shared" si="39"/>
        <v>1730</v>
      </c>
      <c r="BF47" s="91">
        <f t="shared" si="40"/>
        <v>3675</v>
      </c>
      <c r="BG47" s="91" t="str">
        <f t="shared" si="25"/>
        <v/>
      </c>
      <c r="BH47" s="91" t="str">
        <f t="shared" si="26"/>
        <v/>
      </c>
      <c r="BI47" s="91">
        <f t="shared" si="41"/>
        <v>0</v>
      </c>
      <c r="BJ47" s="133">
        <f t="shared" si="42"/>
        <v>0</v>
      </c>
      <c r="BO47" s="28" t="str">
        <f t="shared" si="29"/>
        <v/>
      </c>
    </row>
    <row r="48" spans="1:67" s="28" customFormat="1" ht="21" customHeight="1">
      <c r="A48" s="140">
        <f t="shared" si="30"/>
        <v>41</v>
      </c>
      <c r="B48" s="64">
        <f t="shared" si="1"/>
        <v>41</v>
      </c>
      <c r="C48" s="65">
        <f t="shared" si="31"/>
        <v>43952</v>
      </c>
      <c r="D48" s="66">
        <f>IFERROR(IF($C47="TOTAL","अक्षरें राशि :-",IF($C48="TOTAL",SUM($D$8:D47),IF(AU49="","",AU49))),"")</f>
        <v>50800</v>
      </c>
      <c r="E48" s="66">
        <f>IFERROR(IF($C48="TOTAL",SUM($E$8:E47),IF(AV49="","",AV49)),"")</f>
        <v>8636</v>
      </c>
      <c r="F48" s="66">
        <f>IFERROR(IF($C48="TOTAL",SUM($F$8:F47),IF(OR(C48=$AM$16,C48=$AM$17,C48=$AM$18,C48=$AM$19,C48=$AM$20,C48=$AM$21,C48=$AM$22,C48=$AM$23,C48=$AM$24),0,IF(AW49="","",AW49))),"")</f>
        <v>4064</v>
      </c>
      <c r="G48" s="66">
        <f t="shared" si="32"/>
        <v>63500</v>
      </c>
      <c r="H48" s="66">
        <f>IFERROR(IF($C48="TOTAL",SUM($H$8:H47),IF(AY49="","",AY49)),"")</f>
        <v>49300</v>
      </c>
      <c r="I48" s="66">
        <f>IFERROR(IF($C48="TOTAL",SUM($I$8:I47),IF(AZ49="","",AZ49)),"")</f>
        <v>8381</v>
      </c>
      <c r="J48" s="66">
        <f>IFERROR(IF($C48="TOTAL",SUM($J$8:J47),IF(OR(C48=$AM$16,C48=$AM$17,C48=$AM$18,C48=$AM$19,C48=$AM$20,C48=$AM$21,C48=$AM$22,C48=$AM$23,C48=$AM$24),0,IF(BA49="","",BA49))),"")</f>
        <v>3944</v>
      </c>
      <c r="K48" s="66">
        <f t="shared" si="10"/>
        <v>61625</v>
      </c>
      <c r="L48" s="66">
        <f>IFERROR(IF(C48="","",IF(D48="","",IF(H48="","",IF($C48="TOTAL",SUM($L$8:L47),SUM(D48-H48))))),"")</f>
        <v>1500</v>
      </c>
      <c r="M48" s="66">
        <f>IFERROR(IF(C48="","",IF(E48="","",IF(I48="","",IF($C48="TOTAL",SUM($M$8:M47),SUM(E48-I48))))),"")</f>
        <v>255</v>
      </c>
      <c r="N48" s="66">
        <f>IFERROR(IF(C48="","",IF(F48="","",IF(J48="","",IF($C48="TOTAL",SUM($N$8:N47),SUM(F48-J48))))),"")</f>
        <v>120</v>
      </c>
      <c r="O48" s="66">
        <f t="shared" si="11"/>
        <v>1875</v>
      </c>
      <c r="P48" s="66">
        <f>IFERROR(IF(C48="","",IF($C48="TOTAL",SUM($P$8:P47),IF(AND(C48&gt;$AL$1,$AC$3=$AL$2),BO49,IF($AO$18=$AO$20,SUM(BB49+BJ49),ROUND((D48+E48)*10%,0))))),"")</f>
        <v>5944</v>
      </c>
      <c r="Q48" s="66">
        <f>IFERROR(IF(C48="","",IF(H48="","",IF(I48="","",IF($C48="TOTAL",SUM($Q$8:Q47),IF(AND(C48&gt;$AL$1,$AC$3=$AL$2),BO49,IF($AO$18=$AO$20,$AO$21,ROUND((H48+I48)*10%,0))))))),"")</f>
        <v>5768</v>
      </c>
      <c r="R48" s="66">
        <f t="shared" si="12"/>
        <v>176</v>
      </c>
      <c r="S48" s="67">
        <f>IFERROR(IF(C48="","",IF($AO$16=$AO$17,0,IF($C48="TOTAL",SUM($S$8:S47),IF($AO$19=$AO$31,0,IF(AND($AO$32=$AO$20,C48=$AO$33),$AO$34,S47))))),"")</f>
        <v>2100</v>
      </c>
      <c r="T48" s="67">
        <f>IFERROR(IF(C48="","",IF($AO$16=$AO$17,0,IF($C48="TOTAL",SUM($T$8:T47),IF($AO$19=$AO$20,$AO$24,0)))),"")</f>
        <v>2100</v>
      </c>
      <c r="U48" s="66">
        <f t="shared" si="13"/>
        <v>0</v>
      </c>
      <c r="V48" s="66" t="str">
        <f>IF(C48="","",IF($C48="TOTAL",SUM($V$8:V47),IF(AND($AO$2=$AO$20,C48=$AO$1),ROUND(D48/31*$AP$2,0),IF(C48=$AM$6,ROUND((G48)*1/30,0),IF(C48=$AN$6,ROUND((G48)*1/31,0),"")))))</f>
        <v/>
      </c>
      <c r="W48" s="66" t="str">
        <f>IF(C48="","",IF($C48="TOTAL",SUM($W$8:W47),IF(AND($AO$2=$AO$20,C48=$AO$1),ROUND(H48/31*$AP$2,0),IF(C48=$AM$6,ROUND((K48)*1/30,0),IF(C48=$AN$6,ROUND((K48)*1/31,0),"")))))</f>
        <v/>
      </c>
      <c r="X48" s="66" t="str">
        <f t="shared" si="14"/>
        <v/>
      </c>
      <c r="Y48" s="66" t="str">
        <f>IFERROR(IF(C48="","",IF(AND(BH49="",BO49=""),"",IF($C48="TOTAL",SUM($Y$8:Y47),BH49))),"")</f>
        <v/>
      </c>
      <c r="Z48" s="66">
        <f>IFERROR(IF(C48="","",IF($C48="TOTAL",SUM($Z$8:Z47),ROUND(O48*$AO$7%,0))),"")</f>
        <v>0</v>
      </c>
      <c r="AA48" s="66">
        <f>IFERROR(IF(C48="","",IF($C48="TOTAL",SUM($AA$8:AA47),IF($AC$3=$AL$2,SUM(U48,X48,Y48,Z48),SUM(R48,U48,X48,Y48,Z48)))),"")</f>
        <v>0</v>
      </c>
      <c r="AB48" s="68">
        <f>IFERROR(IF(C48="","",IF($C48="TOTAL",SUM($AB$8:AB47),SUM(O48-AA48))),"")</f>
        <v>1875</v>
      </c>
      <c r="AC48" s="15"/>
      <c r="AD48" s="15"/>
      <c r="AK48" s="90">
        <f t="shared" si="15"/>
        <v>17</v>
      </c>
      <c r="AL48" s="90">
        <f t="shared" si="16"/>
        <v>17</v>
      </c>
      <c r="AM48" s="91"/>
      <c r="AN48" s="92">
        <v>43922</v>
      </c>
      <c r="AO48" s="91"/>
      <c r="AP48" s="92">
        <f t="shared" si="44"/>
        <v>43922</v>
      </c>
      <c r="AQ48" s="92">
        <f t="shared" si="18"/>
        <v>43922</v>
      </c>
      <c r="AR48" s="92" t="str">
        <f t="shared" si="19"/>
        <v/>
      </c>
      <c r="AS48" s="92">
        <f t="shared" si="20"/>
        <v>43922</v>
      </c>
      <c r="AT48" s="92">
        <f t="shared" si="33"/>
        <v>43922</v>
      </c>
      <c r="AU48" s="91">
        <f t="shared" si="35"/>
        <v>50800</v>
      </c>
      <c r="AV48" s="91">
        <f t="shared" si="43"/>
        <v>8636</v>
      </c>
      <c r="AW48" s="91">
        <f t="shared" si="36"/>
        <v>4064</v>
      </c>
      <c r="AX48" s="91"/>
      <c r="AY48" s="91">
        <f t="shared" si="37"/>
        <v>49300</v>
      </c>
      <c r="AZ48" s="91">
        <f t="shared" si="21"/>
        <v>8381</v>
      </c>
      <c r="BA48" s="91">
        <f t="shared" si="38"/>
        <v>3944</v>
      </c>
      <c r="BB48" s="91">
        <f t="shared" si="34"/>
        <v>3675</v>
      </c>
      <c r="BC48" s="91"/>
      <c r="BD48" s="91"/>
      <c r="BE48" s="125">
        <f t="shared" si="39"/>
        <v>1875</v>
      </c>
      <c r="BF48" s="91">
        <f t="shared" si="40"/>
        <v>3675</v>
      </c>
      <c r="BG48" s="91" t="str">
        <f t="shared" si="25"/>
        <v/>
      </c>
      <c r="BH48" s="91" t="str">
        <f t="shared" si="26"/>
        <v/>
      </c>
      <c r="BI48" s="91">
        <f t="shared" si="41"/>
        <v>0</v>
      </c>
      <c r="BJ48" s="133">
        <f t="shared" si="42"/>
        <v>0</v>
      </c>
      <c r="BO48" s="28" t="str">
        <f t="shared" si="29"/>
        <v/>
      </c>
    </row>
    <row r="49" spans="1:68" s="28" customFormat="1" ht="21" customHeight="1">
      <c r="A49" s="140">
        <f t="shared" si="30"/>
        <v>42</v>
      </c>
      <c r="B49" s="64">
        <f t="shared" si="1"/>
        <v>42</v>
      </c>
      <c r="C49" s="65">
        <f t="shared" si="31"/>
        <v>43983</v>
      </c>
      <c r="D49" s="66">
        <f>IFERROR(IF($C48="TOTAL","अक्षरें राशि :-",IF($C49="TOTAL",SUM($D$8:D48),IF(AU50="","",AU50))),"")</f>
        <v>50800</v>
      </c>
      <c r="E49" s="66">
        <f>IFERROR(IF($C49="TOTAL",SUM($E$8:E48),IF(AV50="","",AV50)),"")</f>
        <v>8636</v>
      </c>
      <c r="F49" s="66">
        <f>IFERROR(IF($C49="TOTAL",SUM($F$8:F48),IF(OR(C49=$AM$16,C49=$AM$17,C49=$AM$18,C49=$AM$19,C49=$AM$20,C49=$AM$21,C49=$AM$22,C49=$AM$23,C49=$AM$24),0,IF(AW50="","",AW50))),"")</f>
        <v>4064</v>
      </c>
      <c r="G49" s="66">
        <f t="shared" si="32"/>
        <v>63500</v>
      </c>
      <c r="H49" s="66">
        <f>IFERROR(IF($C49="TOTAL",SUM($H$8:H48),IF(AY50="","",AY50)),"")</f>
        <v>49300</v>
      </c>
      <c r="I49" s="66">
        <f>IFERROR(IF($C49="TOTAL",SUM($I$8:I48),IF(AZ50="","",AZ50)),"")</f>
        <v>8381</v>
      </c>
      <c r="J49" s="66">
        <f>IFERROR(IF($C49="TOTAL",SUM($J$8:J48),IF(OR(C49=$AM$16,C49=$AM$17,C49=$AM$18,C49=$AM$19,C49=$AM$20,C49=$AM$21,C49=$AM$22,C49=$AM$23,C49=$AM$24),0,IF(BA50="","",BA50))),"")</f>
        <v>3944</v>
      </c>
      <c r="K49" s="66">
        <f t="shared" si="10"/>
        <v>61625</v>
      </c>
      <c r="L49" s="66">
        <f>IFERROR(IF(C49="","",IF(D49="","",IF(H49="","",IF($C49="TOTAL",SUM($L$8:L48),SUM(D49-H49))))),"")</f>
        <v>1500</v>
      </c>
      <c r="M49" s="66">
        <f>IFERROR(IF(C49="","",IF(E49="","",IF(I49="","",IF($C49="TOTAL",SUM($M$8:M48),SUM(E49-I49))))),"")</f>
        <v>255</v>
      </c>
      <c r="N49" s="66">
        <f>IFERROR(IF(C49="","",IF(F49="","",IF(J49="","",IF($C49="TOTAL",SUM($N$8:N48),SUM(F49-J49))))),"")</f>
        <v>120</v>
      </c>
      <c r="O49" s="66">
        <f t="shared" si="11"/>
        <v>1875</v>
      </c>
      <c r="P49" s="66">
        <f>IFERROR(IF(C49="","",IF($C49="TOTAL",SUM($P$8:P48),IF(AND(C49&gt;$AL$1,$AC$3=$AL$2),BO50,IF($AO$18=$AO$20,SUM(BB50+BJ50),ROUND((D49+E49)*10%,0))))),"")</f>
        <v>5944</v>
      </c>
      <c r="Q49" s="66">
        <f>IFERROR(IF(C49="","",IF(H49="","",IF(I49="","",IF($C49="TOTAL",SUM($Q$8:Q48),IF(AND(C49&gt;$AL$1,$AC$3=$AL$2),BO50,IF($AO$18=$AO$20,$AO$21,ROUND((H49+I49)*10%,0))))))),"")</f>
        <v>5768</v>
      </c>
      <c r="R49" s="66">
        <f t="shared" si="12"/>
        <v>176</v>
      </c>
      <c r="S49" s="67">
        <f>IFERROR(IF(C49="","",IF($AO$16=$AO$17,0,IF($C49="TOTAL",SUM($S$8:S48),IF($AO$19=$AO$31,0,IF(AND($AO$32=$AO$20,C49=$AO$33),$AO$34,S48))))),"")</f>
        <v>2100</v>
      </c>
      <c r="T49" s="67">
        <f>IFERROR(IF(C49="","",IF($AO$16=$AO$17,0,IF($C49="TOTAL",SUM($T$8:T48),IF($AO$19=$AO$20,$AO$24,0)))),"")</f>
        <v>2100</v>
      </c>
      <c r="U49" s="66">
        <f t="shared" si="13"/>
        <v>0</v>
      </c>
      <c r="V49" s="66" t="str">
        <f>IF(C49="","",IF($C49="TOTAL",SUM($V$8:V48),IF(AND($AO$2=$AO$20,C49=$AO$1),ROUND(D49/31*$AP$2,0),IF(C49=$AM$6,ROUND((G49)*1/30,0),IF(C49=$AN$6,ROUND((G49)*1/31,0),"")))))</f>
        <v/>
      </c>
      <c r="W49" s="66" t="str">
        <f>IF(C49="","",IF($C49="TOTAL",SUM($W$8:W48),IF(AND($AO$2=$AO$20,C49=$AO$1),ROUND(H49/31*$AP$2,0),IF(C49=$AM$6,ROUND((K49)*1/30,0),IF(C49=$AN$6,ROUND((K49)*1/31,0),"")))))</f>
        <v/>
      </c>
      <c r="X49" s="66" t="str">
        <f t="shared" si="14"/>
        <v/>
      </c>
      <c r="Y49" s="66" t="str">
        <f>IFERROR(IF(C49="","",IF(AND(BH50="",BO50=""),"",IF($C49="TOTAL",SUM($Y$8:Y48),BH50))),"")</f>
        <v/>
      </c>
      <c r="Z49" s="66">
        <f>IFERROR(IF(C49="","",IF($C49="TOTAL",SUM($Z$8:Z48),ROUND(O49*$AO$7%,0))),"")</f>
        <v>0</v>
      </c>
      <c r="AA49" s="66">
        <f>IFERROR(IF(C49="","",IF($C49="TOTAL",SUM($AA$8:AA48),IF($AC$3=$AL$2,SUM(U49,X49,Y49,Z49),SUM(R49,U49,X49,Y49,Z49)))),"")</f>
        <v>0</v>
      </c>
      <c r="AB49" s="68">
        <f>IFERROR(IF(C49="","",IF($C49="TOTAL",SUM($AB$8:AB48),SUM(O49-AA49))),"")</f>
        <v>1875</v>
      </c>
      <c r="AC49" s="15"/>
      <c r="AD49" s="15"/>
      <c r="AK49" s="90">
        <f t="shared" si="15"/>
        <v>17</v>
      </c>
      <c r="AL49" s="90">
        <f t="shared" si="16"/>
        <v>17</v>
      </c>
      <c r="AM49" s="91"/>
      <c r="AN49" s="92">
        <v>43952</v>
      </c>
      <c r="AO49" s="91"/>
      <c r="AP49" s="92">
        <f t="shared" si="44"/>
        <v>43952</v>
      </c>
      <c r="AQ49" s="92">
        <f t="shared" si="18"/>
        <v>43952</v>
      </c>
      <c r="AR49" s="92" t="str">
        <f t="shared" si="19"/>
        <v/>
      </c>
      <c r="AS49" s="92">
        <f t="shared" si="20"/>
        <v>43952</v>
      </c>
      <c r="AT49" s="92">
        <f t="shared" si="33"/>
        <v>43952</v>
      </c>
      <c r="AU49" s="91">
        <f t="shared" si="35"/>
        <v>50800</v>
      </c>
      <c r="AV49" s="91">
        <f t="shared" si="43"/>
        <v>8636</v>
      </c>
      <c r="AW49" s="91">
        <f t="shared" si="36"/>
        <v>4064</v>
      </c>
      <c r="AX49" s="91"/>
      <c r="AY49" s="91">
        <f t="shared" si="37"/>
        <v>49300</v>
      </c>
      <c r="AZ49" s="91">
        <f t="shared" si="21"/>
        <v>8381</v>
      </c>
      <c r="BA49" s="91">
        <f t="shared" si="38"/>
        <v>3944</v>
      </c>
      <c r="BB49" s="91">
        <f t="shared" si="34"/>
        <v>3675</v>
      </c>
      <c r="BC49" s="91"/>
      <c r="BD49" s="91"/>
      <c r="BE49" s="125">
        <f t="shared" si="39"/>
        <v>1875</v>
      </c>
      <c r="BF49" s="91">
        <f t="shared" si="40"/>
        <v>3675</v>
      </c>
      <c r="BG49" s="91" t="str">
        <f t="shared" si="25"/>
        <v/>
      </c>
      <c r="BH49" s="91" t="str">
        <f t="shared" si="26"/>
        <v/>
      </c>
      <c r="BI49" s="91">
        <f t="shared" si="41"/>
        <v>0</v>
      </c>
      <c r="BJ49" s="133">
        <f t="shared" si="42"/>
        <v>0</v>
      </c>
      <c r="BO49" s="28" t="str">
        <f t="shared" si="29"/>
        <v/>
      </c>
    </row>
    <row r="50" spans="1:68" s="28" customFormat="1" ht="21" customHeight="1">
      <c r="A50" s="140">
        <f t="shared" si="30"/>
        <v>43</v>
      </c>
      <c r="B50" s="64">
        <f t="shared" si="1"/>
        <v>43</v>
      </c>
      <c r="C50" s="65">
        <f t="shared" si="31"/>
        <v>44013</v>
      </c>
      <c r="D50" s="66">
        <f>IFERROR(IF($C49="TOTAL","अक्षरें राशि :-",IF($C50="TOTAL",SUM($D$8:D49),IF(AU51="","",AU51))),"")</f>
        <v>52300</v>
      </c>
      <c r="E50" s="66">
        <f>IFERROR(IF($C50="TOTAL",SUM($E$8:E49),IF(AV51="","",AV51)),"")</f>
        <v>8891</v>
      </c>
      <c r="F50" s="66">
        <f>IFERROR(IF($C50="TOTAL",SUM($F$8:F49),IF(OR(C50=$AM$16,C50=$AM$17,C50=$AM$18,C50=$AM$19,C50=$AM$20,C50=$AM$21,C50=$AM$22,C50=$AM$23,C50=$AM$24),0,IF(AW51="","",AW51))),"")</f>
        <v>4184</v>
      </c>
      <c r="G50" s="66">
        <f t="shared" si="32"/>
        <v>65375</v>
      </c>
      <c r="H50" s="66">
        <f>IFERROR(IF($C50="TOTAL",SUM($H$8:H49),IF(AY51="","",AY51)),"")</f>
        <v>50800</v>
      </c>
      <c r="I50" s="66">
        <f>IFERROR(IF($C50="TOTAL",SUM($I$8:I49),IF(AZ51="","",AZ51)),"")</f>
        <v>8636</v>
      </c>
      <c r="J50" s="66">
        <f>IFERROR(IF($C50="TOTAL",SUM($J$8:J49),IF(OR(C50=$AM$16,C50=$AM$17,C50=$AM$18,C50=$AM$19,C50=$AM$20,C50=$AM$21,C50=$AM$22,C50=$AM$23,C50=$AM$24),0,IF(BA51="","",BA51))),"")</f>
        <v>4064</v>
      </c>
      <c r="K50" s="66">
        <f t="shared" si="10"/>
        <v>63500</v>
      </c>
      <c r="L50" s="66">
        <f>IFERROR(IF(C50="","",IF(D50="","",IF(H50="","",IF($C50="TOTAL",SUM($L$8:L49),SUM(D50-H50))))),"")</f>
        <v>1500</v>
      </c>
      <c r="M50" s="66">
        <f>IFERROR(IF(C50="","",IF(E50="","",IF(I50="","",IF($C50="TOTAL",SUM($M$8:M49),SUM(E50-I50))))),"")</f>
        <v>255</v>
      </c>
      <c r="N50" s="66">
        <f>IFERROR(IF(C50="","",IF(F50="","",IF(J50="","",IF($C50="TOTAL",SUM($N$8:N49),SUM(F50-J50))))),"")</f>
        <v>120</v>
      </c>
      <c r="O50" s="66">
        <f t="shared" si="11"/>
        <v>1875</v>
      </c>
      <c r="P50" s="66">
        <f>IFERROR(IF(C50="","",IF($C50="TOTAL",SUM($P$8:P49),IF(AND(C50&gt;$AL$1,$AC$3=$AL$2),BO51,IF($AO$18=$AO$20,SUM(BB51+BJ51),ROUND((D50+E50)*10%,0))))),"")</f>
        <v>6119</v>
      </c>
      <c r="Q50" s="66">
        <f>IFERROR(IF(C50="","",IF(H50="","",IF(I50="","",IF($C50="TOTAL",SUM($Q$8:Q49),IF(AND(C50&gt;$AL$1,$AC$3=$AL$2),BO51,IF($AO$18=$AO$20,$AO$21,ROUND((H50+I50)*10%,0))))))),"")</f>
        <v>5944</v>
      </c>
      <c r="R50" s="66">
        <f t="shared" si="12"/>
        <v>175</v>
      </c>
      <c r="S50" s="67">
        <f>IFERROR(IF(C50="","",IF($AO$16=$AO$17,0,IF($C50="TOTAL",SUM($S$8:S49),IF($AO$19=$AO$31,0,IF(AND($AO$32=$AO$20,C50=$AO$33),$AO$34,S49))))),"")</f>
        <v>2100</v>
      </c>
      <c r="T50" s="67">
        <f>IFERROR(IF(C50="","",IF($AO$16=$AO$17,0,IF($C50="TOTAL",SUM($T$8:T49),IF($AO$19=$AO$20,$AO$24,0)))),"")</f>
        <v>2100</v>
      </c>
      <c r="U50" s="66">
        <f t="shared" si="13"/>
        <v>0</v>
      </c>
      <c r="V50" s="66" t="str">
        <f>IF(C50="","",IF($C50="TOTAL",SUM($V$8:V49),IF(AND($AO$2=$AO$20,C50=$AO$1),ROUND(D50/31*$AP$2,0),IF(C50=$AM$6,ROUND((G50)*1/30,0),IF(C50=$AN$6,ROUND((G50)*1/31,0),"")))))</f>
        <v/>
      </c>
      <c r="W50" s="66" t="str">
        <f>IF(C50="","",IF($C50="TOTAL",SUM($W$8:W49),IF(AND($AO$2=$AO$20,C50=$AO$1),ROUND(H50/31*$AP$2,0),IF(C50=$AM$6,ROUND((K50)*1/30,0),IF(C50=$AN$6,ROUND((K50)*1/31,0),"")))))</f>
        <v/>
      </c>
      <c r="X50" s="66" t="str">
        <f t="shared" si="14"/>
        <v/>
      </c>
      <c r="Y50" s="66" t="str">
        <f>IFERROR(IF(C50="","",IF(AND(BH51="",BO51=""),"",IF($C50="TOTAL",SUM($Y$8:Y49),BH51))),"")</f>
        <v/>
      </c>
      <c r="Z50" s="66">
        <f>IFERROR(IF(C50="","",IF($C50="TOTAL",SUM($Z$8:Z49),ROUND(O50*$AO$7%,0))),"")</f>
        <v>0</v>
      </c>
      <c r="AA50" s="66">
        <f>IFERROR(IF(C50="","",IF($C50="TOTAL",SUM($AA$8:AA49),IF($AC$3=$AL$2,SUM(U50,X50,Y50,Z50),SUM(R50,U50,X50,Y50,Z50)))),"")</f>
        <v>0</v>
      </c>
      <c r="AB50" s="68">
        <f>IFERROR(IF(C50="","",IF($C50="TOTAL",SUM($AB$8:AB49),SUM(O50-AA50))),"")</f>
        <v>1875</v>
      </c>
      <c r="AC50" s="15"/>
      <c r="AD50" s="15"/>
      <c r="AK50" s="90">
        <f t="shared" si="15"/>
        <v>17</v>
      </c>
      <c r="AL50" s="90">
        <f t="shared" si="16"/>
        <v>17</v>
      </c>
      <c r="AM50" s="91"/>
      <c r="AN50" s="92">
        <v>43983</v>
      </c>
      <c r="AO50" s="91"/>
      <c r="AP50" s="92">
        <f t="shared" si="44"/>
        <v>43983</v>
      </c>
      <c r="AQ50" s="92">
        <f t="shared" si="18"/>
        <v>43983</v>
      </c>
      <c r="AR50" s="92" t="str">
        <f t="shared" si="19"/>
        <v/>
      </c>
      <c r="AS50" s="92">
        <f t="shared" si="20"/>
        <v>43983</v>
      </c>
      <c r="AT50" s="92">
        <f t="shared" si="33"/>
        <v>43983</v>
      </c>
      <c r="AU50" s="91">
        <f t="shared" si="35"/>
        <v>50800</v>
      </c>
      <c r="AV50" s="91">
        <f t="shared" si="43"/>
        <v>8636</v>
      </c>
      <c r="AW50" s="91">
        <f t="shared" si="36"/>
        <v>4064</v>
      </c>
      <c r="AX50" s="91"/>
      <c r="AY50" s="91">
        <f t="shared" si="37"/>
        <v>49300</v>
      </c>
      <c r="AZ50" s="91">
        <f t="shared" si="21"/>
        <v>8381</v>
      </c>
      <c r="BA50" s="91">
        <f t="shared" si="38"/>
        <v>3944</v>
      </c>
      <c r="BB50" s="91">
        <f t="shared" si="34"/>
        <v>3675</v>
      </c>
      <c r="BC50" s="91"/>
      <c r="BD50" s="91"/>
      <c r="BE50" s="125">
        <f t="shared" si="39"/>
        <v>1875</v>
      </c>
      <c r="BF50" s="91">
        <f t="shared" si="40"/>
        <v>3675</v>
      </c>
      <c r="BG50" s="91" t="str">
        <f t="shared" si="25"/>
        <v/>
      </c>
      <c r="BH50" s="91" t="str">
        <f t="shared" si="26"/>
        <v/>
      </c>
      <c r="BI50" s="91">
        <f t="shared" si="41"/>
        <v>0</v>
      </c>
      <c r="BJ50" s="133">
        <f t="shared" si="42"/>
        <v>0</v>
      </c>
      <c r="BO50" s="28" t="str">
        <f t="shared" si="29"/>
        <v/>
      </c>
    </row>
    <row r="51" spans="1:68" ht="21" customHeight="1">
      <c r="A51" s="140">
        <f t="shared" si="30"/>
        <v>44</v>
      </c>
      <c r="B51" s="64">
        <f t="shared" si="1"/>
        <v>44</v>
      </c>
      <c r="C51" s="65">
        <f t="shared" si="31"/>
        <v>44044</v>
      </c>
      <c r="D51" s="66">
        <f>IFERROR(IF($C50="TOTAL","अक्षरें राशि :-",IF($C51="TOTAL",SUM($D$8:D50),IF(AU52="","",AU52))),"")</f>
        <v>52300</v>
      </c>
      <c r="E51" s="66">
        <f>IFERROR(IF($C51="TOTAL",SUM($E$8:E50),IF(AV52="","",AV52)),"")</f>
        <v>8891</v>
      </c>
      <c r="F51" s="66">
        <f>IFERROR(IF($C51="TOTAL",SUM($F$8:F50),IF(OR(C51=$AM$16,C51=$AM$17,C51=$AM$18,C51=$AM$19,C51=$AM$20,C51=$AM$21,C51=$AM$22,C51=$AM$23,C51=$AM$24),0,IF(AW52="","",AW52))),"")</f>
        <v>4184</v>
      </c>
      <c r="G51" s="66">
        <f t="shared" si="32"/>
        <v>65375</v>
      </c>
      <c r="H51" s="66">
        <f>IFERROR(IF($C51="TOTAL",SUM($H$8:H50),IF(AY52="","",AY52)),"")</f>
        <v>50800</v>
      </c>
      <c r="I51" s="66">
        <f>IFERROR(IF($C51="TOTAL",SUM($I$8:I50),IF(AZ52="","",AZ52)),"")</f>
        <v>8636</v>
      </c>
      <c r="J51" s="66">
        <f>IFERROR(IF($C51="TOTAL",SUM($J$8:J50),IF(OR(C51=$AM$16,C51=$AM$17,C51=$AM$18,C51=$AM$19,C51=$AM$20,C51=$AM$21,C51=$AM$22,C51=$AM$23,C51=$AM$24),0,IF(BA52="","",BA52))),"")</f>
        <v>4064</v>
      </c>
      <c r="K51" s="66">
        <f t="shared" si="10"/>
        <v>63500</v>
      </c>
      <c r="L51" s="66">
        <f>IFERROR(IF(C51="","",IF(D51="","",IF(H51="","",IF($C51="TOTAL",SUM($L$8:L50),SUM(D51-H51))))),"")</f>
        <v>1500</v>
      </c>
      <c r="M51" s="66">
        <f>IFERROR(IF(C51="","",IF(E51="","",IF(I51="","",IF($C51="TOTAL",SUM($M$8:M50),SUM(E51-I51))))),"")</f>
        <v>255</v>
      </c>
      <c r="N51" s="66">
        <f>IFERROR(IF(C51="","",IF(F51="","",IF(J51="","",IF($C51="TOTAL",SUM($N$8:N50),SUM(F51-J51))))),"")</f>
        <v>120</v>
      </c>
      <c r="O51" s="66">
        <f t="shared" si="11"/>
        <v>1875</v>
      </c>
      <c r="P51" s="66">
        <f>IFERROR(IF(C51="","",IF($C51="TOTAL",SUM($P$8:P50),IF(AND(C51&gt;$AL$1,$AC$3=$AL$2),BO52,IF($AO$18=$AO$20,SUM(BB52+BJ52),ROUND((D51+E51)*10%,0))))),"")</f>
        <v>6119</v>
      </c>
      <c r="Q51" s="66">
        <f>IFERROR(IF(C51="","",IF(H51="","",IF(I51="","",IF($C51="TOTAL",SUM($Q$8:Q50),IF(AND(C51&gt;$AL$1,$AC$3=$AL$2),BO52,IF($AO$18=$AO$20,$AO$21,ROUND((H51+I51)*10%,0))))))),"")</f>
        <v>5944</v>
      </c>
      <c r="R51" s="66">
        <f t="shared" si="12"/>
        <v>175</v>
      </c>
      <c r="S51" s="67">
        <f>IFERROR(IF(C51="","",IF($AO$16=$AO$17,0,IF($C51="TOTAL",SUM($S$8:S50),IF($AO$19=$AO$31,0,IF(AND($AO$32=$AO$20,C51=$AO$33),$AO$34,S50))))),"")</f>
        <v>2100</v>
      </c>
      <c r="T51" s="67">
        <f>IFERROR(IF(C51="","",IF($AO$16=$AO$17,0,IF($C51="TOTAL",SUM($T$8:T50),IF($AO$19=$AO$20,$AO$24,0)))),"")</f>
        <v>2100</v>
      </c>
      <c r="U51" s="66">
        <f t="shared" si="13"/>
        <v>0</v>
      </c>
      <c r="V51" s="66" t="str">
        <f>IF(C51="","",IF($C51="TOTAL",SUM($V$8:V50),IF(AND($AO$2=$AO$20,C51=$AO$1),ROUND(D51/31*$AP$2,0),IF(C51=$AM$6,ROUND((G51)*1/30,0),IF(C51=$AN$6,ROUND((G51)*1/31,0),"")))))</f>
        <v/>
      </c>
      <c r="W51" s="66" t="str">
        <f>IF(C51="","",IF($C51="TOTAL",SUM($W$8:W50),IF(AND($AO$2=$AO$20,C51=$AO$1),ROUND(H51/31*$AP$2,0),IF(C51=$AM$6,ROUND((K51)*1/30,0),IF(C51=$AN$6,ROUND((K51)*1/31,0),"")))))</f>
        <v/>
      </c>
      <c r="X51" s="66" t="str">
        <f t="shared" si="14"/>
        <v/>
      </c>
      <c r="Y51" s="66" t="str">
        <f>IFERROR(IF(C51="","",IF(AND(BH52="",BO52=""),"",IF($C51="TOTAL",SUM($Y$8:Y50),BH52))),"")</f>
        <v/>
      </c>
      <c r="Z51" s="66">
        <f>IFERROR(IF(C51="","",IF($C51="TOTAL",SUM($Z$8:Z50),ROUND(O51*$AO$7%,0))),"")</f>
        <v>0</v>
      </c>
      <c r="AA51" s="66">
        <f>IFERROR(IF(C51="","",IF($C51="TOTAL",SUM($AA$8:AA50),IF($AC$3=$AL$2,SUM(U51,X51,Y51,Z51),SUM(R51,U51,X51,Y51,Z51)))),"")</f>
        <v>0</v>
      </c>
      <c r="AB51" s="68">
        <f>IFERROR(IF(C51="","",IF($C51="TOTAL",SUM($AB$8:AB50),SUM(O51-AA51))),"")</f>
        <v>1875</v>
      </c>
      <c r="AK51" s="90">
        <f t="shared" si="15"/>
        <v>17</v>
      </c>
      <c r="AL51" s="90">
        <f t="shared" si="16"/>
        <v>17</v>
      </c>
      <c r="AN51" s="92">
        <v>44013</v>
      </c>
      <c r="AP51" s="92">
        <f t="shared" si="44"/>
        <v>44013</v>
      </c>
      <c r="AQ51" s="92">
        <f t="shared" si="18"/>
        <v>44013</v>
      </c>
      <c r="AR51" s="92" t="str">
        <f t="shared" si="19"/>
        <v/>
      </c>
      <c r="AS51" s="92">
        <f t="shared" si="20"/>
        <v>44013</v>
      </c>
      <c r="AT51" s="92">
        <f t="shared" si="33"/>
        <v>44013</v>
      </c>
      <c r="AU51" s="91">
        <f t="shared" si="35"/>
        <v>52300</v>
      </c>
      <c r="AV51" s="91">
        <f t="shared" si="43"/>
        <v>8891</v>
      </c>
      <c r="AW51" s="91">
        <f t="shared" si="36"/>
        <v>4184</v>
      </c>
      <c r="AX51" s="91"/>
      <c r="AY51" s="91">
        <f t="shared" si="37"/>
        <v>50800</v>
      </c>
      <c r="AZ51" s="91">
        <f t="shared" si="21"/>
        <v>8636</v>
      </c>
      <c r="BA51" s="91">
        <f t="shared" si="38"/>
        <v>4064</v>
      </c>
      <c r="BB51" s="91">
        <f t="shared" si="34"/>
        <v>3675</v>
      </c>
      <c r="BE51" s="125">
        <f t="shared" si="39"/>
        <v>1875</v>
      </c>
      <c r="BF51" s="91">
        <f t="shared" si="40"/>
        <v>3675</v>
      </c>
      <c r="BG51" s="91" t="str">
        <f t="shared" si="25"/>
        <v/>
      </c>
      <c r="BH51" s="91" t="str">
        <f t="shared" si="26"/>
        <v/>
      </c>
      <c r="BI51" s="91">
        <f t="shared" si="41"/>
        <v>0</v>
      </c>
      <c r="BJ51" s="133">
        <f t="shared" si="42"/>
        <v>0</v>
      </c>
      <c r="BO51" s="28" t="str">
        <f t="shared" si="29"/>
        <v/>
      </c>
    </row>
    <row r="52" spans="1:68" ht="21" customHeight="1">
      <c r="A52" s="140">
        <f t="shared" si="30"/>
        <v>45</v>
      </c>
      <c r="B52" s="64">
        <f t="shared" si="1"/>
        <v>45</v>
      </c>
      <c r="C52" s="65">
        <f t="shared" si="31"/>
        <v>44075</v>
      </c>
      <c r="D52" s="66">
        <f>IFERROR(IF($C51="TOTAL","अक्षरें राशि :-",IF($C52="TOTAL",SUM($D$8:D51),IF(AU53="","",AU53))),"")</f>
        <v>52300</v>
      </c>
      <c r="E52" s="66">
        <f>IFERROR(IF($C52="TOTAL",SUM($E$8:E51),IF(AV53="","",AV53)),"")</f>
        <v>8891</v>
      </c>
      <c r="F52" s="66">
        <f>IFERROR(IF($C52="TOTAL",SUM($F$8:F51),IF(OR(C52=$AM$16,C52=$AM$17,C52=$AM$18,C52=$AM$19,C52=$AM$20,C52=$AM$21,C52=$AM$22,C52=$AM$23,C52=$AM$24),0,IF(AW53="","",AW53))),"")</f>
        <v>4184</v>
      </c>
      <c r="G52" s="66">
        <f t="shared" si="32"/>
        <v>65375</v>
      </c>
      <c r="H52" s="66">
        <f>IFERROR(IF($C52="TOTAL",SUM($H$8:H51),IF(AY53="","",AY53)),"")</f>
        <v>50800</v>
      </c>
      <c r="I52" s="66">
        <f>IFERROR(IF($C52="TOTAL",SUM($I$8:I51),IF(AZ53="","",AZ53)),"")</f>
        <v>8636</v>
      </c>
      <c r="J52" s="66">
        <f>IFERROR(IF($C52="TOTAL",SUM($J$8:J51),IF(OR(C52=$AM$16,C52=$AM$17,C52=$AM$18,C52=$AM$19,C52=$AM$20,C52=$AM$21,C52=$AM$22,C52=$AM$23,C52=$AM$24),0,IF(BA53="","",BA53))),"")</f>
        <v>4064</v>
      </c>
      <c r="K52" s="66">
        <f t="shared" si="10"/>
        <v>63500</v>
      </c>
      <c r="L52" s="66">
        <f>IFERROR(IF(C52="","",IF(D52="","",IF(H52="","",IF($C52="TOTAL",SUM($L$8:L51),SUM(D52-H52))))),"")</f>
        <v>1500</v>
      </c>
      <c r="M52" s="66">
        <f>IFERROR(IF(C52="","",IF(E52="","",IF(I52="","",IF($C52="TOTAL",SUM($M$8:M51),SUM(E52-I52))))),"")</f>
        <v>255</v>
      </c>
      <c r="N52" s="66">
        <f>IFERROR(IF(C52="","",IF(F52="","",IF(J52="","",IF($C52="TOTAL",SUM($N$8:N51),SUM(F52-J52))))),"")</f>
        <v>120</v>
      </c>
      <c r="O52" s="66">
        <f t="shared" si="11"/>
        <v>1875</v>
      </c>
      <c r="P52" s="66">
        <f>IFERROR(IF(C52="","",IF($C52="TOTAL",SUM($P$8:P51),IF(AND(C52&gt;$AL$1,$AC$3=$AL$2),BO53,IF($AO$18=$AO$20,SUM(BB53+BJ53),ROUND((D52+E52)*10%,0))))),"")</f>
        <v>6119</v>
      </c>
      <c r="Q52" s="66">
        <f>IFERROR(IF(C52="","",IF(H52="","",IF(I52="","",IF($C52="TOTAL",SUM($Q$8:Q51),IF(AND(C52&gt;$AL$1,$AC$3=$AL$2),BO53,IF($AO$18=$AO$20,$AO$21,ROUND((H52+I52)*10%,0))))))),"")</f>
        <v>5944</v>
      </c>
      <c r="R52" s="66">
        <f t="shared" si="12"/>
        <v>175</v>
      </c>
      <c r="S52" s="67">
        <f>IFERROR(IF(C52="","",IF($AO$16=$AO$17,0,IF($C52="TOTAL",SUM($S$8:S51),IF($AO$19=$AO$31,0,IF(AND($AO$32=$AO$20,C52=$AO$33),$AO$34,S51))))),"")</f>
        <v>2100</v>
      </c>
      <c r="T52" s="67">
        <f>IFERROR(IF(C52="","",IF($AO$16=$AO$17,0,IF($C52="TOTAL",SUM($T$8:T51),IF($AO$19=$AO$20,$AO$24,0)))),"")</f>
        <v>2100</v>
      </c>
      <c r="U52" s="66">
        <f t="shared" si="13"/>
        <v>0</v>
      </c>
      <c r="V52" s="66">
        <f>IF(C52="","",IF($C52="TOTAL",SUM($V$8:V51),IF(AND($AO$2=$AO$20,C52=$AO$1),ROUND(D52/31*$AP$2,0),IF(C52=$AM$6,ROUND((G52)*1/30,0),IF(C52=$AN$6,ROUND((G52)*1/31,0),"")))))</f>
        <v>2179</v>
      </c>
      <c r="W52" s="66">
        <f>IF(C52="","",IF($C52="TOTAL",SUM($W$8:W51),IF(AND($AO$2=$AO$20,C52=$AO$1),ROUND(H52/31*$AP$2,0),IF(C52=$AM$6,ROUND((K52)*1/30,0),IF(C52=$AN$6,ROUND((K52)*1/31,0),"")))))</f>
        <v>2117</v>
      </c>
      <c r="X52" s="66">
        <f t="shared" si="14"/>
        <v>62</v>
      </c>
      <c r="Y52" s="66" t="str">
        <f>IFERROR(IF(C52="","",IF(AND(BH53="",BO53=""),"",IF($C52="TOTAL",SUM($Y$8:Y51),BH53))),"")</f>
        <v/>
      </c>
      <c r="Z52" s="66">
        <f>IFERROR(IF(C52="","",IF($C52="TOTAL",SUM($Z$8:Z51),ROUND(O52*$AO$7%,0))),"")</f>
        <v>0</v>
      </c>
      <c r="AA52" s="66">
        <f>IFERROR(IF(C52="","",IF($C52="TOTAL",SUM($AA$8:AA51),IF($AC$3=$AL$2,SUM(U52,X52,Y52,Z52),SUM(R52,U52,X52,Y52,Z52)))),"")</f>
        <v>62</v>
      </c>
      <c r="AB52" s="68">
        <f>IFERROR(IF(C52="","",IF($C52="TOTAL",SUM($AB$8:AB51),SUM(O52-AA52))),"")</f>
        <v>1813</v>
      </c>
      <c r="AK52" s="90">
        <f t="shared" si="15"/>
        <v>17</v>
      </c>
      <c r="AL52" s="90">
        <f t="shared" si="16"/>
        <v>17</v>
      </c>
      <c r="AN52" s="92">
        <v>44044</v>
      </c>
      <c r="AP52" s="92">
        <f t="shared" si="44"/>
        <v>44044</v>
      </c>
      <c r="AQ52" s="92">
        <f t="shared" si="18"/>
        <v>44044</v>
      </c>
      <c r="AR52" s="92" t="str">
        <f t="shared" si="19"/>
        <v/>
      </c>
      <c r="AS52" s="92">
        <f t="shared" si="20"/>
        <v>44044</v>
      </c>
      <c r="AT52" s="92">
        <f t="shared" si="33"/>
        <v>44044</v>
      </c>
      <c r="AU52" s="91">
        <f t="shared" si="35"/>
        <v>52300</v>
      </c>
      <c r="AV52" s="91">
        <f t="shared" si="43"/>
        <v>8891</v>
      </c>
      <c r="AW52" s="91">
        <f t="shared" si="36"/>
        <v>4184</v>
      </c>
      <c r="AX52" s="91"/>
      <c r="AY52" s="91">
        <f t="shared" si="37"/>
        <v>50800</v>
      </c>
      <c r="AZ52" s="91">
        <f t="shared" si="21"/>
        <v>8636</v>
      </c>
      <c r="BA52" s="91">
        <f t="shared" si="38"/>
        <v>4064</v>
      </c>
      <c r="BB52" s="91">
        <f t="shared" si="34"/>
        <v>3675</v>
      </c>
      <c r="BE52" s="125">
        <f t="shared" si="39"/>
        <v>1875</v>
      </c>
      <c r="BF52" s="91">
        <f t="shared" si="40"/>
        <v>3675</v>
      </c>
      <c r="BG52" s="91" t="str">
        <f t="shared" si="25"/>
        <v/>
      </c>
      <c r="BH52" s="91" t="str">
        <f t="shared" si="26"/>
        <v/>
      </c>
      <c r="BI52" s="91">
        <f t="shared" si="41"/>
        <v>0</v>
      </c>
      <c r="BJ52" s="133">
        <f t="shared" si="42"/>
        <v>0</v>
      </c>
      <c r="BO52" s="28" t="str">
        <f t="shared" si="29"/>
        <v/>
      </c>
    </row>
    <row r="53" spans="1:68" ht="21" customHeight="1">
      <c r="A53" s="140">
        <f t="shared" si="30"/>
        <v>46</v>
      </c>
      <c r="B53" s="64">
        <f t="shared" si="1"/>
        <v>46</v>
      </c>
      <c r="C53" s="65">
        <f t="shared" si="31"/>
        <v>44105</v>
      </c>
      <c r="D53" s="66">
        <f>IFERROR(IF($C52="TOTAL","अक्षरें राशि :-",IF($C53="TOTAL",SUM($D$8:D52),IF(AU54="","",AU54))),"")</f>
        <v>52300</v>
      </c>
      <c r="E53" s="66">
        <f>IFERROR(IF($C53="TOTAL",SUM($E$8:E52),IF(AV54="","",AV54)),"")</f>
        <v>8891</v>
      </c>
      <c r="F53" s="66">
        <f>IFERROR(IF($C53="TOTAL",SUM($F$8:F52),IF(OR(C53=$AM$16,C53=$AM$17,C53=$AM$18,C53=$AM$19,C53=$AM$20,C53=$AM$21,C53=$AM$22,C53=$AM$23,C53=$AM$24),0,IF(AW54="","",AW54))),"")</f>
        <v>4184</v>
      </c>
      <c r="G53" s="66">
        <f t="shared" si="32"/>
        <v>65375</v>
      </c>
      <c r="H53" s="66">
        <f>IFERROR(IF($C53="TOTAL",SUM($H$8:H52),IF(AY54="","",AY54)),"")</f>
        <v>50800</v>
      </c>
      <c r="I53" s="66">
        <f>IFERROR(IF($C53="TOTAL",SUM($I$8:I52),IF(AZ54="","",AZ54)),"")</f>
        <v>8636</v>
      </c>
      <c r="J53" s="66">
        <f>IFERROR(IF($C53="TOTAL",SUM($J$8:J52),IF(OR(C53=$AM$16,C53=$AM$17,C53=$AM$18,C53=$AM$19,C53=$AM$20,C53=$AM$21,C53=$AM$22,C53=$AM$23,C53=$AM$24),0,IF(BA54="","",BA54))),"")</f>
        <v>4064</v>
      </c>
      <c r="K53" s="66">
        <f t="shared" si="10"/>
        <v>63500</v>
      </c>
      <c r="L53" s="66">
        <f>IFERROR(IF(C53="","",IF(D53="","",IF(H53="","",IF($C53="TOTAL",SUM($L$8:L52),SUM(D53-H53))))),"")</f>
        <v>1500</v>
      </c>
      <c r="M53" s="66">
        <f>IFERROR(IF(C53="","",IF(E53="","",IF(I53="","",IF($C53="TOTAL",SUM($M$8:M52),SUM(E53-I53))))),"")</f>
        <v>255</v>
      </c>
      <c r="N53" s="66">
        <f>IFERROR(IF(C53="","",IF(F53="","",IF(J53="","",IF($C53="TOTAL",SUM($N$8:N52),SUM(F53-J53))))),"")</f>
        <v>120</v>
      </c>
      <c r="O53" s="66">
        <f t="shared" si="11"/>
        <v>1875</v>
      </c>
      <c r="P53" s="66">
        <f>IFERROR(IF(C53="","",IF($C53="TOTAL",SUM($P$8:P52),IF(AND(C53&gt;$AL$1,$AC$3=$AL$2),BO54,IF($AO$18=$AO$20,SUM(BB54+BJ54),ROUND((D53+E53)*10%,0))))),"")</f>
        <v>6119</v>
      </c>
      <c r="Q53" s="66">
        <f>IFERROR(IF(C53="","",IF(H53="","",IF(I53="","",IF($C53="TOTAL",SUM($Q$8:Q52),IF(AND(C53&gt;$AL$1,$AC$3=$AL$2),BO54,IF($AO$18=$AO$20,$AO$21,ROUND((H53+I53)*10%,0))))))),"")</f>
        <v>5944</v>
      </c>
      <c r="R53" s="66">
        <f t="shared" si="12"/>
        <v>175</v>
      </c>
      <c r="S53" s="67">
        <f>IFERROR(IF(C53="","",IF($AO$16=$AO$17,0,IF($C53="TOTAL",SUM($S$8:S52),IF($AO$19=$AO$31,0,IF(AND($AO$32=$AO$20,C53=$AO$33),$AO$34,S52))))),"")</f>
        <v>2100</v>
      </c>
      <c r="T53" s="67">
        <f>IFERROR(IF(C53="","",IF($AO$16=$AO$17,0,IF($C53="TOTAL",SUM($T$8:T52),IF($AO$19=$AO$20,$AO$24,0)))),"")</f>
        <v>2100</v>
      </c>
      <c r="U53" s="66">
        <f t="shared" si="13"/>
        <v>0</v>
      </c>
      <c r="V53" s="66">
        <f>IF(C53="","",IF($C53="TOTAL",SUM($V$8:V52),IF(AND($AO$2=$AO$20,C53=$AO$1),ROUND(D53/31*$AP$2,0),IF(C53=$AM$6,ROUND((G53)*1/30,0),IF(C53=$AN$6,ROUND((G53)*1/31,0),"")))))</f>
        <v>2109</v>
      </c>
      <c r="W53" s="66">
        <f>IF(C53="","",IF($C53="TOTAL",SUM($W$8:W52),IF(AND($AO$2=$AO$20,C53=$AO$1),ROUND(H53/31*$AP$2,0),IF(C53=$AM$6,ROUND((K53)*1/30,0),IF(C53=$AN$6,ROUND((K53)*1/31,0),"")))))</f>
        <v>2048</v>
      </c>
      <c r="X53" s="66">
        <f t="shared" si="14"/>
        <v>61</v>
      </c>
      <c r="Y53" s="66" t="str">
        <f>IFERROR(IF(C53="","",IF(AND(BH54="",BO54=""),"",IF($C53="TOTAL",SUM($Y$8:Y52),BH54))),"")</f>
        <v/>
      </c>
      <c r="Z53" s="66">
        <f>IFERROR(IF(C53="","",IF($C53="TOTAL",SUM($Z$8:Z52),ROUND(O53*$AO$7%,0))),"")</f>
        <v>0</v>
      </c>
      <c r="AA53" s="66">
        <f>IFERROR(IF(C53="","",IF($C53="TOTAL",SUM($AA$8:AA52),IF($AC$3=$AL$2,SUM(U53,X53,Y53,Z53),SUM(R53,U53,X53,Y53,Z53)))),"")</f>
        <v>61</v>
      </c>
      <c r="AB53" s="68">
        <f>IFERROR(IF(C53="","",IF($C53="TOTAL",SUM($AB$8:AB52),SUM(O53-AA53))),"")</f>
        <v>1814</v>
      </c>
      <c r="AK53" s="90">
        <f t="shared" si="15"/>
        <v>17</v>
      </c>
      <c r="AL53" s="90">
        <f t="shared" si="16"/>
        <v>17</v>
      </c>
      <c r="AN53" s="92">
        <v>44075</v>
      </c>
      <c r="AP53" s="92">
        <f t="shared" si="44"/>
        <v>44075</v>
      </c>
      <c r="AQ53" s="92">
        <f t="shared" si="18"/>
        <v>44075</v>
      </c>
      <c r="AR53" s="92" t="str">
        <f t="shared" si="19"/>
        <v/>
      </c>
      <c r="AS53" s="92">
        <f t="shared" si="20"/>
        <v>44075</v>
      </c>
      <c r="AT53" s="92">
        <f t="shared" si="33"/>
        <v>44075</v>
      </c>
      <c r="AU53" s="91">
        <f t="shared" si="35"/>
        <v>52300</v>
      </c>
      <c r="AV53" s="91">
        <f t="shared" si="43"/>
        <v>8891</v>
      </c>
      <c r="AW53" s="91">
        <f t="shared" si="36"/>
        <v>4184</v>
      </c>
      <c r="AX53" s="91"/>
      <c r="AY53" s="91">
        <f t="shared" si="37"/>
        <v>50800</v>
      </c>
      <c r="AZ53" s="91">
        <f t="shared" si="21"/>
        <v>8636</v>
      </c>
      <c r="BA53" s="91">
        <f t="shared" si="38"/>
        <v>4064</v>
      </c>
      <c r="BB53" s="91">
        <f t="shared" si="34"/>
        <v>3675</v>
      </c>
      <c r="BE53" s="125">
        <f t="shared" si="39"/>
        <v>1813</v>
      </c>
      <c r="BF53" s="91">
        <f t="shared" si="40"/>
        <v>3675</v>
      </c>
      <c r="BG53" s="91" t="str">
        <f t="shared" si="25"/>
        <v/>
      </c>
      <c r="BH53" s="91" t="str">
        <f t="shared" si="26"/>
        <v/>
      </c>
      <c r="BI53" s="91">
        <f t="shared" si="41"/>
        <v>0</v>
      </c>
      <c r="BJ53" s="133">
        <f t="shared" si="42"/>
        <v>0</v>
      </c>
      <c r="BO53" s="28" t="str">
        <f t="shared" si="29"/>
        <v/>
      </c>
    </row>
    <row r="54" spans="1:68" ht="21" customHeight="1">
      <c r="A54" s="140">
        <f t="shared" si="30"/>
        <v>47</v>
      </c>
      <c r="B54" s="64">
        <f t="shared" si="1"/>
        <v>47</v>
      </c>
      <c r="C54" s="65">
        <f t="shared" si="31"/>
        <v>44136</v>
      </c>
      <c r="D54" s="66">
        <f>IFERROR(IF($C53="TOTAL","अक्षरें राशि :-",IF($C54="TOTAL",SUM($D$8:D53),IF(AU55="","",AU55))),"")</f>
        <v>52300</v>
      </c>
      <c r="E54" s="66">
        <f>IFERROR(IF($C54="TOTAL",SUM($E$8:E53),IF(AV55="","",AV55)),"")</f>
        <v>8891</v>
      </c>
      <c r="F54" s="66">
        <f>IFERROR(IF($C54="TOTAL",SUM($F$8:F53),IF(OR(C54=$AM$16,C54=$AM$17,C54=$AM$18,C54=$AM$19,C54=$AM$20,C54=$AM$21,C54=$AM$22,C54=$AM$23,C54=$AM$24),0,IF(AW55="","",AW55))),"")</f>
        <v>4184</v>
      </c>
      <c r="G54" s="66">
        <f t="shared" si="32"/>
        <v>65375</v>
      </c>
      <c r="H54" s="66">
        <f>IFERROR(IF($C54="TOTAL",SUM($H$8:H53),IF(AY55="","",AY55)),"")</f>
        <v>50800</v>
      </c>
      <c r="I54" s="66">
        <f>IFERROR(IF($C54="TOTAL",SUM($I$8:I53),IF(AZ55="","",AZ55)),"")</f>
        <v>8636</v>
      </c>
      <c r="J54" s="66">
        <f>IFERROR(IF($C54="TOTAL",SUM($J$8:J53),IF(OR(C54=$AM$16,C54=$AM$17,C54=$AM$18,C54=$AM$19,C54=$AM$20,C54=$AM$21,C54=$AM$22,C54=$AM$23,C54=$AM$24),0,IF(BA55="","",BA55))),"")</f>
        <v>4064</v>
      </c>
      <c r="K54" s="66">
        <f t="shared" si="10"/>
        <v>63500</v>
      </c>
      <c r="L54" s="66">
        <f>IFERROR(IF(C54="","",IF(D54="","",IF(H54="","",IF($C54="TOTAL",SUM($L$8:L53),SUM(D54-H54))))),"")</f>
        <v>1500</v>
      </c>
      <c r="M54" s="66">
        <f>IFERROR(IF(C54="","",IF(E54="","",IF(I54="","",IF($C54="TOTAL",SUM($M$8:M53),SUM(E54-I54))))),"")</f>
        <v>255</v>
      </c>
      <c r="N54" s="66">
        <f>IFERROR(IF(C54="","",IF(F54="","",IF(J54="","",IF($C54="TOTAL",SUM($N$8:N53),SUM(F54-J54))))),"")</f>
        <v>120</v>
      </c>
      <c r="O54" s="66">
        <f t="shared" si="11"/>
        <v>1875</v>
      </c>
      <c r="P54" s="66">
        <f>IFERROR(IF(C54="","",IF($C54="TOTAL",SUM($P$8:P53),IF(AND(C54&gt;$AL$1,$AC$3=$AL$2),BO55,IF($AO$18=$AO$20,SUM(BB55+BJ55),ROUND((D54+E54)*10%,0))))),"")</f>
        <v>6119</v>
      </c>
      <c r="Q54" s="66">
        <f>IFERROR(IF(C54="","",IF(H54="","",IF(I54="","",IF($C54="TOTAL",SUM($Q$8:Q53),IF(AND(C54&gt;$AL$1,$AC$3=$AL$2),BO55,IF($AO$18=$AO$20,$AO$21,ROUND((H54+I54)*10%,0))))))),"")</f>
        <v>5944</v>
      </c>
      <c r="R54" s="66">
        <f t="shared" si="12"/>
        <v>175</v>
      </c>
      <c r="S54" s="67">
        <f>IFERROR(IF(C54="","",IF($AO$16=$AO$17,0,IF($C54="TOTAL",SUM($S$8:S53),IF($AO$19=$AO$31,0,IF(AND($AO$32=$AO$20,C54=$AO$33),$AO$34,S53))))),"")</f>
        <v>2100</v>
      </c>
      <c r="T54" s="67">
        <f>IFERROR(IF(C54="","",IF($AO$16=$AO$17,0,IF($C54="TOTAL",SUM($T$8:T53),IF($AO$19=$AO$20,$AO$24,0)))),"")</f>
        <v>2100</v>
      </c>
      <c r="U54" s="66">
        <f t="shared" si="13"/>
        <v>0</v>
      </c>
      <c r="V54" s="66" t="str">
        <f>IF(C54="","",IF($C54="TOTAL",SUM($V$8:V53),IF(AND($AO$2=$AO$20,C54=$AO$1),ROUND(D54/31*$AP$2,0),IF(C54=$AM$6,ROUND((G54)*1/30,0),IF(C54=$AN$6,ROUND((G54)*1/31,0),"")))))</f>
        <v/>
      </c>
      <c r="W54" s="66" t="str">
        <f>IF(C54="","",IF($C54="TOTAL",SUM($W$8:W53),IF(AND($AO$2=$AO$20,C54=$AO$1),ROUND(H54/31*$AP$2,0),IF(C54=$AM$6,ROUND((K54)*1/30,0),IF(C54=$AN$6,ROUND((K54)*1/31,0),"")))))</f>
        <v/>
      </c>
      <c r="X54" s="66" t="str">
        <f t="shared" si="14"/>
        <v/>
      </c>
      <c r="Y54" s="66" t="str">
        <f>IFERROR(IF(C54="","",IF(AND(BH55="",BO55=""),"",IF($C54="TOTAL",SUM($Y$8:Y53),BH55))),"")</f>
        <v/>
      </c>
      <c r="Z54" s="66">
        <f>IFERROR(IF(C54="","",IF($C54="TOTAL",SUM($Z$8:Z53),ROUND(O54*$AO$7%,0))),"")</f>
        <v>0</v>
      </c>
      <c r="AA54" s="66">
        <f>IFERROR(IF(C54="","",IF($C54="TOTAL",SUM($AA$8:AA53),IF($AC$3=$AL$2,SUM(U54,X54,Y54,Z54),SUM(R54,U54,X54,Y54,Z54)))),"")</f>
        <v>0</v>
      </c>
      <c r="AB54" s="68">
        <f>IFERROR(IF(C54="","",IF($C54="TOTAL",SUM($AB$8:AB53),SUM(O54-AA54))),"")</f>
        <v>1875</v>
      </c>
      <c r="AK54" s="90">
        <f t="shared" si="15"/>
        <v>17</v>
      </c>
      <c r="AL54" s="90">
        <f t="shared" si="16"/>
        <v>17</v>
      </c>
      <c r="AN54" s="92">
        <v>44105</v>
      </c>
      <c r="AP54" s="92">
        <f t="shared" si="44"/>
        <v>44105</v>
      </c>
      <c r="AQ54" s="92">
        <f t="shared" si="18"/>
        <v>44105</v>
      </c>
      <c r="AR54" s="92" t="str">
        <f t="shared" si="19"/>
        <v/>
      </c>
      <c r="AS54" s="92">
        <f t="shared" si="20"/>
        <v>44105</v>
      </c>
      <c r="AT54" s="92">
        <f t="shared" si="33"/>
        <v>44105</v>
      </c>
      <c r="AU54" s="91">
        <f t="shared" si="35"/>
        <v>52300</v>
      </c>
      <c r="AV54" s="91">
        <f t="shared" si="43"/>
        <v>8891</v>
      </c>
      <c r="AW54" s="91">
        <f t="shared" si="36"/>
        <v>4184</v>
      </c>
      <c r="AX54" s="91"/>
      <c r="AY54" s="91">
        <f t="shared" si="37"/>
        <v>50800</v>
      </c>
      <c r="AZ54" s="91">
        <f t="shared" si="21"/>
        <v>8636</v>
      </c>
      <c r="BA54" s="91">
        <f t="shared" si="38"/>
        <v>4064</v>
      </c>
      <c r="BB54" s="91">
        <f t="shared" si="34"/>
        <v>3675</v>
      </c>
      <c r="BE54" s="125">
        <f t="shared" si="39"/>
        <v>1814</v>
      </c>
      <c r="BF54" s="91">
        <f t="shared" si="40"/>
        <v>3675</v>
      </c>
      <c r="BG54" s="91" t="str">
        <f t="shared" si="25"/>
        <v/>
      </c>
      <c r="BH54" s="91" t="str">
        <f t="shared" si="26"/>
        <v/>
      </c>
      <c r="BI54" s="91">
        <f t="shared" si="41"/>
        <v>0</v>
      </c>
      <c r="BJ54" s="133">
        <f t="shared" si="42"/>
        <v>0</v>
      </c>
      <c r="BO54" s="28" t="str">
        <f t="shared" si="29"/>
        <v/>
      </c>
    </row>
    <row r="55" spans="1:68" ht="21" customHeight="1">
      <c r="A55" s="140">
        <f t="shared" si="30"/>
        <v>48</v>
      </c>
      <c r="B55" s="64">
        <f t="shared" si="1"/>
        <v>48</v>
      </c>
      <c r="C55" s="65">
        <f t="shared" si="31"/>
        <v>44166</v>
      </c>
      <c r="D55" s="66">
        <f>IFERROR(IF($C54="TOTAL","अक्षरें राशि :-",IF($C55="TOTAL",SUM($D$8:D54),IF(AU56="","",AU56))),"")</f>
        <v>52300</v>
      </c>
      <c r="E55" s="66">
        <f>IFERROR(IF($C55="TOTAL",SUM($E$8:E54),IF(AV56="","",AV56)),"")</f>
        <v>8891</v>
      </c>
      <c r="F55" s="66">
        <f>IFERROR(IF($C55="TOTAL",SUM($F$8:F54),IF(OR(C55=$AM$16,C55=$AM$17,C55=$AM$18,C55=$AM$19,C55=$AM$20,C55=$AM$21,C55=$AM$22,C55=$AM$23,C55=$AM$24),0,IF(AW56="","",AW56))),"")</f>
        <v>4184</v>
      </c>
      <c r="G55" s="66">
        <f t="shared" si="32"/>
        <v>65375</v>
      </c>
      <c r="H55" s="66">
        <f>IFERROR(IF($C55="TOTAL",SUM($H$8:H54),IF(AY56="","",AY56)),"")</f>
        <v>50800</v>
      </c>
      <c r="I55" s="66">
        <f>IFERROR(IF($C55="TOTAL",SUM($I$8:I54),IF(AZ56="","",AZ56)),"")</f>
        <v>8636</v>
      </c>
      <c r="J55" s="66">
        <f>IFERROR(IF($C55="TOTAL",SUM($J$8:J54),IF(OR(C55=$AM$16,C55=$AM$17,C55=$AM$18,C55=$AM$19,C55=$AM$20,C55=$AM$21,C55=$AM$22,C55=$AM$23,C55=$AM$24),0,IF(BA56="","",BA56))),"")</f>
        <v>4064</v>
      </c>
      <c r="K55" s="66">
        <f t="shared" si="10"/>
        <v>63500</v>
      </c>
      <c r="L55" s="66">
        <f>IFERROR(IF(C55="","",IF(D55="","",IF(H55="","",IF($C55="TOTAL",SUM($L$8:L54),SUM(D55-H55))))),"")</f>
        <v>1500</v>
      </c>
      <c r="M55" s="66">
        <f>IFERROR(IF(C55="","",IF(E55="","",IF(I55="","",IF($C55="TOTAL",SUM($M$8:M54),SUM(E55-I55))))),"")</f>
        <v>255</v>
      </c>
      <c r="N55" s="66">
        <f>IFERROR(IF(C55="","",IF(F55="","",IF(J55="","",IF($C55="TOTAL",SUM($N$8:N54),SUM(F55-J55))))),"")</f>
        <v>120</v>
      </c>
      <c r="O55" s="66">
        <f t="shared" si="11"/>
        <v>1875</v>
      </c>
      <c r="P55" s="66">
        <f>IFERROR(IF(C55="","",IF($C55="TOTAL",SUM($P$8:P54),IF(AND(C55&gt;$AL$1,$AC$3=$AL$2),BO56,IF($AO$18=$AO$20,SUM(BB56+BJ56),ROUND((D55+E55)*10%,0))))),"")</f>
        <v>6119</v>
      </c>
      <c r="Q55" s="66">
        <f>IFERROR(IF(C55="","",IF(H55="","",IF(I55="","",IF($C55="TOTAL",SUM($Q$8:Q54),IF(AND(C55&gt;$AL$1,$AC$3=$AL$2),BO56,IF($AO$18=$AO$20,$AO$21,ROUND((H55+I55)*10%,0))))))),"")</f>
        <v>5944</v>
      </c>
      <c r="R55" s="66">
        <f t="shared" si="12"/>
        <v>175</v>
      </c>
      <c r="S55" s="67">
        <f>IFERROR(IF(C55="","",IF($AO$16=$AO$17,0,IF($C55="TOTAL",SUM($S$8:S54),IF($AO$19=$AO$31,0,IF(AND($AO$32=$AO$20,C55=$AO$33),$AO$34,S54))))),"")</f>
        <v>2100</v>
      </c>
      <c r="T55" s="67">
        <f>IFERROR(IF(C55="","",IF($AO$16=$AO$17,0,IF($C55="TOTAL",SUM($T$8:T54),IF($AO$19=$AO$20,$AO$24,0)))),"")</f>
        <v>2100</v>
      </c>
      <c r="U55" s="66">
        <f t="shared" si="13"/>
        <v>0</v>
      </c>
      <c r="V55" s="66" t="str">
        <f>IF(C55="","",IF($C55="TOTAL",SUM($V$8:V54),IF(AND($AO$2=$AO$20,C55=$AO$1),ROUND(D55/31*$AP$2,0),IF(C55=$AM$6,ROUND((G55)*1/30,0),IF(C55=$AN$6,ROUND((G55)*1/31,0),"")))))</f>
        <v/>
      </c>
      <c r="W55" s="66" t="str">
        <f>IF(C55="","",IF($C55="TOTAL",SUM($W$8:W54),IF(AND($AO$2=$AO$20,C55=$AO$1),ROUND(H55/31*$AP$2,0),IF(C55=$AM$6,ROUND((K55)*1/30,0),IF(C55=$AN$6,ROUND((K55)*1/31,0),"")))))</f>
        <v/>
      </c>
      <c r="X55" s="66" t="str">
        <f t="shared" si="14"/>
        <v/>
      </c>
      <c r="Y55" s="66" t="str">
        <f>IFERROR(IF(C55="","",IF(AND(BH56="",BO56=""),"",IF($C55="TOTAL",SUM($Y$8:Y54),BH56))),"")</f>
        <v/>
      </c>
      <c r="Z55" s="66">
        <f>IFERROR(IF(C55="","",IF($C55="TOTAL",SUM($Z$8:Z54),ROUND(O55*$AO$7%,0))),"")</f>
        <v>0</v>
      </c>
      <c r="AA55" s="66">
        <f>IFERROR(IF(C55="","",IF($C55="TOTAL",SUM($AA$8:AA54),IF($AC$3=$AL$2,SUM(U55,X55,Y55,Z55),SUM(R55,U55,X55,Y55,Z55)))),"")</f>
        <v>0</v>
      </c>
      <c r="AB55" s="68">
        <f>IFERROR(IF(C55="","",IF($C55="TOTAL",SUM($AB$8:AB54),SUM(O55-AA55))),"")</f>
        <v>1875</v>
      </c>
      <c r="AK55" s="90">
        <f t="shared" si="15"/>
        <v>17</v>
      </c>
      <c r="AL55" s="90">
        <f t="shared" si="16"/>
        <v>17</v>
      </c>
      <c r="AN55" s="92">
        <v>44136</v>
      </c>
      <c r="AP55" s="92">
        <f t="shared" si="44"/>
        <v>44136</v>
      </c>
      <c r="AQ55" s="92">
        <f t="shared" si="18"/>
        <v>44136</v>
      </c>
      <c r="AR55" s="92" t="str">
        <f t="shared" si="19"/>
        <v/>
      </c>
      <c r="AS55" s="92">
        <f t="shared" si="20"/>
        <v>44136</v>
      </c>
      <c r="AT55" s="92">
        <f t="shared" si="33"/>
        <v>44136</v>
      </c>
      <c r="AU55" s="91">
        <f t="shared" si="35"/>
        <v>52300</v>
      </c>
      <c r="AV55" s="91">
        <f t="shared" si="43"/>
        <v>8891</v>
      </c>
      <c r="AW55" s="91">
        <f t="shared" si="36"/>
        <v>4184</v>
      </c>
      <c r="AX55" s="91"/>
      <c r="AY55" s="91">
        <f t="shared" si="37"/>
        <v>50800</v>
      </c>
      <c r="AZ55" s="91">
        <f t="shared" si="21"/>
        <v>8636</v>
      </c>
      <c r="BA55" s="91">
        <f t="shared" si="38"/>
        <v>4064</v>
      </c>
      <c r="BB55" s="91">
        <f t="shared" si="34"/>
        <v>3675</v>
      </c>
      <c r="BE55" s="125">
        <f t="shared" si="39"/>
        <v>1875</v>
      </c>
      <c r="BF55" s="91">
        <f t="shared" si="40"/>
        <v>3675</v>
      </c>
      <c r="BG55" s="91" t="str">
        <f t="shared" si="25"/>
        <v/>
      </c>
      <c r="BH55" s="91" t="str">
        <f t="shared" si="26"/>
        <v/>
      </c>
      <c r="BI55" s="91">
        <f t="shared" si="41"/>
        <v>0</v>
      </c>
      <c r="BJ55" s="133">
        <f t="shared" si="42"/>
        <v>0</v>
      </c>
      <c r="BO55" s="28" t="str">
        <f t="shared" si="29"/>
        <v/>
      </c>
    </row>
    <row r="56" spans="1:68" ht="21" customHeight="1">
      <c r="A56" s="140">
        <f t="shared" si="30"/>
        <v>49</v>
      </c>
      <c r="B56" s="64">
        <f t="shared" si="1"/>
        <v>49</v>
      </c>
      <c r="C56" s="65">
        <f t="shared" si="31"/>
        <v>44197</v>
      </c>
      <c r="D56" s="66">
        <f>IFERROR(IF($C55="TOTAL","अक्षरें राशि :-",IF($C56="TOTAL",SUM($D$8:D55),IF(AU57="","",AU57))),"")</f>
        <v>52300</v>
      </c>
      <c r="E56" s="66">
        <f>IFERROR(IF($C56="TOTAL",SUM($E$8:E55),IF(AV57="","",AV57)),"")</f>
        <v>8891</v>
      </c>
      <c r="F56" s="66">
        <f>IFERROR(IF($C56="TOTAL",SUM($F$8:F55),IF(OR(C56=$AM$16,C56=$AM$17,C56=$AM$18,C56=$AM$19,C56=$AM$20,C56=$AM$21,C56=$AM$22,C56=$AM$23,C56=$AM$24),0,IF(AW57="","",AW57))),"")</f>
        <v>4184</v>
      </c>
      <c r="G56" s="66">
        <f t="shared" si="32"/>
        <v>65375</v>
      </c>
      <c r="H56" s="66">
        <f>IFERROR(IF($C56="TOTAL",SUM($H$8:H55),IF(AY57="","",AY57)),"")</f>
        <v>50800</v>
      </c>
      <c r="I56" s="66">
        <f>IFERROR(IF($C56="TOTAL",SUM($I$8:I55),IF(AZ57="","",AZ57)),"")</f>
        <v>8636</v>
      </c>
      <c r="J56" s="66">
        <f>IFERROR(IF($C56="TOTAL",SUM($J$8:J55),IF(OR(C56=$AM$16,C56=$AM$17,C56=$AM$18,C56=$AM$19,C56=$AM$20,C56=$AM$21,C56=$AM$22,C56=$AM$23,C56=$AM$24),0,IF(BA57="","",BA57))),"")</f>
        <v>4064</v>
      </c>
      <c r="K56" s="66">
        <f t="shared" si="10"/>
        <v>63500</v>
      </c>
      <c r="L56" s="66">
        <f>IFERROR(IF(C56="","",IF(D56="","",IF(H56="","",IF($C56="TOTAL",SUM($L$8:L55),SUM(D56-H56))))),"")</f>
        <v>1500</v>
      </c>
      <c r="M56" s="66">
        <f>IFERROR(IF(C56="","",IF(E56="","",IF(I56="","",IF($C56="TOTAL",SUM($M$8:M55),SUM(E56-I56))))),"")</f>
        <v>255</v>
      </c>
      <c r="N56" s="66">
        <f>IFERROR(IF(C56="","",IF(F56="","",IF(J56="","",IF($C56="TOTAL",SUM($N$8:N55),SUM(F56-J56))))),"")</f>
        <v>120</v>
      </c>
      <c r="O56" s="66">
        <f t="shared" si="11"/>
        <v>1875</v>
      </c>
      <c r="P56" s="66">
        <f>IFERROR(IF(C56="","",IF($C56="TOTAL",SUM($P$8:P55),IF(AND(C56&gt;$AL$1,$AC$3=$AL$2),BO57,IF($AO$18=$AO$20,SUM(BB57+BJ57),ROUND((D56+E56)*10%,0))))),"")</f>
        <v>6119</v>
      </c>
      <c r="Q56" s="66">
        <f>IFERROR(IF(C56="","",IF(H56="","",IF(I56="","",IF($C56="TOTAL",SUM($Q$8:Q55),IF(AND(C56&gt;$AL$1,$AC$3=$AL$2),BO57,IF($AO$18=$AO$20,$AO$21,ROUND((H56+I56)*10%,0))))))),"")</f>
        <v>5944</v>
      </c>
      <c r="R56" s="66">
        <f t="shared" si="12"/>
        <v>175</v>
      </c>
      <c r="S56" s="67">
        <f>IFERROR(IF(C56="","",IF($AO$16=$AO$17,0,IF($C56="TOTAL",SUM($S$8:S55),IF($AO$19=$AO$31,0,IF(AND($AO$32=$AO$20,C56=$AO$33),$AO$34,S55))))),"")</f>
        <v>2100</v>
      </c>
      <c r="T56" s="67">
        <f>IFERROR(IF(C56="","",IF($AO$16=$AO$17,0,IF($C56="TOTAL",SUM($T$8:T55),IF($AO$19=$AO$20,$AO$24,0)))),"")</f>
        <v>2100</v>
      </c>
      <c r="U56" s="66">
        <f t="shared" si="13"/>
        <v>0</v>
      </c>
      <c r="V56" s="66" t="str">
        <f>IF(C56="","",IF($C56="TOTAL",SUM($V$8:V55),IF(AND($AO$2=$AO$20,C56=$AO$1),ROUND(D56/31*$AP$2,0),IF(C56=$AM$6,ROUND((G56)*1/30,0),IF(C56=$AN$6,ROUND((G56)*1/31,0),"")))))</f>
        <v/>
      </c>
      <c r="W56" s="66" t="str">
        <f>IF(C56="","",IF($C56="TOTAL",SUM($W$8:W55),IF(AND($AO$2=$AO$20,C56=$AO$1),ROUND(H56/31*$AP$2,0),IF(C56=$AM$6,ROUND((K56)*1/30,0),IF(C56=$AN$6,ROUND((K56)*1/31,0),"")))))</f>
        <v/>
      </c>
      <c r="X56" s="66" t="str">
        <f t="shared" si="14"/>
        <v/>
      </c>
      <c r="Y56" s="66" t="str">
        <f>IFERROR(IF(C56="","",IF(AND(BH57="",BO57=""),"",IF($C56="TOTAL",SUM($Y$8:Y55),BH57))),"")</f>
        <v/>
      </c>
      <c r="Z56" s="66">
        <f>IFERROR(IF(C56="","",IF($C56="TOTAL",SUM($Z$8:Z55),ROUND(O56*$AO$7%,0))),"")</f>
        <v>0</v>
      </c>
      <c r="AA56" s="66">
        <f>IFERROR(IF(C56="","",IF($C56="TOTAL",SUM($AA$8:AA55),IF($AC$3=$AL$2,SUM(U56,X56,Y56,Z56),SUM(R56,U56,X56,Y56,Z56)))),"")</f>
        <v>0</v>
      </c>
      <c r="AB56" s="68">
        <f>IFERROR(IF(C56="","",IF($C56="TOTAL",SUM($AB$8:AB55),SUM(O56-AA56))),"")</f>
        <v>1875</v>
      </c>
      <c r="AK56" s="90">
        <f t="shared" si="15"/>
        <v>17</v>
      </c>
      <c r="AL56" s="90">
        <f t="shared" si="16"/>
        <v>17</v>
      </c>
      <c r="AN56" s="92">
        <v>44166</v>
      </c>
      <c r="AP56" s="92">
        <f t="shared" si="44"/>
        <v>44166</v>
      </c>
      <c r="AQ56" s="92">
        <f t="shared" si="18"/>
        <v>44166</v>
      </c>
      <c r="AR56" s="92" t="str">
        <f t="shared" si="19"/>
        <v/>
      </c>
      <c r="AS56" s="92">
        <f t="shared" si="20"/>
        <v>44166</v>
      </c>
      <c r="AT56" s="92">
        <f t="shared" si="33"/>
        <v>44166</v>
      </c>
      <c r="AU56" s="91">
        <f t="shared" si="35"/>
        <v>52300</v>
      </c>
      <c r="AV56" s="91">
        <f t="shared" si="43"/>
        <v>8891</v>
      </c>
      <c r="AW56" s="91">
        <f t="shared" si="36"/>
        <v>4184</v>
      </c>
      <c r="AX56" s="91"/>
      <c r="AY56" s="91">
        <f t="shared" si="37"/>
        <v>50800</v>
      </c>
      <c r="AZ56" s="91">
        <f t="shared" si="21"/>
        <v>8636</v>
      </c>
      <c r="BA56" s="91">
        <f t="shared" si="38"/>
        <v>4064</v>
      </c>
      <c r="BB56" s="91">
        <f t="shared" si="34"/>
        <v>3675</v>
      </c>
      <c r="BE56" s="125">
        <f t="shared" si="39"/>
        <v>1875</v>
      </c>
      <c r="BF56" s="91">
        <f t="shared" si="40"/>
        <v>3675</v>
      </c>
      <c r="BG56" s="91" t="str">
        <f t="shared" si="25"/>
        <v/>
      </c>
      <c r="BH56" s="91" t="str">
        <f t="shared" si="26"/>
        <v/>
      </c>
      <c r="BI56" s="91">
        <f t="shared" si="41"/>
        <v>0</v>
      </c>
      <c r="BJ56" s="133">
        <f t="shared" si="42"/>
        <v>0</v>
      </c>
      <c r="BO56" s="28" t="str">
        <f t="shared" si="29"/>
        <v/>
      </c>
    </row>
    <row r="57" spans="1:68" ht="21" customHeight="1">
      <c r="A57" s="140">
        <f t="shared" si="30"/>
        <v>50</v>
      </c>
      <c r="B57" s="64">
        <f t="shared" si="1"/>
        <v>50</v>
      </c>
      <c r="C57" s="65">
        <f t="shared" si="31"/>
        <v>44228</v>
      </c>
      <c r="D57" s="66">
        <f>IFERROR(IF($C56="TOTAL","अक्षरें राशि :-",IF($C57="TOTAL",SUM($D$8:D56),IF(AU58="","",AU58))),"")</f>
        <v>52300</v>
      </c>
      <c r="E57" s="66">
        <f>IFERROR(IF($C57="TOTAL",SUM($E$8:E56),IF(AV58="","",AV58)),"")</f>
        <v>8891</v>
      </c>
      <c r="F57" s="66">
        <f>IFERROR(IF($C57="TOTAL",SUM($F$8:F56),IF(OR(C57=$AM$16,C57=$AM$17,C57=$AM$18,C57=$AM$19,C57=$AM$20,C57=$AM$21,C57=$AM$22,C57=$AM$23,C57=$AM$24),0,IF(AW58="","",AW58))),"")</f>
        <v>4184</v>
      </c>
      <c r="G57" s="66">
        <f t="shared" si="32"/>
        <v>65375</v>
      </c>
      <c r="H57" s="66">
        <f>IFERROR(IF($C57="TOTAL",SUM($H$8:H56),IF(AY58="","",AY58)),"")</f>
        <v>50800</v>
      </c>
      <c r="I57" s="66">
        <f>IFERROR(IF($C57="TOTAL",SUM($I$8:I56),IF(AZ58="","",AZ58)),"")</f>
        <v>8636</v>
      </c>
      <c r="J57" s="66">
        <f>IFERROR(IF($C57="TOTAL",SUM($J$8:J56),IF(OR(C57=$AM$16,C57=$AM$17,C57=$AM$18,C57=$AM$19,C57=$AM$20,C57=$AM$21,C57=$AM$22,C57=$AM$23,C57=$AM$24),0,IF(BA58="","",BA58))),"")</f>
        <v>4064</v>
      </c>
      <c r="K57" s="66">
        <f t="shared" si="10"/>
        <v>63500</v>
      </c>
      <c r="L57" s="66">
        <f>IFERROR(IF(C57="","",IF(D57="","",IF(H57="","",IF($C57="TOTAL",SUM($L$8:L56),SUM(D57-H57))))),"")</f>
        <v>1500</v>
      </c>
      <c r="M57" s="66">
        <f>IFERROR(IF(C57="","",IF(E57="","",IF(I57="","",IF($C57="TOTAL",SUM($M$8:M56),SUM(E57-I57))))),"")</f>
        <v>255</v>
      </c>
      <c r="N57" s="66">
        <f>IFERROR(IF(C57="","",IF(F57="","",IF(J57="","",IF($C57="TOTAL",SUM($N$8:N56),SUM(F57-J57))))),"")</f>
        <v>120</v>
      </c>
      <c r="O57" s="66">
        <f t="shared" si="11"/>
        <v>1875</v>
      </c>
      <c r="P57" s="66">
        <f>IFERROR(IF(C57="","",IF($C57="TOTAL",SUM($P$8:P56),IF(AND(C57&gt;$AL$1,$AC$3=$AL$2),BO58,IF($AO$18=$AO$20,SUM(BB58+BJ58),ROUND((D57+E57)*10%,0))))),"")</f>
        <v>6119</v>
      </c>
      <c r="Q57" s="66">
        <f>IFERROR(IF(C57="","",IF(H57="","",IF(I57="","",IF($C57="TOTAL",SUM($Q$8:Q56),IF(AND(C57&gt;$AL$1,$AC$3=$AL$2),BO58,IF($AO$18=$AO$20,$AO$21,ROUND((H57+I57)*10%,0))))))),"")</f>
        <v>5944</v>
      </c>
      <c r="R57" s="66">
        <f t="shared" si="12"/>
        <v>175</v>
      </c>
      <c r="S57" s="67">
        <f>IFERROR(IF(C57="","",IF($AO$16=$AO$17,0,IF($C57="TOTAL",SUM($S$8:S56),IF($AO$19=$AO$31,0,IF(AND($AO$32=$AO$20,C57=$AO$33),$AO$34,S56))))),"")</f>
        <v>2100</v>
      </c>
      <c r="T57" s="67">
        <f>IFERROR(IF(C57="","",IF($AO$16=$AO$17,0,IF($C57="TOTAL",SUM($T$8:T56),IF($AO$19=$AO$20,$AO$24,0)))),"")</f>
        <v>2100</v>
      </c>
      <c r="U57" s="66">
        <f t="shared" si="13"/>
        <v>0</v>
      </c>
      <c r="V57" s="66" t="str">
        <f>IF(C57="","",IF($C57="TOTAL",SUM($V$8:V56),IF(AND($AO$2=$AO$20,C57=$AO$1),ROUND(D57/31*$AP$2,0),IF(C57=$AM$6,ROUND((G57)*1/30,0),IF(C57=$AN$6,ROUND((G57)*1/31,0),"")))))</f>
        <v/>
      </c>
      <c r="W57" s="66" t="str">
        <f>IF(C57="","",IF($C57="TOTAL",SUM($W$8:W56),IF(AND($AO$2=$AO$20,C57=$AO$1),ROUND(H57/31*$AP$2,0),IF(C57=$AM$6,ROUND((K57)*1/30,0),IF(C57=$AN$6,ROUND((K57)*1/31,0),"")))))</f>
        <v/>
      </c>
      <c r="X57" s="66" t="str">
        <f t="shared" si="14"/>
        <v/>
      </c>
      <c r="Y57" s="66" t="str">
        <f>IFERROR(IF(C57="","",IF(AND(BH58="",BO58=""),"",IF($C57="TOTAL",SUM($Y$8:Y56),BH58))),"")</f>
        <v/>
      </c>
      <c r="Z57" s="66">
        <f>IFERROR(IF(C57="","",IF($C57="TOTAL",SUM($Z$8:Z56),ROUND(O57*$AO$7%,0))),"")</f>
        <v>0</v>
      </c>
      <c r="AA57" s="66">
        <f>IFERROR(IF(C57="","",IF($C57="TOTAL",SUM($AA$8:AA56),IF($AC$3=$AL$2,SUM(U57,X57,Y57,Z57),SUM(R57,U57,X57,Y57,Z57)))),"")</f>
        <v>0</v>
      </c>
      <c r="AB57" s="68">
        <f>IFERROR(IF(C57="","",IF($C57="TOTAL",SUM($AB$8:AB56),SUM(O57-AA57))),"")</f>
        <v>1875</v>
      </c>
      <c r="AK57" s="90">
        <f t="shared" si="15"/>
        <v>17</v>
      </c>
      <c r="AL57" s="90">
        <f t="shared" si="16"/>
        <v>17</v>
      </c>
      <c r="AN57" s="92">
        <v>44197</v>
      </c>
      <c r="AP57" s="92">
        <f t="shared" si="44"/>
        <v>44197</v>
      </c>
      <c r="AQ57" s="92">
        <f t="shared" si="18"/>
        <v>44197</v>
      </c>
      <c r="AR57" s="92" t="str">
        <f t="shared" si="19"/>
        <v/>
      </c>
      <c r="AS57" s="92">
        <f t="shared" si="20"/>
        <v>44197</v>
      </c>
      <c r="AT57" s="92">
        <f t="shared" si="33"/>
        <v>44197</v>
      </c>
      <c r="AU57" s="91">
        <f t="shared" si="35"/>
        <v>52300</v>
      </c>
      <c r="AV57" s="91">
        <f t="shared" si="43"/>
        <v>8891</v>
      </c>
      <c r="AW57" s="91">
        <f t="shared" si="36"/>
        <v>4184</v>
      </c>
      <c r="AX57" s="91"/>
      <c r="AY57" s="91">
        <f t="shared" si="37"/>
        <v>50800</v>
      </c>
      <c r="AZ57" s="91">
        <f t="shared" si="21"/>
        <v>8636</v>
      </c>
      <c r="BA57" s="91">
        <f t="shared" si="38"/>
        <v>4064</v>
      </c>
      <c r="BB57" s="91">
        <f t="shared" si="34"/>
        <v>3675</v>
      </c>
      <c r="BE57" s="125">
        <f t="shared" si="39"/>
        <v>1875</v>
      </c>
      <c r="BF57" s="91">
        <f t="shared" si="40"/>
        <v>3675</v>
      </c>
      <c r="BG57" s="91" t="str">
        <f t="shared" si="25"/>
        <v/>
      </c>
      <c r="BH57" s="91" t="str">
        <f t="shared" si="26"/>
        <v/>
      </c>
      <c r="BI57" s="91">
        <f t="shared" si="41"/>
        <v>0</v>
      </c>
      <c r="BJ57" s="133">
        <f t="shared" si="42"/>
        <v>0</v>
      </c>
      <c r="BO57" s="28" t="str">
        <f t="shared" si="29"/>
        <v/>
      </c>
    </row>
    <row r="58" spans="1:68" ht="21" customHeight="1">
      <c r="A58" s="140">
        <f t="shared" si="30"/>
        <v>51</v>
      </c>
      <c r="B58" s="64">
        <f t="shared" si="1"/>
        <v>51</v>
      </c>
      <c r="C58" s="65">
        <f t="shared" si="31"/>
        <v>44256</v>
      </c>
      <c r="D58" s="66">
        <f>IFERROR(IF($C57="TOTAL","अक्षरें राशि :-",IF($C58="TOTAL",SUM($D$8:D57),IF(AU59="","",AU59))),"")</f>
        <v>52300</v>
      </c>
      <c r="E58" s="66">
        <f>IFERROR(IF($C58="TOTAL",SUM($E$8:E57),IF(AV59="","",AV59)),"")</f>
        <v>8891</v>
      </c>
      <c r="F58" s="66">
        <f>IFERROR(IF($C58="TOTAL",SUM($F$8:F57),IF(OR(C58=$AM$16,C58=$AM$17,C58=$AM$18,C58=$AM$19,C58=$AM$20,C58=$AM$21,C58=$AM$22,C58=$AM$23,C58=$AM$24),0,IF(AW59="","",AW59))),"")</f>
        <v>4184</v>
      </c>
      <c r="G58" s="66">
        <f t="shared" si="32"/>
        <v>65375</v>
      </c>
      <c r="H58" s="66">
        <f>IFERROR(IF($C58="TOTAL",SUM($H$8:H57),IF(AY59="","",AY59)),"")</f>
        <v>50800</v>
      </c>
      <c r="I58" s="66">
        <f>IFERROR(IF($C58="TOTAL",SUM($I$8:I57),IF(AZ59="","",AZ59)),"")</f>
        <v>8636</v>
      </c>
      <c r="J58" s="66">
        <f>IFERROR(IF($C58="TOTAL",SUM($J$8:J57),IF(OR(C58=$AM$16,C58=$AM$17,C58=$AM$18,C58=$AM$19,C58=$AM$20,C58=$AM$21,C58=$AM$22,C58=$AM$23,C58=$AM$24),0,IF(BA59="","",BA59))),"")</f>
        <v>4064</v>
      </c>
      <c r="K58" s="66">
        <f t="shared" si="10"/>
        <v>63500</v>
      </c>
      <c r="L58" s="66">
        <f>IFERROR(IF(C58="","",IF(D58="","",IF(H58="","",IF($C58="TOTAL",SUM($L$8:L57),SUM(D58-H58))))),"")</f>
        <v>1500</v>
      </c>
      <c r="M58" s="66">
        <f>IFERROR(IF(C58="","",IF(E58="","",IF(I58="","",IF($C58="TOTAL",SUM($M$8:M57),SUM(E58-I58))))),"")</f>
        <v>255</v>
      </c>
      <c r="N58" s="66">
        <f>IFERROR(IF(C58="","",IF(F58="","",IF(J58="","",IF($C58="TOTAL",SUM($N$8:N57),SUM(F58-J58))))),"")</f>
        <v>120</v>
      </c>
      <c r="O58" s="66">
        <f t="shared" si="11"/>
        <v>1875</v>
      </c>
      <c r="P58" s="66">
        <f>IFERROR(IF(C58="","",IF($C58="TOTAL",SUM($P$8:P57),IF(AND(C58&gt;$AL$1,$AC$3=$AL$2),BO59,IF($AO$18=$AO$20,SUM(BB59+BJ59),ROUND((D58+E58)*10%,0))))),"")</f>
        <v>6119</v>
      </c>
      <c r="Q58" s="66">
        <f>IFERROR(IF(C58="","",IF(H58="","",IF(I58="","",IF($C58="TOTAL",SUM($Q$8:Q57),IF(AND(C58&gt;$AL$1,$AC$3=$AL$2),BO59,IF($AO$18=$AO$20,$AO$21,ROUND((H58+I58)*10%,0))))))),"")</f>
        <v>5944</v>
      </c>
      <c r="R58" s="66">
        <f t="shared" si="12"/>
        <v>175</v>
      </c>
      <c r="S58" s="67">
        <f>IFERROR(IF(C58="","",IF($AO$16=$AO$17,0,IF($C58="TOTAL",SUM($S$8:S57),IF($AO$19=$AO$31,0,IF(AND($AO$32=$AO$20,C58=$AO$33),$AO$34,S57))))),"")</f>
        <v>2100</v>
      </c>
      <c r="T58" s="67">
        <f>IFERROR(IF(C58="","",IF($AO$16=$AO$17,0,IF($C58="TOTAL",SUM($T$8:T57),IF($AO$19=$AO$20,$AO$24,0)))),"")</f>
        <v>2100</v>
      </c>
      <c r="U58" s="66">
        <f t="shared" si="13"/>
        <v>0</v>
      </c>
      <c r="V58" s="66" t="str">
        <f>IF(C58="","",IF($C58="TOTAL",SUM($V$8:V57),IF(AND($AO$2=$AO$20,C58=$AO$1),ROUND(D58/31*$AP$2,0),IF(C58=$AM$6,ROUND((G58)*1/30,0),IF(C58=$AN$6,ROUND((G58)*1/31,0),"")))))</f>
        <v/>
      </c>
      <c r="W58" s="66" t="str">
        <f>IF(C58="","",IF($C58="TOTAL",SUM($W$8:W57),IF(AND($AO$2=$AO$20,C58=$AO$1),ROUND(H58/31*$AP$2,0),IF(C58=$AM$6,ROUND((K58)*1/30,0),IF(C58=$AN$6,ROUND((K58)*1/31,0),"")))))</f>
        <v/>
      </c>
      <c r="X58" s="66" t="str">
        <f t="shared" si="14"/>
        <v/>
      </c>
      <c r="Y58" s="66" t="str">
        <f>IFERROR(IF(C58="","",IF(AND(BH59="",BO59=""),"",IF($C58="TOTAL",SUM($Y$8:Y57),BH59))),"")</f>
        <v/>
      </c>
      <c r="Z58" s="66">
        <f>IFERROR(IF(C58="","",IF($C58="TOTAL",SUM($Z$8:Z57),ROUND(O58*$AO$7%,0))),"")</f>
        <v>0</v>
      </c>
      <c r="AA58" s="66">
        <f>IFERROR(IF(C58="","",IF($C58="TOTAL",SUM($AA$8:AA57),IF($AC$3=$AL$2,SUM(U58,X58,Y58,Z58),SUM(R58,U58,X58,Y58,Z58)))),"")</f>
        <v>0</v>
      </c>
      <c r="AB58" s="68">
        <f>IFERROR(IF(C58="","",IF($C58="TOTAL",SUM($AB$8:AB57),SUM(O58-AA58))),"")</f>
        <v>1875</v>
      </c>
      <c r="AK58" s="90">
        <f t="shared" si="15"/>
        <v>17</v>
      </c>
      <c r="AL58" s="90">
        <f t="shared" si="16"/>
        <v>17</v>
      </c>
      <c r="AN58" s="92">
        <v>44228</v>
      </c>
      <c r="AP58" s="92">
        <f t="shared" si="44"/>
        <v>44228</v>
      </c>
      <c r="AQ58" s="92">
        <f t="shared" si="18"/>
        <v>44228</v>
      </c>
      <c r="AR58" s="92" t="str">
        <f t="shared" si="19"/>
        <v/>
      </c>
      <c r="AS58" s="92">
        <f t="shared" si="20"/>
        <v>44228</v>
      </c>
      <c r="AT58" s="92">
        <f t="shared" si="33"/>
        <v>44228</v>
      </c>
      <c r="AU58" s="91">
        <f t="shared" si="35"/>
        <v>52300</v>
      </c>
      <c r="AV58" s="91">
        <f t="shared" si="43"/>
        <v>8891</v>
      </c>
      <c r="AW58" s="91">
        <f t="shared" si="36"/>
        <v>4184</v>
      </c>
      <c r="AX58" s="91"/>
      <c r="AY58" s="91">
        <f t="shared" si="37"/>
        <v>50800</v>
      </c>
      <c r="AZ58" s="91">
        <f t="shared" si="21"/>
        <v>8636</v>
      </c>
      <c r="BA58" s="91">
        <f t="shared" si="38"/>
        <v>4064</v>
      </c>
      <c r="BB58" s="91">
        <f t="shared" si="34"/>
        <v>3675</v>
      </c>
      <c r="BE58" s="125">
        <f t="shared" si="39"/>
        <v>1875</v>
      </c>
      <c r="BF58" s="91">
        <f t="shared" si="40"/>
        <v>3675</v>
      </c>
      <c r="BG58" s="91" t="str">
        <f t="shared" si="25"/>
        <v/>
      </c>
      <c r="BH58" s="91" t="str">
        <f t="shared" si="26"/>
        <v/>
      </c>
      <c r="BI58" s="91">
        <f t="shared" si="41"/>
        <v>0</v>
      </c>
      <c r="BJ58" s="133">
        <f t="shared" si="42"/>
        <v>0</v>
      </c>
      <c r="BO58" s="28" t="str">
        <f t="shared" si="29"/>
        <v/>
      </c>
    </row>
    <row r="59" spans="1:68" ht="21" customHeight="1">
      <c r="A59" s="140">
        <f t="shared" si="30"/>
        <v>52</v>
      </c>
      <c r="B59" s="64">
        <f t="shared" si="1"/>
        <v>52</v>
      </c>
      <c r="C59" s="65">
        <f t="shared" si="31"/>
        <v>44287</v>
      </c>
      <c r="D59" s="66">
        <f>IFERROR(IF($C58="TOTAL","अक्षरें राशि :-",IF($C59="TOTAL",SUM($D$8:D58),IF(AU60="","",AU60))),"")</f>
        <v>52300</v>
      </c>
      <c r="E59" s="66">
        <f>IFERROR(IF($C59="TOTAL",SUM($E$8:E58),IF(AV60="","",AV60)),"")</f>
        <v>8891</v>
      </c>
      <c r="F59" s="66">
        <f>IFERROR(IF($C59="TOTAL",SUM($F$8:F58),IF(OR(C59=$AM$16,C59=$AM$17,C59=$AM$18,C59=$AM$19,C59=$AM$20,C59=$AM$21,C59=$AM$22,C59=$AM$23,C59=$AM$24),0,IF(AW60="","",AW60))),"")</f>
        <v>4184</v>
      </c>
      <c r="G59" s="66">
        <f t="shared" si="32"/>
        <v>65375</v>
      </c>
      <c r="H59" s="66">
        <f>IFERROR(IF($C59="TOTAL",SUM($H$8:H58),IF(AY60="","",AY60)),"")</f>
        <v>50800</v>
      </c>
      <c r="I59" s="66">
        <f>IFERROR(IF($C59="TOTAL",SUM($I$8:I58),IF(AZ60="","",AZ60)),"")</f>
        <v>8636</v>
      </c>
      <c r="J59" s="66">
        <f>IFERROR(IF($C59="TOTAL",SUM($J$8:J58),IF(OR(C59=$AM$16,C59=$AM$17,C59=$AM$18,C59=$AM$19,C59=$AM$20,C59=$AM$21,C59=$AM$22,C59=$AM$23,C59=$AM$24),0,IF(BA60="","",BA60))),"")</f>
        <v>4064</v>
      </c>
      <c r="K59" s="66">
        <f t="shared" si="10"/>
        <v>63500</v>
      </c>
      <c r="L59" s="66">
        <f>IFERROR(IF(C59="","",IF(D59="","",IF(H59="","",IF($C59="TOTAL",SUM($L$8:L58),SUM(D59-H59))))),"")</f>
        <v>1500</v>
      </c>
      <c r="M59" s="66">
        <f>IFERROR(IF(C59="","",IF(E59="","",IF(I59="","",IF($C59="TOTAL",SUM($M$8:M58),SUM(E59-I59))))),"")</f>
        <v>255</v>
      </c>
      <c r="N59" s="66">
        <f>IFERROR(IF(C59="","",IF(F59="","",IF(J59="","",IF($C59="TOTAL",SUM($N$8:N58),SUM(F59-J59))))),"")</f>
        <v>120</v>
      </c>
      <c r="O59" s="66">
        <f t="shared" si="11"/>
        <v>1875</v>
      </c>
      <c r="P59" s="66">
        <f>IFERROR(IF(C59="","",IF($C59="TOTAL",SUM($P$8:P58),IF(AND(C59&gt;$AL$1,$AC$3=$AL$2),BO60,IF($AO$18=$AO$20,SUM(BB60+BJ60),ROUND((D59+E59)*10%,0))))),"")</f>
        <v>6119</v>
      </c>
      <c r="Q59" s="66">
        <f>IFERROR(IF(C59="","",IF(H59="","",IF(I59="","",IF($C59="TOTAL",SUM($Q$8:Q58),IF(AND(C59&gt;$AL$1,$AC$3=$AL$2),BO60,IF($AO$18=$AO$20,$AO$21,ROUND((H59+I59)*10%,0))))))),"")</f>
        <v>5944</v>
      </c>
      <c r="R59" s="66">
        <f t="shared" si="12"/>
        <v>175</v>
      </c>
      <c r="S59" s="67">
        <f>IFERROR(IF(C59="","",IF($AO$16=$AO$17,0,IF($C59="TOTAL",SUM($S$8:S58),IF($AO$19=$AO$31,0,IF(AND($AO$32=$AO$20,C59=$AO$33),$AO$34,S58))))),"")</f>
        <v>2100</v>
      </c>
      <c r="T59" s="67">
        <f>IFERROR(IF(C59="","",IF($AO$16=$AO$17,0,IF($C59="TOTAL",SUM($T$8:T58),IF($AO$19=$AO$20,$AO$24,0)))),"")</f>
        <v>2100</v>
      </c>
      <c r="U59" s="66">
        <f t="shared" si="13"/>
        <v>0</v>
      </c>
      <c r="V59" s="66" t="str">
        <f>IF(C59="","",IF($C59="TOTAL",SUM($V$8:V58),IF(AND($AO$2=$AO$20,C59=$AO$1),ROUND(D59/31*$AP$2,0),IF(C59=$AM$6,ROUND((G59)*1/30,0),IF(C59=$AN$6,ROUND((G59)*1/31,0),"")))))</f>
        <v/>
      </c>
      <c r="W59" s="66" t="str">
        <f>IF(C59="","",IF($C59="TOTAL",SUM($W$8:W58),IF(AND($AO$2=$AO$20,C59=$AO$1),ROUND(H59/31*$AP$2,0),IF(C59=$AM$6,ROUND((K59)*1/30,0),IF(C59=$AN$6,ROUND((K59)*1/31,0),"")))))</f>
        <v/>
      </c>
      <c r="X59" s="66" t="str">
        <f t="shared" si="14"/>
        <v/>
      </c>
      <c r="Y59" s="66" t="str">
        <f>IFERROR(IF(C59="","",IF(AND(BH60="",BO60=""),"",IF($C59="TOTAL",SUM($Y$8:Y58),BH60))),"")</f>
        <v/>
      </c>
      <c r="Z59" s="66">
        <f>IFERROR(IF(C59="","",IF($C59="TOTAL",SUM($Z$8:Z58),ROUND(O59*$AO$7%,0))),"")</f>
        <v>0</v>
      </c>
      <c r="AA59" s="66">
        <f>IFERROR(IF(C59="","",IF($C59="TOTAL",SUM($AA$8:AA58),IF($AC$3=$AL$2,SUM(U59,X59,Y59,Z59),SUM(R59,U59,X59,Y59,Z59)))),"")</f>
        <v>0</v>
      </c>
      <c r="AB59" s="68">
        <f>IFERROR(IF(C59="","",IF($C59="TOTAL",SUM($AB$8:AB58),SUM(O59-AA59))),"")</f>
        <v>1875</v>
      </c>
      <c r="AK59" s="90">
        <f t="shared" si="15"/>
        <v>17</v>
      </c>
      <c r="AL59" s="90">
        <f t="shared" si="16"/>
        <v>17</v>
      </c>
      <c r="AN59" s="92">
        <v>44256</v>
      </c>
      <c r="AP59" s="92">
        <f t="shared" si="44"/>
        <v>44256</v>
      </c>
      <c r="AQ59" s="92">
        <f t="shared" si="18"/>
        <v>44256</v>
      </c>
      <c r="AR59" s="92" t="str">
        <f t="shared" si="19"/>
        <v/>
      </c>
      <c r="AS59" s="92">
        <f t="shared" si="20"/>
        <v>44256</v>
      </c>
      <c r="AT59" s="92">
        <f t="shared" si="33"/>
        <v>44256</v>
      </c>
      <c r="AU59" s="91">
        <f t="shared" si="35"/>
        <v>52300</v>
      </c>
      <c r="AV59" s="91">
        <f t="shared" si="43"/>
        <v>8891</v>
      </c>
      <c r="AW59" s="91">
        <f t="shared" si="36"/>
        <v>4184</v>
      </c>
      <c r="AX59" s="91"/>
      <c r="AY59" s="91">
        <f t="shared" si="37"/>
        <v>50800</v>
      </c>
      <c r="AZ59" s="91">
        <f t="shared" si="21"/>
        <v>8636</v>
      </c>
      <c r="BA59" s="91">
        <f t="shared" si="38"/>
        <v>4064</v>
      </c>
      <c r="BB59" s="91">
        <f t="shared" si="34"/>
        <v>3675</v>
      </c>
      <c r="BE59" s="125">
        <f t="shared" si="39"/>
        <v>1875</v>
      </c>
      <c r="BF59" s="91">
        <f t="shared" si="40"/>
        <v>3675</v>
      </c>
      <c r="BG59" s="91" t="str">
        <f t="shared" si="25"/>
        <v/>
      </c>
      <c r="BH59" s="91" t="str">
        <f t="shared" si="26"/>
        <v/>
      </c>
      <c r="BI59" s="91">
        <f t="shared" si="41"/>
        <v>0</v>
      </c>
      <c r="BJ59" s="133">
        <f t="shared" si="42"/>
        <v>0</v>
      </c>
      <c r="BO59" s="28" t="str">
        <f t="shared" si="29"/>
        <v/>
      </c>
    </row>
    <row r="60" spans="1:68" ht="21" customHeight="1">
      <c r="A60" s="140">
        <f t="shared" si="30"/>
        <v>53</v>
      </c>
      <c r="B60" s="64">
        <f t="shared" si="1"/>
        <v>53</v>
      </c>
      <c r="C60" s="65">
        <f t="shared" si="31"/>
        <v>44317</v>
      </c>
      <c r="D60" s="66">
        <f>IFERROR(IF($C59="TOTAL","अक्षरें राशि :-",IF($C60="TOTAL",SUM($D$8:D59),IF(AU61="","",AU61))),"")</f>
        <v>52300</v>
      </c>
      <c r="E60" s="66">
        <f>IFERROR(IF($C60="TOTAL",SUM($E$8:E59),IF(AV61="","",AV61)),"")</f>
        <v>8891</v>
      </c>
      <c r="F60" s="66">
        <f>IFERROR(IF($C60="TOTAL",SUM($F$8:F59),IF(OR(C60=$AM$16,C60=$AM$17,C60=$AM$18,C60=$AM$19,C60=$AM$20,C60=$AM$21,C60=$AM$22,C60=$AM$23,C60=$AM$24),0,IF(AW61="","",AW61))),"")</f>
        <v>4184</v>
      </c>
      <c r="G60" s="66">
        <f t="shared" si="32"/>
        <v>65375</v>
      </c>
      <c r="H60" s="66">
        <f>IFERROR(IF($C60="TOTAL",SUM($H$8:H59),IF(AY61="","",AY61)),"")</f>
        <v>50800</v>
      </c>
      <c r="I60" s="66">
        <f>IFERROR(IF($C60="TOTAL",SUM($I$8:I59),IF(AZ61="","",AZ61)),"")</f>
        <v>8636</v>
      </c>
      <c r="J60" s="66">
        <f>IFERROR(IF($C60="TOTAL",SUM($J$8:J59),IF(OR(C60=$AM$16,C60=$AM$17,C60=$AM$18,C60=$AM$19,C60=$AM$20,C60=$AM$21,C60=$AM$22,C60=$AM$23,C60=$AM$24),0,IF(BA61="","",BA61))),"")</f>
        <v>4064</v>
      </c>
      <c r="K60" s="66">
        <f t="shared" si="10"/>
        <v>63500</v>
      </c>
      <c r="L60" s="66">
        <f>IFERROR(IF(C60="","",IF(D60="","",IF(H60="","",IF($C60="TOTAL",SUM($L$8:L59),SUM(D60-H60))))),"")</f>
        <v>1500</v>
      </c>
      <c r="M60" s="66">
        <f>IFERROR(IF(C60="","",IF(E60="","",IF(I60="","",IF($C60="TOTAL",SUM($M$8:M59),SUM(E60-I60))))),"")</f>
        <v>255</v>
      </c>
      <c r="N60" s="66">
        <f>IFERROR(IF(C60="","",IF(F60="","",IF(J60="","",IF($C60="TOTAL",SUM($N$8:N59),SUM(F60-J60))))),"")</f>
        <v>120</v>
      </c>
      <c r="O60" s="66">
        <f t="shared" si="11"/>
        <v>1875</v>
      </c>
      <c r="P60" s="66">
        <f>IFERROR(IF(C60="","",IF($C60="TOTAL",SUM($P$8:P59),IF(AND(C60&gt;$AL$1,$AC$3=$AL$2),BO61,IF($AO$18=$AO$20,SUM(BB61+BJ61),ROUND((D60+E60)*10%,0))))),"")</f>
        <v>6119</v>
      </c>
      <c r="Q60" s="66">
        <f>IFERROR(IF(C60="","",IF(H60="","",IF(I60="","",IF($C60="TOTAL",SUM($Q$8:Q59),IF(AND(C60&gt;$AL$1,$AC$3=$AL$2),BO61,IF($AO$18=$AO$20,$AO$21,ROUND((H60+I60)*10%,0))))))),"")</f>
        <v>5944</v>
      </c>
      <c r="R60" s="66">
        <f t="shared" si="12"/>
        <v>175</v>
      </c>
      <c r="S60" s="67">
        <f>IFERROR(IF(C60="","",IF($AO$16=$AO$17,0,IF($C60="TOTAL",SUM($S$8:S59),IF($AO$19=$AO$31,0,IF(AND($AO$32=$AO$20,C60=$AO$33),$AO$34,S59))))),"")</f>
        <v>2100</v>
      </c>
      <c r="T60" s="67">
        <f>IFERROR(IF(C60="","",IF($AO$16=$AO$17,0,IF($C60="TOTAL",SUM($T$8:T59),IF($AO$19=$AO$20,$AO$24,0)))),"")</f>
        <v>2100</v>
      </c>
      <c r="U60" s="66">
        <f t="shared" si="13"/>
        <v>0</v>
      </c>
      <c r="V60" s="66" t="str">
        <f>IF(C60="","",IF($C60="TOTAL",SUM($V$8:V59),IF(AND($AO$2=$AO$20,C60=$AO$1),ROUND(D60/31*$AP$2,0),IF(C60=$AM$6,ROUND((G60)*1/30,0),IF(C60=$AN$6,ROUND((G60)*1/31,0),"")))))</f>
        <v/>
      </c>
      <c r="W60" s="66" t="str">
        <f>IF(C60="","",IF($C60="TOTAL",SUM($W$8:W59),IF(AND($AO$2=$AO$20,C60=$AO$1),ROUND(H60/31*$AP$2,0),IF(C60=$AM$6,ROUND((K60)*1/30,0),IF(C60=$AN$6,ROUND((K60)*1/31,0),"")))))</f>
        <v/>
      </c>
      <c r="X60" s="66" t="str">
        <f t="shared" si="14"/>
        <v/>
      </c>
      <c r="Y60" s="66" t="str">
        <f>IFERROR(IF(C60="","",IF(AND(BH61="",BO61=""),"",IF($C60="TOTAL",SUM($Y$8:Y59),BH61))),"")</f>
        <v/>
      </c>
      <c r="Z60" s="66">
        <f>IFERROR(IF(C60="","",IF($C60="TOTAL",SUM($Z$8:Z59),ROUND(O60*$AO$7%,0))),"")</f>
        <v>0</v>
      </c>
      <c r="AA60" s="66">
        <f>IFERROR(IF(C60="","",IF($C60="TOTAL",SUM($AA$8:AA59),IF($AC$3=$AL$2,SUM(U60,X60,Y60,Z60),SUM(R60,U60,X60,Y60,Z60)))),"")</f>
        <v>0</v>
      </c>
      <c r="AB60" s="68">
        <f>IFERROR(IF(C60="","",IF($C60="TOTAL",SUM($AB$8:AB59),SUM(O60-AA60))),"")</f>
        <v>1875</v>
      </c>
      <c r="AK60" s="90">
        <f t="shared" si="15"/>
        <v>17</v>
      </c>
      <c r="AL60" s="90">
        <f t="shared" si="16"/>
        <v>17</v>
      </c>
      <c r="AN60" s="92">
        <v>44287</v>
      </c>
      <c r="AP60" s="92">
        <f t="shared" si="44"/>
        <v>44287</v>
      </c>
      <c r="AQ60" s="92">
        <f t="shared" si="18"/>
        <v>44287</v>
      </c>
      <c r="AR60" s="92" t="str">
        <f t="shared" si="19"/>
        <v/>
      </c>
      <c r="AS60" s="92">
        <f t="shared" si="20"/>
        <v>44287</v>
      </c>
      <c r="AT60" s="92">
        <f t="shared" si="33"/>
        <v>44287</v>
      </c>
      <c r="AU60" s="91">
        <f t="shared" si="35"/>
        <v>52300</v>
      </c>
      <c r="AV60" s="91">
        <f t="shared" si="43"/>
        <v>8891</v>
      </c>
      <c r="AW60" s="91">
        <f t="shared" si="36"/>
        <v>4184</v>
      </c>
      <c r="AX60" s="91"/>
      <c r="AY60" s="91">
        <f t="shared" si="37"/>
        <v>50800</v>
      </c>
      <c r="AZ60" s="91">
        <f t="shared" si="21"/>
        <v>8636</v>
      </c>
      <c r="BA60" s="91">
        <f t="shared" si="38"/>
        <v>4064</v>
      </c>
      <c r="BB60" s="91">
        <f t="shared" si="34"/>
        <v>3675</v>
      </c>
      <c r="BE60" s="125">
        <f t="shared" si="39"/>
        <v>1875</v>
      </c>
      <c r="BF60" s="91">
        <f t="shared" si="40"/>
        <v>3675</v>
      </c>
      <c r="BG60" s="91" t="str">
        <f t="shared" si="25"/>
        <v/>
      </c>
      <c r="BH60" s="91" t="str">
        <f t="shared" si="26"/>
        <v/>
      </c>
      <c r="BI60" s="91">
        <f t="shared" si="41"/>
        <v>0</v>
      </c>
      <c r="BJ60" s="133">
        <f t="shared" si="42"/>
        <v>0</v>
      </c>
      <c r="BO60" s="28" t="str">
        <f t="shared" si="29"/>
        <v/>
      </c>
    </row>
    <row r="61" spans="1:68" ht="21" customHeight="1">
      <c r="A61" s="140">
        <f t="shared" si="30"/>
        <v>54</v>
      </c>
      <c r="B61" s="64">
        <f t="shared" si="1"/>
        <v>54</v>
      </c>
      <c r="C61" s="65">
        <f t="shared" si="31"/>
        <v>44348</v>
      </c>
      <c r="D61" s="66">
        <f>IFERROR(IF($C60="TOTAL","अक्षरें राशि :-",IF($C61="TOTAL",SUM($D$8:D60),IF(AU62="","",AU62))),"")</f>
        <v>52300</v>
      </c>
      <c r="E61" s="66">
        <f>IFERROR(IF($C61="TOTAL",SUM($E$8:E60),IF(AV62="","",AV62)),"")</f>
        <v>8891</v>
      </c>
      <c r="F61" s="66">
        <f>IFERROR(IF($C61="TOTAL",SUM($F$8:F60),IF(OR(C61=$AM$16,C61=$AM$17,C61=$AM$18,C61=$AM$19,C61=$AM$20,C61=$AM$21,C61=$AM$22,C61=$AM$23,C61=$AM$24),0,IF(AW62="","",AW62))),"")</f>
        <v>4184</v>
      </c>
      <c r="G61" s="66">
        <f t="shared" si="32"/>
        <v>65375</v>
      </c>
      <c r="H61" s="66">
        <f>IFERROR(IF($C61="TOTAL",SUM($H$8:H60),IF(AY62="","",AY62)),"")</f>
        <v>50800</v>
      </c>
      <c r="I61" s="66">
        <f>IFERROR(IF($C61="TOTAL",SUM($I$8:I60),IF(AZ62="","",AZ62)),"")</f>
        <v>8636</v>
      </c>
      <c r="J61" s="66">
        <f>IFERROR(IF($C61="TOTAL",SUM($J$8:J60),IF(OR(C61=$AM$16,C61=$AM$17,C61=$AM$18,C61=$AM$19,C61=$AM$20,C61=$AM$21,C61=$AM$22,C61=$AM$23,C61=$AM$24),0,IF(BA62="","",BA62))),"")</f>
        <v>4064</v>
      </c>
      <c r="K61" s="66">
        <f t="shared" si="10"/>
        <v>63500</v>
      </c>
      <c r="L61" s="66">
        <f>IFERROR(IF(C61="","",IF(D61="","",IF(H61="","",IF($C61="TOTAL",SUM($L$8:L60),SUM(D61-H61))))),"")</f>
        <v>1500</v>
      </c>
      <c r="M61" s="66">
        <f>IFERROR(IF(C61="","",IF(E61="","",IF(I61="","",IF($C61="TOTAL",SUM($M$8:M60),SUM(E61-I61))))),"")</f>
        <v>255</v>
      </c>
      <c r="N61" s="66">
        <f>IFERROR(IF(C61="","",IF(F61="","",IF(J61="","",IF($C61="TOTAL",SUM($N$8:N60),SUM(F61-J61))))),"")</f>
        <v>120</v>
      </c>
      <c r="O61" s="66">
        <f t="shared" si="11"/>
        <v>1875</v>
      </c>
      <c r="P61" s="66">
        <f>IFERROR(IF(C61="","",IF($C61="TOTAL",SUM($P$8:P60),IF(AND(C61&gt;$AL$1,$AC$3=$AL$2),BO62,IF($AO$18=$AO$20,SUM(BB62+BJ62),ROUND((D61+E61)*10%,0))))),"")</f>
        <v>6119</v>
      </c>
      <c r="Q61" s="66">
        <f>IFERROR(IF(C61="","",IF(H61="","",IF(I61="","",IF($C61="TOTAL",SUM($Q$8:Q60),IF(AND(C61&gt;$AL$1,$AC$3=$AL$2),BO62,IF($AO$18=$AO$20,$AO$21,ROUND((H61+I61)*10%,0))))))),"")</f>
        <v>5944</v>
      </c>
      <c r="R61" s="66">
        <f t="shared" si="12"/>
        <v>175</v>
      </c>
      <c r="S61" s="67">
        <f>IFERROR(IF(C61="","",IF($AO$16=$AO$17,0,IF($C61="TOTAL",SUM($S$8:S60),IF($AO$19=$AO$31,0,IF(AND($AO$32=$AO$20,C61=$AO$33),$AO$34,S60))))),"")</f>
        <v>2100</v>
      </c>
      <c r="T61" s="67">
        <f>IFERROR(IF(C61="","",IF($AO$16=$AO$17,0,IF($C61="TOTAL",SUM($T$8:T60),IF($AO$19=$AO$20,$AO$24,0)))),"")</f>
        <v>2100</v>
      </c>
      <c r="U61" s="66">
        <f t="shared" si="13"/>
        <v>0</v>
      </c>
      <c r="V61" s="66" t="str">
        <f>IF(C61="","",IF($C61="TOTAL",SUM($V$8:V60),IF(AND($AO$2=$AO$20,C61=$AO$1),ROUND(D61/31*$AP$2,0),IF(C61=$AM$6,ROUND((G61)*1/30,0),IF(C61=$AN$6,ROUND((G61)*1/31,0),"")))))</f>
        <v/>
      </c>
      <c r="W61" s="66" t="str">
        <f>IF(C61="","",IF($C61="TOTAL",SUM($W$8:W60),IF(AND($AO$2=$AO$20,C61=$AO$1),ROUND(H61/31*$AP$2,0),IF(C61=$AM$6,ROUND((K61)*1/30,0),IF(C61=$AN$6,ROUND((K61)*1/31,0),"")))))</f>
        <v/>
      </c>
      <c r="X61" s="66" t="str">
        <f t="shared" si="14"/>
        <v/>
      </c>
      <c r="Y61" s="66" t="str">
        <f>IFERROR(IF(C61="","",IF(AND(BH62="",BO62=""),"",IF($C61="TOTAL",SUM($Y$8:Y60),BH62))),"")</f>
        <v/>
      </c>
      <c r="Z61" s="66">
        <f>IFERROR(IF(C61="","",IF($C61="TOTAL",SUM($Z$8:Z60),ROUND(O61*$AO$7%,0))),"")</f>
        <v>0</v>
      </c>
      <c r="AA61" s="66">
        <f>IFERROR(IF(C61="","",IF($C61="TOTAL",SUM($AA$8:AA60),IF($AC$3=$AL$2,SUM(U61,X61,Y61,Z61),SUM(R61,U61,X61,Y61,Z61)))),"")</f>
        <v>0</v>
      </c>
      <c r="AB61" s="68">
        <f>IFERROR(IF(C61="","",IF($C61="TOTAL",SUM($AB$8:AB60),SUM(O61-AA61))),"")</f>
        <v>1875</v>
      </c>
      <c r="AK61" s="90">
        <f t="shared" si="15"/>
        <v>17</v>
      </c>
      <c r="AL61" s="90">
        <f t="shared" si="16"/>
        <v>17</v>
      </c>
      <c r="AN61" s="92">
        <v>44317</v>
      </c>
      <c r="AP61" s="92">
        <f t="shared" si="44"/>
        <v>44317</v>
      </c>
      <c r="AQ61" s="92">
        <f t="shared" si="18"/>
        <v>44317</v>
      </c>
      <c r="AR61" s="92" t="str">
        <f t="shared" si="19"/>
        <v/>
      </c>
      <c r="AS61" s="92">
        <f t="shared" si="20"/>
        <v>44317</v>
      </c>
      <c r="AT61" s="92">
        <f t="shared" si="33"/>
        <v>44317</v>
      </c>
      <c r="AU61" s="91">
        <f t="shared" si="35"/>
        <v>52300</v>
      </c>
      <c r="AV61" s="91">
        <f t="shared" si="43"/>
        <v>8891</v>
      </c>
      <c r="AW61" s="91">
        <f t="shared" si="36"/>
        <v>4184</v>
      </c>
      <c r="AX61" s="91"/>
      <c r="AY61" s="91">
        <f t="shared" si="37"/>
        <v>50800</v>
      </c>
      <c r="AZ61" s="91">
        <f t="shared" si="21"/>
        <v>8636</v>
      </c>
      <c r="BA61" s="91">
        <f t="shared" si="38"/>
        <v>4064</v>
      </c>
      <c r="BB61" s="91">
        <f t="shared" si="34"/>
        <v>3675</v>
      </c>
      <c r="BE61" s="125">
        <f t="shared" si="39"/>
        <v>1875</v>
      </c>
      <c r="BF61" s="91">
        <f t="shared" si="40"/>
        <v>3675</v>
      </c>
      <c r="BG61" s="91" t="str">
        <f t="shared" si="25"/>
        <v/>
      </c>
      <c r="BH61" s="91" t="str">
        <f t="shared" si="26"/>
        <v/>
      </c>
      <c r="BI61" s="91">
        <f t="shared" si="41"/>
        <v>0</v>
      </c>
      <c r="BJ61" s="133">
        <f t="shared" si="42"/>
        <v>0</v>
      </c>
      <c r="BL61" s="15">
        <f>SUM(ROUND(D62*34%,0))-SUM(ROUND(D62*31%,0))</f>
        <v>1617</v>
      </c>
      <c r="BO61" s="28" t="str">
        <f t="shared" si="29"/>
        <v/>
      </c>
    </row>
    <row r="62" spans="1:68" ht="21" customHeight="1">
      <c r="A62" s="140">
        <f t="shared" si="30"/>
        <v>55</v>
      </c>
      <c r="B62" s="64">
        <f t="shared" si="1"/>
        <v>55</v>
      </c>
      <c r="C62" s="65">
        <f t="shared" si="31"/>
        <v>44378</v>
      </c>
      <c r="D62" s="66">
        <f>IFERROR(IF($C61="TOTAL","अक्षरें राशि :-",IF($C62="TOTAL",SUM($D$8:D61),IF(AU63="","",AU63))),"")</f>
        <v>53900</v>
      </c>
      <c r="E62" s="66">
        <f>IFERROR(IF($C62="TOTAL",SUM($E$8:E61),IF(AV63="","",AV63)),"")</f>
        <v>16709</v>
      </c>
      <c r="F62" s="66">
        <f>IFERROR(IF($C62="TOTAL",SUM($F$8:F61),IF(OR(C62=$AM$16,C62=$AM$17,C62=$AM$18,C62=$AM$19,C62=$AM$20,C62=$AM$21,C62=$AM$22,C62=$AM$23,C62=$AM$24),0,IF(AW63="","",AW63))),"")</f>
        <v>4851</v>
      </c>
      <c r="G62" s="66">
        <f t="shared" si="32"/>
        <v>75460</v>
      </c>
      <c r="H62" s="66">
        <f>IFERROR(IF($C62="TOTAL",SUM($H$8:H61),IF(AY63="","",AY63)),"")</f>
        <v>52300</v>
      </c>
      <c r="I62" s="66">
        <f>IFERROR(IF($C62="TOTAL",SUM($I$8:I61),IF(AZ63="","",AZ63)),"")</f>
        <v>16213</v>
      </c>
      <c r="J62" s="66">
        <f>IFERROR(IF($C62="TOTAL",SUM($J$8:J61),IF(OR(C62=$AM$16,C62=$AM$17,C62=$AM$18,C62=$AM$19,C62=$AM$20,C62=$AM$21,C62=$AM$22,C62=$AM$23,C62=$AM$24),0,IF(BA63="","",BA63))),"")</f>
        <v>4707</v>
      </c>
      <c r="K62" s="66">
        <f t="shared" si="10"/>
        <v>73220</v>
      </c>
      <c r="L62" s="66">
        <f>IFERROR(IF(C62="","",IF(D62="","",IF(H62="","",IF($C62="TOTAL",SUM($L$8:L61),SUM(D62-H62))))),"")</f>
        <v>1600</v>
      </c>
      <c r="M62" s="66">
        <f>IFERROR(IF(C62="","",IF(E62="","",IF(I62="","",IF($C62="TOTAL",SUM($M$8:M61),SUM(E62-I62))))),"")</f>
        <v>496</v>
      </c>
      <c r="N62" s="66">
        <f>IFERROR(IF(C62="","",IF(F62="","",IF(J62="","",IF($C62="TOTAL",SUM($N$8:N61),SUM(F62-J62))))),"")</f>
        <v>144</v>
      </c>
      <c r="O62" s="66">
        <f t="shared" si="11"/>
        <v>2240</v>
      </c>
      <c r="P62" s="66">
        <f>IFERROR(IF(C62="","",IF($C62="TOTAL",SUM($P$8:P61),IF(AND(C62&gt;$AL$1,$AC$3=$AL$2),BO63,IF($AO$18=$AO$20,SUM(BB63+BJ63),ROUND((D62+E62)*10%,0))))),"")</f>
        <v>7061</v>
      </c>
      <c r="Q62" s="66">
        <f>IFERROR(IF(C62="","",IF(H62="","",IF(I62="","",IF($C62="TOTAL",SUM($Q$8:Q61),IF(AND(C62&gt;$AL$1,$AC$3=$AL$2),BO63,IF($AO$18=$AO$20,$AO$21,ROUND((H62+I62)*10%,0))))))),"")</f>
        <v>6851</v>
      </c>
      <c r="R62" s="66">
        <f>IFERROR(IF(C62="","",SUM(P62-Q62)),"")</f>
        <v>210</v>
      </c>
      <c r="S62" s="67">
        <f>IFERROR(IF(C62="","",IF($AO$16=$AO$17,0,IF($C62="TOTAL",SUM($S$8:S61),IF($AO$19=$AO$31,0,IF(AND($AO$32=$AO$20,C62=$AO$33),$AO$34,S61))))),"")</f>
        <v>2100</v>
      </c>
      <c r="T62" s="67">
        <f>IFERROR(IF(C62="","",IF($AO$16=$AO$17,0,IF($C62="TOTAL",SUM($T$8:T61),IF($AO$19=$AO$20,$AO$24,0)))),"")</f>
        <v>2100</v>
      </c>
      <c r="U62" s="66">
        <f t="shared" si="13"/>
        <v>0</v>
      </c>
      <c r="V62" s="66" t="str">
        <f>IF(C62="","",IF($C62="TOTAL",SUM($V$8:V61),IF(AND($AO$2=$AO$20,C62=$AO$1),ROUND(D62/31*$AP$2,0),IF(C62=$AM$6,ROUND((G62)*1/30,0),IF(C62=$AN$6,ROUND((G62)*1/31,0),"")))))</f>
        <v/>
      </c>
      <c r="W62" s="66" t="str">
        <f>IF(C62="","",IF($C62="TOTAL",SUM($W$8:W61),IF(AND($AO$2=$AO$20,C62=$AO$1),ROUND(H62/31*$AP$2,0),IF(C62=$AM$6,ROUND((K62)*1/30,0),IF(C62=$AN$6,ROUND((K62)*1/31,0),"")))))</f>
        <v/>
      </c>
      <c r="X62" s="66" t="str">
        <f t="shared" si="14"/>
        <v/>
      </c>
      <c r="Y62" s="66">
        <f>IFERROR(IF(C62="","",IF(AND(BH63="",BO63=""),"",IF($C62="TOTAL",SUM($Y$8:Y61),BH63))),"")</f>
        <v>48</v>
      </c>
      <c r="Z62" s="66">
        <f>IFERROR(IF(C62="","",IF($C62="TOTAL",SUM($Z$8:Z61),ROUND(O62*$AO$7%,0))),"")</f>
        <v>0</v>
      </c>
      <c r="AA62" s="66">
        <f>IFERROR(IF(C62="","",IF($C62="TOTAL",SUM($AA$8:AA61),IF($AC$3=$AL$2,SUM(U62,X62,Y62,Z62),SUM(R62,U62,X62,Y62,Z62)))),"")</f>
        <v>48</v>
      </c>
      <c r="AB62" s="68">
        <f>IFERROR(IF(C62="","",IF($C62="TOTAL",SUM($AB$8:AB61),SUM(O62-AA62))),"")</f>
        <v>2192</v>
      </c>
      <c r="AK62" s="90">
        <f t="shared" si="15"/>
        <v>17</v>
      </c>
      <c r="AL62" s="90">
        <f t="shared" si="16"/>
        <v>17</v>
      </c>
      <c r="AN62" s="92">
        <v>44348</v>
      </c>
      <c r="AP62" s="92">
        <f t="shared" si="44"/>
        <v>44348</v>
      </c>
      <c r="AQ62" s="92">
        <f t="shared" si="18"/>
        <v>44348</v>
      </c>
      <c r="AR62" s="92" t="str">
        <f t="shared" si="19"/>
        <v/>
      </c>
      <c r="AS62" s="92">
        <f t="shared" si="20"/>
        <v>44348</v>
      </c>
      <c r="AT62" s="92">
        <f t="shared" si="33"/>
        <v>44348</v>
      </c>
      <c r="AU62" s="91">
        <f t="shared" si="35"/>
        <v>52300</v>
      </c>
      <c r="AV62" s="91">
        <f t="shared" si="43"/>
        <v>8891</v>
      </c>
      <c r="AW62" s="91">
        <f t="shared" si="36"/>
        <v>4184</v>
      </c>
      <c r="AX62" s="91"/>
      <c r="AY62" s="91">
        <f t="shared" si="37"/>
        <v>50800</v>
      </c>
      <c r="AZ62" s="91">
        <f t="shared" si="21"/>
        <v>8636</v>
      </c>
      <c r="BA62" s="91">
        <f t="shared" si="38"/>
        <v>4064</v>
      </c>
      <c r="BB62" s="91">
        <f t="shared" si="34"/>
        <v>3675</v>
      </c>
      <c r="BE62" s="125">
        <f t="shared" si="39"/>
        <v>1875</v>
      </c>
      <c r="BF62" s="91">
        <f t="shared" si="40"/>
        <v>3675</v>
      </c>
      <c r="BG62" s="91" t="str">
        <f t="shared" si="25"/>
        <v/>
      </c>
      <c r="BH62" s="91" t="str">
        <f t="shared" si="26"/>
        <v/>
      </c>
      <c r="BI62" s="91">
        <f t="shared" si="41"/>
        <v>0</v>
      </c>
      <c r="BJ62" s="133">
        <f t="shared" si="42"/>
        <v>0</v>
      </c>
      <c r="BO62" s="28" t="str">
        <f t="shared" si="29"/>
        <v/>
      </c>
    </row>
    <row r="63" spans="1:68" ht="21" customHeight="1">
      <c r="A63" s="140">
        <f t="shared" si="30"/>
        <v>56</v>
      </c>
      <c r="B63" s="64">
        <f t="shared" si="1"/>
        <v>56</v>
      </c>
      <c r="C63" s="65">
        <f t="shared" si="31"/>
        <v>44409</v>
      </c>
      <c r="D63" s="66">
        <f>IFERROR(IF($C62="TOTAL","अक्षरें राशि :-",IF($C63="TOTAL",SUM($D$8:D62),IF(AU64="","",AU64))),"")</f>
        <v>53900</v>
      </c>
      <c r="E63" s="66">
        <f>IFERROR(IF($C63="TOTAL",SUM($E$8:E62),IF(AV64="","",AV64)),"")</f>
        <v>16709</v>
      </c>
      <c r="F63" s="66">
        <f>IFERROR(IF($C63="TOTAL",SUM($F$8:F62),IF(OR(C63=$AM$16,C63=$AM$17,C63=$AM$18,C63=$AM$19,C63=$AM$20,C63=$AM$21,C63=$AM$22,C63=$AM$23,C63=$AM$24),0,IF(AW64="","",AW64))),"")</f>
        <v>4851</v>
      </c>
      <c r="G63" s="66">
        <f t="shared" si="32"/>
        <v>75460</v>
      </c>
      <c r="H63" s="66">
        <f>IFERROR(IF($C63="TOTAL",SUM($H$8:H62),IF(AY64="","",AY64)),"")</f>
        <v>52300</v>
      </c>
      <c r="I63" s="66">
        <f>IFERROR(IF($C63="TOTAL",SUM($I$8:I62),IF(AZ64="","",AZ64)),"")</f>
        <v>16213</v>
      </c>
      <c r="J63" s="66">
        <f>IFERROR(IF($C63="TOTAL",SUM($J$8:J62),IF(OR(C63=$AM$16,C63=$AM$17,C63=$AM$18,C63=$AM$19,C63=$AM$20,C63=$AM$21,C63=$AM$22,C63=$AM$23,C63=$AM$24),0,IF(BA64="","",BA64))),"")</f>
        <v>4707</v>
      </c>
      <c r="K63" s="66">
        <f t="shared" si="10"/>
        <v>73220</v>
      </c>
      <c r="L63" s="66">
        <f>IFERROR(IF(C63="","",IF(D63="","",IF(H63="","",IF($C63="TOTAL",SUM($L$8:L62),SUM(D63-H63))))),"")</f>
        <v>1600</v>
      </c>
      <c r="M63" s="66">
        <f>IFERROR(IF(C63="","",IF(E63="","",IF(I63="","",IF($C63="TOTAL",SUM($M$8:M62),SUM(E63-I63))))),"")</f>
        <v>496</v>
      </c>
      <c r="N63" s="66">
        <f>IFERROR(IF(C63="","",IF(F63="","",IF(J63="","",IF($C63="TOTAL",SUM($N$8:N62),SUM(F63-J63))))),"")</f>
        <v>144</v>
      </c>
      <c r="O63" s="66">
        <f t="shared" si="11"/>
        <v>2240</v>
      </c>
      <c r="P63" s="66">
        <f>IFERROR(IF(C63="","",IF($C63="TOTAL",SUM($P$8:P62),IF(AND(C63&gt;$AL$1,$AC$3=$AL$2),BO64,IF($AO$18=$AO$20,SUM(BB64+BJ64),ROUND((D63+E63)*10%,0))))),"")</f>
        <v>7061</v>
      </c>
      <c r="Q63" s="66">
        <f>IFERROR(IF(C63="","",IF(H63="","",IF(I63="","",IF($C63="TOTAL",SUM($Q$8:Q62),IF(AND(C63&gt;$AL$1,$AC$3=$AL$2),BO64,IF($AO$18=$AO$20,$AO$21,ROUND((H63+I63)*10%,0))))))),"")</f>
        <v>6851</v>
      </c>
      <c r="R63" s="66">
        <f t="shared" si="12"/>
        <v>210</v>
      </c>
      <c r="S63" s="67">
        <f>IFERROR(IF(C63="","",IF($AO$16=$AO$17,0,IF($C63="TOTAL",SUM($S$8:S62),IF($AO$19=$AO$31,0,IF(AND($AO$32=$AO$20,C63=$AO$33),$AO$34,S62))))),"")</f>
        <v>2100</v>
      </c>
      <c r="T63" s="67">
        <f>IFERROR(IF(C63="","",IF($AO$16=$AO$17,0,IF($C63="TOTAL",SUM($T$8:T62),IF($AO$19=$AO$20,$AO$24,0)))),"")</f>
        <v>2100</v>
      </c>
      <c r="U63" s="66">
        <f t="shared" si="13"/>
        <v>0</v>
      </c>
      <c r="V63" s="66" t="str">
        <f>IF(C63="","",IF($C63="TOTAL",SUM($V$8:V62),IF(AND($AO$2=$AO$20,C63=$AO$1),ROUND(D63/31*$AP$2,0),IF(C63=$AM$6,ROUND((G63)*1/30,0),IF(C63=$AN$6,ROUND((G63)*1/31,0),"")))))</f>
        <v/>
      </c>
      <c r="W63" s="66" t="str">
        <f>IF(C63="","",IF($C63="TOTAL",SUM($W$8:W62),IF(AND($AO$2=$AO$20,C63=$AO$1),ROUND(H63/31*$AP$2,0),IF(C63=$AM$6,ROUND((K63)*1/30,0),IF(C63=$AN$6,ROUND((K63)*1/31,0),"")))))</f>
        <v/>
      </c>
      <c r="X63" s="66" t="str">
        <f t="shared" si="14"/>
        <v/>
      </c>
      <c r="Y63" s="66">
        <f>IFERROR(IF(C63="","",IF(AND(BH64="",BO64=""),"",IF($C63="TOTAL",SUM($Y$8:Y62),BH64))),"")</f>
        <v>48</v>
      </c>
      <c r="Z63" s="66">
        <f>IFERROR(IF(C63="","",IF($C63="TOTAL",SUM($Z$8:Z62),ROUND(O63*$AO$7%,0))),"")</f>
        <v>0</v>
      </c>
      <c r="AA63" s="66">
        <f>IFERROR(IF(C63="","",IF($C63="TOTAL",SUM($AA$8:AA62),IF($AC$3=$AL$2,SUM(U63,X63,Y63,Z63),SUM(R63,U63,X63,Y63,Z63)))),"")</f>
        <v>48</v>
      </c>
      <c r="AB63" s="68">
        <f>IFERROR(IF(C63="","",IF($C63="TOTAL",SUM($AB$8:AB62),SUM(O63-AA63))),"")</f>
        <v>2192</v>
      </c>
      <c r="AK63" s="90">
        <f t="shared" si="15"/>
        <v>31</v>
      </c>
      <c r="AL63" s="90">
        <f t="shared" si="16"/>
        <v>31</v>
      </c>
      <c r="AN63" s="92">
        <v>44378</v>
      </c>
      <c r="AP63" s="92">
        <f t="shared" si="44"/>
        <v>44378</v>
      </c>
      <c r="AQ63" s="92">
        <f t="shared" si="18"/>
        <v>44378</v>
      </c>
      <c r="AR63" s="92" t="str">
        <f t="shared" si="19"/>
        <v/>
      </c>
      <c r="AS63" s="92">
        <f t="shared" si="20"/>
        <v>44378</v>
      </c>
      <c r="AT63" s="92">
        <f t="shared" si="33"/>
        <v>44378</v>
      </c>
      <c r="AU63" s="91">
        <f t="shared" si="35"/>
        <v>53900</v>
      </c>
      <c r="AV63" s="91">
        <f t="shared" si="43"/>
        <v>16709</v>
      </c>
      <c r="AW63" s="91">
        <f t="shared" si="36"/>
        <v>4851</v>
      </c>
      <c r="AX63" s="91"/>
      <c r="AY63" s="91">
        <f t="shared" si="37"/>
        <v>52300</v>
      </c>
      <c r="AZ63" s="91">
        <f t="shared" si="21"/>
        <v>16213</v>
      </c>
      <c r="BA63" s="91">
        <f t="shared" si="38"/>
        <v>4707</v>
      </c>
      <c r="BB63" s="91">
        <f t="shared" si="34"/>
        <v>3675</v>
      </c>
      <c r="BE63" s="125">
        <f t="shared" si="39"/>
        <v>2240</v>
      </c>
      <c r="BF63" s="91">
        <f t="shared" si="40"/>
        <v>3675</v>
      </c>
      <c r="BG63" s="91" t="str">
        <f>IF(OR(AT63=$AN$63,AT63=$AN$64,AT63=$AN$65),"YES","")</f>
        <v>YES</v>
      </c>
      <c r="BH63" s="91">
        <f t="shared" si="26"/>
        <v>48</v>
      </c>
      <c r="BI63" s="91">
        <f t="shared" si="41"/>
        <v>6</v>
      </c>
      <c r="BJ63" s="133">
        <f t="shared" si="42"/>
        <v>63</v>
      </c>
      <c r="BK63" s="15">
        <f>SUM(ROUND(D62*3%,0))</f>
        <v>1617</v>
      </c>
      <c r="BL63" s="15">
        <f>IF($AM$7="NO",ROUND((H62+L62)*3%,0)-ROUND(ROUND((L62+H62)*3%,0)*10%,0),ROUND((L62+M62)*3%,0)-ROUND(ROUND((L62+M62)*3%,0)*10%,0))</f>
        <v>57</v>
      </c>
      <c r="BM63" s="15">
        <f>ROUND((L62+M62)*3%,0)-ROUND(ROUND((L62+M62)*3%,0)*10%,0)</f>
        <v>57</v>
      </c>
      <c r="BN63" s="15">
        <f>IF(AND($AO$16=$AO$17,BG63="YES"),SUM(ROUND(D62*3%,0))-ROUND(ROUND(D62*3%,0)*10%,0),IF(AND($AO$16=$AO$15,BG63="YES",$AM$7="NO"),ROUND((H62+L62)*3%,0)-ROUND(ROUND((L62+H62)*3%,0)*10%,0),IF(AND($AO$16=$AO$15,BG63="YES",$AM$7="YES"),ROUND((L62+M62)*3%,0)-ROUND(ROUND((L62+M62)*3%,0)*10%,0),"")))</f>
        <v>57</v>
      </c>
      <c r="BO63" s="28" t="str">
        <f t="shared" si="29"/>
        <v/>
      </c>
      <c r="BP63" s="15">
        <f>IF(C62="","",IF($C62="TOTAL",1,2))</f>
        <v>2</v>
      </c>
    </row>
    <row r="64" spans="1:68" ht="21" customHeight="1">
      <c r="A64" s="140">
        <f t="shared" si="30"/>
        <v>57</v>
      </c>
      <c r="B64" s="64">
        <f t="shared" si="1"/>
        <v>57</v>
      </c>
      <c r="C64" s="65">
        <f t="shared" si="31"/>
        <v>44440</v>
      </c>
      <c r="D64" s="66">
        <f>IFERROR(IF($C63="TOTAL","अक्षरें राशि :-",IF($C64="TOTAL",SUM($D$8:D63),IF(AU65="","",AU65))),"")</f>
        <v>53900</v>
      </c>
      <c r="E64" s="66">
        <f>IFERROR(IF($C64="TOTAL",SUM($E$8:E63),IF(AV65="","",AV65)),"")</f>
        <v>16709</v>
      </c>
      <c r="F64" s="66">
        <f>IFERROR(IF($C64="TOTAL",SUM($F$8:F63),IF(OR(C64=$AM$16,C64=$AM$17,C64=$AM$18,C64=$AM$19,C64=$AM$20,C64=$AM$21,C64=$AM$22,C64=$AM$23,C64=$AM$24),0,IF(AW65="","",AW65))),"")</f>
        <v>4851</v>
      </c>
      <c r="G64" s="66">
        <f t="shared" si="32"/>
        <v>75460</v>
      </c>
      <c r="H64" s="66">
        <f>IFERROR(IF($C64="TOTAL",SUM($H$8:H63),IF(AY65="","",AY65)),"")</f>
        <v>52300</v>
      </c>
      <c r="I64" s="66">
        <f>IFERROR(IF($C64="TOTAL",SUM($I$8:I63),IF(AZ65="","",AZ65)),"")</f>
        <v>16213</v>
      </c>
      <c r="J64" s="66">
        <f>IFERROR(IF($C64="TOTAL",SUM($J$8:J63),IF(OR(C64=$AM$16,C64=$AM$17,C64=$AM$18,C64=$AM$19,C64=$AM$20,C64=$AM$21,C64=$AM$22,C64=$AM$23,C64=$AM$24),0,IF(BA65="","",BA65))),"")</f>
        <v>4707</v>
      </c>
      <c r="K64" s="66">
        <f t="shared" si="10"/>
        <v>73220</v>
      </c>
      <c r="L64" s="66">
        <f>IFERROR(IF(C64="","",IF(D64="","",IF(H64="","",IF($C64="TOTAL",SUM($L$8:L63),SUM(D64-H64))))),"")</f>
        <v>1600</v>
      </c>
      <c r="M64" s="66">
        <f>IFERROR(IF(C64="","",IF(E64="","",IF(I64="","",IF($C64="TOTAL",SUM($M$8:M63),SUM(E64-I64))))),"")</f>
        <v>496</v>
      </c>
      <c r="N64" s="66">
        <f>IFERROR(IF(C64="","",IF(F64="","",IF(J64="","",IF($C64="TOTAL",SUM($N$8:N63),SUM(F64-J64))))),"")</f>
        <v>144</v>
      </c>
      <c r="O64" s="66">
        <f t="shared" si="11"/>
        <v>2240</v>
      </c>
      <c r="P64" s="66">
        <f>IFERROR(IF(C64="","",IF($C64="TOTAL",SUM($P$8:P63),IF(AND(C64&gt;$AL$1,$AC$3=$AL$2),BO65,IF($AO$18=$AO$20,SUM(BB65+BJ65),ROUND((D64+E64)*10%,0))))),"")</f>
        <v>7061</v>
      </c>
      <c r="Q64" s="66">
        <f>IFERROR(IF(C64="","",IF(H64="","",IF(I64="","",IF($C64="TOTAL",SUM($Q$8:Q63),IF(AND(C64&gt;$AL$1,$AC$3=$AL$2),BO65,IF($AO$18=$AO$20,$AO$21,ROUND((H64+I64)*10%,0))))))),"")</f>
        <v>6851</v>
      </c>
      <c r="R64" s="66">
        <f t="shared" si="12"/>
        <v>210</v>
      </c>
      <c r="S64" s="67">
        <f>IFERROR(IF(C64="","",IF($AO$16=$AO$17,0,IF($C64="TOTAL",SUM($S$8:S63),IF($AO$19=$AO$31,0,IF(AND($AO$32=$AO$20,C64=$AO$33),$AO$34,S63))))),"")</f>
        <v>2100</v>
      </c>
      <c r="T64" s="67">
        <f>IFERROR(IF(C64="","",IF($AO$16=$AO$17,0,IF($C64="TOTAL",SUM($T$8:T63),IF($AO$19=$AO$20,$AO$24,0)))),"")</f>
        <v>2100</v>
      </c>
      <c r="U64" s="66">
        <f t="shared" si="13"/>
        <v>0</v>
      </c>
      <c r="V64" s="66" t="str">
        <f>IF(C64="","",IF($C64="TOTAL",SUM($V$8:V63),IF(AND($AO$2=$AO$20,C64=$AO$1),ROUND(D64/31*$AP$2,0),IF(C64=$AM$6,ROUND((G64)*1/30,0),IF(C64=$AN$6,ROUND((G64)*1/31,0),"")))))</f>
        <v/>
      </c>
      <c r="W64" s="66" t="str">
        <f>IF(C64="","",IF($C64="TOTAL",SUM($W$8:W63),IF(AND($AO$2=$AO$20,C64=$AO$1),ROUND(H64/31*$AP$2,0),IF(C64=$AM$6,ROUND((K64)*1/30,0),IF(C64=$AN$6,ROUND((K64)*1/31,0),"")))))</f>
        <v/>
      </c>
      <c r="X64" s="66" t="str">
        <f t="shared" si="14"/>
        <v/>
      </c>
      <c r="Y64" s="66">
        <f>IFERROR(IF(C64="","",IF(AND(BH65="",BO65=""),"",IF($C64="TOTAL",SUM($Y$8:Y63),BH65))),"")</f>
        <v>48</v>
      </c>
      <c r="Z64" s="66">
        <f>IFERROR(IF(C64="","",IF($C64="TOTAL",SUM($Z$8:Z63),ROUND(O64*$AO$7%,0))),"")</f>
        <v>0</v>
      </c>
      <c r="AA64" s="66">
        <f>IFERROR(IF(C64="","",IF($C64="TOTAL",SUM($AA$8:AA63),IF($AC$3=$AL$2,SUM(U64,X64,Y64,Z64),SUM(R64,U64,X64,Y64,Z64)))),"")</f>
        <v>48</v>
      </c>
      <c r="AB64" s="68">
        <f>IFERROR(IF(C64="","",IF($C64="TOTAL",SUM($AB$8:AB63),SUM(O64-AA64))),"")</f>
        <v>2192</v>
      </c>
      <c r="AK64" s="90">
        <f t="shared" si="15"/>
        <v>31</v>
      </c>
      <c r="AL64" s="90">
        <f t="shared" si="16"/>
        <v>31</v>
      </c>
      <c r="AN64" s="92">
        <v>44409</v>
      </c>
      <c r="AP64" s="92">
        <f t="shared" si="44"/>
        <v>44409</v>
      </c>
      <c r="AQ64" s="92">
        <f t="shared" si="18"/>
        <v>44409</v>
      </c>
      <c r="AR64" s="92" t="str">
        <f t="shared" si="19"/>
        <v/>
      </c>
      <c r="AS64" s="92">
        <f t="shared" si="20"/>
        <v>44409</v>
      </c>
      <c r="AT64" s="92">
        <f t="shared" si="33"/>
        <v>44409</v>
      </c>
      <c r="AU64" s="91">
        <f t="shared" si="35"/>
        <v>53900</v>
      </c>
      <c r="AV64" s="91">
        <f t="shared" si="43"/>
        <v>16709</v>
      </c>
      <c r="AW64" s="91">
        <f t="shared" si="36"/>
        <v>4851</v>
      </c>
      <c r="AX64" s="91"/>
      <c r="AY64" s="91">
        <f t="shared" si="37"/>
        <v>52300</v>
      </c>
      <c r="AZ64" s="91">
        <f t="shared" si="21"/>
        <v>16213</v>
      </c>
      <c r="BA64" s="91">
        <f t="shared" si="38"/>
        <v>4707</v>
      </c>
      <c r="BB64" s="91">
        <f t="shared" si="34"/>
        <v>3675</v>
      </c>
      <c r="BE64" s="125">
        <f t="shared" si="39"/>
        <v>2240</v>
      </c>
      <c r="BF64" s="91">
        <f t="shared" si="40"/>
        <v>3675</v>
      </c>
      <c r="BG64" s="91" t="str">
        <f t="shared" si="25"/>
        <v>YES</v>
      </c>
      <c r="BH64" s="91">
        <f t="shared" si="26"/>
        <v>48</v>
      </c>
      <c r="BI64" s="91">
        <f t="shared" si="41"/>
        <v>6</v>
      </c>
      <c r="BJ64" s="133">
        <f t="shared" si="42"/>
        <v>63</v>
      </c>
      <c r="BK64" s="15">
        <f>ROUND(ROUND(L63*3%,0)*10%,0)</f>
        <v>5</v>
      </c>
      <c r="BM64" s="15">
        <f>ROUND(ROUND((L64+H64)*3%,0)*10%,0)</f>
        <v>162</v>
      </c>
      <c r="BN64" s="15">
        <f>ROUND((H62+L62)*3%,0)-ROUND(ROUND((L62+H62)*3%,0)*10%,0)</f>
        <v>1455</v>
      </c>
      <c r="BO64" s="28" t="str">
        <f t="shared" si="29"/>
        <v/>
      </c>
    </row>
    <row r="65" spans="1:67" ht="21" customHeight="1">
      <c r="A65" s="140">
        <f t="shared" si="30"/>
        <v>58</v>
      </c>
      <c r="B65" s="64">
        <f t="shared" si="1"/>
        <v>58</v>
      </c>
      <c r="C65" s="65">
        <f t="shared" si="31"/>
        <v>44470</v>
      </c>
      <c r="D65" s="66">
        <f>IFERROR(IF($C64="TOTAL","अक्षरें राशि :-",IF($C65="TOTAL",SUM($D$8:D64),IF(AU66="","",AU66))),"")</f>
        <v>53900</v>
      </c>
      <c r="E65" s="66">
        <f>IFERROR(IF($C65="TOTAL",SUM($E$8:E64),IF(AV66="","",AV66)),"")</f>
        <v>16709</v>
      </c>
      <c r="F65" s="66">
        <f>IFERROR(IF($C65="TOTAL",SUM($F$8:F64),IF(OR(C65=$AM$16,C65=$AM$17,C65=$AM$18,C65=$AM$19,C65=$AM$20,C65=$AM$21,C65=$AM$22,C65=$AM$23,C65=$AM$24),0,IF(AW66="","",AW66))),"")</f>
        <v>4851</v>
      </c>
      <c r="G65" s="66">
        <f t="shared" si="32"/>
        <v>75460</v>
      </c>
      <c r="H65" s="66">
        <f>IFERROR(IF($C65="TOTAL",SUM($H$8:H64),IF(AY66="","",AY66)),"")</f>
        <v>52300</v>
      </c>
      <c r="I65" s="66">
        <f>IFERROR(IF($C65="TOTAL",SUM($I$8:I64),IF(AZ66="","",AZ66)),"")</f>
        <v>16213</v>
      </c>
      <c r="J65" s="66">
        <f>IFERROR(IF($C65="TOTAL",SUM($J$8:J64),IF(OR(C65=$AM$16,C65=$AM$17,C65=$AM$18,C65=$AM$19,C65=$AM$20,C65=$AM$21,C65=$AM$22,C65=$AM$23,C65=$AM$24),0,IF(BA66="","",BA66))),"")</f>
        <v>4707</v>
      </c>
      <c r="K65" s="66">
        <f t="shared" si="10"/>
        <v>73220</v>
      </c>
      <c r="L65" s="66">
        <f>IFERROR(IF(C65="","",IF(D65="","",IF(H65="","",IF($C65="TOTAL",SUM($L$8:L64),SUM(D65-H65))))),"")</f>
        <v>1600</v>
      </c>
      <c r="M65" s="66">
        <f>IFERROR(IF(C65="","",IF(E65="","",IF(I65="","",IF($C65="TOTAL",SUM($M$8:M64),SUM(E65-I65))))),"")</f>
        <v>496</v>
      </c>
      <c r="N65" s="66">
        <f>IFERROR(IF(C65="","",IF(F65="","",IF(J65="","",IF($C65="TOTAL",SUM($N$8:N64),SUM(F65-J65))))),"")</f>
        <v>144</v>
      </c>
      <c r="O65" s="66">
        <f t="shared" si="11"/>
        <v>2240</v>
      </c>
      <c r="P65" s="66">
        <f>IFERROR(IF(C65="","",IF($C65="TOTAL",SUM($P$8:P64),IF(AND(C65&gt;$AL$1,$AC$3=$AL$2),BO66,IF($AO$18=$AO$20,SUM(BB66+BJ66),ROUND((D65+E65)*10%,0))))),"")</f>
        <v>7061</v>
      </c>
      <c r="Q65" s="66">
        <f>IFERROR(IF(C65="","",IF(H65="","",IF(I65="","",IF($C65="TOTAL",SUM($Q$8:Q64),IF(AND(C65&gt;$AL$1,$AC$3=$AL$2),BO66,IF($AO$18=$AO$20,$AO$21,ROUND((H65+I65)*10%,0))))))),"")</f>
        <v>6851</v>
      </c>
      <c r="R65" s="66">
        <f t="shared" si="12"/>
        <v>210</v>
      </c>
      <c r="S65" s="67">
        <f>IFERROR(IF(C65="","",IF($AO$16=$AO$17,0,IF($C65="TOTAL",SUM($S$8:S64),IF($AO$19=$AO$31,0,IF(AND($AO$32=$AO$20,C65=$AO$33),$AO$34,S64))))),"")</f>
        <v>2100</v>
      </c>
      <c r="T65" s="67">
        <f>IFERROR(IF(C65="","",IF($AO$16=$AO$17,0,IF($C65="TOTAL",SUM($T$8:T64),IF($AO$19=$AO$20,$AO$24,0)))),"")</f>
        <v>2100</v>
      </c>
      <c r="U65" s="66">
        <f t="shared" si="13"/>
        <v>0</v>
      </c>
      <c r="V65" s="66" t="str">
        <f>IF(C65="","",IF($C65="TOTAL",SUM($V$8:V64),IF(AND($AO$2=$AO$20,C65=$AO$1),ROUND(D65/31*$AP$2,0),IF(C65=$AM$6,ROUND((G65)*1/30,0),IF(C65=$AN$6,ROUND((G65)*1/31,0),"")))))</f>
        <v/>
      </c>
      <c r="W65" s="66" t="str">
        <f>IF(C65="","",IF($C65="TOTAL",SUM($W$8:W64),IF(AND($AO$2=$AO$20,C65=$AO$1),ROUND(H65/31*$AP$2,0),IF(C65=$AM$6,ROUND((K65)*1/30,0),IF(C65=$AN$6,ROUND((K65)*1/31,0),"")))))</f>
        <v/>
      </c>
      <c r="X65" s="66" t="str">
        <f t="shared" si="14"/>
        <v/>
      </c>
      <c r="Y65" s="66" t="str">
        <f>IFERROR(IF(C65="","",IF(AND(BH66="",BO66=""),"",IF($C65="TOTAL",SUM($Y$8:Y64),BH66))),"")</f>
        <v/>
      </c>
      <c r="Z65" s="66">
        <f>IFERROR(IF(C65="","",IF($C65="TOTAL",SUM($Z$8:Z64),ROUND(O65*$AO$7%,0))),"")</f>
        <v>0</v>
      </c>
      <c r="AA65" s="66">
        <f>IFERROR(IF(C65="","",IF($C65="TOTAL",SUM($AA$8:AA64),IF($AC$3=$AL$2,SUM(U65,X65,Y65,Z65),SUM(R65,U65,X65,Y65,Z65)))),"")</f>
        <v>0</v>
      </c>
      <c r="AB65" s="68">
        <f>IFERROR(IF(C65="","",IF($C65="TOTAL",SUM($AB$8:AB64),SUM(O65-AA65))),"")</f>
        <v>2240</v>
      </c>
      <c r="AK65" s="90">
        <f t="shared" si="15"/>
        <v>31</v>
      </c>
      <c r="AL65" s="90">
        <f t="shared" si="16"/>
        <v>31</v>
      </c>
      <c r="AN65" s="92">
        <v>44440</v>
      </c>
      <c r="AP65" s="92">
        <f t="shared" si="44"/>
        <v>44440</v>
      </c>
      <c r="AQ65" s="92">
        <f t="shared" si="18"/>
        <v>44440</v>
      </c>
      <c r="AR65" s="92" t="str">
        <f t="shared" si="19"/>
        <v/>
      </c>
      <c r="AS65" s="92">
        <f t="shared" si="20"/>
        <v>44440</v>
      </c>
      <c r="AT65" s="92">
        <f t="shared" si="33"/>
        <v>44440</v>
      </c>
      <c r="AU65" s="91">
        <f t="shared" si="35"/>
        <v>53900</v>
      </c>
      <c r="AV65" s="91">
        <f t="shared" si="43"/>
        <v>16709</v>
      </c>
      <c r="AW65" s="91">
        <f t="shared" si="36"/>
        <v>4851</v>
      </c>
      <c r="AX65" s="91"/>
      <c r="AY65" s="91">
        <f t="shared" si="37"/>
        <v>52300</v>
      </c>
      <c r="AZ65" s="91">
        <f t="shared" si="21"/>
        <v>16213</v>
      </c>
      <c r="BA65" s="91">
        <f t="shared" si="38"/>
        <v>4707</v>
      </c>
      <c r="BB65" s="91">
        <f t="shared" si="34"/>
        <v>3675</v>
      </c>
      <c r="BE65" s="125">
        <f t="shared" si="39"/>
        <v>2240</v>
      </c>
      <c r="BF65" s="91">
        <f t="shared" si="40"/>
        <v>3675</v>
      </c>
      <c r="BG65" s="91" t="str">
        <f t="shared" si="25"/>
        <v>YES</v>
      </c>
      <c r="BH65" s="91">
        <f t="shared" si="26"/>
        <v>48</v>
      </c>
      <c r="BI65" s="91">
        <f t="shared" si="41"/>
        <v>6</v>
      </c>
      <c r="BJ65" s="133">
        <f t="shared" si="42"/>
        <v>63</v>
      </c>
      <c r="BK65" s="15">
        <f>SUM(ROUND(L64*3%,0))-ROUND(ROUND(L64*3%,0)*10%,0)</f>
        <v>43</v>
      </c>
      <c r="BL65" s="15">
        <f>SUM(ROUND(L64*3%,0))-ROUND(ROUND(L64*3%,0)*10%,0)</f>
        <v>43</v>
      </c>
      <c r="BO65" s="28" t="str">
        <f t="shared" si="29"/>
        <v/>
      </c>
    </row>
    <row r="66" spans="1:67" ht="21" customHeight="1">
      <c r="A66" s="140">
        <f t="shared" si="30"/>
        <v>59</v>
      </c>
      <c r="B66" s="64">
        <f t="shared" si="1"/>
        <v>59</v>
      </c>
      <c r="C66" s="65">
        <f t="shared" ref="C66:C68" si="45">IFERROR(IF(AT67="","",AT67),"")</f>
        <v>44501</v>
      </c>
      <c r="D66" s="66">
        <f>IFERROR(IF($C65="TOTAL","अक्षरें राशि :-",IF($C66="TOTAL",SUM($D$8:D65),IF(AU67="","",AU67))),"")</f>
        <v>53900</v>
      </c>
      <c r="E66" s="66">
        <f>IFERROR(IF($C66="TOTAL",SUM($E$8:E65),IF(AV67="","",AV67)),"")</f>
        <v>16709</v>
      </c>
      <c r="F66" s="66">
        <f>IFERROR(IF($C66="TOTAL",SUM($F$8:F65),IF(OR(C66=$AM$16,C66=$AM$17,C66=$AM$18,C66=$AM$19,C66=$AM$20,C66=$AM$21,C66=$AM$22,C66=$AM$23,C66=$AM$24),0,IF(AW67="","",AW67))),"")</f>
        <v>4851</v>
      </c>
      <c r="G66" s="66">
        <f t="shared" ref="G66:G68" si="46">IF(C66="","",SUM(D66:F66))</f>
        <v>75460</v>
      </c>
      <c r="H66" s="66">
        <f>IFERROR(IF($C66="TOTAL",SUM($H$8:H65),IF(AY67="","",AY67)),"")</f>
        <v>52300</v>
      </c>
      <c r="I66" s="66">
        <f>IFERROR(IF($C66="TOTAL",SUM($I$8:I65),IF(AZ67="","",AZ67)),"")</f>
        <v>16213</v>
      </c>
      <c r="J66" s="66">
        <f>IFERROR(IF($C66="TOTAL",SUM($J$8:J65),IF(OR(C66=$AM$16,C66=$AM$17,C66=$AM$18,C66=$AM$19,C66=$AM$20,C66=$AM$21,C66=$AM$22,C66=$AM$23,C66=$AM$24),0,IF(BA67="","",BA67))),"")</f>
        <v>4707</v>
      </c>
      <c r="K66" s="66">
        <f t="shared" si="10"/>
        <v>73220</v>
      </c>
      <c r="L66" s="66">
        <f>IFERROR(IF(C66="","",IF(D66="","",IF(H66="","",IF($C66="TOTAL",SUM($L$8:L65),SUM(D66-H66))))),"")</f>
        <v>1600</v>
      </c>
      <c r="M66" s="66">
        <f>IFERROR(IF(C66="","",IF(E66="","",IF(I66="","",IF($C66="TOTAL",SUM($M$8:M65),SUM(E66-I66))))),"")</f>
        <v>496</v>
      </c>
      <c r="N66" s="66">
        <f>IFERROR(IF(C66="","",IF(F66="","",IF(J66="","",IF($C66="TOTAL",SUM($N$8:N65),SUM(F66-J66))))),"")</f>
        <v>144</v>
      </c>
      <c r="O66" s="66">
        <f t="shared" si="11"/>
        <v>2240</v>
      </c>
      <c r="P66" s="66">
        <f>IFERROR(IF(C66="","",IF($C66="TOTAL",SUM($P$8:P65),IF(AND(C66&gt;$AL$1,$AC$3=$AL$2),BO67,IF($AO$18=$AO$20,SUM(BB67+BJ67),ROUND((D66+E66)*10%,0))))),"")</f>
        <v>7061</v>
      </c>
      <c r="Q66" s="66">
        <f>IFERROR(IF(C66="","",IF(H66="","",IF(I66="","",IF($C66="TOTAL",SUM($Q$8:Q65),IF(AND(C66&gt;$AL$1,$AC$3=$AL$2),BO67,IF($AO$18=$AO$20,$AO$21,ROUND((H66+I66)*10%,0))))))),"")</f>
        <v>6851</v>
      </c>
      <c r="R66" s="66">
        <f t="shared" si="12"/>
        <v>210</v>
      </c>
      <c r="S66" s="67">
        <f>IFERROR(IF(C66="","",IF($AO$16=$AO$17,0,IF($C66="TOTAL",SUM($S$8:S65),IF($AO$19=$AO$31,0,IF(AND($AO$32=$AO$20,C66=$AO$33),$AO$34,S65))))),"")</f>
        <v>2100</v>
      </c>
      <c r="T66" s="67">
        <f>IFERROR(IF(C66="","",IF($AO$16=$AO$17,0,IF($C66="TOTAL",SUM($T$8:T65),IF($AO$19=$AO$20,$AO$24,0)))),"")</f>
        <v>2100</v>
      </c>
      <c r="U66" s="66">
        <f t="shared" si="13"/>
        <v>0</v>
      </c>
      <c r="V66" s="66" t="str">
        <f>IF(C66="","",IF($C66="TOTAL",SUM($V$8:V65),IF(AND($AO$2=$AO$20,C66=$AO$1),ROUND(D66/31*$AP$2,0),IF(C66=$AM$6,ROUND((G66)*1/30,0),IF(C66=$AN$6,ROUND((G66)*1/31,0),"")))))</f>
        <v/>
      </c>
      <c r="W66" s="66" t="str">
        <f>IF(C66="","",IF($C66="TOTAL",SUM($W$8:W65),IF(AND($AO$2=$AO$20,C66=$AO$1),ROUND(H66/31*$AP$2,0),IF(C66=$AM$6,ROUND((K66)*1/30,0),IF(C66=$AN$6,ROUND((K66)*1/31,0),"")))))</f>
        <v/>
      </c>
      <c r="X66" s="66" t="str">
        <f t="shared" si="14"/>
        <v/>
      </c>
      <c r="Y66" s="66" t="str">
        <f>IFERROR(IF(C66="","",IF(AND(BH67="",BO67=""),"",IF($C66="TOTAL",SUM($Y$8:Y65),BH67))),"")</f>
        <v/>
      </c>
      <c r="Z66" s="66">
        <f>IFERROR(IF(C66="","",IF($C66="TOTAL",SUM($Z$8:Z65),ROUND(O66*$AO$7%,0))),"")</f>
        <v>0</v>
      </c>
      <c r="AA66" s="66">
        <f>IFERROR(IF(C66="","",IF($C66="TOTAL",SUM($AA$8:AA65),IF($AC$3=$AL$2,SUM(U66,X66,Y66,Z66),SUM(R66,U66,X66,Y66,Z66)))),"")</f>
        <v>0</v>
      </c>
      <c r="AB66" s="68">
        <f>IFERROR(IF(C66="","",IF($C66="TOTAL",SUM($AB$8:AB65),SUM(O66-AA66))),"")</f>
        <v>2240</v>
      </c>
      <c r="AK66" s="90">
        <f t="shared" si="15"/>
        <v>31</v>
      </c>
      <c r="AL66" s="90">
        <f t="shared" si="16"/>
        <v>31</v>
      </c>
      <c r="AN66" s="92">
        <v>44470</v>
      </c>
      <c r="AP66" s="92">
        <f t="shared" si="44"/>
        <v>44470</v>
      </c>
      <c r="AQ66" s="92">
        <f t="shared" si="18"/>
        <v>44470</v>
      </c>
      <c r="AR66" s="92" t="str">
        <f t="shared" si="19"/>
        <v/>
      </c>
      <c r="AS66" s="92">
        <f t="shared" si="20"/>
        <v>44470</v>
      </c>
      <c r="AT66" s="92">
        <f t="shared" si="33"/>
        <v>44470</v>
      </c>
      <c r="AU66" s="91">
        <f t="shared" si="35"/>
        <v>53900</v>
      </c>
      <c r="AV66" s="91">
        <f t="shared" si="43"/>
        <v>16709</v>
      </c>
      <c r="AW66" s="91">
        <f t="shared" si="36"/>
        <v>4851</v>
      </c>
      <c r="AX66" s="91"/>
      <c r="AY66" s="91">
        <f t="shared" si="37"/>
        <v>52300</v>
      </c>
      <c r="AZ66" s="91">
        <f t="shared" si="21"/>
        <v>16213</v>
      </c>
      <c r="BA66" s="91">
        <f t="shared" si="38"/>
        <v>4707</v>
      </c>
      <c r="BB66" s="91">
        <f t="shared" si="34"/>
        <v>3675</v>
      </c>
      <c r="BE66" s="125">
        <f t="shared" si="39"/>
        <v>2240</v>
      </c>
      <c r="BF66" s="91">
        <f t="shared" si="40"/>
        <v>3675</v>
      </c>
      <c r="BG66" s="91" t="str">
        <f t="shared" si="25"/>
        <v/>
      </c>
      <c r="BH66" s="91" t="str">
        <f t="shared" si="26"/>
        <v/>
      </c>
      <c r="BI66" s="91">
        <f t="shared" si="41"/>
        <v>0</v>
      </c>
      <c r="BJ66" s="133">
        <f t="shared" si="42"/>
        <v>0</v>
      </c>
      <c r="BO66" s="28" t="str">
        <f t="shared" si="29"/>
        <v/>
      </c>
    </row>
    <row r="67" spans="1:67" ht="21" customHeight="1">
      <c r="A67" s="140">
        <f t="shared" si="30"/>
        <v>60</v>
      </c>
      <c r="B67" s="64">
        <f t="shared" si="1"/>
        <v>60</v>
      </c>
      <c r="C67" s="65">
        <f>IFERROR(IF(AT68="","",AT68),"")</f>
        <v>44531</v>
      </c>
      <c r="D67" s="66">
        <f>IFERROR(IF($C66="TOTAL","अक्षरें राशि :-",IF($C67="TOTAL",SUM($D$8:D66),IF(AU68="","",AU68))),"")</f>
        <v>53900</v>
      </c>
      <c r="E67" s="66">
        <f>IFERROR(IF($C67="TOTAL",SUM($E$8:E66),IF(AV68="","",AV68)),"")</f>
        <v>16709</v>
      </c>
      <c r="F67" s="66">
        <f>IFERROR(IF($C67="TOTAL",SUM($F$8:F66),IF(OR(C67=$AM$16,C67=$AM$17,C67=$AM$18,C67=$AM$19,C67=$AM$20,C67=$AM$21,C67=$AM$22,C67=$AM$23,C67=$AM$24),0,IF(AW68="","",AW68))),"")</f>
        <v>4851</v>
      </c>
      <c r="G67" s="66">
        <f t="shared" si="46"/>
        <v>75460</v>
      </c>
      <c r="H67" s="66">
        <f>IFERROR(IF($C67="TOTAL",SUM($H$8:H66),IF(AY68="","",AY68)),"")</f>
        <v>52300</v>
      </c>
      <c r="I67" s="66">
        <f>IFERROR(IF($C67="TOTAL",SUM($I$8:I66),IF(AZ68="","",AZ68)),"")</f>
        <v>16213</v>
      </c>
      <c r="J67" s="66">
        <f>IFERROR(IF($C67="TOTAL",SUM($J$8:J66),IF(OR(C67=$AM$16,C67=$AM$17,C67=$AM$18,C67=$AM$19,C67=$AM$20,C67=$AM$21,C67=$AM$22,C67=$AM$23,C67=$AM$24),0,IF(BA68="","",BA68))),"")</f>
        <v>4707</v>
      </c>
      <c r="K67" s="66">
        <f t="shared" si="10"/>
        <v>73220</v>
      </c>
      <c r="L67" s="66">
        <f>IFERROR(IF(C67="","",IF(D67="","",IF(H67="","",IF($C67="TOTAL",SUM($L$8:L66),SUM(D67-H67))))),"")</f>
        <v>1600</v>
      </c>
      <c r="M67" s="66">
        <f>IFERROR(IF(C67="","",IF(E67="","",IF(I67="","",IF($C67="TOTAL",SUM($M$8:M66),SUM(E67-I67))))),"")</f>
        <v>496</v>
      </c>
      <c r="N67" s="66">
        <f>IFERROR(IF(C67="","",IF(F67="","",IF(J67="","",IF($C67="TOTAL",SUM($N$8:N66),SUM(F67-J67))))),"")</f>
        <v>144</v>
      </c>
      <c r="O67" s="66">
        <f t="shared" si="11"/>
        <v>2240</v>
      </c>
      <c r="P67" s="66">
        <f>IFERROR(IF(C67="","",IF($C67="TOTAL",SUM($P$8:P66),IF(AND(C67&gt;$AL$1,$AC$3=$AL$2),BO68,IF($AO$18=$AO$20,SUM(BB68+BJ68),ROUND((D67+E67)*10%,0))))),"")</f>
        <v>7061</v>
      </c>
      <c r="Q67" s="66">
        <f>IFERROR(IF(C67="","",IF(H67="","",IF(I67="","",IF($C67="TOTAL",SUM($Q$8:Q66),IF(AND(C67&gt;$AL$1,$AC$3=$AL$2),BO68,IF($AO$18=$AO$20,$AO$21,ROUND((H67+I67)*10%,0))))))),"")</f>
        <v>6851</v>
      </c>
      <c r="R67" s="66">
        <f t="shared" si="12"/>
        <v>210</v>
      </c>
      <c r="S67" s="67">
        <f>IFERROR(IF(C67="","",IF($AO$16=$AO$17,0,IF($C67="TOTAL",SUM($S$8:S66),IF($AO$19=$AO$31,0,IF(AND($AO$32=$AO$20,C67=$AO$33),$AO$34,S66))))),"")</f>
        <v>2100</v>
      </c>
      <c r="T67" s="67">
        <f>IFERROR(IF(C67="","",IF($AO$16=$AO$17,0,IF($C67="TOTAL",SUM($T$8:T66),IF($AO$19=$AO$20,$AO$24,0)))),"")</f>
        <v>2100</v>
      </c>
      <c r="U67" s="66">
        <f t="shared" si="13"/>
        <v>0</v>
      </c>
      <c r="V67" s="66" t="str">
        <f>IF(C67="","",IF($C67="TOTAL",SUM($V$8:V66),IF(AND($AO$2=$AO$20,C67=$AO$1),ROUND(D67/31*$AP$2,0),IF(C67=$AM$6,ROUND((G67)*1/30,0),IF(C67=$AN$6,ROUND((G67)*1/31,0),"")))))</f>
        <v/>
      </c>
      <c r="W67" s="66" t="str">
        <f>IF(C67="","",IF($C67="TOTAL",SUM($W$8:W66),IF(AND($AO$2=$AO$20,C67=$AO$1),ROUND(H67/31*$AP$2,0),IF(C67=$AM$6,ROUND((K67)*1/30,0),IF(C67=$AN$6,ROUND((K67)*1/31,0),"")))))</f>
        <v/>
      </c>
      <c r="X67" s="66" t="str">
        <f t="shared" si="14"/>
        <v/>
      </c>
      <c r="Y67" s="66" t="str">
        <f>IFERROR(IF(C67="","",IF(AND(BH68="",BO68=""),"",IF($C67="TOTAL",SUM($Y$8:Y66),BH68))),"")</f>
        <v/>
      </c>
      <c r="Z67" s="66">
        <f>IFERROR(IF(C67="","",IF($C67="TOTAL",SUM($Z$8:Z66),ROUND(O67*$AO$7%,0))),"")</f>
        <v>0</v>
      </c>
      <c r="AA67" s="66">
        <f>IFERROR(IF(C67="","",IF($C67="TOTAL",SUM($AA$8:AA66),IF($AC$3=$AL$2,SUM(U67,X67,Y67,Z67),SUM(R67,U67,X67,Y67,Z67)))),"")</f>
        <v>0</v>
      </c>
      <c r="AB67" s="68">
        <f>IFERROR(IF(C67="","",IF($C67="TOTAL",SUM($AB$8:AB66),SUM(O67-AA67))),"")</f>
        <v>2240</v>
      </c>
      <c r="AK67" s="90">
        <f t="shared" si="15"/>
        <v>31</v>
      </c>
      <c r="AL67" s="90">
        <f t="shared" si="16"/>
        <v>31</v>
      </c>
      <c r="AN67" s="92">
        <v>44501</v>
      </c>
      <c r="AP67" s="92">
        <f t="shared" si="44"/>
        <v>44501</v>
      </c>
      <c r="AQ67" s="92">
        <f t="shared" si="18"/>
        <v>44501</v>
      </c>
      <c r="AR67" s="92" t="str">
        <f t="shared" si="19"/>
        <v/>
      </c>
      <c r="AS67" s="92">
        <f t="shared" si="20"/>
        <v>44501</v>
      </c>
      <c r="AT67" s="92">
        <f t="shared" si="33"/>
        <v>44501</v>
      </c>
      <c r="AU67" s="91">
        <f t="shared" si="35"/>
        <v>53900</v>
      </c>
      <c r="AV67" s="91">
        <f t="shared" si="43"/>
        <v>16709</v>
      </c>
      <c r="AW67" s="91">
        <f t="shared" si="36"/>
        <v>4851</v>
      </c>
      <c r="AX67" s="91"/>
      <c r="AY67" s="91">
        <f t="shared" si="37"/>
        <v>52300</v>
      </c>
      <c r="AZ67" s="91">
        <f t="shared" si="21"/>
        <v>16213</v>
      </c>
      <c r="BA67" s="91">
        <f t="shared" si="38"/>
        <v>4707</v>
      </c>
      <c r="BB67" s="91">
        <f t="shared" si="34"/>
        <v>3675</v>
      </c>
      <c r="BE67" s="125">
        <f t="shared" si="39"/>
        <v>2240</v>
      </c>
      <c r="BF67" s="91">
        <f t="shared" si="40"/>
        <v>3675</v>
      </c>
      <c r="BG67" s="91" t="str">
        <f t="shared" si="25"/>
        <v/>
      </c>
      <c r="BH67" s="91" t="str">
        <f t="shared" si="26"/>
        <v/>
      </c>
      <c r="BI67" s="91">
        <f t="shared" si="41"/>
        <v>0</v>
      </c>
      <c r="BJ67" s="133">
        <f t="shared" si="42"/>
        <v>0</v>
      </c>
      <c r="BO67" s="28" t="str">
        <f t="shared" si="29"/>
        <v/>
      </c>
    </row>
    <row r="68" spans="1:67" ht="21" customHeight="1">
      <c r="A68" s="140">
        <f t="shared" si="30"/>
        <v>61</v>
      </c>
      <c r="B68" s="64">
        <f t="shared" si="1"/>
        <v>61</v>
      </c>
      <c r="C68" s="65">
        <f t="shared" si="45"/>
        <v>44562</v>
      </c>
      <c r="D68" s="66">
        <f>IFERROR(IF($C67="TOTAL","अक्षरें राशि :-",IF($C68="TOTAL",SUM($D$8:D67),IF(AU69="","",AU69))),"")</f>
        <v>53900</v>
      </c>
      <c r="E68" s="66">
        <f>IFERROR(IF($C68="TOTAL",SUM($E$8:E67),IF(AV69="","",AV69)),"")</f>
        <v>18326</v>
      </c>
      <c r="F68" s="66">
        <f>IFERROR(IF($C68="TOTAL",SUM($F$8:F67),IF(AW69="","",AW69)),"")</f>
        <v>4851</v>
      </c>
      <c r="G68" s="66">
        <f t="shared" si="46"/>
        <v>77077</v>
      </c>
      <c r="H68" s="66">
        <f>IFERROR(IF($C68="TOTAL",SUM($H$8:H67),IF(AY69="","",AY69)),"")</f>
        <v>52300</v>
      </c>
      <c r="I68" s="66">
        <f>IFERROR(IF($C68="TOTAL",SUM($I$8:I67),IF(AZ69="","",AZ69)),"")</f>
        <v>17782</v>
      </c>
      <c r="J68" s="66">
        <f>IFERROR(IF($C68="TOTAL",SUM($J$8:J67),IF(BA69="","",BA69)),"")</f>
        <v>4707</v>
      </c>
      <c r="K68" s="66">
        <f t="shared" si="10"/>
        <v>74789</v>
      </c>
      <c r="L68" s="66">
        <f>IFERROR(IF(C68="","",IF(D68="","",IF(H68="","",IF($C68="TOTAL",SUM($L$8:L67),SUM(D68-H68))))),"")</f>
        <v>1600</v>
      </c>
      <c r="M68" s="66">
        <f>IFERROR(IF(C68="","",IF(E68="","",IF(I68="","",IF($C68="TOTAL",SUM($M$8:M67),SUM(E68-I68))))),"")</f>
        <v>544</v>
      </c>
      <c r="N68" s="66">
        <f>IFERROR(IF(C68="","",IF(F68="","",IF(J68="","",IF($C68="TOTAL",SUM($N$8:N67),SUM(F68-J68))))),"")</f>
        <v>144</v>
      </c>
      <c r="O68" s="66">
        <f t="shared" si="11"/>
        <v>2288</v>
      </c>
      <c r="P68" s="66">
        <f>IFERROR(IF(C68="","",IF($C68="TOTAL",SUM($P$8:P67),IF(AND(C68&gt;$AL$1,$AC$3=$AL$2),BO69,IF($AO$18=$AO$20,SUM(BB69+BJ69),ROUND((D68+E68)*10%,0))))),"")</f>
        <v>7223</v>
      </c>
      <c r="Q68" s="66">
        <f>IFERROR(IF(C68="","",IF(H68="","",IF(I68="","",IF($C68="TOTAL",SUM($Q$8:Q67),IF(AND(C68&gt;$AL$1,$AC$3=$AL$2),BO69,IF($AO$18=$AO$20,$AO$21,ROUND((H68+I68)*10%,0))))))),"")</f>
        <v>7008</v>
      </c>
      <c r="R68" s="66">
        <f t="shared" si="12"/>
        <v>215</v>
      </c>
      <c r="S68" s="67">
        <f>IFERROR(IF(C68="","",IF($AO$16=$AO$17,0,IF($C68="TOTAL",SUM($S$8:S67),IF($AO$19=$AO$20,$AO$25,0)))),"")</f>
        <v>2100</v>
      </c>
      <c r="T68" s="67">
        <f>IFERROR(IF(C68="","",IF($AO$16=$AO$17,0,IF($C68="TOTAL",SUM($T$8:T67),IF($AO$19=$AO$20,$AO$24,0)))),"")</f>
        <v>2100</v>
      </c>
      <c r="U68" s="66">
        <f t="shared" si="13"/>
        <v>0</v>
      </c>
      <c r="V68" s="66" t="str">
        <f>IF(C68="","",IF($C68="TOTAL",SUM($V$8:V67),IF(AND($AO$2=$AO$20,C68=$AO$1),ROUND(D68/31*$AP$2,0),IF(C68=$AM$6,ROUND((G68)*1/30,0),IF(C68=$AN$6,ROUND((G68)*1/31,0),"")))))</f>
        <v/>
      </c>
      <c r="W68" s="66" t="str">
        <f>IF(C68="","",IF($C68="TOTAL",SUM($W$8:W67),IF(AND($AO$2=$AO$20,C68=$AO$1),ROUND(H68/31*$AP$2,0),IF(C68=$AM$6,ROUND((K68)*1/30,0),IF(C68=$AN$6,ROUND((K68)*1/31,0),"")))))</f>
        <v/>
      </c>
      <c r="X68" s="66" t="str">
        <f t="shared" si="14"/>
        <v/>
      </c>
      <c r="Y68" s="66">
        <f>IFERROR(IF(C68="","",IF(AND(BH69="",BO69=""),"",IF($C68="TOTAL",SUM($Y$8:Y67),BH69))),"")</f>
        <v>48</v>
      </c>
      <c r="Z68" s="66">
        <f>IFERROR(IF(C68="","",IF($C68="TOTAL",SUM($Z$8:Z67),ROUND(O68*$AO$7%,0))),"")</f>
        <v>0</v>
      </c>
      <c r="AA68" s="66">
        <f>IFERROR(IF(C68="","",IF($C68="TOTAL",SUM($AA$8:AA67),IF($AC$3=$AL$2,SUM(U68,X68,Y68,Z68),SUM(R68,U68,X68,Y68,Z68)))),"")</f>
        <v>48</v>
      </c>
      <c r="AB68" s="68">
        <f>IFERROR(IF(C68="","",IF($C68="TOTAL",SUM($AB$8:AB67),SUM(O68-AA68))),"")</f>
        <v>2240</v>
      </c>
      <c r="AK68" s="90">
        <f t="shared" si="15"/>
        <v>31</v>
      </c>
      <c r="AL68" s="90">
        <f t="shared" si="16"/>
        <v>31</v>
      </c>
      <c r="AN68" s="92">
        <v>44531</v>
      </c>
      <c r="AP68" s="92">
        <f t="shared" si="44"/>
        <v>44531</v>
      </c>
      <c r="AQ68" s="92">
        <f t="shared" si="18"/>
        <v>44531</v>
      </c>
      <c r="AR68" s="92" t="str">
        <f t="shared" si="19"/>
        <v/>
      </c>
      <c r="AS68" s="92">
        <f t="shared" si="20"/>
        <v>44531</v>
      </c>
      <c r="AT68" s="92">
        <f t="shared" si="33"/>
        <v>44531</v>
      </c>
      <c r="AU68" s="91">
        <f t="shared" si="35"/>
        <v>53900</v>
      </c>
      <c r="AV68" s="91">
        <f t="shared" si="43"/>
        <v>16709</v>
      </c>
      <c r="AW68" s="91">
        <f t="shared" si="36"/>
        <v>4851</v>
      </c>
      <c r="AX68" s="91"/>
      <c r="AY68" s="91">
        <f t="shared" si="37"/>
        <v>52300</v>
      </c>
      <c r="AZ68" s="91">
        <f t="shared" si="21"/>
        <v>16213</v>
      </c>
      <c r="BA68" s="91">
        <f t="shared" si="38"/>
        <v>4707</v>
      </c>
      <c r="BB68" s="91">
        <f t="shared" si="34"/>
        <v>3675</v>
      </c>
      <c r="BE68" s="125">
        <f t="shared" si="39"/>
        <v>2240</v>
      </c>
      <c r="BF68" s="91">
        <f t="shared" si="40"/>
        <v>3675</v>
      </c>
      <c r="BG68" s="91" t="str">
        <f t="shared" si="25"/>
        <v/>
      </c>
      <c r="BH68" s="91" t="str">
        <f t="shared" si="26"/>
        <v/>
      </c>
      <c r="BI68" s="91">
        <f t="shared" si="41"/>
        <v>0</v>
      </c>
      <c r="BJ68" s="133">
        <f t="shared" si="42"/>
        <v>0</v>
      </c>
      <c r="BO68" s="28" t="str">
        <f t="shared" si="29"/>
        <v/>
      </c>
    </row>
    <row r="69" spans="1:67" ht="21" customHeight="1">
      <c r="A69" s="140">
        <f t="shared" si="30"/>
        <v>62</v>
      </c>
      <c r="B69" s="64">
        <f t="shared" si="1"/>
        <v>62</v>
      </c>
      <c r="C69" s="65">
        <f t="shared" ref="C69:C72" si="47">IFERROR(IF(AT70="","",AT70),"")</f>
        <v>44593</v>
      </c>
      <c r="D69" s="66">
        <f>IFERROR(IF($C68="TOTAL","अक्षरें राशि :-",IF($C69="TOTAL",SUM($D$8:D68),IF(AU70="","",AU70))),"")</f>
        <v>53900</v>
      </c>
      <c r="E69" s="66">
        <f>IFERROR(IF($C69="TOTAL",SUM($E$8:E68),IF(AV70="","",AV70)),"")</f>
        <v>18326</v>
      </c>
      <c r="F69" s="66">
        <f>IFERROR(IF($C69="TOTAL",SUM($F$8:F68),IF(AW70="","",AW70)),"")</f>
        <v>4851</v>
      </c>
      <c r="G69" s="66">
        <f t="shared" ref="G69:G72" si="48">IF(C69="","",SUM(D69:F69))</f>
        <v>77077</v>
      </c>
      <c r="H69" s="66">
        <f>IFERROR(IF($C69="TOTAL",SUM($H$8:H68),IF(AY70="","",AY70)),"")</f>
        <v>52300</v>
      </c>
      <c r="I69" s="66">
        <f>IFERROR(IF($C69="TOTAL",SUM($I$8:I68),IF(AZ70="","",AZ70)),"")</f>
        <v>17782</v>
      </c>
      <c r="J69" s="66">
        <f>IFERROR(IF($C69="TOTAL",SUM($J$8:J68),IF(BA70="","",BA70)),"")</f>
        <v>4707</v>
      </c>
      <c r="K69" s="66">
        <f t="shared" ref="K69:K72" si="49">IF(C69="","",SUM(H69:J69))</f>
        <v>74789</v>
      </c>
      <c r="L69" s="66">
        <f>IFERROR(IF(C69="","",IF(D69="","",IF(H69="","",IF($C69="TOTAL",SUM($L$8:L68),SUM(D69-H69))))),"")</f>
        <v>1600</v>
      </c>
      <c r="M69" s="66">
        <f>IFERROR(IF(C69="","",IF(E69="","",IF(I69="","",IF($C69="TOTAL",SUM($M$8:M68),SUM(E69-I69))))),"")</f>
        <v>544</v>
      </c>
      <c r="N69" s="66">
        <f>IFERROR(IF(C69="","",IF(F69="","",IF(J69="","",IF($C69="TOTAL",SUM($N$8:N68),SUM(F69-J69))))),"")</f>
        <v>144</v>
      </c>
      <c r="O69" s="66">
        <f t="shared" ref="O69:O72" si="50">IFERROR(IF(C69="","",IF(G69="","",IF(K69="","",SUM(G69-K69)))),"")</f>
        <v>2288</v>
      </c>
      <c r="P69" s="66">
        <f>IFERROR(IF(C69="","",IF($C69="TOTAL",SUM($P$8:P68),IF(AND(C69&gt;$AL$1,$AC$3=$AL$2),BO70,IF($AO$18=$AO$20,SUM(BB70+BJ70),ROUND((D69+E69)*10%,0))))),"")</f>
        <v>7223</v>
      </c>
      <c r="Q69" s="66">
        <f>IFERROR(IF(C69="","",IF(H69="","",IF(I69="","",IF($C69="TOTAL",SUM($Q$8:Q68),IF(AND(C69&gt;$AL$1,$AC$3=$AL$2),BO70,IF($AO$18=$AO$20,$AO$21,ROUND((H69+I69)*10%,0))))))),"")</f>
        <v>7008</v>
      </c>
      <c r="R69" s="66">
        <f t="shared" ref="R69:R72" si="51">IFERROR(IF(C69="","",SUM(P69-Q69)),"")</f>
        <v>215</v>
      </c>
      <c r="S69" s="67">
        <f>IFERROR(IF(C69="","",IF($AO$16=$AO$17,0,IF($C69="TOTAL",SUM($S$8:S68),IF($AO$19=$AO$20,$AO$25,0)))),"")</f>
        <v>2100</v>
      </c>
      <c r="T69" s="67">
        <f>IFERROR(IF(C69="","",IF($AO$16=$AO$17,0,IF($C69="TOTAL",SUM($T$8:T68),IF($AO$19=$AO$20,$AO$24,0)))),"")</f>
        <v>2100</v>
      </c>
      <c r="U69" s="66">
        <f t="shared" ref="U69:U72" si="52">IFERROR(IF(C69="","",SUM(S69-T69)),"")</f>
        <v>0</v>
      </c>
      <c r="V69" s="66" t="str">
        <f>IF(C69="","",IF($C69="TOTAL",SUM($V$8:V68),IF(AND($AO$2=$AO$20,C69=$AO$1),ROUND(D69/31*$AP$2,0),IF(C69=$AM$6,ROUND((G69)*1/30,0),IF(C69=$AN$6,ROUND((G69)*1/31,0),"")))))</f>
        <v/>
      </c>
      <c r="W69" s="66" t="str">
        <f>IF(C69="","",IF($C69="TOTAL",SUM($W$8:W68),IF(AND($AO$2=$AO$20,C69=$AO$1),ROUND(H69/31*$AP$2,0),IF(C69=$AM$6,ROUND((K69)*1/30,0),IF(C69=$AN$6,ROUND((K69)*1/31,0),"")))))</f>
        <v/>
      </c>
      <c r="X69" s="66" t="str">
        <f t="shared" ref="X69:X72" si="53">IFERROR(IF(C69="","",SUM(V69-W69)),"")</f>
        <v/>
      </c>
      <c r="Y69" s="66">
        <f>IFERROR(IF(C69="","",IF(AND(BH70="",BO70=""),"",IF($C69="TOTAL",SUM($Y$8:Y68),BH70))),"")</f>
        <v>48</v>
      </c>
      <c r="Z69" s="66">
        <f>IFERROR(IF(C69="","",IF($C69="TOTAL",SUM($Z$8:Z68),ROUND(O69*$AO$7%,0))),"")</f>
        <v>0</v>
      </c>
      <c r="AA69" s="66">
        <f>IFERROR(IF(C69="","",IF($C69="TOTAL",SUM($AA$8:AA68),IF($AC$3=$AL$2,SUM(U69,X69,Y69,Z69),SUM(R69,U69,X69,Y69,Z69)))),"")</f>
        <v>48</v>
      </c>
      <c r="AB69" s="68">
        <f>IFERROR(IF(C69="","",IF($C69="TOTAL",SUM($AB$8:AB68),SUM(O69-AA69))),"")</f>
        <v>2240</v>
      </c>
      <c r="AK69" s="90">
        <f t="shared" si="15"/>
        <v>34</v>
      </c>
      <c r="AL69" s="90">
        <f t="shared" si="16"/>
        <v>34</v>
      </c>
      <c r="AN69" s="92">
        <v>44562</v>
      </c>
      <c r="AP69" s="92">
        <f t="shared" si="44"/>
        <v>44562</v>
      </c>
      <c r="AQ69" s="92">
        <f t="shared" si="18"/>
        <v>44562</v>
      </c>
      <c r="AR69" s="92" t="str">
        <f t="shared" si="19"/>
        <v/>
      </c>
      <c r="AS69" s="92">
        <f t="shared" si="20"/>
        <v>44562</v>
      </c>
      <c r="AT69" s="92">
        <f t="shared" si="33"/>
        <v>44562</v>
      </c>
      <c r="AU69" s="91">
        <f t="shared" si="35"/>
        <v>53900</v>
      </c>
      <c r="AV69" s="91">
        <f t="shared" si="43"/>
        <v>18326</v>
      </c>
      <c r="AW69" s="91">
        <f t="shared" si="36"/>
        <v>4851</v>
      </c>
      <c r="AX69" s="91"/>
      <c r="AY69" s="91">
        <f t="shared" si="37"/>
        <v>52300</v>
      </c>
      <c r="AZ69" s="91">
        <f t="shared" si="21"/>
        <v>17782</v>
      </c>
      <c r="BA69" s="91">
        <f t="shared" si="38"/>
        <v>4707</v>
      </c>
      <c r="BB69" s="91">
        <f t="shared" si="34"/>
        <v>3675</v>
      </c>
      <c r="BE69" s="125">
        <f t="shared" si="39"/>
        <v>2288</v>
      </c>
      <c r="BF69" s="91">
        <f t="shared" si="40"/>
        <v>3675</v>
      </c>
      <c r="BG69" s="91" t="str">
        <f t="shared" si="25"/>
        <v/>
      </c>
      <c r="BH69" s="91">
        <f t="shared" si="26"/>
        <v>48</v>
      </c>
      <c r="BI69" s="91">
        <f t="shared" si="41"/>
        <v>0</v>
      </c>
      <c r="BJ69" s="133">
        <f t="shared" si="42"/>
        <v>0</v>
      </c>
      <c r="BO69" s="28" t="str">
        <f t="shared" si="29"/>
        <v/>
      </c>
    </row>
    <row r="70" spans="1:67" ht="21" customHeight="1">
      <c r="A70" s="140">
        <f t="shared" si="30"/>
        <v>63</v>
      </c>
      <c r="B70" s="64">
        <f t="shared" si="1"/>
        <v>63</v>
      </c>
      <c r="C70" s="65">
        <f t="shared" si="47"/>
        <v>44621</v>
      </c>
      <c r="D70" s="66">
        <f>IFERROR(IF($C69="TOTAL","अक्षरें राशि :-",IF($C70="TOTAL",SUM($D$8:D69),IF(AU71="","",AU71))),"")</f>
        <v>53900</v>
      </c>
      <c r="E70" s="66">
        <f>IFERROR(IF($C70="TOTAL",SUM($E$8:E69),IF(AV71="","",AV71)),"")</f>
        <v>18326</v>
      </c>
      <c r="F70" s="66">
        <f>IFERROR(IF($C70="TOTAL",SUM($F$8:F69),IF(AW71="","",AW71)),"")</f>
        <v>4851</v>
      </c>
      <c r="G70" s="66">
        <f t="shared" si="48"/>
        <v>77077</v>
      </c>
      <c r="H70" s="66">
        <f>IFERROR(IF($C70="TOTAL",SUM($H$8:H69),IF(AY71="","",AY71)),"")</f>
        <v>52300</v>
      </c>
      <c r="I70" s="66">
        <f>IFERROR(IF($C70="TOTAL",SUM($I$8:I69),IF(AZ71="","",AZ71)),"")</f>
        <v>17782</v>
      </c>
      <c r="J70" s="66">
        <f>IFERROR(IF($C70="TOTAL",SUM($J$8:J69),IF(BA71="","",BA71)),"")</f>
        <v>4707</v>
      </c>
      <c r="K70" s="66">
        <f t="shared" si="49"/>
        <v>74789</v>
      </c>
      <c r="L70" s="66">
        <f>IFERROR(IF(C70="","",IF(D70="","",IF(H70="","",IF($C70="TOTAL",SUM($L$8:L69),SUM(D70-H70))))),"")</f>
        <v>1600</v>
      </c>
      <c r="M70" s="66">
        <f>IFERROR(IF(C70="","",IF(E70="","",IF(I70="","",IF($C70="TOTAL",SUM($M$8:M69),SUM(E70-I70))))),"")</f>
        <v>544</v>
      </c>
      <c r="N70" s="66">
        <f>IFERROR(IF(C70="","",IF(F70="","",IF(J70="","",IF($C70="TOTAL",SUM($N$8:N69),SUM(F70-J70))))),"")</f>
        <v>144</v>
      </c>
      <c r="O70" s="66">
        <f t="shared" si="50"/>
        <v>2288</v>
      </c>
      <c r="P70" s="66">
        <f>IFERROR(IF(C70="","",IF($C70="TOTAL",SUM($P$8:P69),IF(AND(C70&gt;$AL$1,$AC$3=$AL$2),BO71,IF($AO$18=$AO$20,SUM(BB71+BJ71),ROUND((D70+E70)*10%,0))))),"")</f>
        <v>7223</v>
      </c>
      <c r="Q70" s="66">
        <f>IFERROR(IF(C70="","",IF(H70="","",IF(I70="","",IF($C70="TOTAL",SUM($Q$8:Q69),IF(AND(C70&gt;$AL$1,$AC$3=$AL$2),BO71,IF($AO$18=$AO$20,$AO$21,ROUND((H70+I70)*10%,0))))))),"")</f>
        <v>7008</v>
      </c>
      <c r="R70" s="66">
        <f t="shared" si="51"/>
        <v>215</v>
      </c>
      <c r="S70" s="67">
        <f>IFERROR(IF(C70="","",IF($AO$16=$AO$17,0,IF($C70="TOTAL",SUM($S$8:S69),IF($AO$19=$AO$20,$AO$25,0)))),"")</f>
        <v>2100</v>
      </c>
      <c r="T70" s="67">
        <f>IFERROR(IF(C70="","",IF($AO$16=$AO$17,0,IF($C70="TOTAL",SUM($T$8:T69),IF($AO$19=$AO$20,$AO$24,0)))),"")</f>
        <v>2100</v>
      </c>
      <c r="U70" s="66">
        <f t="shared" si="52"/>
        <v>0</v>
      </c>
      <c r="V70" s="66" t="str">
        <f>IF(C70="","",IF($C70="TOTAL",SUM($V$8:V69),IF(AND($AO$2=$AO$20,C70=$AO$1),ROUND(D70/31*$AP$2,0),IF(C70=$AM$6,ROUND((G70)*1/30,0),IF(C70=$AN$6,ROUND((G70)*1/31,0),"")))))</f>
        <v/>
      </c>
      <c r="W70" s="66" t="str">
        <f>IF(C70="","",IF($C70="TOTAL",SUM($W$8:W69),IF(AND($AO$2=$AO$20,C70=$AO$1),ROUND(H70/31*$AP$2,0),IF(C70=$AM$6,ROUND((K70)*1/30,0),IF(C70=$AN$6,ROUND((K70)*1/31,0),"")))))</f>
        <v/>
      </c>
      <c r="X70" s="66" t="str">
        <f t="shared" si="53"/>
        <v/>
      </c>
      <c r="Y70" s="66">
        <f>IFERROR(IF(C70="","",IF(AND(BH71="",BO71=""),"",IF($C70="TOTAL",SUM($Y$8:Y69),BH71))),"")</f>
        <v>48</v>
      </c>
      <c r="Z70" s="66">
        <f>IFERROR(IF(C70="","",IF($C70="TOTAL",SUM($Z$8:Z69),ROUND(O70*$AO$7%,0))),"")</f>
        <v>0</v>
      </c>
      <c r="AA70" s="66">
        <f>IFERROR(IF(C70="","",IF($C70="TOTAL",SUM($AA$8:AA69),IF($AC$3=$AL$2,SUM(U70,X70,Y70,Z70),SUM(R70,U70,X70,Y70,Z70)))),"")</f>
        <v>48</v>
      </c>
      <c r="AB70" s="68">
        <f>IFERROR(IF(C70="","",IF($C70="TOTAL",SUM($AB$8:AB69),SUM(O70-AA70))),"")</f>
        <v>2240</v>
      </c>
      <c r="AK70" s="90">
        <f t="shared" si="15"/>
        <v>34</v>
      </c>
      <c r="AL70" s="90">
        <f t="shared" si="16"/>
        <v>34</v>
      </c>
      <c r="AN70" s="92">
        <v>44593</v>
      </c>
      <c r="AP70" s="92">
        <f t="shared" si="44"/>
        <v>44593</v>
      </c>
      <c r="AQ70" s="92">
        <f t="shared" si="18"/>
        <v>44593</v>
      </c>
      <c r="AR70" s="92" t="str">
        <f t="shared" si="19"/>
        <v/>
      </c>
      <c r="AS70" s="92">
        <f t="shared" si="20"/>
        <v>44593</v>
      </c>
      <c r="AT70" s="92">
        <f t="shared" si="33"/>
        <v>44593</v>
      </c>
      <c r="AU70" s="91">
        <f t="shared" si="35"/>
        <v>53900</v>
      </c>
      <c r="AV70" s="91">
        <f t="shared" si="43"/>
        <v>18326</v>
      </c>
      <c r="AW70" s="91">
        <f t="shared" si="36"/>
        <v>4851</v>
      </c>
      <c r="AX70" s="91"/>
      <c r="AY70" s="91">
        <f t="shared" si="37"/>
        <v>52300</v>
      </c>
      <c r="AZ70" s="91">
        <f t="shared" si="21"/>
        <v>17782</v>
      </c>
      <c r="BA70" s="91">
        <f t="shared" si="38"/>
        <v>4707</v>
      </c>
      <c r="BB70" s="91">
        <f t="shared" si="34"/>
        <v>3675</v>
      </c>
      <c r="BE70" s="125">
        <f t="shared" si="39"/>
        <v>2288</v>
      </c>
      <c r="BF70" s="91">
        <f t="shared" si="40"/>
        <v>3675</v>
      </c>
      <c r="BG70" s="91" t="str">
        <f t="shared" si="25"/>
        <v/>
      </c>
      <c r="BH70" s="91">
        <f t="shared" si="26"/>
        <v>48</v>
      </c>
      <c r="BI70" s="91">
        <f t="shared" si="41"/>
        <v>0</v>
      </c>
      <c r="BJ70" s="133">
        <f t="shared" si="42"/>
        <v>0</v>
      </c>
      <c r="BO70" s="28" t="str">
        <f t="shared" si="29"/>
        <v/>
      </c>
    </row>
    <row r="71" spans="1:67" ht="21" customHeight="1">
      <c r="A71" s="140">
        <f t="shared" si="30"/>
        <v>64</v>
      </c>
      <c r="B71" s="64">
        <f t="shared" si="1"/>
        <v>64</v>
      </c>
      <c r="C71" s="65">
        <f t="shared" si="47"/>
        <v>44652</v>
      </c>
      <c r="D71" s="66">
        <f>IFERROR(IF($C70="TOTAL","अक्षरें राशि :-",IF($C71="TOTAL",SUM($D$8:D70),IF(AU72="","",AU72))),"")</f>
        <v>53900</v>
      </c>
      <c r="E71" s="66">
        <f>IFERROR(IF($C71="TOTAL",SUM($E$8:E70),IF(AV72="","",AV72)),"")</f>
        <v>18326</v>
      </c>
      <c r="F71" s="66">
        <f>IFERROR(IF($C71="TOTAL",SUM($F$8:F70),IF(AW72="","",AW72)),"")</f>
        <v>4851</v>
      </c>
      <c r="G71" s="66">
        <f t="shared" si="48"/>
        <v>77077</v>
      </c>
      <c r="H71" s="66">
        <f>IFERROR(IF($C71="TOTAL",SUM($H$8:H70),IF(AY72="","",AY72)),"")</f>
        <v>52300</v>
      </c>
      <c r="I71" s="66">
        <f>IFERROR(IF($C71="TOTAL",SUM($I$8:I70),IF(AZ72="","",AZ72)),"")</f>
        <v>17782</v>
      </c>
      <c r="J71" s="66">
        <f>IFERROR(IF($C71="TOTAL",SUM($J$8:J70),IF(BA72="","",BA72)),"")</f>
        <v>4707</v>
      </c>
      <c r="K71" s="66">
        <f t="shared" si="49"/>
        <v>74789</v>
      </c>
      <c r="L71" s="66">
        <f>IFERROR(IF(C71="","",IF(D71="","",IF(H71="","",IF($C71="TOTAL",SUM($L$8:L70),SUM(D71-H71))))),"")</f>
        <v>1600</v>
      </c>
      <c r="M71" s="66">
        <f>IFERROR(IF(C71="","",IF(E71="","",IF(I71="","",IF($C71="TOTAL",SUM($M$8:M70),SUM(E71-I71))))),"")</f>
        <v>544</v>
      </c>
      <c r="N71" s="66">
        <f>IFERROR(IF(C71="","",IF(F71="","",IF(J71="","",IF($C71="TOTAL",SUM($N$8:N70),SUM(F71-J71))))),"")</f>
        <v>144</v>
      </c>
      <c r="O71" s="66">
        <f t="shared" si="50"/>
        <v>2288</v>
      </c>
      <c r="P71" s="66">
        <f>IFERROR(IF(C71="","",IF($C71="TOTAL",SUM($P$8:P70),IF(AND(C71&gt;$AL$1,$AC$3=$AL$2),BO72,IF($AO$18=$AO$20,SUM(BB72+BJ72),ROUND((D71+E71)*10%,0))))),"")</f>
        <v>2100</v>
      </c>
      <c r="Q71" s="66">
        <f>IFERROR(IF(C71="","",IF(H71="","",IF(I71="","",IF($C71="TOTAL",SUM($Q$8:Q70),IF(AND(C71&gt;$AL$1,$AC$3=$AL$2),BO72,IF($AO$18=$AO$20,$AO$21,ROUND((H71+I71)*10%,0))))))),"")</f>
        <v>2100</v>
      </c>
      <c r="R71" s="66">
        <f t="shared" si="51"/>
        <v>0</v>
      </c>
      <c r="S71" s="67">
        <f>IFERROR(IF(C71="","",IF($AO$16=$AO$17,0,IF($C71="TOTAL",SUM($S$8:S70),IF($AO$19=$AO$20,$AO$25,0)))),"")</f>
        <v>2100</v>
      </c>
      <c r="T71" s="67">
        <f>IFERROR(IF(C71="","",IF($AO$16=$AO$17,0,IF($C71="TOTAL",SUM($T$8:T70),IF($AO$19=$AO$20,$AO$24,0)))),"")</f>
        <v>2100</v>
      </c>
      <c r="U71" s="66">
        <f t="shared" si="52"/>
        <v>0</v>
      </c>
      <c r="V71" s="66" t="str">
        <f>IF(C71="","",IF($C71="TOTAL",SUM($V$8:V70),IF(AND($AO$2=$AO$20,C71=$AO$1),ROUND(D71/31*$AP$2,0),IF(C71=$AM$6,ROUND((G71)*1/30,0),IF(C71=$AN$6,ROUND((G71)*1/31,0),"")))))</f>
        <v/>
      </c>
      <c r="W71" s="66" t="str">
        <f>IF(C71="","",IF($C71="TOTAL",SUM($W$8:W70),IF(AND($AO$2=$AO$20,C71=$AO$1),ROUND(H71/31*$AP$2,0),IF(C71=$AM$6,ROUND((K71)*1/30,0),IF(C71=$AN$6,ROUND((K71)*1/31,0),"")))))</f>
        <v/>
      </c>
      <c r="X71" s="66" t="str">
        <f t="shared" si="53"/>
        <v/>
      </c>
      <c r="Y71" s="66" t="str">
        <f>IFERROR(IF(C71="","",IF(AND(BH72="",BO72=""),"",IF($C71="TOTAL",SUM($Y$8:Y70),BH72))),"")</f>
        <v/>
      </c>
      <c r="Z71" s="66">
        <f>IFERROR(IF(C71="","",IF($C71="TOTAL",SUM($Z$8:Z70),ROUND(O71*$AO$7%,0))),"")</f>
        <v>0</v>
      </c>
      <c r="AA71" s="66">
        <f>IFERROR(IF(C71="","",IF($C71="TOTAL",SUM($AA$8:AA70),IF($AC$3=$AL$2,SUM(U71,X71,Y71,Z71),SUM(R71,U71,X71,Y71,Z71)))),"")</f>
        <v>0</v>
      </c>
      <c r="AB71" s="68">
        <f>IFERROR(IF(C71="","",IF($C71="TOTAL",SUM($AB$8:AB70),SUM(O71-AA71))),"")</f>
        <v>2288</v>
      </c>
      <c r="AK71" s="90">
        <f t="shared" si="15"/>
        <v>34</v>
      </c>
      <c r="AL71" s="90">
        <f t="shared" si="16"/>
        <v>34</v>
      </c>
      <c r="AN71" s="92">
        <v>44621</v>
      </c>
      <c r="AP71" s="92">
        <f t="shared" si="44"/>
        <v>44621</v>
      </c>
      <c r="AQ71" s="92">
        <f>IF(AND(AP71=""),"",IF(AND(AP71=$AN$9),$AN$9,IF(AND(AP71=$AN$10),$AN$10,IF(AND(AP71=$AN$11),$AN$11,IF(AND(AP71=$AN$12),$AN$12,IF(AND(AP71=$AN$13),$AN$13,IF(AND(AP71=$AN$14),$AN$14,IF(AND(AP71=$AN$15),$AN$15,IF(AND(AP71=$AN$16),$AN$16,IF(AND(AP71=$AN$17),$AN$17,IF(AND(AP71=$AN$18),$AN$18,IF(AND(AP71=$AN$19),$AN$19,IF(AND(AP71=$AN$20),$AN$20,IF(AND(AP71=$AN$21),$AN$21,IF(AND(AP71=$AN$22),$AN$22,IF(AND(AP71=$AN$23),$AN$23,IF(AND(AP71=$AN$24),$AN$24,IF(AND(AP71=$AN$25),$AN$25,IF(AND(AP71=$AN$26),$AN$26,IF(AND(AP71=$AN$27),$AN$27,IF(AND(AP71=$AN$28),$AN$28,IF(AND(AP71=$AN$29),$AN$29,IF(AND(AP71=$AN$30),$AN$30,IF(AND(AP71=$AN$31),$AN$31,IF(AND(AP71=$AN$32),$AN$32,IF(AND(AP71=$AN$33),$AN$33,IF(AND(AP71=$AN$34),$AN$34,IF(AND(AP71=$AN$35),$AN$35,IF(AND(AP71=$AN$36),$AN$36,IF(AND(AP71=$AN$37),$AN$37,IF(AND(AP71=$AN$38),$AN$38,IF(AND(AP71=$AN$39),$AN$39,IF(AND(AP71=$AN$40),$AN$40,IF(AND(AP71=$AN$41),$AN$41,IF(AND(AP71=$AN$42),$AN$42,IF(AND(AP71=$AN$43),$AN$43,IF(AND(AP71=$AN$44),$AN$44,IF(AND(AP71=$AN$45),$AN$45,IF(AND(AP71=$AN$46),$AN$46,IF(AND(AP71=$AN$47),$AN$47,IF(AND(AP71=$AN$48),$AN$48,IF(AND(AP71=$AN$49),$AN$49,IF(AND(AP71=$AN$50),$AN$50,IF(AND(AP71=$AN$51),$AN$51,IF(AND(AP71=$AN$52),$AN$52,IF(AND(AP71=$AN$53),$AN$53,IF(AND(AP71=$AN$54),$AN$54,IF(AND(AP71=$AN$55),$AN$55,IF(AND(AP71=$AN$56),$AN$56,IF(AND(AP71=$AN$57),$AN$57,IF(AND(AP71=$AN$58),$AN$58,IF(AND(AP71=$AN$59),$AN$59,IF(AND(AP71=$AN$60),$AN$60,IF(AND(AP71=$AN$61),$AN$61,IF(AND(AP71=$AN$62),$AN$62,IF(AND(AP71=$AN$63),$AN$63,IF(AND(AP71=$AN$64),$AN$64,IF(AND(AP71=$AN$65),$AN$65,IF(AND(AP71=$AN$66),$AN$66,IF(AND(AP71=$AN$67),$AN$67,IF(AND(AP71=$AN$68),$AN$68,IF(AND(AP71=$AN$69),$AN$69,IF(AND(AP71=$AN$70),$AN$70,IF(AND(AP71=$AN$71),$AN$71,""))))))))))))))))))))))))))))))))))))))))))))))))))))))))))))))))</f>
        <v>44621</v>
      </c>
      <c r="AR71" s="92" t="str">
        <f t="shared" si="19"/>
        <v/>
      </c>
      <c r="AS71" s="92">
        <f t="shared" si="20"/>
        <v>44621</v>
      </c>
      <c r="AT71" s="92">
        <f t="shared" si="33"/>
        <v>44621</v>
      </c>
      <c r="AU71" s="91">
        <f t="shared" si="35"/>
        <v>53900</v>
      </c>
      <c r="AV71" s="91">
        <f t="shared" si="43"/>
        <v>18326</v>
      </c>
      <c r="AW71" s="91">
        <f t="shared" si="36"/>
        <v>4851</v>
      </c>
      <c r="AX71" s="91"/>
      <c r="AY71" s="91">
        <f t="shared" si="37"/>
        <v>52300</v>
      </c>
      <c r="AZ71" s="91">
        <f t="shared" si="21"/>
        <v>17782</v>
      </c>
      <c r="BA71" s="91">
        <f t="shared" si="38"/>
        <v>4707</v>
      </c>
      <c r="BB71" s="91">
        <f t="shared" si="34"/>
        <v>3675</v>
      </c>
      <c r="BE71" s="125">
        <f t="shared" si="39"/>
        <v>2288</v>
      </c>
      <c r="BF71" s="91">
        <f t="shared" si="40"/>
        <v>3675</v>
      </c>
      <c r="BG71" s="91" t="str">
        <f t="shared" si="25"/>
        <v/>
      </c>
      <c r="BH71" s="91">
        <f t="shared" si="26"/>
        <v>48</v>
      </c>
      <c r="BI71" s="91">
        <f t="shared" si="41"/>
        <v>0</v>
      </c>
      <c r="BJ71" s="133">
        <f t="shared" si="42"/>
        <v>0</v>
      </c>
      <c r="BO71" s="28" t="str">
        <f t="shared" si="29"/>
        <v/>
      </c>
    </row>
    <row r="72" spans="1:67" ht="21" customHeight="1">
      <c r="A72" s="140">
        <f t="shared" si="30"/>
        <v>65</v>
      </c>
      <c r="B72" s="64">
        <f t="shared" si="1"/>
        <v>65</v>
      </c>
      <c r="C72" s="65">
        <f t="shared" si="47"/>
        <v>44682</v>
      </c>
      <c r="D72" s="66">
        <f>IFERROR(IF($C71="TOTAL","अक्षरें राशि :-",IF($C72="TOTAL",SUM($D$8:D71),IF(AU73="","",AU73))),"")</f>
        <v>53900</v>
      </c>
      <c r="E72" s="66">
        <f>IFERROR(IF($C72="TOTAL",SUM($E$8:E71),IF(AV73="","",AV73)),"")</f>
        <v>18326</v>
      </c>
      <c r="F72" s="66">
        <f>IFERROR(IF($C72="TOTAL",SUM($F$8:F71),IF(AW73="","",AW73)),"")</f>
        <v>4851</v>
      </c>
      <c r="G72" s="66">
        <f t="shared" si="48"/>
        <v>77077</v>
      </c>
      <c r="H72" s="66">
        <f>IFERROR(IF($C72="TOTAL",SUM($H$8:H71),IF(AY73="","",AY73)),"")</f>
        <v>52300</v>
      </c>
      <c r="I72" s="66">
        <f>IFERROR(IF($C72="TOTAL",SUM($I$8:I71),IF(AZ73="","",AZ73)),"")</f>
        <v>17782</v>
      </c>
      <c r="J72" s="66">
        <f>IFERROR(IF($C72="TOTAL",SUM($J$8:J71),IF(BA73="","",BA73)),"")</f>
        <v>4707</v>
      </c>
      <c r="K72" s="66">
        <f t="shared" si="49"/>
        <v>74789</v>
      </c>
      <c r="L72" s="66">
        <f>IFERROR(IF(C72="","",IF(D72="","",IF(H72="","",IF($C72="TOTAL",SUM($L$8:L71),SUM(D72-H72))))),"")</f>
        <v>1600</v>
      </c>
      <c r="M72" s="66">
        <f>IFERROR(IF(C72="","",IF(E72="","",IF(I72="","",IF($C72="TOTAL",SUM($M$8:M71),SUM(E72-I72))))),"")</f>
        <v>544</v>
      </c>
      <c r="N72" s="66">
        <f>IFERROR(IF(C72="","",IF(F72="","",IF(J72="","",IF($C72="TOTAL",SUM($N$8:N71),SUM(F72-J72))))),"")</f>
        <v>144</v>
      </c>
      <c r="O72" s="66">
        <f t="shared" si="50"/>
        <v>2288</v>
      </c>
      <c r="P72" s="66">
        <f>IFERROR(IF(C72="","",IF($C72="TOTAL",SUM($P$8:P71),IF(AND(C72&gt;$AL$1,$AC$3=$AL$2),BO73,IF($AO$18=$AO$20,SUM(BB73+BJ73),ROUND((D72+E72)*10%,0))))),"")</f>
        <v>2100</v>
      </c>
      <c r="Q72" s="66">
        <f>IFERROR(IF(C72="","",IF(H72="","",IF(I72="","",IF($C72="TOTAL",SUM($Q$8:Q71),IF(AND(C72&gt;$AL$1,$AC$3=$AL$2),BO73,IF($AO$18=$AO$20,$AO$21,ROUND((H72+I72)*10%,0))))))),"")</f>
        <v>2100</v>
      </c>
      <c r="R72" s="66">
        <f t="shared" si="51"/>
        <v>0</v>
      </c>
      <c r="S72" s="67">
        <f>IFERROR(IF(C72="","",IF($AO$16=$AO$17,0,IF($C72="TOTAL",SUM($S$8:S71),IF($AO$19=$AO$20,$AO$25,0)))),"")</f>
        <v>2100</v>
      </c>
      <c r="T72" s="67">
        <f>IFERROR(IF(C72="","",IF($AO$16=$AO$17,0,IF($C72="TOTAL",SUM($T$8:T71),IF($AO$19=$AO$20,$AO$24,0)))),"")</f>
        <v>2100</v>
      </c>
      <c r="U72" s="66">
        <f t="shared" si="52"/>
        <v>0</v>
      </c>
      <c r="V72" s="66" t="str">
        <f>IF(C72="","",IF($C72="TOTAL",SUM($V$8:V71),IF(AND($AO$2=$AO$20,C72=$AO$1),ROUND(D72/31*$AP$2,0),IF(C72=$AM$6,ROUND((G72)*1/30,0),IF(C72=$AN$6,ROUND((G72)*1/31,0),"")))))</f>
        <v/>
      </c>
      <c r="W72" s="66" t="str">
        <f>IF(C72="","",IF($C72="TOTAL",SUM($W$8:W71),IF(AND($AO$2=$AO$20,C72=$AO$1),ROUND(H72/31*$AP$2,0),IF(C72=$AM$6,ROUND((K72)*1/30,0),IF(C72=$AN$6,ROUND((K72)*1/31,0),"")))))</f>
        <v/>
      </c>
      <c r="X72" s="66" t="str">
        <f t="shared" si="53"/>
        <v/>
      </c>
      <c r="Y72" s="66" t="str">
        <f>IFERROR(IF(C72="","",IF(AND(BH73="",BO73=""),"",IF($C72="TOTAL",SUM($Y$8:Y71),BH73))),"")</f>
        <v/>
      </c>
      <c r="Z72" s="66">
        <f>IFERROR(IF(C72="","",IF($C72="TOTAL",SUM($Z$8:Z71),ROUND(O72*$AO$7%,0))),"")</f>
        <v>0</v>
      </c>
      <c r="AA72" s="66">
        <f>IFERROR(IF(C72="","",IF($C72="TOTAL",SUM($AA$8:AA71),IF($AC$3=$AL$2,SUM(U72,X72,Y72,Z72),SUM(R72,U72,X72,Y72,Z72)))),"")</f>
        <v>0</v>
      </c>
      <c r="AB72" s="68">
        <f>IFERROR(IF(C72="","",IF($C72="TOTAL",SUM($AB$8:AB71),SUM(O72-AA72))),"")</f>
        <v>2288</v>
      </c>
      <c r="AK72" s="90">
        <f t="shared" si="15"/>
        <v>34</v>
      </c>
      <c r="AL72" s="90">
        <f t="shared" si="16"/>
        <v>34</v>
      </c>
      <c r="AN72" s="92">
        <v>44652</v>
      </c>
      <c r="AP72" s="92">
        <f t="shared" si="44"/>
        <v>44652</v>
      </c>
      <c r="AQ72" s="92" t="str">
        <f>IF(AND(AP72=""),"",IF(AND(AP72=$AN$9),$AN$9,IF(AND(AP72=$AN$10),$AN$10,IF(AND(AP72=$AN$11),$AN$11,IF(AND(AP72=$AN$12),$AN$12,IF(AND(AP72=$AN$13),$AN$13,IF(AND(AP72=$AN$14),$AN$14,IF(AND(AP72=$AN$15),$AN$15,IF(AND(AP72=$AN$16),$AN$16,IF(AND(AP72=$AN$17),$AN$17,IF(AND(AP72=$AN$18),$AN$18,IF(AND(AP72=$AN$19),$AN$19,IF(AND(AP72=$AN$20),$AN$20,IF(AND(AP72=$AN$21),$AN$21,IF(AND(AP72=$AN$22),$AN$22,IF(AND(AP72=$AN$23),$AN$23,IF(AND(AP72=$AN$24),$AN$24,IF(AND(AP72=$AN$25),$AN$25,IF(AND(AP72=$AN$26),$AN$26,IF(AND(AP72=$AN$27),$AN$27,IF(AND(AP72=$AN$28),$AN$28,IF(AND(AP72=$AN$29),$AN$29,IF(AND(AP72=$AN$30),$AN$30,IF(AND(AP72=$AN$31),$AN$31,IF(AND(AP72=$AN$32),$AN$32,IF(AND(AP72=$AN$33),$AN$33,IF(AND(AP72=$AN$34),$AN$34,IF(AND(AP72=$AN$35),$AN$35,IF(AND(AP72=$AN$36),$AN$36,IF(AND(AP72=$AN$37),$AN$37,IF(AND(AP72=$AN$38),$AN$38,IF(AND(AP72=$AN$39),$AN$39,IF(AND(AP72=$AN$40),$AN$40,IF(AND(AP72=$AN$41),$AN$41,IF(AND(AP72=$AN$42),$AN$42,IF(AND(AP72=$AN$43),$AN$43,IF(AND(AP72=$AN$44),$AN$44,IF(AND(AP72=$AN$45),$AN$45,IF(AND(AP72=$AN$46),$AN$46,IF(AND(AP72=$AN$47),$AN$47,IF(AND(AP72=$AN$48),$AN$48,IF(AND(AP72=$AN$49),$AN$49,IF(AND(AP72=$AN$50),$AN$50,IF(AND(AP72=$AN$51),$AN$51,IF(AND(AP72=$AN$52),$AN$52,IF(AND(AP72=$AN$53),$AN$53,IF(AND(AP72=$AN$54),$AN$54,IF(AND(AP72=$AN$55),$AN$55,IF(AND(AP72=$AN$56),$AN$56,IF(AND(AP72=$AN$57),$AN$57,IF(AND(AP72=$AN$58),$AN$58,IF(AND(AP72=$AN$59),$AN$59,IF(AND(AP72=$AN$60),$AN$60,IF(AND(AP72=$AN$61),$AN$61,IF(AND(AP72=$AN$62),$AN$62,IF(AND(AP72=$AN$63),$AN$63,IF(AND(AP72=$AN$64),$AN$64,IF(AND(AP72=$AN$65),$AN$65,IF(AND(AP72=$AN$66),$AN$66,IF(AND(AP72=$AN$67),$AN$67,IF(AND(AP72=$AN$68),$AN$68,IF(AND(AP72=$AN$69),$AN$69,IF(AND(AP72=$AN$70),$AN$70,IF(AND(AP72=$AN$71),$AN$71,""))))))))))))))))))))))))))))))))))))))))))))))))))))))))))))))))</f>
        <v/>
      </c>
      <c r="AR72" s="92">
        <f>IF(AND(AP72=""),"",IF(AND(AP72=$AN$72),$AP$72,IF(AND(AP72=$AN$73),$AN$73,IF(AND(AP72=$AN$74),$AN$74,IF(AND(AP72=$AN$75),$AN$75,IF(AND(AP72=$AN$76),$AN$76,IF(AND(AP72=$AN$77),$AN$77,IF(AND(AP72=$AN$78),$AN$78,IF(AND(AP72=$AN$79),$AN$79,IF(AND(AP72=$AN$80),$AN$80,IF(AND(AP72=$AN$81),$AN$81,IF(AND(AP72=$AN$82),$AN$82,IF(AND(AP72=$AN$83),$AN$83,IF(AND(AP72=$AN$84),$AN$84,IF(AND(AP72=$AN$85),$AN$85,IF(AND(AP72=$AN$86),$AN$86,IF(AND(AP72=$AN$87),$AN$87,IF(AND(AP72=$AN$88),$AN$88,IF(AND(AP72=$AN$89),$AN$89,IF(AND(AP72=$AN$90),$AN$90,IF(AND(AP72=$AN$91),$AN$91,IF(AND(AP72=$AN$92),$AN$92,""))))))))))))))))))))))</f>
        <v>44652</v>
      </c>
      <c r="AS72" s="92">
        <f t="shared" si="20"/>
        <v>44652</v>
      </c>
      <c r="AT72" s="92">
        <f t="shared" si="33"/>
        <v>44652</v>
      </c>
      <c r="AU72" s="91">
        <f t="shared" si="35"/>
        <v>53900</v>
      </c>
      <c r="AV72" s="91">
        <f t="shared" si="43"/>
        <v>18326</v>
      </c>
      <c r="AW72" s="91">
        <f t="shared" si="36"/>
        <v>4851</v>
      </c>
      <c r="AX72" s="91"/>
      <c r="AY72" s="91">
        <f t="shared" si="37"/>
        <v>52300</v>
      </c>
      <c r="AZ72" s="91">
        <f t="shared" si="21"/>
        <v>17782</v>
      </c>
      <c r="BA72" s="91">
        <f t="shared" si="38"/>
        <v>4707</v>
      </c>
      <c r="BB72" s="91">
        <f t="shared" si="34"/>
        <v>3675</v>
      </c>
      <c r="BE72" s="125">
        <f t="shared" si="39"/>
        <v>2288</v>
      </c>
      <c r="BF72" s="91">
        <f t="shared" si="40"/>
        <v>3675</v>
      </c>
      <c r="BG72" s="91" t="str">
        <f t="shared" si="25"/>
        <v/>
      </c>
      <c r="BH72" s="91" t="str">
        <f t="shared" si="26"/>
        <v/>
      </c>
      <c r="BI72" s="91">
        <f t="shared" si="41"/>
        <v>0</v>
      </c>
      <c r="BJ72" s="133">
        <f t="shared" si="42"/>
        <v>0</v>
      </c>
      <c r="BO72" s="28">
        <f t="shared" si="29"/>
        <v>2100</v>
      </c>
    </row>
    <row r="73" spans="1:67" ht="21" customHeight="1">
      <c r="A73" s="140">
        <f t="shared" si="30"/>
        <v>66</v>
      </c>
      <c r="B73" s="64">
        <f t="shared" ref="B73:B89" si="54">IFERROR(IF(A73="","",IF(A73=0,"",A73)),"")</f>
        <v>66</v>
      </c>
      <c r="C73" s="65">
        <f t="shared" ref="C73:C80" si="55">IFERROR(IF(AT74="","",AT74),"")</f>
        <v>44713</v>
      </c>
      <c r="D73" s="66">
        <f>IFERROR(IF($C72="TOTAL","अक्षरें राशि :-",IF($C73="TOTAL",SUM($D$8:D72),IF(AU74="","",AU74))),"")</f>
        <v>53900</v>
      </c>
      <c r="E73" s="66">
        <f>IFERROR(IF($C73="TOTAL",SUM($E$8:E72),IF(AV74="","",AV74)),"")</f>
        <v>18326</v>
      </c>
      <c r="F73" s="66">
        <f>IFERROR(IF($C73="TOTAL",SUM($F$8:F72),IF(AW74="","",AW74)),"")</f>
        <v>4851</v>
      </c>
      <c r="G73" s="66">
        <f t="shared" ref="G73:G80" si="56">IF(C73="","",SUM(D73:F73))</f>
        <v>77077</v>
      </c>
      <c r="H73" s="66">
        <f>IFERROR(IF($C73="TOTAL",SUM($H$8:H72),IF(AY74="","",AY74)),"")</f>
        <v>52300</v>
      </c>
      <c r="I73" s="66">
        <f>IFERROR(IF($C73="TOTAL",SUM($I$8:I72),IF(AZ74="","",AZ74)),"")</f>
        <v>17782</v>
      </c>
      <c r="J73" s="66">
        <f>IFERROR(IF($C73="TOTAL",SUM($J$8:J72),IF(BA74="","",BA74)),"")</f>
        <v>4707</v>
      </c>
      <c r="K73" s="66">
        <f t="shared" ref="K73:K80" si="57">IF(C73="","",SUM(H73:J73))</f>
        <v>74789</v>
      </c>
      <c r="L73" s="66">
        <f>IFERROR(IF(C73="","",IF(D73="","",IF(H73="","",IF($C73="TOTAL",SUM($L$8:L72),SUM(D73-H73))))),"")</f>
        <v>1600</v>
      </c>
      <c r="M73" s="66">
        <f>IFERROR(IF(C73="","",IF(E73="","",IF(I73="","",IF($C73="TOTAL",SUM($M$8:M72),SUM(E73-I73))))),"")</f>
        <v>544</v>
      </c>
      <c r="N73" s="66">
        <f>IFERROR(IF(C73="","",IF(F73="","",IF(J73="","",IF($C73="TOTAL",SUM($N$8:N72),SUM(F73-J73))))),"")</f>
        <v>144</v>
      </c>
      <c r="O73" s="66">
        <f t="shared" ref="O73:O80" si="58">IFERROR(IF(C73="","",IF(G73="","",IF(K73="","",SUM(G73-K73)))),"")</f>
        <v>2288</v>
      </c>
      <c r="P73" s="66">
        <f>IFERROR(IF(C73="","",IF($C73="TOTAL",SUM($P$8:P72),IF(AND(C73&gt;$AL$1,$AC$3=$AL$2),BO74,IF($AO$18=$AO$20,SUM(BB74+BJ74),ROUND((D73+E73)*10%,0))))),"")</f>
        <v>2100</v>
      </c>
      <c r="Q73" s="66">
        <f>IFERROR(IF(C73="","",IF(H73="","",IF(I73="","",IF($C73="TOTAL",SUM($Q$8:Q72),IF(AND(C73&gt;$AL$1,$AC$3=$AL$2),BO74,IF($AO$18=$AO$20,$AO$21,ROUND((H73+I73)*10%,0))))))),"")</f>
        <v>2100</v>
      </c>
      <c r="R73" s="66">
        <f t="shared" ref="R73:R80" si="59">IFERROR(IF(C73="","",SUM(P73-Q73)),"")</f>
        <v>0</v>
      </c>
      <c r="S73" s="67">
        <f>IFERROR(IF(C73="","",IF($AO$16=$AO$17,0,IF($C73="TOTAL",SUM($S$8:S72),IF($AO$19=$AO$20,$AO$25,0)))),"")</f>
        <v>2100</v>
      </c>
      <c r="T73" s="67">
        <f>IFERROR(IF(C73="","",IF($AO$16=$AO$17,0,IF($C73="TOTAL",SUM($T$8:T72),IF($AO$19=$AO$20,$AO$24,0)))),"")</f>
        <v>2100</v>
      </c>
      <c r="U73" s="66">
        <f t="shared" ref="U73:U80" si="60">IFERROR(IF(C73="","",SUM(S73-T73)),"")</f>
        <v>0</v>
      </c>
      <c r="V73" s="66" t="str">
        <f>IF(C73="","",IF($C73="TOTAL",SUM($V$8:V72),IF(AND($AO$2=$AO$20,C73=$AO$1),ROUND(D73/31*$AP$2,0),IF(C73=$AM$6,ROUND((G73)*1/30,0),IF(C73=$AN$6,ROUND((G73)*1/31,0),"")))))</f>
        <v/>
      </c>
      <c r="W73" s="66" t="str">
        <f>IF(C73="","",IF($C73="TOTAL",SUM($W$8:W72),IF(AND($AO$2=$AO$20,C73=$AO$1),ROUND(H73/31*$AP$2,0),IF(C73=$AM$6,ROUND((K73)*1/30,0),IF(C73=$AN$6,ROUND((K73)*1/31,0),"")))))</f>
        <v/>
      </c>
      <c r="X73" s="66" t="str">
        <f t="shared" ref="X73:X80" si="61">IFERROR(IF(C73="","",SUM(V73-W73)),"")</f>
        <v/>
      </c>
      <c r="Y73" s="66" t="str">
        <f>IFERROR(IF(C73="","",IF(AND(BH74="",BO74=""),"",IF($C73="TOTAL",SUM($Y$8:Y72),BH74))),"")</f>
        <v/>
      </c>
      <c r="Z73" s="66">
        <f>IFERROR(IF(C73="","",IF($C73="TOTAL",SUM($Z$8:Z72),ROUND(O73*$AO$7%,0))),"")</f>
        <v>0</v>
      </c>
      <c r="AA73" s="66">
        <f>IFERROR(IF(C73="","",IF($C73="TOTAL",SUM($AA$8:AA72),IF($AC$3=$AL$2,SUM(U73,X73,Y73,Z73),SUM(R73,U73,X73,Y73,Z73)))),"")</f>
        <v>0</v>
      </c>
      <c r="AB73" s="68">
        <f>IFERROR(IF(C73="","",IF($C73="TOTAL",SUM($AB$8:AB72),SUM(O73-AA73))),"")</f>
        <v>2288</v>
      </c>
      <c r="AK73" s="90">
        <f t="shared" si="15"/>
        <v>34</v>
      </c>
      <c r="AL73" s="90">
        <f t="shared" si="16"/>
        <v>34</v>
      </c>
      <c r="AN73" s="92">
        <v>44682</v>
      </c>
      <c r="AP73" s="92">
        <f t="shared" si="44"/>
        <v>44682</v>
      </c>
      <c r="AQ73" s="92" t="str">
        <f t="shared" si="18"/>
        <v/>
      </c>
      <c r="AR73" s="92">
        <f t="shared" ref="AR73:AR92" si="62">IF(AND(AP73=""),"",IF(AND(AP73=$AN$72),$AP$72,IF(AND(AP73=$AN$73),$AN$73,IF(AND(AP73=$AN$74),$AN$74,IF(AND(AP73=$AN$75),$AN$75,IF(AND(AP73=$AN$76),$AN$76,IF(AND(AP73=$AN$77),$AN$77,IF(AND(AP73=$AN$78),$AN$78,IF(AND(AP73=$AN$79),$AN$79,IF(AND(AP73=$AN$80),$AN$80,IF(AND(AP73=$AN$81),$AN$81,IF(AND(AP73=$AN$82),$AN$82,IF(AND(AP73=$AN$83),$AN$83,IF(AND(AP73=$AN$84),$AN$84,IF(AND(AP73=$AN$85),$AN$85,IF(AND(AP73=$AN$86),$AN$86,IF(AND(AP73=$AN$87),$AN$87,IF(AND(AP73=$AN$88),$AN$88,IF(AND(AP73=$AN$89),$AN$89,IF(AND(AP73=$AN$90),$AN$90,IF(AND(AP73=$AN$91),$AN$91,IF(AND(AP73=$AN$92),$AN$92,""))))))))))))))))))))))</f>
        <v>44682</v>
      </c>
      <c r="AS73" s="92">
        <f t="shared" si="20"/>
        <v>44682</v>
      </c>
      <c r="AT73" s="92">
        <f>IFERROR(IF(AS73="","",IF(DATE(YEAR(AS73),MONTH(AS73),DAY(AS73))=DATE(YEAR($AP$6),MONTH($AP$6)+1,DAY($AP$6)),"TOTAL",IF(AS73&gt;$AP$6,"",AS73))),"")</f>
        <v>44682</v>
      </c>
      <c r="AU73" s="91">
        <f t="shared" si="35"/>
        <v>53900</v>
      </c>
      <c r="AV73" s="91">
        <f t="shared" si="43"/>
        <v>18326</v>
      </c>
      <c r="AW73" s="91">
        <f t="shared" si="36"/>
        <v>4851</v>
      </c>
      <c r="AX73" s="91"/>
      <c r="AY73" s="91">
        <f t="shared" si="37"/>
        <v>52300</v>
      </c>
      <c r="AZ73" s="91">
        <f t="shared" si="21"/>
        <v>17782</v>
      </c>
      <c r="BA73" s="91">
        <f t="shared" si="38"/>
        <v>4707</v>
      </c>
      <c r="BB73" s="91">
        <f t="shared" si="34"/>
        <v>3675</v>
      </c>
      <c r="BE73" s="125">
        <f t="shared" si="39"/>
        <v>2288</v>
      </c>
      <c r="BF73" s="91">
        <f t="shared" si="40"/>
        <v>3675</v>
      </c>
      <c r="BG73" s="91" t="str">
        <f t="shared" si="25"/>
        <v/>
      </c>
      <c r="BH73" s="91" t="str">
        <f t="shared" si="26"/>
        <v/>
      </c>
      <c r="BI73" s="91">
        <f t="shared" si="41"/>
        <v>0</v>
      </c>
      <c r="BJ73" s="133">
        <f t="shared" si="42"/>
        <v>0</v>
      </c>
      <c r="BO73" s="28">
        <f t="shared" si="29"/>
        <v>2100</v>
      </c>
    </row>
    <row r="74" spans="1:67" ht="21" customHeight="1">
      <c r="A74" s="140" t="str">
        <f t="shared" si="30"/>
        <v/>
      </c>
      <c r="B74" s="64" t="str">
        <f t="shared" si="54"/>
        <v/>
      </c>
      <c r="C74" s="65" t="str">
        <f t="shared" si="55"/>
        <v>TOTAL</v>
      </c>
      <c r="D74" s="66">
        <f>IFERROR(IF($C73="TOTAL","अक्षरें राशि :-",IF($C74="TOTAL",SUM($D$8:D73),IF(AU75="","",AU75))),"")</f>
        <v>3312900</v>
      </c>
      <c r="E74" s="66">
        <f>IFERROR(IF($C74="TOTAL",SUM($E$8:E73),IF(AV75="","",AV75)),"")</f>
        <v>527640</v>
      </c>
      <c r="F74" s="66">
        <f>IFERROR(IF($C74="TOTAL",SUM($F$8:F73),IF(AW75="","",AW75)),"")</f>
        <v>239004</v>
      </c>
      <c r="G74" s="66">
        <f t="shared" si="56"/>
        <v>4079544</v>
      </c>
      <c r="H74" s="66">
        <f>IFERROR(IF($C74="TOTAL",SUM($H$8:H73),IF(AY75="","",AY75)),"")</f>
        <v>3216197</v>
      </c>
      <c r="I74" s="66">
        <f>IFERROR(IF($C74="TOTAL",SUM($I$8:I73),IF(AZ75="","",AZ75)),"")</f>
        <v>512192</v>
      </c>
      <c r="J74" s="66">
        <f>IFERROR(IF($C74="TOTAL",SUM($J$8:J73),IF(BA75="","",BA75)),"")</f>
        <v>232044</v>
      </c>
      <c r="K74" s="66">
        <f t="shared" si="57"/>
        <v>3960433</v>
      </c>
      <c r="L74" s="66">
        <f>IFERROR(IF(C74="","",IF(D74="","",IF(H74="","",IF($C74="TOTAL",SUM($L$8:L73),SUM(D74-H74))))),"")</f>
        <v>96703</v>
      </c>
      <c r="M74" s="66">
        <f>IFERROR(IF(C74="","",IF(E74="","",IF(I74="","",IF($C74="TOTAL",SUM($M$8:M73),SUM(E74-I74))))),"")</f>
        <v>15448</v>
      </c>
      <c r="N74" s="66">
        <f>IFERROR(IF(C74="","",IF(F74="","",IF(J74="","",IF($C74="TOTAL",SUM($N$8:N73),SUM(F74-J74))))),"")</f>
        <v>6960</v>
      </c>
      <c r="O74" s="66">
        <f t="shared" si="58"/>
        <v>119111</v>
      </c>
      <c r="P74" s="66">
        <f>IFERROR(IF(C74="","",IF($C74="TOTAL",SUM($P$8:P73),IF(AND(C74&gt;$AL$1,$AC$3=$AL$2),BO75,IF($AO$18=$AO$20,SUM(BB75+BJ75),ROUND((D74+E74)*10%,0))))),"")</f>
        <v>368697</v>
      </c>
      <c r="Q74" s="66">
        <f>IFERROR(IF(C74="","",IF(H74="","",IF(I74="","",IF($C74="TOTAL",SUM($Q$8:Q73),IF(AND(C74&gt;$AL$1,$AC$3=$AL$2),BO75,IF($AO$18=$AO$20,$AO$21,ROUND((H74+I74)*10%,0))))))),"")</f>
        <v>358120</v>
      </c>
      <c r="R74" s="66">
        <f t="shared" si="59"/>
        <v>10577</v>
      </c>
      <c r="S74" s="67">
        <f>IFERROR(IF(C74="","",IF($AO$16=$AO$17,0,IF($C74="TOTAL",SUM($S$8:S73),IF($AO$19=$AO$20,$AO$25,0)))),"")</f>
        <v>138600</v>
      </c>
      <c r="T74" s="67">
        <f>IFERROR(IF(C74="","",IF($AO$16=$AO$17,0,IF($C74="TOTAL",SUM($T$8:T73),IF($AO$19=$AO$20,$AO$24,0)))),"")</f>
        <v>138600</v>
      </c>
      <c r="U74" s="66">
        <f t="shared" si="60"/>
        <v>0</v>
      </c>
      <c r="V74" s="66">
        <f>IF(C74="","",IF($C74="TOTAL",SUM($V$8:V73),IF(AND($AO$2=$AO$20,C74=$AO$1),ROUND(D74/31*$AP$2,0),IF(C74=$AM$6,ROUND((G74)*1/30,0),IF(C74=$AN$6,ROUND((G74)*1/31,0),"")))))</f>
        <v>9204</v>
      </c>
      <c r="W74" s="66">
        <f>IF(C74="","",IF($C74="TOTAL",SUM($W$8:W73),IF(AND($AO$2=$AO$20,C74=$AO$1),ROUND(H74/31*$AP$2,0),IF(C74=$AM$6,ROUND((K74)*1/30,0),IF(C74=$AN$6,ROUND((K74)*1/31,0),"")))))</f>
        <v>8936</v>
      </c>
      <c r="X74" s="66">
        <f t="shared" si="61"/>
        <v>268</v>
      </c>
      <c r="Y74" s="66">
        <f>IFERROR(IF(C74="","",IF(AND(BH75="",BO75=""),"",IF($C74="TOTAL",SUM($Y$8:Y73),BH75))),"")</f>
        <v>288</v>
      </c>
      <c r="Z74" s="66">
        <f>IFERROR(IF(C74="","",IF($C74="TOTAL",SUM($Z$8:Z73),ROUND(O74*$AO$7%,0))),"")</f>
        <v>0</v>
      </c>
      <c r="AA74" s="66">
        <f>IFERROR(IF(C74="","",IF($C74="TOTAL",SUM($AA$8:AA73),IF($AC$3=$AL$2,SUM(U74,X74,Y74,Z74),SUM(R74,U74,X74,Y74,Z74)))),"")</f>
        <v>556</v>
      </c>
      <c r="AB74" s="68">
        <f>IFERROR(IF(C74="","",IF($C74="TOTAL",SUM($AB$8:AB73),SUM(O74-AA74))),"")</f>
        <v>118555</v>
      </c>
      <c r="AK74" s="90">
        <f t="shared" ref="AK74:AK81" si="63">IF(OR(AT74=$AN$9,AT74=$AN$10,AT74=$AN$11,AT74=$AN$12,AT74=$AN$13,AT74=$AN$14),4,IF(OR(AT74=$AN$15,AT74=$AN$16,AT74=$AN$17,AT74=$AN$18,AT74=$AN$19,AT74=$AN$20),5,IF(OR(AT74=$AN$21,AT74=$AN$22,AT74=$AN$23,AT74=$AN$24,AT74=$AN$25,AT74=$AN$26),7,IF(OR(AT74=$AN$27,AT74=$AN$28,AT74=$AN$29,AT74=$AN$30,AT74=$AN$31,AT74=$AN$32),9,IF(OR(AT74=$AN$33,AT74=$AN$34,AT74=$AN$35,AT74=$AN$36,AT74=$AN$37,AT74=$AN$38),12,IF(OR(AT74=$AN$39,AT74=$AN$40,AT74=$AN$41,AT74=$AN$42,AT74=$AN$43,AT74=$AN$44,AT74=$AN$45,AT74=$AN$46,AT74=$AN$47,AT74=$AN$48,AT74=$AN$49,AT74=$AN$50,AT74=$AN$51,AT74=$AN$52,AT74=$AN$53,AT74=$AN$54,AT74=$AN$55,AT74=$AN$56,AT74=$AN$57,AT74=$AN$58,AT74=$AN$59,AT74=$AN$60,AT74=$AN$61,AT74=$AN$62),17,IF(OR(AT74=$AN$63,AT74=$AN$64,AT74=$AN$65,AT74=$AN$66,AT74=$AN$67,AT74=$AN$68),31,34)))))))</f>
        <v>34</v>
      </c>
      <c r="AL74" s="90">
        <f t="shared" ref="AL74:AL81" si="64">IF(OR(AT74=$AN$9,AT74=$AN$10,AT74=$AN$11,AT74=$AN$12,AT74=$AN$13,AT74=$AN$14),4,IF(OR(AT74=$AN$15,AT74=$AN$16,AT74=$AN$17,AT74=$AN$18,AT74=$AN$19,AT74=$AN$20),5,IF(OR(AT74=$AN$21,AT74=$AN$22,AT74=$AN$23,AT74=$AN$24,AT74=$AN$25,AT74=$AN$26),7,IF(OR(AT74=$AN$27,AT74=$AN$28,AT74=$AN$29,AT74=$AN$30,AT74=$AN$31,AT74=$AN$32),9,IF(OR(AT74=$AN$33,AT74=$AN$34,AT74=$AN$35,AT74=$AN$36,AT74=$AN$37,AT74=$AN$38),12,IF(OR(AT74=$AN$39,AT74=$AN$40,AT74=$AN$41,AT74=$AN$42,AT74=$AN$43,AT74=$AN$44,AT74=$AN$45,AT74=$AN$46,AT74=$AN$47,AT74=$AN$48,AT74=$AN$49,AT74=$AN$50,AT74=$AN$51,AT74=$AN$52,AT74=$AN$53,AT74=$AN$54,AT74=$AN$55,AT74=$AN$56,AT74=$AN$57,AT74=$AN$58,AT74=$AN$59,AT74=$AN$60,AT74=$AN$61,AT74=$AN$62),17,IF(OR(AT74=$AN$63,AT74=$AN$64,AT74=$AN$65,AT74=$AN$66,AT74=$AN$67,AT74=$AN$68),31,34)))))))</f>
        <v>34</v>
      </c>
      <c r="AN74" s="92">
        <v>44713</v>
      </c>
      <c r="AP74" s="92">
        <f t="shared" si="44"/>
        <v>44713</v>
      </c>
      <c r="AQ74" s="92" t="str">
        <f t="shared" ref="AQ74:AQ81" si="65">IF(AND(AP74=""),"",IF(AND(AP74=$AN$9),$AN$9,IF(AND(AP74=$AN$10),$AN$10,IF(AND(AP74=$AN$11),$AN$11,IF(AND(AP74=$AN$12),$AN$12,IF(AND(AP74=$AN$13),$AN$13,IF(AND(AP74=$AN$14),$AN$14,IF(AND(AP74=$AN$15),$AN$15,IF(AND(AP74=$AN$16),$AN$16,IF(AND(AP74=$AN$17),$AN$17,IF(AND(AP74=$AN$18),$AN$18,IF(AND(AP74=$AN$19),$AN$19,IF(AND(AP74=$AN$20),$AN$20,IF(AND(AP74=$AN$21),$AN$21,IF(AND(AP74=$AN$22),$AN$22,IF(AND(AP74=$AN$23),$AN$23,IF(AND(AP74=$AN$24),$AN$24,IF(AND(AP74=$AN$25),$AN$25,IF(AND(AP74=$AN$26),$AN$26,IF(AND(AP74=$AN$27),$AN$27,IF(AND(AP74=$AN$28),$AN$28,IF(AND(AP74=$AN$29),$AN$29,IF(AND(AP74=$AN$30),$AN$30,IF(AND(AP74=$AN$31),$AN$31,IF(AND(AP74=$AN$32),$AN$32,IF(AND(AP74=$AN$33),$AN$33,IF(AND(AP74=$AN$34),$AN$34,IF(AND(AP74=$AN$35),$AN$35,IF(AND(AP74=$AN$36),$AN$36,IF(AND(AP74=$AN$37),$AN$37,IF(AND(AP74=$AN$38),$AN$38,IF(AND(AP74=$AN$39),$AN$39,IF(AND(AP74=$AN$40),$AN$40,IF(AND(AP74=$AN$41),$AN$41,IF(AND(AP74=$AN$42),$AN$42,IF(AND(AP74=$AN$43),$AN$43,IF(AND(AP74=$AN$44),$AN$44,IF(AND(AP74=$AN$45),$AN$45,IF(AND(AP74=$AN$46),$AN$46,IF(AND(AP74=$AN$47),$AN$47,IF(AND(AP74=$AN$48),$AN$48,IF(AND(AP74=$AN$49),$AN$49,IF(AND(AP74=$AN$50),$AN$50,IF(AND(AP74=$AN$51),$AN$51,IF(AND(AP74=$AN$52),$AN$52,IF(AND(AP74=$AN$53),$AN$53,IF(AND(AP74=$AN$54),$AN$54,IF(AND(AP74=$AN$55),$AN$55,IF(AND(AP74=$AN$56),$AN$56,IF(AND(AP74=$AN$57),$AN$57,IF(AND(AP74=$AN$58),$AN$58,IF(AND(AP74=$AN$59),$AN$59,IF(AND(AP74=$AN$60),$AN$60,IF(AND(AP74=$AN$61),$AN$61,IF(AND(AP74=$AN$62),$AN$62,IF(AND(AP74=$AN$63),$AN$63,IF(AND(AP74=$AN$64),$AN$64,IF(AND(AP74=$AN$65),$AN$65,IF(AND(AP74=$AN$66),$AN$66,IF(AND(AP74=$AN$67),$AN$67,IF(AND(AP74=$AN$68),$AN$68,IF(AND(AP74=$AN$69),$AN$69,IF(AND(AP74=$AN$70),$AN$70,IF(AND(AP74=$AN$71),$AN$71,""))))))))))))))))))))))))))))))))))))))))))))))))))))))))))))))))</f>
        <v/>
      </c>
      <c r="AR74" s="92">
        <f t="shared" si="62"/>
        <v>44713</v>
      </c>
      <c r="AS74" s="92">
        <f t="shared" ref="AS74:AS92" si="66">IFERROR(IF(AND(AQ74="",AR74=""),"",IF(AQ74="",AR74,AQ74)),"")</f>
        <v>44713</v>
      </c>
      <c r="AT74" s="92">
        <f>IFERROR(IF(AS74="","",IF(DATE(YEAR(AS74),MONTH(AS74),DAY(AS74))=DATE(YEAR($AP$6),MONTH($AP$6)+1,DAY($AP$6)),"TOTAL",IF(AS74&gt;$AP$6,"",AS74))),"")</f>
        <v>44713</v>
      </c>
      <c r="AU74" s="91">
        <f t="shared" si="35"/>
        <v>53900</v>
      </c>
      <c r="AV74" s="91">
        <f t="shared" si="43"/>
        <v>18326</v>
      </c>
      <c r="AW74" s="91">
        <f t="shared" si="36"/>
        <v>4851</v>
      </c>
      <c r="AX74" s="91"/>
      <c r="AY74" s="91">
        <f t="shared" si="37"/>
        <v>52300</v>
      </c>
      <c r="AZ74" s="91">
        <f t="shared" ref="AZ74:AZ93" si="67">IF(AT74="","",IF(AT74="TOTAL","",IF(AY74="","",IF($AO$16=$AO$17,0,ROUND(AY74*AL74%,0)))))</f>
        <v>17782</v>
      </c>
      <c r="BA74" s="91">
        <f t="shared" si="38"/>
        <v>4707</v>
      </c>
      <c r="BB74" s="91">
        <f t="shared" ref="BB74:BB93" si="68">IF(AT74="","",IF(AT74="TOTAL","",IF(AY74="","",IF($AO$16=$AO$17,0,IF(OR(C73=$AM$16,C73=$AM$17,C73=$AM$18,C73=$AM$19,C73=$AM$20,C73=$AM$21,C73=$AM$22,C73=$AM$23,C73=$AM$24),SUM(BE74+BF74),BF74)))))</f>
        <v>3675</v>
      </c>
      <c r="BE74" s="125">
        <f t="shared" si="39"/>
        <v>2288</v>
      </c>
      <c r="BF74" s="91">
        <f t="shared" si="40"/>
        <v>3675</v>
      </c>
      <c r="BG74" s="91" t="str">
        <f t="shared" ref="BG74:BG93" si="69">IF(OR(AT74=$AN$63,AT74=$AN$64,AT74=$AN$65),"YES","")</f>
        <v/>
      </c>
      <c r="BH74" s="91" t="str">
        <f t="shared" ref="BH74:BH93" si="70">IF(OR(AT74=$AN$63,AT74=$AN$64,AT74=$AN$65),SUM(ROUND((D73-H73)*3%,0)),IF(OR(AT74=$AN$69,AT74=$AN$70,AT74=$AN$71),SUM(ROUND((D73-H73)*3%,0)),""))</f>
        <v/>
      </c>
      <c r="BI74" s="91">
        <f t="shared" si="41"/>
        <v>0</v>
      </c>
      <c r="BJ74" s="133">
        <f t="shared" si="42"/>
        <v>0</v>
      </c>
      <c r="BO74" s="28">
        <f t="shared" ref="BO74:BO93" si="71">IF(AND(AT74&gt;$AL$1,$AC$3=$AL$2),$AS$1,"")</f>
        <v>2100</v>
      </c>
    </row>
    <row r="75" spans="1:67" ht="21" customHeight="1">
      <c r="A75" s="140" t="str">
        <f t="shared" si="30"/>
        <v/>
      </c>
      <c r="B75" s="64" t="str">
        <f t="shared" si="54"/>
        <v/>
      </c>
      <c r="C75" s="65" t="str">
        <f t="shared" si="55"/>
        <v/>
      </c>
      <c r="D75" s="66" t="str">
        <f>IFERROR(IF($C74="TOTAL","अक्षरें राशि :-",IF($C75="TOTAL",SUM($D$8:D74),IF(AU76="","",AU76))),"")</f>
        <v>अक्षरें राशि :-</v>
      </c>
      <c r="E75" s="66" t="str">
        <f>IFERROR(IF($C75="TOTAL",SUM($E$8:E74),IF(AV76="","",AV76)),"")</f>
        <v/>
      </c>
      <c r="F75" s="66" t="str">
        <f>IFERROR(IF($C75="TOTAL",SUM($F$8:F74),IF(AW76="","",AW76)),"")</f>
        <v/>
      </c>
      <c r="G75" s="66" t="str">
        <f t="shared" si="56"/>
        <v/>
      </c>
      <c r="H75" s="66" t="str">
        <f>IFERROR(IF($C75="TOTAL",SUM($H$8:H74),IF(AY76="","",AY76)),"")</f>
        <v/>
      </c>
      <c r="I75" s="66" t="str">
        <f>IFERROR(IF($C75="TOTAL",SUM($I$8:I74),IF(AZ76="","",AZ76)),"")</f>
        <v/>
      </c>
      <c r="J75" s="66" t="str">
        <f>IFERROR(IF($C75="TOTAL",SUM($J$8:J74),IF(BA76="","",BA76)),"")</f>
        <v/>
      </c>
      <c r="K75" s="66" t="str">
        <f t="shared" si="57"/>
        <v/>
      </c>
      <c r="L75" s="66" t="str">
        <f>IFERROR(IF(C75="","",IF(D75="","",IF(H75="","",IF($C75="TOTAL",SUM($L$8:L74),SUM(D75-H75))))),"")</f>
        <v/>
      </c>
      <c r="M75" s="66" t="str">
        <f>IFERROR(IF(C75="","",IF(E75="","",IF(I75="","",IF($C75="TOTAL",SUM($M$8:M74),SUM(E75-I75))))),"")</f>
        <v/>
      </c>
      <c r="N75" s="66" t="str">
        <f>IFERROR(IF(C75="","",IF(F75="","",IF(J75="","",IF($C75="TOTAL",SUM($N$8:N74),SUM(F75-J75))))),"")</f>
        <v/>
      </c>
      <c r="O75" s="66" t="str">
        <f t="shared" si="58"/>
        <v/>
      </c>
      <c r="P75" s="66" t="str">
        <f>IFERROR(IF(C75="","",IF($C75="TOTAL",SUM($P$8:P74),IF(AND(C75&gt;$AL$1,$AC$3=$AL$2),BO76,IF($AO$18=$AO$20,SUM(BB76+BJ76),ROUND((D75+E75)*10%,0))))),"")</f>
        <v/>
      </c>
      <c r="Q75" s="66" t="str">
        <f>IFERROR(IF(C75="","",IF(H75="","",IF(I75="","",IF($C75="TOTAL",SUM($Q$8:Q74),IF(AND(C75&gt;$AL$1,$AC$3=$AL$2),BO76,IF($AO$18=$AO$20,$AO$21,ROUND((H75+I75)*10%,0))))))),"")</f>
        <v/>
      </c>
      <c r="R75" s="66" t="str">
        <f t="shared" si="59"/>
        <v/>
      </c>
      <c r="S75" s="67" t="str">
        <f>IFERROR(IF(C75="","",IF($AO$16=$AO$17,0,IF($C75="TOTAL",SUM($S$8:S74),IF($AO$19=$AO$20,$AO$25,0)))),"")</f>
        <v/>
      </c>
      <c r="T75" s="67" t="str">
        <f>IFERROR(IF(C75="","",IF($AO$16=$AO$17,0,IF($C75="TOTAL",SUM($T$8:T74),IF($AO$19=$AO$20,$AO$24,0)))),"")</f>
        <v/>
      </c>
      <c r="U75" s="66" t="str">
        <f t="shared" si="60"/>
        <v/>
      </c>
      <c r="V75" s="66" t="str">
        <f>IF(C75="","",IF($C75="TOTAL",SUM($V$8:V74),IF(AND($AO$2=$AO$20,C75=$AO$1),ROUND(D75/31*$AP$2,0),IF(C75=$AM$6,ROUND((G75)*1/30,0),IF(C75=$AN$6,ROUND((G75)*1/31,0),"")))))</f>
        <v/>
      </c>
      <c r="W75" s="66" t="str">
        <f>IF(C75="","",IF($C75="TOTAL",SUM($W$8:W74),IF(AND($AO$2=$AO$20,C75=$AO$1),ROUND(H75/31*$AP$2,0),IF(C75=$AM$6,ROUND((K75)*1/30,0),IF(C75=$AN$6,ROUND((K75)*1/31,0),"")))))</f>
        <v/>
      </c>
      <c r="X75" s="66" t="str">
        <f t="shared" si="61"/>
        <v/>
      </c>
      <c r="Y75" s="66" t="str">
        <f>IFERROR(IF(C75="","",IF(AND(BH76="",BO76=""),"",IF($C75="TOTAL",SUM($Y$8:Y74),BH76))),"")</f>
        <v/>
      </c>
      <c r="Z75" s="66" t="str">
        <f>IFERROR(IF(C75="","",IF($C75="TOTAL",SUM($Z$8:Z74),ROUND(O75*$AO$7%,0))),"")</f>
        <v/>
      </c>
      <c r="AA75" s="66" t="str">
        <f>IFERROR(IF(C75="","",IF($C75="TOTAL",SUM($AA$8:AA74),IF($AC$3=$AL$2,SUM(U75,X75,Y75,Z75),SUM(R75,U75,X75,Y75,Z75)))),"")</f>
        <v/>
      </c>
      <c r="AB75" s="68" t="str">
        <f>IFERROR(IF(C75="","",IF($C75="TOTAL",SUM($AB$8:AB74),SUM(O75-AA75))),"")</f>
        <v/>
      </c>
      <c r="AK75" s="90">
        <f t="shared" si="63"/>
        <v>34</v>
      </c>
      <c r="AL75" s="90">
        <f t="shared" si="64"/>
        <v>34</v>
      </c>
      <c r="AN75" s="92">
        <v>44743</v>
      </c>
      <c r="AP75" s="92">
        <f t="shared" si="44"/>
        <v>44743</v>
      </c>
      <c r="AQ75" s="92" t="str">
        <f t="shared" si="65"/>
        <v/>
      </c>
      <c r="AR75" s="92">
        <f t="shared" si="62"/>
        <v>44743</v>
      </c>
      <c r="AS75" s="92">
        <f t="shared" si="66"/>
        <v>44743</v>
      </c>
      <c r="AT75" s="92" t="str">
        <f t="shared" ref="AT75:AT83" si="72">IFERROR(IF(AS75="","",IF(DATE(YEAR(AS75),MONTH(AS75),DAY(AS75))=DATE(YEAR($AP$6),MONTH($AP$6)+1,DAY($AP$6)),"TOTAL",IF(AS75&gt;$AP$6,"",AS75))),"")</f>
        <v>TOTAL</v>
      </c>
      <c r="AU75" s="91">
        <f t="shared" si="35"/>
        <v>53900</v>
      </c>
      <c r="AV75" s="91" t="str">
        <f t="shared" si="43"/>
        <v/>
      </c>
      <c r="AW75" s="91" t="str">
        <f t="shared" si="36"/>
        <v/>
      </c>
      <c r="AX75" s="91"/>
      <c r="AY75" s="91" t="str">
        <f t="shared" si="37"/>
        <v/>
      </c>
      <c r="AZ75" s="91" t="str">
        <f t="shared" si="67"/>
        <v/>
      </c>
      <c r="BA75" s="91" t="str">
        <f t="shared" si="38"/>
        <v/>
      </c>
      <c r="BB75" s="91" t="str">
        <f t="shared" si="68"/>
        <v/>
      </c>
      <c r="BE75" s="125" t="str">
        <f t="shared" si="39"/>
        <v/>
      </c>
      <c r="BF75" s="91">
        <f t="shared" si="40"/>
        <v>3675</v>
      </c>
      <c r="BG75" s="91" t="str">
        <f t="shared" si="69"/>
        <v/>
      </c>
      <c r="BH75" s="91" t="str">
        <f t="shared" si="70"/>
        <v/>
      </c>
      <c r="BI75" s="91">
        <f t="shared" si="41"/>
        <v>0</v>
      </c>
      <c r="BJ75" s="133">
        <f t="shared" si="42"/>
        <v>0</v>
      </c>
      <c r="BO75" s="28">
        <f t="shared" si="71"/>
        <v>2100</v>
      </c>
    </row>
    <row r="76" spans="1:67" ht="21" customHeight="1">
      <c r="A76" s="140" t="str">
        <f t="shared" ref="A76:A83" si="73">IF(C76="TOTAL","",IF(B75="","",IF(LEN(C76)&gt;=2,B75+1,0)))</f>
        <v/>
      </c>
      <c r="B76" s="64" t="str">
        <f t="shared" si="54"/>
        <v/>
      </c>
      <c r="C76" s="65" t="str">
        <f t="shared" si="55"/>
        <v/>
      </c>
      <c r="D76" s="66" t="str">
        <f>IFERROR(IF($C75="TOTAL","अक्षरें राशि :-",IF($C76="TOTAL",SUM($D$8:D75),IF(AU77="","",AU77))),"")</f>
        <v/>
      </c>
      <c r="E76" s="66" t="str">
        <f>IFERROR(IF($C76="TOTAL",SUM($E$8:E75),IF(AV77="","",AV77)),"")</f>
        <v/>
      </c>
      <c r="F76" s="66" t="str">
        <f>IFERROR(IF($C76="TOTAL",SUM($F$8:F75),IF(AW77="","",AW77)),"")</f>
        <v/>
      </c>
      <c r="G76" s="66" t="str">
        <f t="shared" si="56"/>
        <v/>
      </c>
      <c r="H76" s="66" t="str">
        <f>IFERROR(IF($C76="TOTAL",SUM($H$8:H75),IF(AY77="","",AY77)),"")</f>
        <v/>
      </c>
      <c r="I76" s="66" t="str">
        <f>IFERROR(IF($C76="TOTAL",SUM($I$8:I75),IF(AZ77="","",AZ77)),"")</f>
        <v/>
      </c>
      <c r="J76" s="66" t="str">
        <f>IFERROR(IF($C76="TOTAL",SUM($J$8:J75),IF(BA77="","",BA77)),"")</f>
        <v/>
      </c>
      <c r="K76" s="66" t="str">
        <f t="shared" si="57"/>
        <v/>
      </c>
      <c r="L76" s="66" t="str">
        <f>IFERROR(IF(C76="","",IF(D76="","",IF(H76="","",IF($C76="TOTAL",SUM($L$8:L75),SUM(D76-H76))))),"")</f>
        <v/>
      </c>
      <c r="M76" s="66" t="str">
        <f>IFERROR(IF(C76="","",IF(E76="","",IF(I76="","",IF($C76="TOTAL",SUM($M$8:M75),SUM(E76-I76))))),"")</f>
        <v/>
      </c>
      <c r="N76" s="66" t="str">
        <f>IFERROR(IF(C76="","",IF(F76="","",IF(J76="","",IF($C76="TOTAL",SUM($N$8:N75),SUM(F76-J76))))),"")</f>
        <v/>
      </c>
      <c r="O76" s="66" t="str">
        <f t="shared" si="58"/>
        <v/>
      </c>
      <c r="P76" s="66" t="str">
        <f>IFERROR(IF(C76="","",IF($C76="TOTAL",SUM($P$8:P75),IF(AND(C76&gt;$AL$1,$AC$3=$AL$2),BO77,IF($AO$18=$AO$20,SUM(BB77+BJ77),ROUND((D76+E76)*10%,0))))),"")</f>
        <v/>
      </c>
      <c r="Q76" s="66" t="str">
        <f>IFERROR(IF(C76="","",IF(H76="","",IF(I76="","",IF($C76="TOTAL",SUM($Q$8:Q75),IF(AND(C76&gt;$AL$1,$AC$3=$AL$2),BO77,IF($AO$18=$AO$20,$AO$21,ROUND((H76+I76)*10%,0))))))),"")</f>
        <v/>
      </c>
      <c r="R76" s="66" t="str">
        <f t="shared" si="59"/>
        <v/>
      </c>
      <c r="S76" s="67" t="str">
        <f>IFERROR(IF(C76="","",IF($AO$16=$AO$17,0,IF($C76="TOTAL",SUM($S$8:S75),IF($AO$19=$AO$20,$AO$25,0)))),"")</f>
        <v/>
      </c>
      <c r="T76" s="67" t="str">
        <f>IFERROR(IF(C76="","",IF($AO$16=$AO$17,0,IF($C76="TOTAL",SUM($T$8:T75),IF($AO$19=$AO$20,$AO$24,0)))),"")</f>
        <v/>
      </c>
      <c r="U76" s="66" t="str">
        <f t="shared" si="60"/>
        <v/>
      </c>
      <c r="V76" s="66" t="str">
        <f>IF(C76="","",IF($C76="TOTAL",SUM($V$8:V75),IF(AND($AO$2=$AO$20,C76=$AO$1),ROUND(D76/31*$AP$2,0),IF(C76=$AM$6,ROUND((G76)*1/30,0),IF(C76=$AN$6,ROUND((G76)*1/31,0),"")))))</f>
        <v/>
      </c>
      <c r="W76" s="66" t="str">
        <f>IF(C76="","",IF($C76="TOTAL",SUM($W$8:W75),IF(AND($AO$2=$AO$20,C76=$AO$1),ROUND(H76/31*$AP$2,0),IF(C76=$AM$6,ROUND((K76)*1/30,0),IF(C76=$AN$6,ROUND((K76)*1/31,0),"")))))</f>
        <v/>
      </c>
      <c r="X76" s="66" t="str">
        <f t="shared" si="61"/>
        <v/>
      </c>
      <c r="Y76" s="66" t="str">
        <f>IFERROR(IF(C76="","",IF(AND(BH77="",BO77=""),"",IF($C76="TOTAL",SUM($Y$8:Y75),BH77))),"")</f>
        <v/>
      </c>
      <c r="Z76" s="66" t="str">
        <f>IFERROR(IF(C76="","",IF($C76="TOTAL",SUM($Z$8:Z75),ROUND(O76*$AO$7%,0))),"")</f>
        <v/>
      </c>
      <c r="AA76" s="66" t="str">
        <f>IFERROR(IF(C76="","",IF($C76="TOTAL",SUM($AA$8:AA75),IF($AC$3=$AL$2,SUM(U76,X76,Y76,Z76),SUM(R76,U76,X76,Y76,Z76)))),"")</f>
        <v/>
      </c>
      <c r="AB76" s="68" t="str">
        <f>IFERROR(IF(C76="","",IF($C76="TOTAL",SUM($AB$8:AB75),SUM(O76-AA76))),"")</f>
        <v/>
      </c>
      <c r="AK76" s="90">
        <f t="shared" si="63"/>
        <v>34</v>
      </c>
      <c r="AL76" s="90">
        <f t="shared" si="64"/>
        <v>34</v>
      </c>
      <c r="AN76" s="92">
        <v>44774</v>
      </c>
      <c r="AP76" s="92">
        <f t="shared" si="44"/>
        <v>44774</v>
      </c>
      <c r="AQ76" s="92" t="str">
        <f t="shared" si="65"/>
        <v/>
      </c>
      <c r="AR76" s="92">
        <f t="shared" si="62"/>
        <v>44774</v>
      </c>
      <c r="AS76" s="92">
        <f t="shared" si="66"/>
        <v>44774</v>
      </c>
      <c r="AT76" s="92" t="str">
        <f t="shared" si="72"/>
        <v/>
      </c>
      <c r="AU76" s="91" t="str">
        <f t="shared" ref="AU76:AU92" si="74">IFERROR(IF(AT76="","",IF(AND($AO$20=$AO$28,$AO$30=AT76),$AO$29,IF(OR(AT76=$AW$2,AT76=$AW$3,AT76=$AW$4,AT76=$AW$5,AT76=$AW$6,AT76=$AW$7,AT76=$AX$2),MROUND(AU75*1.03,100),AU75))),"")</f>
        <v/>
      </c>
      <c r="AV76" s="91" t="str">
        <f t="shared" si="43"/>
        <v/>
      </c>
      <c r="AW76" s="91" t="str">
        <f t="shared" ref="AW76:AW92" si="75">IF(AT76="","",IF(AT76="TOTAL","",IF(AT76&gt;=$AV$7,ROUND(AU76*$AU$7%,0),ROUND(AU76*$AQ$7%,0))))</f>
        <v/>
      </c>
      <c r="AX76" s="91"/>
      <c r="AY76" s="91" t="str">
        <f t="shared" ref="AY76:AY92" si="76">IFERROR(IF(AT76="","",IF(AT76="TOTAL","",IF($AO$16=$AO$17,$AO$10,IF(OR(AT76=$AW$2,AT76=$AW$3,AT76=$AW$4,AT76=$AW$5,AT76=$AW$6,AT76=$AW$7,AT76=$AX$2),MROUND(AY75*1.03,100),AY75)))),"")</f>
        <v/>
      </c>
      <c r="AZ76" s="91" t="str">
        <f t="shared" si="67"/>
        <v/>
      </c>
      <c r="BA76" s="91" t="str">
        <f t="shared" ref="BA76:BA93" si="77">IF(AT76="","",IF(AT76="TOTAL","",IF(AY76="","",IF($AO$16=$AO$17,0,IF(AT76&gt;=$AV$7,ROUND(AY76*$AU$7%,0),ROUND(AY76*$AQ$7%,0))))))</f>
        <v/>
      </c>
      <c r="BB76" s="91" t="str">
        <f t="shared" si="68"/>
        <v/>
      </c>
      <c r="BE76" s="125" t="str">
        <f t="shared" si="39"/>
        <v/>
      </c>
      <c r="BF76" s="91" t="str">
        <f t="shared" si="40"/>
        <v/>
      </c>
      <c r="BG76" s="91" t="str">
        <f t="shared" si="69"/>
        <v/>
      </c>
      <c r="BH76" s="91" t="str">
        <f t="shared" si="70"/>
        <v/>
      </c>
      <c r="BI76" s="91">
        <f t="shared" si="41"/>
        <v>0</v>
      </c>
      <c r="BJ76" s="133">
        <f t="shared" si="42"/>
        <v>0</v>
      </c>
      <c r="BO76" s="28">
        <f t="shared" si="71"/>
        <v>2100</v>
      </c>
    </row>
    <row r="77" spans="1:67" ht="21" customHeight="1">
      <c r="A77" s="140" t="str">
        <f t="shared" si="73"/>
        <v/>
      </c>
      <c r="B77" s="64" t="str">
        <f t="shared" si="54"/>
        <v/>
      </c>
      <c r="C77" s="65" t="str">
        <f t="shared" si="55"/>
        <v/>
      </c>
      <c r="D77" s="66" t="str">
        <f>IFERROR(IF($C76="TOTAL","अक्षरें राशि :-",IF($C77="TOTAL",SUM($D$8:D76),IF(AU78="","",AU78))),"")</f>
        <v/>
      </c>
      <c r="E77" s="66" t="str">
        <f>IFERROR(IF($C77="TOTAL",SUM($E$8:E76),IF(AV78="","",AV78)),"")</f>
        <v/>
      </c>
      <c r="F77" s="66" t="str">
        <f>IFERROR(IF($C77="TOTAL",SUM($F$8:F76),IF(AW78="","",AW78)),"")</f>
        <v/>
      </c>
      <c r="G77" s="66" t="str">
        <f t="shared" si="56"/>
        <v/>
      </c>
      <c r="H77" s="66" t="str">
        <f>IFERROR(IF($C77="TOTAL",SUM($H$8:H76),IF(AY78="","",AY78)),"")</f>
        <v/>
      </c>
      <c r="I77" s="66" t="str">
        <f>IFERROR(IF($C77="TOTAL",SUM($I$8:I76),IF(AZ78="","",AZ78)),"")</f>
        <v/>
      </c>
      <c r="J77" s="66" t="str">
        <f>IFERROR(IF($C77="TOTAL",SUM($J$8:J76),IF(BA78="","",BA78)),"")</f>
        <v/>
      </c>
      <c r="K77" s="66" t="str">
        <f t="shared" si="57"/>
        <v/>
      </c>
      <c r="L77" s="66" t="str">
        <f>IFERROR(IF(C77="","",IF(D77="","",IF(H77="","",IF($C77="TOTAL",SUM($L$8:L76),SUM(D77-H77))))),"")</f>
        <v/>
      </c>
      <c r="M77" s="66" t="str">
        <f>IFERROR(IF(C77="","",IF(E77="","",IF(I77="","",IF($C77="TOTAL",SUM($M$8:M76),SUM(E77-I77))))),"")</f>
        <v/>
      </c>
      <c r="N77" s="66" t="str">
        <f>IFERROR(IF(C77="","",IF(F77="","",IF(J77="","",IF($C77="TOTAL",SUM($N$8:N76),SUM(F77-J77))))),"")</f>
        <v/>
      </c>
      <c r="O77" s="66" t="str">
        <f t="shared" si="58"/>
        <v/>
      </c>
      <c r="P77" s="66" t="str">
        <f>IFERROR(IF(C77="","",IF($C77="TOTAL",SUM($P$8:P76),IF(AND(C77&gt;$AL$1,$AC$3=$AL$2),BO78,IF($AO$18=$AO$20,SUM(BB78+BJ78),ROUND((D77+E77)*10%,0))))),"")</f>
        <v/>
      </c>
      <c r="Q77" s="66" t="str">
        <f>IFERROR(IF(C77="","",IF(H77="","",IF(I77="","",IF($C77="TOTAL",SUM($Q$8:Q76),IF(AND(C77&gt;$AL$1,$AC$3=$AL$2),BO78,IF($AO$18=$AO$20,$AO$21,ROUND((H77+I77)*10%,0))))))),"")</f>
        <v/>
      </c>
      <c r="R77" s="66" t="str">
        <f t="shared" si="59"/>
        <v/>
      </c>
      <c r="S77" s="67" t="str">
        <f>IFERROR(IF(C77="","",IF($AO$16=$AO$17,0,IF($C77="TOTAL",SUM($S$8:S76),IF($AO$19=$AO$20,$AO$25,0)))),"")</f>
        <v/>
      </c>
      <c r="T77" s="67" t="str">
        <f>IFERROR(IF(C77="","",IF($AO$16=$AO$17,0,IF($C77="TOTAL",SUM($T$8:T76),IF($AO$19=$AO$20,$AO$24,0)))),"")</f>
        <v/>
      </c>
      <c r="U77" s="66" t="str">
        <f t="shared" si="60"/>
        <v/>
      </c>
      <c r="V77" s="66" t="str">
        <f>IF(C77="","",IF($C77="TOTAL",SUM($V$8:V76),IF(AND($AO$2=$AO$20,C77=$AO$1),ROUND(D77/31*$AP$2,0),IF(C77=$AM$6,ROUND((G77)*1/30,0),IF(C77=$AN$6,ROUND((G77)*1/31,0),"")))))</f>
        <v/>
      </c>
      <c r="W77" s="66" t="str">
        <f>IF(C77="","",IF($C77="TOTAL",SUM($W$8:W76),IF(AND($AO$2=$AO$20,C77=$AO$1),ROUND(H77/31*$AP$2,0),IF(C77=$AM$6,ROUND((K77)*1/30,0),IF(C77=$AN$6,ROUND((K77)*1/31,0),"")))))</f>
        <v/>
      </c>
      <c r="X77" s="66" t="str">
        <f t="shared" si="61"/>
        <v/>
      </c>
      <c r="Y77" s="66" t="str">
        <f>IFERROR(IF(C77="","",IF(AND(BH78="",BO78=""),"",IF($C77="TOTAL",SUM($Y$8:Y76),BH78))),"")</f>
        <v/>
      </c>
      <c r="Z77" s="66" t="str">
        <f>IFERROR(IF(C77="","",IF($C77="TOTAL",SUM($Z$8:Z76),ROUND(O77*$AO$7%,0))),"")</f>
        <v/>
      </c>
      <c r="AA77" s="66" t="str">
        <f>IFERROR(IF(C77="","",IF($C77="TOTAL",SUM($AA$8:AA76),IF($AC$3=$AL$2,SUM(U77,X77,Y77,Z77),SUM(R77,U77,X77,Y77,Z77)))),"")</f>
        <v/>
      </c>
      <c r="AB77" s="68" t="str">
        <f>IFERROR(IF(C77="","",IF($C77="TOTAL",SUM($AB$8:AB76),SUM(O77-AA77))),"")</f>
        <v/>
      </c>
      <c r="AK77" s="90">
        <f t="shared" si="63"/>
        <v>34</v>
      </c>
      <c r="AL77" s="90">
        <f t="shared" si="64"/>
        <v>34</v>
      </c>
      <c r="AN77" s="92">
        <v>44805</v>
      </c>
      <c r="AP77" s="92">
        <f t="shared" si="44"/>
        <v>44805</v>
      </c>
      <c r="AQ77" s="92" t="str">
        <f t="shared" si="65"/>
        <v/>
      </c>
      <c r="AR77" s="92">
        <f t="shared" si="62"/>
        <v>44805</v>
      </c>
      <c r="AS77" s="92">
        <f t="shared" si="66"/>
        <v>44805</v>
      </c>
      <c r="AT77" s="92" t="str">
        <f t="shared" si="72"/>
        <v/>
      </c>
      <c r="AU77" s="91" t="str">
        <f t="shared" si="74"/>
        <v/>
      </c>
      <c r="AV77" s="91" t="str">
        <f t="shared" si="43"/>
        <v/>
      </c>
      <c r="AW77" s="91" t="str">
        <f t="shared" si="75"/>
        <v/>
      </c>
      <c r="AX77" s="91"/>
      <c r="AY77" s="91" t="str">
        <f t="shared" si="76"/>
        <v/>
      </c>
      <c r="AZ77" s="91" t="str">
        <f t="shared" si="67"/>
        <v/>
      </c>
      <c r="BA77" s="91" t="str">
        <f t="shared" si="77"/>
        <v/>
      </c>
      <c r="BB77" s="91" t="str">
        <f t="shared" si="68"/>
        <v/>
      </c>
      <c r="BE77" s="125" t="str">
        <f t="shared" ref="BE77:BE92" si="78">IF(AT77="","",IF(AT77="TOTAL","",IF(AY77="","",SUM(O76)-SUM((BF77-$AO$21)+SUM(U76,X76,Z76)))))</f>
        <v/>
      </c>
      <c r="BF77" s="91" t="str">
        <f t="shared" ref="BF77:BF92" si="79">IF(AT76="","",IF(AT76="TOTAL","",IF(AND($AO$20=$AO$36,C77=$AO$37),$AO$38,BF76)))</f>
        <v/>
      </c>
      <c r="BG77" s="91" t="str">
        <f t="shared" si="69"/>
        <v/>
      </c>
      <c r="BH77" s="91" t="str">
        <f t="shared" si="70"/>
        <v/>
      </c>
      <c r="BI77" s="91">
        <f t="shared" ref="BI77:BI93" si="80">IFERROR(IF(AND($AO$16=$AO$17,BG77="YES"),ROUND(ROUND(D76*3%,0)*10%,0),IF(AND($AO$16=$AO$15,BG77="YES",$AM$7="NO"),ROUND(ROUND((L76+H76)*3%,0)*10%,0),IF(AND($AO$16=$AO$15,BG77="YES",$AM$7="YES"),ROUND(ROUND((L76+M76)*3%,0)*10%,0),0))),"")</f>
        <v>0</v>
      </c>
      <c r="BJ77" s="133">
        <f t="shared" ref="BJ77:BJ93" si="81">IF(AND($AO$16=$AO$17,BG77="YES"),ROUND(D76*3%,0),IF(AND($AO$16=$AO$15,BG77="YES",$AM$7="NO"),ROUND((L76+H76)*3%,0),IF(AND($AO$16=$AO$15,BG77="YES",$AM$7="YES"),ROUND((L76+M76)*3%,0),0)))</f>
        <v>0</v>
      </c>
      <c r="BO77" s="28">
        <f t="shared" si="71"/>
        <v>2100</v>
      </c>
    </row>
    <row r="78" spans="1:67" ht="21" customHeight="1">
      <c r="A78" s="140" t="str">
        <f t="shared" si="73"/>
        <v/>
      </c>
      <c r="B78" s="64" t="str">
        <f t="shared" si="54"/>
        <v/>
      </c>
      <c r="C78" s="65" t="str">
        <f t="shared" si="55"/>
        <v/>
      </c>
      <c r="D78" s="66" t="str">
        <f>IFERROR(IF($C77="TOTAL","अक्षरें राशि :-",IF($C78="TOTAL",SUM($D$8:D77),IF(AU79="","",AU79))),"")</f>
        <v/>
      </c>
      <c r="E78" s="66" t="str">
        <f>IFERROR(IF($C78="TOTAL",SUM($E$8:E77),IF(AV79="","",AV79)),"")</f>
        <v/>
      </c>
      <c r="F78" s="66" t="str">
        <f>IFERROR(IF($C78="TOTAL",SUM($F$8:F77),IF(AW79="","",AW79)),"")</f>
        <v/>
      </c>
      <c r="G78" s="66" t="str">
        <f t="shared" si="56"/>
        <v/>
      </c>
      <c r="H78" s="66" t="str">
        <f>IFERROR(IF($C78="TOTAL",SUM($H$8:H77),IF(AY79="","",AY79)),"")</f>
        <v/>
      </c>
      <c r="I78" s="66" t="str">
        <f>IFERROR(IF($C78="TOTAL",SUM($I$8:I77),IF(AZ79="","",AZ79)),"")</f>
        <v/>
      </c>
      <c r="J78" s="66" t="str">
        <f>IFERROR(IF($C78="TOTAL",SUM($J$8:J77),IF(BA79="","",BA79)),"")</f>
        <v/>
      </c>
      <c r="K78" s="66" t="str">
        <f t="shared" si="57"/>
        <v/>
      </c>
      <c r="L78" s="66" t="str">
        <f>IFERROR(IF(C78="","",IF(D78="","",IF(H78="","",IF($C78="TOTAL",SUM($L$8:L77),SUM(D78-H78))))),"")</f>
        <v/>
      </c>
      <c r="M78" s="66" t="str">
        <f>IFERROR(IF(C78="","",IF(E78="","",IF(I78="","",IF($C78="TOTAL",SUM($M$8:M77),SUM(E78-I78))))),"")</f>
        <v/>
      </c>
      <c r="N78" s="66" t="str">
        <f>IFERROR(IF(C78="","",IF(F78="","",IF(J78="","",IF($C78="TOTAL",SUM($N$8:N77),SUM(F78-J78))))),"")</f>
        <v/>
      </c>
      <c r="O78" s="66" t="str">
        <f t="shared" si="58"/>
        <v/>
      </c>
      <c r="P78" s="66" t="str">
        <f>IFERROR(IF(C78="","",IF($C78="TOTAL",SUM($P$8:P77),IF(AND(C78&gt;$AL$1,$AC$3=$AL$2),BO79,IF($AO$18=$AO$20,SUM(BB79+BJ79),ROUND((D78+E78)*10%,0))))),"")</f>
        <v/>
      </c>
      <c r="Q78" s="66" t="str">
        <f>IFERROR(IF(C78="","",IF(H78="","",IF(I78="","",IF($C78="TOTAL",SUM($Q$8:Q77),IF(AND(C78&gt;$AL$1,$AC$3=$AL$2),BO79,IF($AO$18=$AO$20,$AO$21,ROUND((H78+I78)*10%,0))))))),"")</f>
        <v/>
      </c>
      <c r="R78" s="66" t="str">
        <f t="shared" si="59"/>
        <v/>
      </c>
      <c r="S78" s="67" t="str">
        <f>IFERROR(IF(C78="","",IF($AO$16=$AO$17,0,IF($C78="TOTAL",SUM($S$8:S77),IF($AO$19=$AO$20,$AO$25,0)))),"")</f>
        <v/>
      </c>
      <c r="T78" s="67" t="str">
        <f>IFERROR(IF(C78="","",IF($AO$16=$AO$17,0,IF($C78="TOTAL",SUM($T$8:T77),IF($AO$19=$AO$20,$AO$24,0)))),"")</f>
        <v/>
      </c>
      <c r="U78" s="66" t="str">
        <f t="shared" si="60"/>
        <v/>
      </c>
      <c r="V78" s="66" t="str">
        <f>IF(C78="","",IF($C78="TOTAL",SUM($V$8:V77),IF(AND($AO$2=$AO$20,C78=$AO$1),ROUND(D78/31*$AP$2,0),IF(C78=$AM$6,ROUND((G78)*1/30,0),IF(C78=$AN$6,ROUND((G78)*1/31,0),"")))))</f>
        <v/>
      </c>
      <c r="W78" s="66" t="str">
        <f>IF(C78="","",IF($C78="TOTAL",SUM($W$8:W77),IF(AND($AO$2=$AO$20,C78=$AO$1),ROUND(H78/31*$AP$2,0),IF(C78=$AM$6,ROUND((K78)*1/30,0),IF(C78=$AN$6,ROUND((K78)*1/31,0),"")))))</f>
        <v/>
      </c>
      <c r="X78" s="66" t="str">
        <f t="shared" si="61"/>
        <v/>
      </c>
      <c r="Y78" s="66" t="str">
        <f>IFERROR(IF(C78="","",IF(AND(BH79="",BO79=""),"",IF($C78="TOTAL",SUM($Y$8:Y77),BH79))),"")</f>
        <v/>
      </c>
      <c r="Z78" s="66" t="str">
        <f>IFERROR(IF(C78="","",IF($C78="TOTAL",SUM($Z$8:Z77),ROUND(O78*$AO$7%,0))),"")</f>
        <v/>
      </c>
      <c r="AA78" s="66" t="str">
        <f>IFERROR(IF(C78="","",IF($C78="TOTAL",SUM($AA$8:AA77),IF($AC$3=$AL$2,SUM(U78,X78,Y78,Z78),SUM(R78,U78,X78,Y78,Z78)))),"")</f>
        <v/>
      </c>
      <c r="AB78" s="68" t="str">
        <f>IFERROR(IF(C78="","",IF($C78="TOTAL",SUM($AB$8:AB77),SUM(O78-AA78))),"")</f>
        <v/>
      </c>
      <c r="AK78" s="90">
        <f t="shared" si="63"/>
        <v>34</v>
      </c>
      <c r="AL78" s="90">
        <f t="shared" si="64"/>
        <v>34</v>
      </c>
      <c r="AN78" s="92">
        <v>44835</v>
      </c>
      <c r="AP78" s="92">
        <f t="shared" si="44"/>
        <v>44835</v>
      </c>
      <c r="AQ78" s="92" t="str">
        <f t="shared" si="65"/>
        <v/>
      </c>
      <c r="AR78" s="92">
        <f t="shared" si="62"/>
        <v>44835</v>
      </c>
      <c r="AS78" s="92">
        <f t="shared" si="66"/>
        <v>44835</v>
      </c>
      <c r="AT78" s="92" t="str">
        <f t="shared" si="72"/>
        <v/>
      </c>
      <c r="AU78" s="91" t="str">
        <f t="shared" si="74"/>
        <v/>
      </c>
      <c r="AV78" s="91" t="str">
        <f t="shared" ref="AV78:AV92" si="82">IF(AT78="","",IF(AT78="TOTAL","",ROUND(AU78*AK78%,0)))</f>
        <v/>
      </c>
      <c r="AW78" s="91" t="str">
        <f t="shared" si="75"/>
        <v/>
      </c>
      <c r="AX78" s="91"/>
      <c r="AY78" s="91" t="str">
        <f t="shared" si="76"/>
        <v/>
      </c>
      <c r="AZ78" s="91" t="str">
        <f t="shared" si="67"/>
        <v/>
      </c>
      <c r="BA78" s="91" t="str">
        <f t="shared" si="77"/>
        <v/>
      </c>
      <c r="BB78" s="91" t="str">
        <f t="shared" si="68"/>
        <v/>
      </c>
      <c r="BE78" s="125" t="str">
        <f t="shared" si="78"/>
        <v/>
      </c>
      <c r="BF78" s="91" t="str">
        <f t="shared" si="79"/>
        <v/>
      </c>
      <c r="BG78" s="91" t="str">
        <f t="shared" si="69"/>
        <v/>
      </c>
      <c r="BH78" s="91" t="str">
        <f t="shared" si="70"/>
        <v/>
      </c>
      <c r="BI78" s="91">
        <f t="shared" si="80"/>
        <v>0</v>
      </c>
      <c r="BJ78" s="133">
        <f t="shared" si="81"/>
        <v>0</v>
      </c>
      <c r="BO78" s="28">
        <f t="shared" si="71"/>
        <v>2100</v>
      </c>
    </row>
    <row r="79" spans="1:67" ht="21" customHeight="1">
      <c r="A79" s="140" t="str">
        <f t="shared" si="73"/>
        <v/>
      </c>
      <c r="B79" s="64" t="str">
        <f t="shared" si="54"/>
        <v/>
      </c>
      <c r="C79" s="65" t="str">
        <f t="shared" si="55"/>
        <v/>
      </c>
      <c r="D79" s="66" t="str">
        <f>IFERROR(IF($C78="TOTAL","अक्षरें राशि :-",IF($C79="TOTAL",SUM($D$8:D78),IF(AU80="","",AU80))),"")</f>
        <v/>
      </c>
      <c r="E79" s="66" t="str">
        <f>IFERROR(IF($C79="TOTAL",SUM($E$8:E78),IF(AV80="","",AV80)),"")</f>
        <v/>
      </c>
      <c r="F79" s="66" t="str">
        <f>IFERROR(IF($C79="TOTAL",SUM($F$8:F78),IF(AW80="","",AW80)),"")</f>
        <v/>
      </c>
      <c r="G79" s="66" t="str">
        <f t="shared" si="56"/>
        <v/>
      </c>
      <c r="H79" s="66" t="str">
        <f>IFERROR(IF($C79="TOTAL",SUM($H$8:H78),IF(AY80="","",AY80)),"")</f>
        <v/>
      </c>
      <c r="I79" s="66" t="str">
        <f>IFERROR(IF($C79="TOTAL",SUM($I$8:I78),IF(AZ80="","",AZ80)),"")</f>
        <v/>
      </c>
      <c r="J79" s="66" t="str">
        <f>IFERROR(IF($C79="TOTAL",SUM($J$8:J78),IF(BA80="","",BA80)),"")</f>
        <v/>
      </c>
      <c r="K79" s="66" t="str">
        <f t="shared" si="57"/>
        <v/>
      </c>
      <c r="L79" s="66" t="str">
        <f>IFERROR(IF(C79="","",IF(D79="","",IF(H79="","",IF($C79="TOTAL",SUM($L$8:L78),SUM(D79-H79))))),"")</f>
        <v/>
      </c>
      <c r="M79" s="66" t="str">
        <f>IFERROR(IF(C79="","",IF(E79="","",IF(I79="","",IF($C79="TOTAL",SUM($M$8:M78),SUM(E79-I79))))),"")</f>
        <v/>
      </c>
      <c r="N79" s="66" t="str">
        <f>IFERROR(IF(C79="","",IF(F79="","",IF(J79="","",IF($C79="TOTAL",SUM($N$8:N78),SUM(F79-J79))))),"")</f>
        <v/>
      </c>
      <c r="O79" s="66" t="str">
        <f t="shared" si="58"/>
        <v/>
      </c>
      <c r="P79" s="66" t="str">
        <f>IFERROR(IF(C79="","",IF($C79="TOTAL",SUM($P$8:P78),IF(AND(C79&gt;$AL$1,$AC$3=$AL$2),BO80,IF($AO$18=$AO$20,SUM(BB80+BJ80),ROUND((D79+E79)*10%,0))))),"")</f>
        <v/>
      </c>
      <c r="Q79" s="66" t="str">
        <f>IFERROR(IF(C79="","",IF(H79="","",IF(I79="","",IF($C79="TOTAL",SUM($Q$8:Q78),IF(AND(C79&gt;$AL$1,$AC$3=$AL$2),BO80,IF($AO$18=$AO$20,$AO$21,ROUND((H79+I79)*10%,0))))))),"")</f>
        <v/>
      </c>
      <c r="R79" s="66" t="str">
        <f t="shared" si="59"/>
        <v/>
      </c>
      <c r="S79" s="67" t="str">
        <f>IFERROR(IF(C79="","",IF($AO$16=$AO$17,0,IF($C79="TOTAL",SUM($S$8:S78),IF($AO$19=$AO$20,$AO$25,0)))),"")</f>
        <v/>
      </c>
      <c r="T79" s="67" t="str">
        <f>IFERROR(IF(C79="","",IF($AO$16=$AO$17,0,IF($C79="TOTAL",SUM($T$8:T78),IF($AO$19=$AO$20,$AO$24,0)))),"")</f>
        <v/>
      </c>
      <c r="U79" s="66" t="str">
        <f t="shared" si="60"/>
        <v/>
      </c>
      <c r="V79" s="66" t="str">
        <f>IF(C79="","",IF($C79="TOTAL",SUM($V$8:V78),IF(AND($AO$2=$AO$20,C79=$AO$1),ROUND(D79/31*$AP$2,0),IF(C79=$AM$6,ROUND((G79)*1/30,0),IF(C79=$AN$6,ROUND((G79)*1/31,0),"")))))</f>
        <v/>
      </c>
      <c r="W79" s="66" t="str">
        <f>IF(C79="","",IF($C79="TOTAL",SUM($W$8:W78),IF(AND($AO$2=$AO$20,C79=$AO$1),ROUND(H79/31*$AP$2,0),IF(C79=$AM$6,ROUND((K79)*1/30,0),IF(C79=$AN$6,ROUND((K79)*1/31,0),"")))))</f>
        <v/>
      </c>
      <c r="X79" s="66" t="str">
        <f t="shared" si="61"/>
        <v/>
      </c>
      <c r="Y79" s="66" t="str">
        <f>IFERROR(IF(C79="","",IF(AND(BH80="",BO80=""),"",IF($C79="TOTAL",SUM($Y$8:Y78),BH80))),"")</f>
        <v/>
      </c>
      <c r="Z79" s="66" t="str">
        <f>IFERROR(IF(C79="","",IF($C79="TOTAL",SUM($Z$8:Z78),ROUND(O79*$AO$7%,0))),"")</f>
        <v/>
      </c>
      <c r="AA79" s="66" t="str">
        <f>IFERROR(IF(C79="","",IF($C79="TOTAL",SUM($AA$8:AA78),IF($AC$3=$AL$2,SUM(U79,X79,Y79,Z79),SUM(R79,U79,X79,Y79,Z79)))),"")</f>
        <v/>
      </c>
      <c r="AB79" s="68" t="str">
        <f>IFERROR(IF(C79="","",IF($C79="TOTAL",SUM($AB$8:AB78),SUM(O79-AA79))),"")</f>
        <v/>
      </c>
      <c r="AK79" s="90">
        <f t="shared" si="63"/>
        <v>34</v>
      </c>
      <c r="AL79" s="90">
        <f t="shared" si="64"/>
        <v>34</v>
      </c>
      <c r="AN79" s="92">
        <v>44866</v>
      </c>
      <c r="AP79" s="92">
        <f t="shared" si="44"/>
        <v>44866</v>
      </c>
      <c r="AQ79" s="92" t="str">
        <f t="shared" si="65"/>
        <v/>
      </c>
      <c r="AR79" s="92">
        <f t="shared" si="62"/>
        <v>44866</v>
      </c>
      <c r="AS79" s="92">
        <f t="shared" si="66"/>
        <v>44866</v>
      </c>
      <c r="AT79" s="92" t="str">
        <f t="shared" si="72"/>
        <v/>
      </c>
      <c r="AU79" s="91" t="str">
        <f t="shared" si="74"/>
        <v/>
      </c>
      <c r="AV79" s="91" t="str">
        <f t="shared" si="82"/>
        <v/>
      </c>
      <c r="AW79" s="91" t="str">
        <f t="shared" si="75"/>
        <v/>
      </c>
      <c r="AX79" s="91"/>
      <c r="AY79" s="91" t="str">
        <f t="shared" si="76"/>
        <v/>
      </c>
      <c r="AZ79" s="91" t="str">
        <f t="shared" si="67"/>
        <v/>
      </c>
      <c r="BA79" s="91" t="str">
        <f t="shared" si="77"/>
        <v/>
      </c>
      <c r="BB79" s="91" t="str">
        <f t="shared" si="68"/>
        <v/>
      </c>
      <c r="BE79" s="125" t="str">
        <f t="shared" si="78"/>
        <v/>
      </c>
      <c r="BF79" s="91" t="str">
        <f t="shared" si="79"/>
        <v/>
      </c>
      <c r="BG79" s="91" t="str">
        <f t="shared" si="69"/>
        <v/>
      </c>
      <c r="BH79" s="91" t="str">
        <f t="shared" si="70"/>
        <v/>
      </c>
      <c r="BI79" s="91">
        <f t="shared" si="80"/>
        <v>0</v>
      </c>
      <c r="BJ79" s="133">
        <f t="shared" si="81"/>
        <v>0</v>
      </c>
      <c r="BO79" s="28">
        <f t="shared" si="71"/>
        <v>2100</v>
      </c>
    </row>
    <row r="80" spans="1:67" ht="21" customHeight="1">
      <c r="A80" s="140" t="str">
        <f t="shared" si="73"/>
        <v/>
      </c>
      <c r="B80" s="64" t="str">
        <f t="shared" si="54"/>
        <v/>
      </c>
      <c r="C80" s="65" t="str">
        <f t="shared" si="55"/>
        <v/>
      </c>
      <c r="D80" s="66" t="str">
        <f>IFERROR(IF($C79="TOTAL","अक्षरें राशि :-",IF($C80="TOTAL",SUM($D$8:D79),IF(AU81="","",AU81))),"")</f>
        <v/>
      </c>
      <c r="E80" s="66" t="str">
        <f>IFERROR(IF($C80="TOTAL",SUM($E$8:E79),IF(AV81="","",AV81)),"")</f>
        <v/>
      </c>
      <c r="F80" s="66" t="str">
        <f>IFERROR(IF($C80="TOTAL",SUM($F$8:F79),IF(AW81="","",AW81)),"")</f>
        <v/>
      </c>
      <c r="G80" s="66" t="str">
        <f t="shared" si="56"/>
        <v/>
      </c>
      <c r="H80" s="66" t="str">
        <f>IFERROR(IF($C80="TOTAL",SUM($H$8:H79),IF(AY81="","",AY81)),"")</f>
        <v/>
      </c>
      <c r="I80" s="66" t="str">
        <f>IFERROR(IF($C80="TOTAL",SUM($I$8:I79),IF(AZ81="","",AZ81)),"")</f>
        <v/>
      </c>
      <c r="J80" s="66" t="str">
        <f>IFERROR(IF($C80="TOTAL",SUM($J$8:J79),IF(BA81="","",BA81)),"")</f>
        <v/>
      </c>
      <c r="K80" s="66" t="str">
        <f t="shared" si="57"/>
        <v/>
      </c>
      <c r="L80" s="66" t="str">
        <f>IFERROR(IF(C80="","",IF(D80="","",IF(H80="","",IF($C80="TOTAL",SUM($L$8:L79),SUM(D80-H80))))),"")</f>
        <v/>
      </c>
      <c r="M80" s="66" t="str">
        <f>IFERROR(IF(C80="","",IF(E80="","",IF(I80="","",IF($C80="TOTAL",SUM($M$8:M79),SUM(E80-I80))))),"")</f>
        <v/>
      </c>
      <c r="N80" s="66" t="str">
        <f>IFERROR(IF(C80="","",IF(F80="","",IF(J80="","",IF($C80="TOTAL",SUM($N$8:N79),SUM(F80-J80))))),"")</f>
        <v/>
      </c>
      <c r="O80" s="66" t="str">
        <f t="shared" si="58"/>
        <v/>
      </c>
      <c r="P80" s="66" t="str">
        <f>IFERROR(IF(C80="","",IF($C80="TOTAL",SUM($P$8:P79),IF(AND(C80&gt;$AL$1,$AC$3=$AL$2),BO81,IF($AO$18=$AO$20,SUM(BB81+BJ81),ROUND((D80+E80)*10%,0))))),"")</f>
        <v/>
      </c>
      <c r="Q80" s="66" t="str">
        <f>IFERROR(IF(C80="","",IF(H80="","",IF(I80="","",IF($C80="TOTAL",SUM($Q$8:Q79),IF(AND(C80&gt;$AL$1,$AC$3=$AL$2),BO81,IF($AO$18=$AO$20,$AO$21,ROUND((H80+I80)*10%,0))))))),"")</f>
        <v/>
      </c>
      <c r="R80" s="66" t="str">
        <f t="shared" si="59"/>
        <v/>
      </c>
      <c r="S80" s="67" t="str">
        <f>IFERROR(IF(C80="","",IF($AO$16=$AO$17,0,IF($C80="TOTAL",SUM($S$8:S79),IF($AO$19=$AO$20,$AO$25,0)))),"")</f>
        <v/>
      </c>
      <c r="T80" s="67" t="str">
        <f>IFERROR(IF(C80="","",IF($AO$16=$AO$17,0,IF($C80="TOTAL",SUM($T$8:T79),IF($AO$19=$AO$20,$AO$24,0)))),"")</f>
        <v/>
      </c>
      <c r="U80" s="66" t="str">
        <f t="shared" si="60"/>
        <v/>
      </c>
      <c r="V80" s="66" t="str">
        <f>IF(C80="","",IF($C80="TOTAL",SUM($V$8:V79),IF(AND($AO$2=$AO$20,C80=$AO$1),ROUND(D80/31*$AP$2,0),IF(C80=$AM$6,ROUND((G80)*1/30,0),IF(C80=$AN$6,ROUND((G80)*1/31,0),"")))))</f>
        <v/>
      </c>
      <c r="W80" s="66" t="str">
        <f>IF(C80="","",IF($C80="TOTAL",SUM($W$8:W79),IF(AND($AO$2=$AO$20,C80=$AO$1),ROUND(H80/31*$AP$2,0),IF(C80=$AM$6,ROUND((K80)*1/30,0),IF(C80=$AN$6,ROUND((K80)*1/31,0),"")))))</f>
        <v/>
      </c>
      <c r="X80" s="66" t="str">
        <f t="shared" si="61"/>
        <v/>
      </c>
      <c r="Y80" s="66" t="str">
        <f>IFERROR(IF(C80="","",IF(AND(BH81="",BO81=""),"",IF($C80="TOTAL",SUM($Y$8:Y79),BH81))),"")</f>
        <v/>
      </c>
      <c r="Z80" s="66" t="str">
        <f>IFERROR(IF(C80="","",IF($C80="TOTAL",SUM($Z$8:Z79),ROUND(O80*$AO$7%,0))),"")</f>
        <v/>
      </c>
      <c r="AA80" s="66" t="str">
        <f>IFERROR(IF(C80="","",IF($C80="TOTAL",SUM($AA$8:AA79),IF($AC$3=$AL$2,SUM(U80,X80,Y80,Z80),SUM(R80,U80,X80,Y80,Z80)))),"")</f>
        <v/>
      </c>
      <c r="AB80" s="68" t="str">
        <f>IFERROR(IF(C80="","",IF($C80="TOTAL",SUM($AB$8:AB79),SUM(O80-AA80))),"")</f>
        <v/>
      </c>
      <c r="AK80" s="90">
        <f t="shared" si="63"/>
        <v>34</v>
      </c>
      <c r="AL80" s="90">
        <f t="shared" si="64"/>
        <v>34</v>
      </c>
      <c r="AN80" s="92">
        <v>44896</v>
      </c>
      <c r="AP80" s="92">
        <f>IF(AND($AO$6&gt;$AP$6),"",DATE(YEAR(AP79),MONTH(AP79)+1,DAY(AP79)))</f>
        <v>44896</v>
      </c>
      <c r="AQ80" s="92" t="str">
        <f t="shared" si="65"/>
        <v/>
      </c>
      <c r="AR80" s="92">
        <f t="shared" si="62"/>
        <v>44896</v>
      </c>
      <c r="AS80" s="92">
        <f t="shared" si="66"/>
        <v>44896</v>
      </c>
      <c r="AT80" s="92" t="str">
        <f t="shared" si="72"/>
        <v/>
      </c>
      <c r="AU80" s="91" t="str">
        <f t="shared" si="74"/>
        <v/>
      </c>
      <c r="AV80" s="91" t="str">
        <f t="shared" si="82"/>
        <v/>
      </c>
      <c r="AW80" s="91" t="str">
        <f t="shared" si="75"/>
        <v/>
      </c>
      <c r="AX80" s="91"/>
      <c r="AY80" s="91" t="str">
        <f t="shared" si="76"/>
        <v/>
      </c>
      <c r="AZ80" s="91" t="str">
        <f t="shared" si="67"/>
        <v/>
      </c>
      <c r="BA80" s="91" t="str">
        <f t="shared" si="77"/>
        <v/>
      </c>
      <c r="BB80" s="91" t="str">
        <f t="shared" si="68"/>
        <v/>
      </c>
      <c r="BE80" s="125" t="str">
        <f t="shared" si="78"/>
        <v/>
      </c>
      <c r="BF80" s="91" t="str">
        <f t="shared" si="79"/>
        <v/>
      </c>
      <c r="BG80" s="91" t="str">
        <f t="shared" si="69"/>
        <v/>
      </c>
      <c r="BH80" s="91" t="str">
        <f t="shared" si="70"/>
        <v/>
      </c>
      <c r="BI80" s="91">
        <f t="shared" si="80"/>
        <v>0</v>
      </c>
      <c r="BJ80" s="133">
        <f t="shared" si="81"/>
        <v>0</v>
      </c>
      <c r="BO80" s="28">
        <f t="shared" si="71"/>
        <v>2100</v>
      </c>
    </row>
    <row r="81" spans="1:67" ht="21" customHeight="1">
      <c r="A81" s="140" t="str">
        <f t="shared" si="73"/>
        <v/>
      </c>
      <c r="B81" s="64" t="str">
        <f t="shared" si="54"/>
        <v/>
      </c>
      <c r="C81" s="65" t="str">
        <f t="shared" ref="C81:C95" si="83">IFERROR(IF(AT82="","",AT82),"")</f>
        <v/>
      </c>
      <c r="D81" s="66" t="str">
        <f>IFERROR(IF($C80="TOTAL","अक्षरें राशि :-",IF($C81="TOTAL",SUM($D$8:D80),IF(AU82="","",AU82))),"")</f>
        <v/>
      </c>
      <c r="E81" s="66" t="str">
        <f>IFERROR(IF($C81="TOTAL",SUM($E$8:E80),IF(AV82="","",AV82)),"")</f>
        <v/>
      </c>
      <c r="F81" s="66" t="str">
        <f>IFERROR(IF($C81="TOTAL",SUM($F$8:F80),IF(AW82="","",AW82)),"")</f>
        <v/>
      </c>
      <c r="G81" s="66" t="str">
        <f t="shared" ref="G81:G95" si="84">IF(C81="","",SUM(D81:F81))</f>
        <v/>
      </c>
      <c r="H81" s="66" t="str">
        <f>IFERROR(IF($C81="TOTAL",SUM($H$8:H80),IF(AY82="","",AY82)),"")</f>
        <v/>
      </c>
      <c r="I81" s="66" t="str">
        <f>IFERROR(IF($C81="TOTAL",SUM($I$8:I80),IF(AZ82="","",AZ82)),"")</f>
        <v/>
      </c>
      <c r="J81" s="66" t="str">
        <f>IFERROR(IF($C81="TOTAL",SUM($J$8:J80),IF(BA82="","",BA82)),"")</f>
        <v/>
      </c>
      <c r="K81" s="66" t="str">
        <f t="shared" ref="K81:K95" si="85">IF(C81="","",SUM(H81:J81))</f>
        <v/>
      </c>
      <c r="L81" s="66" t="str">
        <f>IFERROR(IF(C81="","",IF(D81="","",IF(H81="","",IF($C81="TOTAL",SUM($L$8:L80),SUM(D81-H81))))),"")</f>
        <v/>
      </c>
      <c r="M81" s="66" t="str">
        <f>IFERROR(IF(C81="","",IF(E81="","",IF(I81="","",IF($C81="TOTAL",SUM($M$8:M80),SUM(E81-I81))))),"")</f>
        <v/>
      </c>
      <c r="N81" s="66" t="str">
        <f>IFERROR(IF(C81="","",IF(F81="","",IF(J81="","",IF($C81="TOTAL",SUM($N$8:N80),SUM(F81-J81))))),"")</f>
        <v/>
      </c>
      <c r="O81" s="66" t="str">
        <f t="shared" ref="O81:O95" si="86">IFERROR(IF(C81="","",IF(G81="","",IF(K81="","",SUM(G81-K81)))),"")</f>
        <v/>
      </c>
      <c r="P81" s="66" t="str">
        <f>IFERROR(IF(C81="","",IF($C81="TOTAL",SUM($P$8:P80),IF(AND(C81&gt;$AL$1,$AC$3=$AL$2),BO82,IF($AO$18=$AO$20,SUM(BB82+BJ82),ROUND((D81+E81)*10%,0))))),"")</f>
        <v/>
      </c>
      <c r="Q81" s="66" t="str">
        <f>IFERROR(IF(C81="","",IF(H81="","",IF(I81="","",IF($C81="TOTAL",SUM($Q$8:Q80),IF(AND(C81&gt;$AL$1,$AC$3=$AL$2),BO82,IF($AO$18=$AO$20,$AO$21,ROUND((H81+I81)*10%,0))))))),"")</f>
        <v/>
      </c>
      <c r="R81" s="66" t="str">
        <f t="shared" ref="R81:R95" si="87">IFERROR(IF(C81="","",SUM(P81-Q81)),"")</f>
        <v/>
      </c>
      <c r="S81" s="67" t="str">
        <f>IFERROR(IF(C81="","",IF($AO$16=$AO$17,0,IF($C81="TOTAL",SUM($S$8:S80),IF($AO$19=$AO$20,$AO$25,0)))),"")</f>
        <v/>
      </c>
      <c r="T81" s="67" t="str">
        <f>IFERROR(IF(C81="","",IF($AO$16=$AO$17,0,IF($C81="TOTAL",SUM($T$8:T80),IF($AO$19=$AO$20,$AO$24,0)))),"")</f>
        <v/>
      </c>
      <c r="U81" s="66" t="str">
        <f t="shared" ref="U81:U95" si="88">IFERROR(IF(C81="","",SUM(S81-T81)),"")</f>
        <v/>
      </c>
      <c r="V81" s="66" t="str">
        <f>IF(C81="","",IF($C81="TOTAL",SUM($V$8:V80),IF(AND($AO$2=$AO$20,C81=$AO$1),ROUND(D81/31*$AP$2,0),IF(C81=$AM$6,ROUND((G81)*1/30,0),IF(C81=$AN$6,ROUND((G81)*1/31,0),"")))))</f>
        <v/>
      </c>
      <c r="W81" s="66" t="str">
        <f>IF(C81="","",IF($C81="TOTAL",SUM($W$8:W80),IF(AND($AO$2=$AO$20,C81=$AO$1),ROUND(H81/31*$AP$2,0),IF(C81=$AM$6,ROUND((K81)*1/30,0),IF(C81=$AN$6,ROUND((K81)*1/31,0),"")))))</f>
        <v/>
      </c>
      <c r="X81" s="66" t="str">
        <f t="shared" ref="X81:X95" si="89">IFERROR(IF(C81="","",SUM(V81-W81)),"")</f>
        <v/>
      </c>
      <c r="Y81" s="66" t="str">
        <f>IFERROR(IF(C81="","",IF(AND(BH82="",BO82=""),"",IF($C81="TOTAL",SUM($Y$8:Y80),BH82))),"")</f>
        <v/>
      </c>
      <c r="Z81" s="66" t="str">
        <f>IFERROR(IF(C81="","",IF($C81="TOTAL",SUM($Z$8:Z80),ROUND(O81*$AO$7%,0))),"")</f>
        <v/>
      </c>
      <c r="AA81" s="66" t="str">
        <f>IFERROR(IF(C81="","",IF($C81="TOTAL",SUM($AA$8:AA80),IF($AC$3=$AL$2,SUM(U81,X81,Y81,Z81),SUM(R81,U81,X81,Y81,Z81)))),"")</f>
        <v/>
      </c>
      <c r="AB81" s="68" t="str">
        <f>IFERROR(IF(C81="","",IF($C81="TOTAL",SUM($AB$8:AB80),SUM(O81-AA81))),"")</f>
        <v/>
      </c>
      <c r="AK81" s="90">
        <f t="shared" si="63"/>
        <v>34</v>
      </c>
      <c r="AL81" s="90">
        <f t="shared" si="64"/>
        <v>34</v>
      </c>
      <c r="AN81" s="92">
        <v>44927</v>
      </c>
      <c r="AP81" s="92">
        <f t="shared" si="44"/>
        <v>44927</v>
      </c>
      <c r="AQ81" s="92" t="str">
        <f t="shared" si="65"/>
        <v/>
      </c>
      <c r="AR81" s="92">
        <f t="shared" si="62"/>
        <v>44927</v>
      </c>
      <c r="AS81" s="92">
        <f t="shared" si="66"/>
        <v>44927</v>
      </c>
      <c r="AT81" s="92" t="str">
        <f t="shared" si="72"/>
        <v/>
      </c>
      <c r="AU81" s="91" t="str">
        <f t="shared" si="74"/>
        <v/>
      </c>
      <c r="AV81" s="91" t="str">
        <f t="shared" si="82"/>
        <v/>
      </c>
      <c r="AW81" s="91" t="str">
        <f t="shared" si="75"/>
        <v/>
      </c>
      <c r="AY81" s="91" t="str">
        <f t="shared" si="76"/>
        <v/>
      </c>
      <c r="AZ81" s="91" t="str">
        <f t="shared" si="67"/>
        <v/>
      </c>
      <c r="BA81" s="91" t="str">
        <f t="shared" si="77"/>
        <v/>
      </c>
      <c r="BB81" s="91" t="str">
        <f t="shared" si="68"/>
        <v/>
      </c>
      <c r="BE81" s="125" t="str">
        <f t="shared" si="78"/>
        <v/>
      </c>
      <c r="BF81" s="91" t="str">
        <f t="shared" si="79"/>
        <v/>
      </c>
      <c r="BG81" s="91" t="str">
        <f t="shared" si="69"/>
        <v/>
      </c>
      <c r="BH81" s="91" t="str">
        <f t="shared" si="70"/>
        <v/>
      </c>
      <c r="BI81" s="91">
        <f t="shared" si="80"/>
        <v>0</v>
      </c>
      <c r="BJ81" s="133">
        <f t="shared" si="81"/>
        <v>0</v>
      </c>
      <c r="BO81" s="28">
        <f t="shared" si="71"/>
        <v>2100</v>
      </c>
    </row>
    <row r="82" spans="1:67" ht="21" customHeight="1">
      <c r="A82" s="140" t="str">
        <f t="shared" si="73"/>
        <v/>
      </c>
      <c r="B82" s="64" t="str">
        <f t="shared" si="54"/>
        <v/>
      </c>
      <c r="C82" s="65" t="str">
        <f t="shared" si="83"/>
        <v/>
      </c>
      <c r="D82" s="66" t="str">
        <f>IFERROR(IF($C81="TOTAL","अक्षरें राशि :-",IF($C82="TOTAL",SUM($D$8:D81),IF(AU83="","",AU83))),"")</f>
        <v/>
      </c>
      <c r="E82" s="66" t="str">
        <f>IFERROR(IF($C82="TOTAL",SUM($E$8:E81),IF(AV83="","",AV83)),"")</f>
        <v/>
      </c>
      <c r="F82" s="66" t="str">
        <f>IFERROR(IF($C82="TOTAL",SUM($F$8:F81),IF(AW83="","",AW83)),"")</f>
        <v/>
      </c>
      <c r="G82" s="66" t="str">
        <f t="shared" si="84"/>
        <v/>
      </c>
      <c r="H82" s="66" t="str">
        <f>IFERROR(IF($C82="TOTAL",SUM($H$8:H81),IF(AY83="","",AY83)),"")</f>
        <v/>
      </c>
      <c r="I82" s="66" t="str">
        <f>IFERROR(IF($C82="TOTAL",SUM($I$8:I81),IF(AZ83="","",AZ83)),"")</f>
        <v/>
      </c>
      <c r="J82" s="66" t="str">
        <f>IFERROR(IF($C82="TOTAL",SUM($J$8:J81),IF(BA83="","",BA83)),"")</f>
        <v/>
      </c>
      <c r="K82" s="66" t="str">
        <f t="shared" si="85"/>
        <v/>
      </c>
      <c r="L82" s="66" t="str">
        <f>IFERROR(IF(C82="","",IF(D82="","",IF(H82="","",IF($C82="TOTAL",SUM($L$8:L81),SUM(D82-H82))))),"")</f>
        <v/>
      </c>
      <c r="M82" s="66" t="str">
        <f>IFERROR(IF(C82="","",IF(E82="","",IF(I82="","",IF($C82="TOTAL",SUM($M$8:M81),SUM(E82-I82))))),"")</f>
        <v/>
      </c>
      <c r="N82" s="66" t="str">
        <f>IFERROR(IF(C82="","",IF(F82="","",IF(J82="","",IF($C82="TOTAL",SUM($N$8:N81),SUM(F82-J82))))),"")</f>
        <v/>
      </c>
      <c r="O82" s="66" t="str">
        <f t="shared" si="86"/>
        <v/>
      </c>
      <c r="P82" s="66" t="str">
        <f>IFERROR(IF(C82="","",IF($C82="TOTAL",SUM($P$8:P81),IF(AND(C82&gt;$AL$1,$AC$3=$AL$2),BO83,IF($AO$18=$AO$20,SUM(BB83+BJ83),ROUND((D82+E82)*10%,0))))),"")</f>
        <v/>
      </c>
      <c r="Q82" s="66" t="str">
        <f>IFERROR(IF(C82="","",IF(H82="","",IF(I82="","",IF($C82="TOTAL",SUM($Q$8:Q81),IF(AND(C82&gt;$AL$1,$AC$3=$AL$2),BO83,IF($AO$18=$AO$20,$AO$21,ROUND((H82+I82)*10%,0))))))),"")</f>
        <v/>
      </c>
      <c r="R82" s="66" t="str">
        <f t="shared" si="87"/>
        <v/>
      </c>
      <c r="S82" s="67" t="str">
        <f>IFERROR(IF(C82="","",IF($AO$16=$AO$17,0,IF($C82="TOTAL",SUM($S$8:S81),IF($AO$19=$AO$20,$AO$25,0)))),"")</f>
        <v/>
      </c>
      <c r="T82" s="67" t="str">
        <f>IFERROR(IF(C82="","",IF($AO$16=$AO$17,0,IF($C82="TOTAL",SUM($T$8:T81),IF($AO$19=$AO$20,$AO$24,0)))),"")</f>
        <v/>
      </c>
      <c r="U82" s="66" t="str">
        <f t="shared" si="88"/>
        <v/>
      </c>
      <c r="V82" s="66" t="str">
        <f>IF(C82="","",IF($C82="TOTAL",SUM($V$8:V81),IF(AND($AO$2=$AO$20,C82=$AO$1),ROUND(D82/31*$AP$2,0),IF(C82=$AM$6,ROUND((G82)*1/30,0),IF(C82=$AN$6,ROUND((G82)*1/31,0),"")))))</f>
        <v/>
      </c>
      <c r="W82" s="66" t="str">
        <f>IF(C82="","",IF($C82="TOTAL",SUM($W$8:W81),IF(AND($AO$2=$AO$20,C82=$AO$1),ROUND(H82/31*$AP$2,0),IF(C82=$AM$6,ROUND((K82)*1/30,0),IF(C82=$AN$6,ROUND((K82)*1/31,0),"")))))</f>
        <v/>
      </c>
      <c r="X82" s="66" t="str">
        <f t="shared" si="89"/>
        <v/>
      </c>
      <c r="Y82" s="66" t="str">
        <f>IFERROR(IF(C82="","",IF(AND(BH83="",BO83=""),"",IF($C82="TOTAL",SUM($Y$8:Y81),BH83))),"")</f>
        <v/>
      </c>
      <c r="Z82" s="66" t="str">
        <f>IFERROR(IF(C82="","",IF($C82="TOTAL",SUM($Z$8:Z81),ROUND(O82*$AO$7%,0))),"")</f>
        <v/>
      </c>
      <c r="AA82" s="66" t="str">
        <f>IFERROR(IF(C82="","",IF($C82="TOTAL",SUM($AA$8:AA81),IF($AC$3=$AL$2,SUM(U82,X82,Y82,Z82),SUM(R82,U82,X82,Y82,Z82)))),"")</f>
        <v/>
      </c>
      <c r="AB82" s="68" t="str">
        <f>IFERROR(IF(C82="","",IF($C82="TOTAL",SUM($AB$8:AB81),SUM(O82-AA82))),"")</f>
        <v/>
      </c>
      <c r="AK82" s="90">
        <f t="shared" ref="AK82:AK92" si="90">IF(OR(AT82=$AN$9,AT82=$AN$10,AT82=$AN$11,AT82=$AN$12,AT82=$AN$13,AT82=$AN$14),4,IF(OR(AT82=$AN$15,AT82=$AN$16,AT82=$AN$17,AT82=$AN$18,AT82=$AN$19,AT82=$AN$20),5,IF(OR(AT82=$AN$21,AT82=$AN$22,AT82=$AN$23,AT82=$AN$24,AT82=$AN$25,AT82=$AN$26),7,IF(OR(AT82=$AN$27,AT82=$AN$28,AT82=$AN$29,AT82=$AN$30,AT82=$AN$31,AT82=$AN$32),9,IF(OR(AT82=$AN$33,AT82=$AN$34,AT82=$AN$35,AT82=$AN$36,AT82=$AN$37,AT82=$AN$38),12,IF(OR(AT82=$AN$39,AT82=$AN$40,AT82=$AN$41,AT82=$AN$42,AT82=$AN$43,AT82=$AN$44,AT82=$AN$45,AT82=$AN$46,AT82=$AN$47,AT82=$AN$48,AT82=$AN$49,AT82=$AN$50,AT82=$AN$51,AT82=$AN$52,AT82=$AN$53,AT82=$AN$54,AT82=$AN$55,AT82=$AN$56,AT82=$AN$57,AT82=$AN$58,AT82=$AN$59,AT82=$AN$60,AT82=$AN$61,AT82=$AN$62),17,IF(OR(AT82=$AN$63,AT82=$AN$64,AT82=$AN$65,AT82=$AN$66,AT82=$AN$67,AT82=$AN$68),31,34)))))))</f>
        <v>34</v>
      </c>
      <c r="AL82" s="90">
        <f t="shared" ref="AL82:AL92" si="91">IF(OR(AT82=$AN$9,AT82=$AN$10,AT82=$AN$11,AT82=$AN$12,AT82=$AN$13,AT82=$AN$14),4,IF(OR(AT82=$AN$15,AT82=$AN$16,AT82=$AN$17,AT82=$AN$18,AT82=$AN$19,AT82=$AN$20),5,IF(OR(AT82=$AN$21,AT82=$AN$22,AT82=$AN$23,AT82=$AN$24,AT82=$AN$25,AT82=$AN$26),7,IF(OR(AT82=$AN$27,AT82=$AN$28,AT82=$AN$29,AT82=$AN$30,AT82=$AN$31,AT82=$AN$32),9,IF(OR(AT82=$AN$33,AT82=$AN$34,AT82=$AN$35,AT82=$AN$36,AT82=$AN$37,AT82=$AN$38),12,IF(OR(AT82=$AN$39,AT82=$AN$40,AT82=$AN$41,AT82=$AN$42,AT82=$AN$43,AT82=$AN$44,AT82=$AN$45,AT82=$AN$46,AT82=$AN$47,AT82=$AN$48,AT82=$AN$49,AT82=$AN$50,AT82=$AN$51,AT82=$AN$52,AT82=$AN$53,AT82=$AN$54,AT82=$AN$55,AT82=$AN$56,AT82=$AN$57,AT82=$AN$58,AT82=$AN$59,AT82=$AN$60,AT82=$AN$61,AT82=$AN$62),17,IF(OR(AT82=$AN$63,AT82=$AN$64,AT82=$AN$65,AT82=$AN$66,AT82=$AN$67,AT82=$AN$68),31,34)))))))</f>
        <v>34</v>
      </c>
      <c r="AN82" s="92">
        <v>44958</v>
      </c>
      <c r="AP82" s="92">
        <f t="shared" si="44"/>
        <v>44958</v>
      </c>
      <c r="AR82" s="92">
        <f t="shared" si="62"/>
        <v>44958</v>
      </c>
      <c r="AS82" s="92">
        <f t="shared" si="66"/>
        <v>44958</v>
      </c>
      <c r="AT82" s="92" t="str">
        <f t="shared" si="72"/>
        <v/>
      </c>
      <c r="AU82" s="91" t="str">
        <f t="shared" si="74"/>
        <v/>
      </c>
      <c r="AV82" s="91" t="str">
        <f t="shared" si="82"/>
        <v/>
      </c>
      <c r="AW82" s="91" t="str">
        <f t="shared" si="75"/>
        <v/>
      </c>
      <c r="AY82" s="91" t="str">
        <f t="shared" si="76"/>
        <v/>
      </c>
      <c r="AZ82" s="91" t="str">
        <f t="shared" si="67"/>
        <v/>
      </c>
      <c r="BA82" s="91" t="str">
        <f t="shared" si="77"/>
        <v/>
      </c>
      <c r="BB82" s="91" t="str">
        <f t="shared" si="68"/>
        <v/>
      </c>
      <c r="BE82" s="125" t="str">
        <f t="shared" si="78"/>
        <v/>
      </c>
      <c r="BF82" s="91" t="str">
        <f t="shared" si="79"/>
        <v/>
      </c>
      <c r="BG82" s="91" t="str">
        <f t="shared" si="69"/>
        <v/>
      </c>
      <c r="BH82" s="91" t="str">
        <f t="shared" si="70"/>
        <v/>
      </c>
      <c r="BI82" s="91">
        <f t="shared" si="80"/>
        <v>0</v>
      </c>
      <c r="BJ82" s="133">
        <f t="shared" si="81"/>
        <v>0</v>
      </c>
      <c r="BO82" s="28">
        <f t="shared" si="71"/>
        <v>2100</v>
      </c>
    </row>
    <row r="83" spans="1:67" ht="21" customHeight="1">
      <c r="A83" s="140" t="str">
        <f t="shared" si="73"/>
        <v/>
      </c>
      <c r="B83" s="64" t="str">
        <f t="shared" si="54"/>
        <v/>
      </c>
      <c r="C83" s="65" t="str">
        <f t="shared" si="83"/>
        <v/>
      </c>
      <c r="D83" s="66" t="str">
        <f>IFERROR(IF($C82="TOTAL","अक्षरें राशि :-",IF($C83="TOTAL",SUM($D$8:D82),IF(AU84="","",AU84))),"")</f>
        <v/>
      </c>
      <c r="E83" s="66" t="str">
        <f>IFERROR(IF($C83="TOTAL",SUM($E$8:E82),IF(AV84="","",AV84)),"")</f>
        <v/>
      </c>
      <c r="F83" s="66" t="str">
        <f>IFERROR(IF($C83="TOTAL",SUM($F$8:F82),IF(AW84="","",AW84)),"")</f>
        <v/>
      </c>
      <c r="G83" s="66" t="str">
        <f t="shared" si="84"/>
        <v/>
      </c>
      <c r="H83" s="66" t="str">
        <f>IFERROR(IF($C83="TOTAL",SUM($H$8:H82),IF(AY84="","",AY84)),"")</f>
        <v/>
      </c>
      <c r="I83" s="66" t="str">
        <f>IFERROR(IF($C83="TOTAL",SUM($I$8:I82),IF(AZ84="","",AZ84)),"")</f>
        <v/>
      </c>
      <c r="J83" s="66" t="str">
        <f>IFERROR(IF($C83="TOTAL",SUM($J$8:J82),IF(BA84="","",BA84)),"")</f>
        <v/>
      </c>
      <c r="K83" s="66" t="str">
        <f t="shared" si="85"/>
        <v/>
      </c>
      <c r="L83" s="66" t="str">
        <f>IFERROR(IF(C83="","",IF(D83="","",IF(H83="","",IF($C83="TOTAL",SUM($L$8:L82),SUM(D83-H83))))),"")</f>
        <v/>
      </c>
      <c r="M83" s="66" t="str">
        <f>IFERROR(IF(C83="","",IF(E83="","",IF(I83="","",IF($C83="TOTAL",SUM($M$8:M82),SUM(E83-I83))))),"")</f>
        <v/>
      </c>
      <c r="N83" s="66" t="str">
        <f>IFERROR(IF(C83="","",IF(F83="","",IF(J83="","",IF($C83="TOTAL",SUM($N$8:N82),SUM(F83-J83))))),"")</f>
        <v/>
      </c>
      <c r="O83" s="66" t="str">
        <f t="shared" si="86"/>
        <v/>
      </c>
      <c r="P83" s="66" t="str">
        <f>IFERROR(IF(C83="","",IF($C83="TOTAL",SUM($P$8:P82),IF(AND(C83&gt;$AL$1,$AC$3=$AL$2),BO84,IF($AO$18=$AO$20,SUM(BB84+BJ84),ROUND((D83+E83)*10%,0))))),"")</f>
        <v/>
      </c>
      <c r="Q83" s="66" t="str">
        <f>IFERROR(IF(C83="","",IF(H83="","",IF(I83="","",IF($C83="TOTAL",SUM($Q$8:Q82),IF(AND(C83&gt;$AL$1,$AC$3=$AL$2),BO84,IF($AO$18=$AO$20,$AO$21,ROUND((H83+I83)*10%,0))))))),"")</f>
        <v/>
      </c>
      <c r="R83" s="66" t="str">
        <f t="shared" si="87"/>
        <v/>
      </c>
      <c r="S83" s="67" t="str">
        <f>IFERROR(IF(C83="","",IF($AO$16=$AO$17,0,IF($C83="TOTAL",SUM($S$8:S82),IF($AO$19=$AO$20,$AO$25,0)))),"")</f>
        <v/>
      </c>
      <c r="T83" s="67" t="str">
        <f>IFERROR(IF(C83="","",IF($AO$16=$AO$17,0,IF($C83="TOTAL",SUM($T$8:T82),IF($AO$19=$AO$20,$AO$24,0)))),"")</f>
        <v/>
      </c>
      <c r="U83" s="66" t="str">
        <f t="shared" si="88"/>
        <v/>
      </c>
      <c r="V83" s="66" t="str">
        <f>IF(C83="","",IF($C83="TOTAL",SUM($V$8:V82),IF(AND($AO$2=$AO$20,C83=$AO$1),ROUND(D83/31*$AP$2,0),IF(C83=$AM$6,ROUND((G83)*1/30,0),IF(C83=$AN$6,ROUND((G83)*1/31,0),"")))))</f>
        <v/>
      </c>
      <c r="W83" s="66" t="str">
        <f>IF(C83="","",IF($C83="TOTAL",SUM($W$8:W82),IF(AND($AO$2=$AO$20,C83=$AO$1),ROUND(H83/31*$AP$2,0),IF(C83=$AM$6,ROUND((K83)*1/30,0),IF(C83=$AN$6,ROUND((K83)*1/31,0),"")))))</f>
        <v/>
      </c>
      <c r="X83" s="66" t="str">
        <f t="shared" si="89"/>
        <v/>
      </c>
      <c r="Y83" s="66" t="str">
        <f>IFERROR(IF(C83="","",IF(AND(BH84="",BO84=""),"",IF($C83="TOTAL",SUM($Y$8:Y82),BH84))),"")</f>
        <v/>
      </c>
      <c r="Z83" s="66" t="str">
        <f>IFERROR(IF(C83="","",IF($C83="TOTAL",SUM($Z$8:Z82),ROUND(O83*$AO$7%,0))),"")</f>
        <v/>
      </c>
      <c r="AA83" s="66" t="str">
        <f>IFERROR(IF(C83="","",IF($C83="TOTAL",SUM($AA$8:AA82),IF($AC$3=$AL$2,SUM(U83,X83,Y83,Z83),SUM(R83,U83,X83,Y83,Z83)))),"")</f>
        <v/>
      </c>
      <c r="AB83" s="68" t="str">
        <f>IFERROR(IF(C83="","",IF($C83="TOTAL",SUM($AB$8:AB82),SUM(O83-AA83))),"")</f>
        <v/>
      </c>
      <c r="AK83" s="90">
        <f t="shared" si="90"/>
        <v>34</v>
      </c>
      <c r="AL83" s="90">
        <f t="shared" si="91"/>
        <v>34</v>
      </c>
      <c r="AN83" s="92">
        <v>44986</v>
      </c>
      <c r="AP83" s="92">
        <f t="shared" si="44"/>
        <v>44986</v>
      </c>
      <c r="AR83" s="92">
        <f t="shared" si="62"/>
        <v>44986</v>
      </c>
      <c r="AS83" s="92">
        <f t="shared" si="66"/>
        <v>44986</v>
      </c>
      <c r="AT83" s="92" t="str">
        <f t="shared" si="72"/>
        <v/>
      </c>
      <c r="AU83" s="91" t="str">
        <f t="shared" si="74"/>
        <v/>
      </c>
      <c r="AV83" s="91" t="str">
        <f t="shared" si="82"/>
        <v/>
      </c>
      <c r="AW83" s="91" t="str">
        <f t="shared" si="75"/>
        <v/>
      </c>
      <c r="AY83" s="91" t="str">
        <f t="shared" si="76"/>
        <v/>
      </c>
      <c r="AZ83" s="91" t="str">
        <f t="shared" si="67"/>
        <v/>
      </c>
      <c r="BA83" s="91" t="str">
        <f t="shared" si="77"/>
        <v/>
      </c>
      <c r="BB83" s="91" t="str">
        <f t="shared" si="68"/>
        <v/>
      </c>
      <c r="BE83" s="125" t="str">
        <f t="shared" si="78"/>
        <v/>
      </c>
      <c r="BF83" s="91" t="str">
        <f t="shared" si="79"/>
        <v/>
      </c>
      <c r="BG83" s="91" t="str">
        <f t="shared" si="69"/>
        <v/>
      </c>
      <c r="BH83" s="91" t="str">
        <f t="shared" si="70"/>
        <v/>
      </c>
      <c r="BI83" s="91">
        <f t="shared" si="80"/>
        <v>0</v>
      </c>
      <c r="BJ83" s="133">
        <f t="shared" si="81"/>
        <v>0</v>
      </c>
      <c r="BO83" s="28">
        <f t="shared" si="71"/>
        <v>2100</v>
      </c>
    </row>
    <row r="84" spans="1:67" ht="21" customHeight="1">
      <c r="A84" s="140" t="str">
        <f t="shared" ref="A84:A88" si="92">IF(C84="TOTAL","",IF(B83="","",IF(LEN(C84)&gt;=2,B83+1,0)))</f>
        <v/>
      </c>
      <c r="B84" s="64" t="str">
        <f t="shared" si="54"/>
        <v/>
      </c>
      <c r="C84" s="65" t="str">
        <f t="shared" si="83"/>
        <v/>
      </c>
      <c r="D84" s="66" t="str">
        <f>IFERROR(IF($C83="TOTAL","अक्षरें राशि :-",IF($C84="TOTAL",SUM($D$8:D83),IF(AU85="","",AU85))),"")</f>
        <v/>
      </c>
      <c r="E84" s="66" t="str">
        <f>IFERROR(IF($C84="TOTAL",SUM($E$8:E83),IF(AV85="","",AV85)),"")</f>
        <v/>
      </c>
      <c r="F84" s="66" t="str">
        <f>IFERROR(IF($C84="TOTAL",SUM($F$8:F83),IF(AW85="","",AW85)),"")</f>
        <v/>
      </c>
      <c r="G84" s="66" t="str">
        <f t="shared" si="84"/>
        <v/>
      </c>
      <c r="H84" s="66" t="str">
        <f>IFERROR(IF($C84="TOTAL",SUM($H$8:H83),IF(AY85="","",AY85)),"")</f>
        <v/>
      </c>
      <c r="I84" s="66" t="str">
        <f>IFERROR(IF($C84="TOTAL",SUM($I$8:I83),IF(AZ85="","",AZ85)),"")</f>
        <v/>
      </c>
      <c r="J84" s="66" t="str">
        <f>IFERROR(IF($C84="TOTAL",SUM($J$8:J83),IF(BA85="","",BA85)),"")</f>
        <v/>
      </c>
      <c r="K84" s="66" t="str">
        <f t="shared" si="85"/>
        <v/>
      </c>
      <c r="L84" s="66" t="str">
        <f>IFERROR(IF(C84="","",IF(D84="","",IF(H84="","",IF($C84="TOTAL",SUM($L$8:L83),SUM(D84-H84))))),"")</f>
        <v/>
      </c>
      <c r="M84" s="66" t="str">
        <f>IFERROR(IF(C84="","",IF(E84="","",IF(I84="","",IF($C84="TOTAL",SUM($M$8:M83),SUM(E84-I84))))),"")</f>
        <v/>
      </c>
      <c r="N84" s="66" t="str">
        <f>IFERROR(IF(C84="","",IF(F84="","",IF(J84="","",IF($C84="TOTAL",SUM($N$8:N83),SUM(F84-J84))))),"")</f>
        <v/>
      </c>
      <c r="O84" s="66" t="str">
        <f t="shared" si="86"/>
        <v/>
      </c>
      <c r="P84" s="66" t="str">
        <f>IFERROR(IF(C84="","",IF($C84="TOTAL",SUM($P$8:P83),IF(AND(C84&gt;$AL$1,$AC$3=$AL$2),BO85,IF($AO$18=$AO$20,SUM(BB85+BJ85),ROUND((D84+E84)*10%,0))))),"")</f>
        <v/>
      </c>
      <c r="Q84" s="66" t="str">
        <f>IFERROR(IF(C84="","",IF(H84="","",IF(I84="","",IF($C84="TOTAL",SUM($Q$8:Q83),IF(AND(C84&gt;$AL$1,$AC$3=$AL$2),BO85,IF($AO$18=$AO$20,$AO$21,ROUND((H84+I84)*10%,0))))))),"")</f>
        <v/>
      </c>
      <c r="R84" s="66" t="str">
        <f t="shared" si="87"/>
        <v/>
      </c>
      <c r="S84" s="67" t="str">
        <f>IFERROR(IF(C84="","",IF($AO$16=$AO$17,0,IF($C84="TOTAL",SUM($S$8:S83),IF($AO$19=$AO$20,$AO$25,0)))),"")</f>
        <v/>
      </c>
      <c r="T84" s="67" t="str">
        <f>IFERROR(IF(C84="","",IF($AO$16=$AO$17,0,IF($C84="TOTAL",SUM($T$8:T83),IF($AO$19=$AO$20,$AO$24,0)))),"")</f>
        <v/>
      </c>
      <c r="U84" s="66" t="str">
        <f t="shared" si="88"/>
        <v/>
      </c>
      <c r="V84" s="66" t="str">
        <f>IF(C84="","",IF($C84="TOTAL",SUM($V$8:V83),IF(AND($AO$2=$AO$20,C84=$AO$1),ROUND(D84/31*$AP$2,0),IF(C84=$AM$6,ROUND((G84)*1/30,0),IF(C84=$AN$6,ROUND((G84)*1/31,0),"")))))</f>
        <v/>
      </c>
      <c r="W84" s="66" t="str">
        <f>IF(C84="","",IF($C84="TOTAL",SUM($W$8:W83),IF(AND($AO$2=$AO$20,C84=$AO$1),ROUND(H84/31*$AP$2,0),IF(C84=$AM$6,ROUND((K84)*1/30,0),IF(C84=$AN$6,ROUND((K84)*1/31,0),"")))))</f>
        <v/>
      </c>
      <c r="X84" s="66" t="str">
        <f t="shared" si="89"/>
        <v/>
      </c>
      <c r="Y84" s="66" t="str">
        <f>IFERROR(IF(C84="","",IF(AND(BH85="",BO85=""),"",IF($C84="TOTAL",SUM($Y$8:Y83),BH85))),"")</f>
        <v/>
      </c>
      <c r="Z84" s="66" t="str">
        <f>IFERROR(IF(C84="","",IF($C84="TOTAL",SUM($Z$8:Z83),ROUND(O84*$AO$7%,0))),"")</f>
        <v/>
      </c>
      <c r="AA84" s="66" t="str">
        <f>IFERROR(IF(C84="","",IF($C84="TOTAL",SUM($AA$8:AA83),IF($AC$3=$AL$2,SUM(U84,X84,Y84,Z84),SUM(R84,U84,X84,Y84,Z84)))),"")</f>
        <v/>
      </c>
      <c r="AB84" s="68" t="str">
        <f>IFERROR(IF(C84="","",IF($C84="TOTAL",SUM($AB$8:AB83),SUM(O84-AA84))),"")</f>
        <v/>
      </c>
      <c r="AK84" s="90">
        <f t="shared" si="90"/>
        <v>34</v>
      </c>
      <c r="AL84" s="90">
        <f t="shared" si="91"/>
        <v>34</v>
      </c>
      <c r="AN84" s="92">
        <v>45017</v>
      </c>
      <c r="AP84" s="92">
        <f t="shared" ref="AP84:AP92" si="93">IF(AND($AO$6&gt;$AP$6),"",DATE(YEAR(AP83),MONTH(AP83)+1,DAY(AP83)))</f>
        <v>45017</v>
      </c>
      <c r="AR84" s="92">
        <f t="shared" si="62"/>
        <v>45017</v>
      </c>
      <c r="AS84" s="92">
        <f t="shared" si="66"/>
        <v>45017</v>
      </c>
      <c r="AT84" s="92" t="str">
        <f>IFERROR(IF(AS84="","",IF(DATE(YEAR(AS84),MONTH(AS84),DAY(AS84))=DATE(YEAR($AP$6),MONTH($AP$6)+1,DAY($AP$6)),"TOTAL",IF(AS84&gt;$AP$6,"",AS84))),"")</f>
        <v/>
      </c>
      <c r="AU84" s="91" t="str">
        <f t="shared" si="74"/>
        <v/>
      </c>
      <c r="AV84" s="91" t="str">
        <f t="shared" si="82"/>
        <v/>
      </c>
      <c r="AW84" s="91" t="str">
        <f t="shared" si="75"/>
        <v/>
      </c>
      <c r="AY84" s="91" t="str">
        <f t="shared" si="76"/>
        <v/>
      </c>
      <c r="AZ84" s="91" t="str">
        <f t="shared" si="67"/>
        <v/>
      </c>
      <c r="BA84" s="91" t="str">
        <f t="shared" si="77"/>
        <v/>
      </c>
      <c r="BB84" s="91" t="str">
        <f t="shared" si="68"/>
        <v/>
      </c>
      <c r="BE84" s="125" t="str">
        <f t="shared" si="78"/>
        <v/>
      </c>
      <c r="BF84" s="91" t="str">
        <f t="shared" si="79"/>
        <v/>
      </c>
      <c r="BG84" s="91" t="str">
        <f t="shared" si="69"/>
        <v/>
      </c>
      <c r="BH84" s="91" t="str">
        <f t="shared" si="70"/>
        <v/>
      </c>
      <c r="BI84" s="91">
        <f t="shared" si="80"/>
        <v>0</v>
      </c>
      <c r="BJ84" s="133">
        <f t="shared" si="81"/>
        <v>0</v>
      </c>
      <c r="BO84" s="28">
        <f t="shared" si="71"/>
        <v>2100</v>
      </c>
    </row>
    <row r="85" spans="1:67" ht="21" customHeight="1">
      <c r="A85" s="140" t="str">
        <f t="shared" si="92"/>
        <v/>
      </c>
      <c r="B85" s="64" t="str">
        <f t="shared" si="54"/>
        <v/>
      </c>
      <c r="C85" s="65" t="str">
        <f t="shared" si="83"/>
        <v/>
      </c>
      <c r="D85" s="66" t="str">
        <f>IFERROR(IF($C84="TOTAL","अक्षरें राशि :-",IF($C85="TOTAL",SUM($D$8:D84),IF(AU86="","",AU86))),"")</f>
        <v/>
      </c>
      <c r="E85" s="66" t="str">
        <f>IFERROR(IF($C85="TOTAL",SUM($E$8:E84),IF(AV86="","",AV86)),"")</f>
        <v/>
      </c>
      <c r="F85" s="66" t="str">
        <f>IFERROR(IF($C85="TOTAL",SUM($F$8:F84),IF(AW86="","",AW86)),"")</f>
        <v/>
      </c>
      <c r="G85" s="66" t="str">
        <f t="shared" si="84"/>
        <v/>
      </c>
      <c r="H85" s="66" t="str">
        <f>IFERROR(IF($C85="TOTAL",SUM($H$8:H84),IF(AY86="","",AY86)),"")</f>
        <v/>
      </c>
      <c r="I85" s="66" t="str">
        <f>IFERROR(IF($C85="TOTAL",SUM($I$8:I84),IF(AZ86="","",AZ86)),"")</f>
        <v/>
      </c>
      <c r="J85" s="66" t="str">
        <f>IFERROR(IF($C85="TOTAL",SUM($J$8:J84),IF(BA86="","",BA86)),"")</f>
        <v/>
      </c>
      <c r="K85" s="66" t="str">
        <f t="shared" si="85"/>
        <v/>
      </c>
      <c r="L85" s="66" t="str">
        <f>IFERROR(IF(C85="","",IF(D85="","",IF(H85="","",IF($C85="TOTAL",SUM($L$8:L84),SUM(D85-H85))))),"")</f>
        <v/>
      </c>
      <c r="M85" s="66" t="str">
        <f>IFERROR(IF(C85="","",IF(E85="","",IF(I85="","",IF($C85="TOTAL",SUM($M$8:M84),SUM(E85-I85))))),"")</f>
        <v/>
      </c>
      <c r="N85" s="66" t="str">
        <f>IFERROR(IF(C85="","",IF(F85="","",IF(J85="","",IF($C85="TOTAL",SUM($N$8:N84),SUM(F85-J85))))),"")</f>
        <v/>
      </c>
      <c r="O85" s="66" t="str">
        <f t="shared" si="86"/>
        <v/>
      </c>
      <c r="P85" s="66" t="str">
        <f>IFERROR(IF(C85="","",IF($C85="TOTAL",SUM($P$8:P84),IF(AND(C85&gt;$AL$1,$AC$3=$AL$2),BO86,IF($AO$18=$AO$20,SUM(BB86+BJ86),ROUND((D85+E85)*10%,0))))),"")</f>
        <v/>
      </c>
      <c r="Q85" s="66" t="str">
        <f>IFERROR(IF(C85="","",IF(H85="","",IF(I85="","",IF($C85="TOTAL",SUM($Q$8:Q84),IF(AND(C85&gt;$AL$1,$AC$3=$AL$2),BO86,IF($AO$18=$AO$20,$AO$21,ROUND((H85+I85)*10%,0))))))),"")</f>
        <v/>
      </c>
      <c r="R85" s="66" t="str">
        <f t="shared" si="87"/>
        <v/>
      </c>
      <c r="S85" s="67" t="str">
        <f>IFERROR(IF(C85="","",IF($AO$16=$AO$17,0,IF($C85="TOTAL",SUM($S$8:S84),IF($AO$19=$AO$20,$AO$25,0)))),"")</f>
        <v/>
      </c>
      <c r="T85" s="67" t="str">
        <f>IFERROR(IF(C85="","",IF($AO$16=$AO$17,0,IF($C85="TOTAL",SUM($T$8:T84),IF($AO$19=$AO$20,$AO$24,0)))),"")</f>
        <v/>
      </c>
      <c r="U85" s="66" t="str">
        <f t="shared" si="88"/>
        <v/>
      </c>
      <c r="V85" s="66" t="str">
        <f>IF(C85="","",IF($C85="TOTAL",SUM($V$8:V84),IF(AND($AO$2=$AO$20,C85=$AO$1),ROUND(D85/31*$AP$2,0),IF(C85=$AM$6,ROUND((G85)*1/30,0),IF(C85=$AN$6,ROUND((G85)*1/31,0),"")))))</f>
        <v/>
      </c>
      <c r="W85" s="66" t="str">
        <f>IF(C85="","",IF($C85="TOTAL",SUM($W$8:W84),IF(AND($AO$2=$AO$20,C85=$AO$1),ROUND(H85/31*$AP$2,0),IF(C85=$AM$6,ROUND((K85)*1/30,0),IF(C85=$AN$6,ROUND((K85)*1/31,0),"")))))</f>
        <v/>
      </c>
      <c r="X85" s="66" t="str">
        <f t="shared" si="89"/>
        <v/>
      </c>
      <c r="Y85" s="66" t="str">
        <f>IFERROR(IF(C85="","",IF(AND(BH86="",BO86=""),"",IF($C85="TOTAL",SUM($Y$8:Y84),BH86))),"")</f>
        <v/>
      </c>
      <c r="Z85" s="66" t="str">
        <f>IFERROR(IF(C85="","",IF($C85="TOTAL",SUM($Z$8:Z84),ROUND(O85*$AO$7%,0))),"")</f>
        <v/>
      </c>
      <c r="AA85" s="66" t="str">
        <f>IFERROR(IF(C85="","",IF($C85="TOTAL",SUM($AA$8:AA84),IF($AC$3=$AL$2,SUM(U85,X85,Y85,Z85),SUM(R85,U85,X85,Y85,Z85)))),"")</f>
        <v/>
      </c>
      <c r="AB85" s="68" t="str">
        <f>IFERROR(IF(C85="","",IF($C85="TOTAL",SUM($AB$8:AB84),SUM(O85-AA85))),"")</f>
        <v/>
      </c>
      <c r="AK85" s="90">
        <f t="shared" si="90"/>
        <v>34</v>
      </c>
      <c r="AL85" s="90">
        <f t="shared" si="91"/>
        <v>34</v>
      </c>
      <c r="AN85" s="92">
        <v>45047</v>
      </c>
      <c r="AP85" s="92">
        <f t="shared" si="93"/>
        <v>45047</v>
      </c>
      <c r="AR85" s="92">
        <f t="shared" si="62"/>
        <v>45047</v>
      </c>
      <c r="AS85" s="92">
        <f t="shared" si="66"/>
        <v>45047</v>
      </c>
      <c r="AT85" s="92" t="str">
        <f t="shared" ref="AT85:AT92" si="94">IFERROR(IF(AS85="","",IF(DATE(YEAR(AS85),MONTH(AS85),DAY(AS85))=DATE(YEAR($AP$6),MONTH($AP$6)+1,DAY($AP$6)),"TOTAL",IF(AS85&gt;$AP$6,"",AS85))),"")</f>
        <v/>
      </c>
      <c r="AU85" s="91" t="str">
        <f t="shared" si="74"/>
        <v/>
      </c>
      <c r="AV85" s="91" t="str">
        <f t="shared" si="82"/>
        <v/>
      </c>
      <c r="AW85" s="91" t="str">
        <f t="shared" si="75"/>
        <v/>
      </c>
      <c r="AY85" s="91" t="str">
        <f t="shared" si="76"/>
        <v/>
      </c>
      <c r="AZ85" s="91" t="str">
        <f t="shared" si="67"/>
        <v/>
      </c>
      <c r="BA85" s="91" t="str">
        <f t="shared" si="77"/>
        <v/>
      </c>
      <c r="BB85" s="91" t="str">
        <f t="shared" si="68"/>
        <v/>
      </c>
      <c r="BE85" s="125" t="str">
        <f t="shared" si="78"/>
        <v/>
      </c>
      <c r="BF85" s="91" t="str">
        <f t="shared" si="79"/>
        <v/>
      </c>
      <c r="BG85" s="91" t="str">
        <f t="shared" si="69"/>
        <v/>
      </c>
      <c r="BH85" s="91" t="str">
        <f t="shared" si="70"/>
        <v/>
      </c>
      <c r="BI85" s="91">
        <f t="shared" si="80"/>
        <v>0</v>
      </c>
      <c r="BJ85" s="133">
        <f t="shared" si="81"/>
        <v>0</v>
      </c>
      <c r="BO85" s="28">
        <f t="shared" si="71"/>
        <v>2100</v>
      </c>
    </row>
    <row r="86" spans="1:67" ht="21" customHeight="1">
      <c r="A86" s="140" t="str">
        <f t="shared" si="92"/>
        <v/>
      </c>
      <c r="B86" s="64" t="str">
        <f t="shared" si="54"/>
        <v/>
      </c>
      <c r="C86" s="65" t="str">
        <f t="shared" si="83"/>
        <v/>
      </c>
      <c r="D86" s="66" t="str">
        <f>IFERROR(IF($C85="TOTAL","अक्षरें राशि :-",IF($C86="TOTAL",SUM($D$8:D85),IF(AU87="","",AU87))),"")</f>
        <v/>
      </c>
      <c r="E86" s="66" t="str">
        <f>IFERROR(IF($C86="TOTAL",SUM($E$8:E85),IF(AV87="","",AV87)),"")</f>
        <v/>
      </c>
      <c r="F86" s="66" t="str">
        <f>IFERROR(IF($C86="TOTAL",SUM($F$8:F85),IF(AW87="","",AW87)),"")</f>
        <v/>
      </c>
      <c r="G86" s="66" t="str">
        <f t="shared" si="84"/>
        <v/>
      </c>
      <c r="H86" s="66" t="str">
        <f>IFERROR(IF($C86="TOTAL",SUM($H$8:H85),IF(AY87="","",AY87)),"")</f>
        <v/>
      </c>
      <c r="I86" s="66" t="str">
        <f>IFERROR(IF($C86="TOTAL",SUM($I$8:I85),IF(AZ87="","",AZ87)),"")</f>
        <v/>
      </c>
      <c r="J86" s="66" t="str">
        <f>IFERROR(IF($C86="TOTAL",SUM($J$8:J85),IF(BA87="","",BA87)),"")</f>
        <v/>
      </c>
      <c r="K86" s="66" t="str">
        <f t="shared" si="85"/>
        <v/>
      </c>
      <c r="L86" s="66" t="str">
        <f>IFERROR(IF(C86="","",IF(D86="","",IF(H86="","",IF($C86="TOTAL",SUM($L$8:L85),SUM(D86-H86))))),"")</f>
        <v/>
      </c>
      <c r="M86" s="66" t="str">
        <f>IFERROR(IF(C86="","",IF(E86="","",IF(I86="","",IF($C86="TOTAL",SUM($M$8:M85),SUM(E86-I86))))),"")</f>
        <v/>
      </c>
      <c r="N86" s="66" t="str">
        <f>IFERROR(IF(C86="","",IF(F86="","",IF(J86="","",IF($C86="TOTAL",SUM($N$8:N85),SUM(F86-J86))))),"")</f>
        <v/>
      </c>
      <c r="O86" s="66" t="str">
        <f t="shared" si="86"/>
        <v/>
      </c>
      <c r="P86" s="66" t="str">
        <f>IFERROR(IF(C86="","",IF($C86="TOTAL",SUM($P$8:P85),IF(AND(C86&gt;$AL$1,$AC$3=$AL$2),BO87,IF($AO$18=$AO$20,SUM(BB87+BJ87),ROUND((D86+E86)*10%,0))))),"")</f>
        <v/>
      </c>
      <c r="Q86" s="66" t="str">
        <f>IFERROR(IF(C86="","",IF(H86="","",IF(I86="","",IF($C86="TOTAL",SUM($Q$8:Q85),IF(AND(C86&gt;$AL$1,$AC$3=$AL$2),BO87,IF($AO$18=$AO$20,$AO$21,ROUND((H86+I86)*10%,0))))))),"")</f>
        <v/>
      </c>
      <c r="R86" s="66" t="str">
        <f t="shared" si="87"/>
        <v/>
      </c>
      <c r="S86" s="67" t="str">
        <f>IFERROR(IF(C86="","",IF($AO$16=$AO$17,0,IF($C86="TOTAL",SUM($S$8:S85),IF($AO$19=$AO$20,$AO$25,0)))),"")</f>
        <v/>
      </c>
      <c r="T86" s="67" t="str">
        <f>IFERROR(IF(C86="","",IF($AO$16=$AO$17,0,IF($C86="TOTAL",SUM($T$8:T85),IF($AO$19=$AO$20,$AO$24,0)))),"")</f>
        <v/>
      </c>
      <c r="U86" s="66" t="str">
        <f t="shared" si="88"/>
        <v/>
      </c>
      <c r="V86" s="66" t="str">
        <f>IF(C86="","",IF($C86="TOTAL",SUM($V$8:V85),IF(AND($AO$2=$AO$20,C86=$AO$1),ROUND(D86/31*$AP$2,0),IF(C86=$AM$6,ROUND((G86)*1/30,0),IF(C86=$AN$6,ROUND((G86)*1/31,0),"")))))</f>
        <v/>
      </c>
      <c r="W86" s="66" t="str">
        <f>IF(C86="","",IF($C86="TOTAL",SUM($W$8:W85),IF(AND($AO$2=$AO$20,C86=$AO$1),ROUND(H86/31*$AP$2,0),IF(C86=$AM$6,ROUND((K86)*1/30,0),IF(C86=$AN$6,ROUND((K86)*1/31,0),"")))))</f>
        <v/>
      </c>
      <c r="X86" s="66" t="str">
        <f t="shared" si="89"/>
        <v/>
      </c>
      <c r="Y86" s="66" t="str">
        <f>IFERROR(IF(C86="","",IF(AND(BH87="",BO87=""),"",IF($C86="TOTAL",SUM($Y$8:Y85),BH87))),"")</f>
        <v/>
      </c>
      <c r="Z86" s="66" t="str">
        <f>IFERROR(IF(C86="","",IF($C86="TOTAL",SUM($Z$8:Z85),ROUND(O86*$AO$7%,0))),"")</f>
        <v/>
      </c>
      <c r="AA86" s="66" t="str">
        <f>IFERROR(IF(C86="","",IF($C86="TOTAL",SUM($AA$8:AA85),IF($AC$3=$AL$2,SUM(U86,X86,Y86,Z86),SUM(R86,U86,X86,Y86,Z86)))),"")</f>
        <v/>
      </c>
      <c r="AB86" s="68" t="str">
        <f>IFERROR(IF(C86="","",IF($C86="TOTAL",SUM($AB$8:AB85),SUM(O86-AA86))),"")</f>
        <v/>
      </c>
      <c r="AK86" s="90">
        <f t="shared" si="90"/>
        <v>34</v>
      </c>
      <c r="AL86" s="90">
        <f t="shared" si="91"/>
        <v>34</v>
      </c>
      <c r="AN86" s="92">
        <v>45078</v>
      </c>
      <c r="AP86" s="92">
        <f t="shared" si="93"/>
        <v>45078</v>
      </c>
      <c r="AR86" s="92">
        <f t="shared" si="62"/>
        <v>45078</v>
      </c>
      <c r="AS86" s="92">
        <f t="shared" si="66"/>
        <v>45078</v>
      </c>
      <c r="AT86" s="92" t="str">
        <f t="shared" si="94"/>
        <v/>
      </c>
      <c r="AU86" s="91" t="str">
        <f t="shared" si="74"/>
        <v/>
      </c>
      <c r="AV86" s="91" t="str">
        <f t="shared" si="82"/>
        <v/>
      </c>
      <c r="AW86" s="91" t="str">
        <f t="shared" si="75"/>
        <v/>
      </c>
      <c r="AY86" s="91" t="str">
        <f t="shared" si="76"/>
        <v/>
      </c>
      <c r="AZ86" s="91" t="str">
        <f>IF(AT86="","",IF(AT86="TOTAL","",IF(AY86="","",IF($AO$16=$AO$17,0,ROUND(AY86*AL86%,0)))))</f>
        <v/>
      </c>
      <c r="BA86" s="91" t="str">
        <f t="shared" si="77"/>
        <v/>
      </c>
      <c r="BB86" s="91" t="str">
        <f t="shared" si="68"/>
        <v/>
      </c>
      <c r="BE86" s="125" t="str">
        <f t="shared" si="78"/>
        <v/>
      </c>
      <c r="BF86" s="91" t="str">
        <f t="shared" si="79"/>
        <v/>
      </c>
      <c r="BG86" s="91" t="str">
        <f t="shared" si="69"/>
        <v/>
      </c>
      <c r="BH86" s="91" t="str">
        <f t="shared" si="70"/>
        <v/>
      </c>
      <c r="BI86" s="91">
        <f t="shared" si="80"/>
        <v>0</v>
      </c>
      <c r="BJ86" s="133">
        <f t="shared" si="81"/>
        <v>0</v>
      </c>
      <c r="BO86" s="28">
        <f t="shared" si="71"/>
        <v>2100</v>
      </c>
    </row>
    <row r="87" spans="1:67" ht="21" customHeight="1">
      <c r="A87" s="140" t="str">
        <f t="shared" si="92"/>
        <v/>
      </c>
      <c r="B87" s="64" t="str">
        <f t="shared" si="54"/>
        <v/>
      </c>
      <c r="C87" s="65" t="str">
        <f t="shared" si="83"/>
        <v/>
      </c>
      <c r="D87" s="66" t="str">
        <f>IFERROR(IF($C86="TOTAL","अक्षरें राशि :-",IF($C87="TOTAL",SUM($D$8:D86),IF(AU88="","",AU88))),"")</f>
        <v/>
      </c>
      <c r="E87" s="66" t="str">
        <f>IFERROR(IF($C87="TOTAL",SUM($E$8:E86),IF(AV88="","",AV88)),"")</f>
        <v/>
      </c>
      <c r="F87" s="66" t="str">
        <f>IFERROR(IF($C87="TOTAL",SUM($F$8:F86),IF(AW88="","",AW88)),"")</f>
        <v/>
      </c>
      <c r="G87" s="66" t="str">
        <f t="shared" si="84"/>
        <v/>
      </c>
      <c r="H87" s="66" t="str">
        <f>IFERROR(IF($C87="TOTAL",SUM($H$8:H86),IF(AY88="","",AY88)),"")</f>
        <v/>
      </c>
      <c r="I87" s="66" t="str">
        <f>IFERROR(IF($C87="TOTAL",SUM($I$8:I86),IF(AZ88="","",AZ88)),"")</f>
        <v/>
      </c>
      <c r="J87" s="66" t="str">
        <f>IFERROR(IF($C87="TOTAL",SUM($J$8:J86),IF(BA88="","",BA88)),"")</f>
        <v/>
      </c>
      <c r="K87" s="66" t="str">
        <f t="shared" si="85"/>
        <v/>
      </c>
      <c r="L87" s="66" t="str">
        <f>IFERROR(IF(C87="","",IF(D87="","",IF(H87="","",IF($C87="TOTAL",SUM($L$8:L86),SUM(D87-H87))))),"")</f>
        <v/>
      </c>
      <c r="M87" s="66" t="str">
        <f>IFERROR(IF(C87="","",IF(E87="","",IF(I87="","",IF($C87="TOTAL",SUM($M$8:M86),SUM(E87-I87))))),"")</f>
        <v/>
      </c>
      <c r="N87" s="66" t="str">
        <f>IFERROR(IF(C87="","",IF(F87="","",IF(J87="","",IF($C87="TOTAL",SUM($N$8:N86),SUM(F87-J87))))),"")</f>
        <v/>
      </c>
      <c r="O87" s="66" t="str">
        <f t="shared" si="86"/>
        <v/>
      </c>
      <c r="P87" s="66" t="str">
        <f>IFERROR(IF(C87="","",IF($C87="TOTAL",SUM($P$8:P86),IF(AND(C87&gt;$AL$1,$AC$3=$AL$2),BO88,IF($AO$18=$AO$20,SUM(BB88+BJ88),ROUND((D87+E87)*10%,0))))),"")</f>
        <v/>
      </c>
      <c r="Q87" s="66" t="str">
        <f>IFERROR(IF(C87="","",IF(H87="","",IF(I87="","",IF($C87="TOTAL",SUM($Q$8:Q86),IF(AND(C87&gt;$AL$1,$AC$3=$AL$2),BO88,IF($AO$18=$AO$20,$AO$21,ROUND((H87+I87)*10%,0))))))),"")</f>
        <v/>
      </c>
      <c r="R87" s="66" t="str">
        <f t="shared" si="87"/>
        <v/>
      </c>
      <c r="S87" s="67" t="str">
        <f>IFERROR(IF(C87="","",IF($AO$16=$AO$17,0,IF($C87="TOTAL",SUM($S$8:S86),IF($AO$19=$AO$20,$AO$25,0)))),"")</f>
        <v/>
      </c>
      <c r="T87" s="67" t="str">
        <f>IFERROR(IF(C87="","",IF($AO$16=$AO$17,0,IF($C87="TOTAL",SUM($T$8:T86),IF($AO$19=$AO$20,$AO$24,0)))),"")</f>
        <v/>
      </c>
      <c r="U87" s="66" t="str">
        <f t="shared" si="88"/>
        <v/>
      </c>
      <c r="V87" s="66" t="str">
        <f>IF(C87="","",IF($C87="TOTAL",SUM($V$8:V86),IF(AND($AO$2=$AO$20,C87=$AO$1),ROUND(D87/31*$AP$2,0),IF(C87=$AM$6,ROUND((G87)*1/30,0),IF(C87=$AN$6,ROUND((G87)*1/31,0),"")))))</f>
        <v/>
      </c>
      <c r="W87" s="66" t="str">
        <f>IF(C87="","",IF($C87="TOTAL",SUM($W$8:W86),IF(AND($AO$2=$AO$20,C87=$AO$1),ROUND(H87/31*$AP$2,0),IF(C87=$AM$6,ROUND((K87)*1/30,0),IF(C87=$AN$6,ROUND((K87)*1/31,0),"")))))</f>
        <v/>
      </c>
      <c r="X87" s="66" t="str">
        <f t="shared" si="89"/>
        <v/>
      </c>
      <c r="Y87" s="66" t="str">
        <f>IFERROR(IF(C87="","",IF(AND(BH88="",BO88=""),"",IF($C87="TOTAL",SUM($Y$8:Y86),BH88))),"")</f>
        <v/>
      </c>
      <c r="Z87" s="66" t="str">
        <f>IFERROR(IF(C87="","",IF($C87="TOTAL",SUM($Z$8:Z86),ROUND(O87*$AO$7%,0))),"")</f>
        <v/>
      </c>
      <c r="AA87" s="66" t="str">
        <f>IFERROR(IF(C87="","",IF($C87="TOTAL",SUM($AA$8:AA86),IF($AC$3=$AL$2,SUM(U87,X87,Y87,Z87),SUM(R87,U87,X87,Y87,Z87)))),"")</f>
        <v/>
      </c>
      <c r="AB87" s="68" t="str">
        <f>IFERROR(IF(C87="","",IF($C87="TOTAL",SUM($AB$8:AB86),SUM(O87-AA87))),"")</f>
        <v/>
      </c>
      <c r="AK87" s="90">
        <f t="shared" si="90"/>
        <v>34</v>
      </c>
      <c r="AL87" s="90">
        <f t="shared" si="91"/>
        <v>34</v>
      </c>
      <c r="AN87" s="92">
        <v>45108</v>
      </c>
      <c r="AP87" s="92">
        <f t="shared" si="93"/>
        <v>45108</v>
      </c>
      <c r="AR87" s="92">
        <f t="shared" si="62"/>
        <v>45108</v>
      </c>
      <c r="AS87" s="92">
        <f t="shared" si="66"/>
        <v>45108</v>
      </c>
      <c r="AT87" s="92" t="str">
        <f t="shared" si="94"/>
        <v/>
      </c>
      <c r="AU87" s="91" t="str">
        <f t="shared" si="74"/>
        <v/>
      </c>
      <c r="AV87" s="91" t="str">
        <f t="shared" si="82"/>
        <v/>
      </c>
      <c r="AW87" s="91" t="str">
        <f t="shared" si="75"/>
        <v/>
      </c>
      <c r="AY87" s="91" t="str">
        <f t="shared" si="76"/>
        <v/>
      </c>
      <c r="AZ87" s="91" t="str">
        <f t="shared" si="67"/>
        <v/>
      </c>
      <c r="BA87" s="91" t="str">
        <f t="shared" si="77"/>
        <v/>
      </c>
      <c r="BB87" s="91" t="str">
        <f t="shared" si="68"/>
        <v/>
      </c>
      <c r="BE87" s="125" t="str">
        <f t="shared" si="78"/>
        <v/>
      </c>
      <c r="BF87" s="91" t="str">
        <f t="shared" si="79"/>
        <v/>
      </c>
      <c r="BG87" s="91" t="str">
        <f t="shared" si="69"/>
        <v/>
      </c>
      <c r="BH87" s="91" t="str">
        <f t="shared" si="70"/>
        <v/>
      </c>
      <c r="BI87" s="91">
        <f t="shared" si="80"/>
        <v>0</v>
      </c>
      <c r="BJ87" s="133">
        <f t="shared" si="81"/>
        <v>0</v>
      </c>
      <c r="BO87" s="28">
        <f t="shared" si="71"/>
        <v>2100</v>
      </c>
    </row>
    <row r="88" spans="1:67" ht="21" customHeight="1">
      <c r="A88" s="140" t="str">
        <f t="shared" si="92"/>
        <v/>
      </c>
      <c r="B88" s="64" t="str">
        <f t="shared" si="54"/>
        <v/>
      </c>
      <c r="C88" s="65" t="str">
        <f t="shared" si="83"/>
        <v/>
      </c>
      <c r="D88" s="66" t="str">
        <f>IFERROR(IF($C87="TOTAL","अक्षरें राशि :-",IF($C88="TOTAL",SUM($D$8:D87),IF(AU89="","",AU89))),"")</f>
        <v/>
      </c>
      <c r="E88" s="66" t="str">
        <f>IFERROR(IF($C88="TOTAL",SUM($E$8:E87),IF(AV89="","",AV89)),"")</f>
        <v/>
      </c>
      <c r="F88" s="66" t="str">
        <f>IFERROR(IF($C88="TOTAL",SUM($F$8:F87),IF(AW89="","",AW89)),"")</f>
        <v/>
      </c>
      <c r="G88" s="66" t="str">
        <f t="shared" si="84"/>
        <v/>
      </c>
      <c r="H88" s="66" t="str">
        <f>IFERROR(IF($C88="TOTAL",SUM($H$8:H87),IF(AY89="","",AY89)),"")</f>
        <v/>
      </c>
      <c r="I88" s="66" t="str">
        <f>IFERROR(IF($C88="TOTAL",SUM($I$8:I87),IF(AZ89="","",AZ89)),"")</f>
        <v/>
      </c>
      <c r="J88" s="66" t="str">
        <f>IFERROR(IF($C88="TOTAL",SUM($J$8:J87),IF(BA89="","",BA89)),"")</f>
        <v/>
      </c>
      <c r="K88" s="66" t="str">
        <f t="shared" si="85"/>
        <v/>
      </c>
      <c r="L88" s="66" t="str">
        <f>IFERROR(IF(C88="","",IF(D88="","",IF(H88="","",IF($C88="TOTAL",SUM($L$8:L87),SUM(D88-H88))))),"")</f>
        <v/>
      </c>
      <c r="M88" s="66" t="str">
        <f>IFERROR(IF(C88="","",IF(E88="","",IF(I88="","",IF($C88="TOTAL",SUM($M$8:M87),SUM(E88-I88))))),"")</f>
        <v/>
      </c>
      <c r="N88" s="66" t="str">
        <f>IFERROR(IF(C88="","",IF(F88="","",IF(J88="","",IF($C88="TOTAL",SUM($N$8:N87),SUM(F88-J88))))),"")</f>
        <v/>
      </c>
      <c r="O88" s="66" t="str">
        <f t="shared" si="86"/>
        <v/>
      </c>
      <c r="P88" s="66" t="str">
        <f>IFERROR(IF(C88="","",IF($C88="TOTAL",SUM($P$8:P87),IF(AND(C88&gt;$AL$1,$AC$3=$AL$2),BO89,IF($AO$18=$AO$20,SUM(BB89+BJ89),ROUND((D88+E88)*10%,0))))),"")</f>
        <v/>
      </c>
      <c r="Q88" s="66" t="str">
        <f>IFERROR(IF(C88="","",IF(H88="","",IF(I88="","",IF($C88="TOTAL",SUM($Q$8:Q87),IF(AND(C88&gt;$AL$1,$AC$3=$AL$2),BO89,IF($AO$18=$AO$20,$AO$21,ROUND((H88+I88)*10%,0))))))),"")</f>
        <v/>
      </c>
      <c r="R88" s="66" t="str">
        <f t="shared" si="87"/>
        <v/>
      </c>
      <c r="S88" s="67" t="str">
        <f>IFERROR(IF(C88="","",IF($AO$16=$AO$17,0,IF($C88="TOTAL",SUM($S$8:S87),IF($AO$19=$AO$20,$AO$25,0)))),"")</f>
        <v/>
      </c>
      <c r="T88" s="67" t="str">
        <f>IFERROR(IF(C88="","",IF($AO$16=$AO$17,0,IF($C88="TOTAL",SUM($T$8:T87),IF($AO$19=$AO$20,$AO$24,0)))),"")</f>
        <v/>
      </c>
      <c r="U88" s="66" t="str">
        <f t="shared" si="88"/>
        <v/>
      </c>
      <c r="V88" s="66" t="str">
        <f>IF(C88="","",IF($C88="TOTAL",SUM($V$8:V87),IF(AND($AO$2=$AO$20,C88=$AO$1),ROUND(D88/31*$AP$2,0),IF(C88=$AM$6,ROUND((G88)*1/30,0),IF(C88=$AN$6,ROUND((G88)*1/31,0),"")))))</f>
        <v/>
      </c>
      <c r="W88" s="66" t="str">
        <f>IF(C88="","",IF($C88="TOTAL",SUM($W$8:W87),IF(AND($AO$2=$AO$20,C88=$AO$1),ROUND(H88/31*$AP$2,0),IF(C88=$AM$6,ROUND((K88)*1/30,0),IF(C88=$AN$6,ROUND((K88)*1/31,0),"")))))</f>
        <v/>
      </c>
      <c r="X88" s="66" t="str">
        <f t="shared" si="89"/>
        <v/>
      </c>
      <c r="Y88" s="66" t="str">
        <f>IFERROR(IF(C88="","",IF(AND(BH89="",BO89=""),"",IF($C88="TOTAL",SUM($Y$8:Y87),BH89))),"")</f>
        <v/>
      </c>
      <c r="Z88" s="66" t="str">
        <f>IFERROR(IF(C88="","",IF($C88="TOTAL",SUM($Z$8:Z87),ROUND(O88*$AO$7%,0))),"")</f>
        <v/>
      </c>
      <c r="AA88" s="66" t="str">
        <f>IFERROR(IF(C88="","",IF($C88="TOTAL",SUM($AA$8:AA87),IF($AC$3=$AL$2,SUM(U88,X88,Y88,Z88),SUM(R88,U88,X88,Y88,Z88)))),"")</f>
        <v/>
      </c>
      <c r="AB88" s="68" t="str">
        <f>IFERROR(IF(C88="","",IF($C88="TOTAL",SUM($AB$8:AB87),SUM(O88-AA88))),"")</f>
        <v/>
      </c>
      <c r="AK88" s="90">
        <f t="shared" si="90"/>
        <v>34</v>
      </c>
      <c r="AL88" s="90">
        <f t="shared" si="91"/>
        <v>34</v>
      </c>
      <c r="AN88" s="92">
        <v>45139</v>
      </c>
      <c r="AP88" s="92">
        <f t="shared" si="93"/>
        <v>45139</v>
      </c>
      <c r="AR88" s="92">
        <f t="shared" si="62"/>
        <v>45139</v>
      </c>
      <c r="AS88" s="92">
        <f t="shared" si="66"/>
        <v>45139</v>
      </c>
      <c r="AT88" s="92" t="str">
        <f t="shared" si="94"/>
        <v/>
      </c>
      <c r="AU88" s="91" t="str">
        <f t="shared" si="74"/>
        <v/>
      </c>
      <c r="AV88" s="91" t="str">
        <f t="shared" si="82"/>
        <v/>
      </c>
      <c r="AW88" s="91" t="str">
        <f t="shared" si="75"/>
        <v/>
      </c>
      <c r="AY88" s="91" t="str">
        <f t="shared" si="76"/>
        <v/>
      </c>
      <c r="AZ88" s="91" t="str">
        <f t="shared" si="67"/>
        <v/>
      </c>
      <c r="BA88" s="91" t="str">
        <f t="shared" si="77"/>
        <v/>
      </c>
      <c r="BB88" s="91" t="str">
        <f t="shared" si="68"/>
        <v/>
      </c>
      <c r="BE88" s="125" t="str">
        <f t="shared" si="78"/>
        <v/>
      </c>
      <c r="BF88" s="91" t="str">
        <f t="shared" si="79"/>
        <v/>
      </c>
      <c r="BG88" s="91" t="str">
        <f t="shared" si="69"/>
        <v/>
      </c>
      <c r="BH88" s="91" t="str">
        <f t="shared" si="70"/>
        <v/>
      </c>
      <c r="BI88" s="91">
        <f t="shared" si="80"/>
        <v>0</v>
      </c>
      <c r="BJ88" s="133">
        <f t="shared" si="81"/>
        <v>0</v>
      </c>
      <c r="BO88" s="28">
        <f t="shared" si="71"/>
        <v>2100</v>
      </c>
    </row>
    <row r="89" spans="1:67" ht="21" customHeight="1">
      <c r="B89" s="64" t="str">
        <f t="shared" si="54"/>
        <v/>
      </c>
      <c r="C89" s="65" t="str">
        <f t="shared" si="83"/>
        <v/>
      </c>
      <c r="D89" s="66" t="str">
        <f>IFERROR(IF($C88="TOTAL","अक्षरें राशि :-",IF($C89="TOTAL",SUM($D$8:D88),IF(AU90="","",AU90))),"")</f>
        <v/>
      </c>
      <c r="E89" s="66" t="str">
        <f>IFERROR(IF($C89="TOTAL",SUM($E$8:E88),IF(AV90="","",AV90)),"")</f>
        <v/>
      </c>
      <c r="F89" s="66" t="str">
        <f>IFERROR(IF($C89="TOTAL",SUM($F$8:F88),IF(AW90="","",AW90)),"")</f>
        <v/>
      </c>
      <c r="G89" s="66" t="str">
        <f t="shared" si="84"/>
        <v/>
      </c>
      <c r="H89" s="66" t="str">
        <f>IFERROR(IF($C89="TOTAL",SUM($H$8:H88),IF(AY90="","",AY90)),"")</f>
        <v/>
      </c>
      <c r="I89" s="66" t="str">
        <f>IFERROR(IF($C89="TOTAL",SUM($I$8:I88),IF(AZ90="","",AZ90)),"")</f>
        <v/>
      </c>
      <c r="J89" s="66" t="str">
        <f>IFERROR(IF($C89="TOTAL",SUM($J$8:J88),IF(BA90="","",BA90)),"")</f>
        <v/>
      </c>
      <c r="K89" s="66" t="str">
        <f t="shared" si="85"/>
        <v/>
      </c>
      <c r="L89" s="66" t="str">
        <f>IFERROR(IF(C89="","",IF(D89="","",IF(H89="","",IF($C89="TOTAL",SUM($L$8:L88),SUM(D89-H89))))),"")</f>
        <v/>
      </c>
      <c r="M89" s="66" t="str">
        <f>IFERROR(IF(C89="","",IF(E89="","",IF(I89="","",IF($C89="TOTAL",SUM($M$8:M88),SUM(E89-I89))))),"")</f>
        <v/>
      </c>
      <c r="N89" s="66" t="str">
        <f>IFERROR(IF(C89="","",IF(F89="","",IF(J89="","",IF($C89="TOTAL",SUM($N$8:N88),SUM(F89-J89))))),"")</f>
        <v/>
      </c>
      <c r="O89" s="66" t="str">
        <f t="shared" si="86"/>
        <v/>
      </c>
      <c r="P89" s="66" t="str">
        <f>IFERROR(IF(C89="","",IF($C89="TOTAL",SUM($P$8:P88),IF(AND(C89&gt;$AL$1,$AC$3=$AL$2),BO90,IF($AO$18=$AO$20,SUM(BB90+BJ90),ROUND((D89+E89)*10%,0))))),"")</f>
        <v/>
      </c>
      <c r="Q89" s="66" t="str">
        <f>IFERROR(IF(C89="","",IF(H89="","",IF(I89="","",IF($C89="TOTAL",SUM($Q$8:Q88),IF(AND(C89&gt;$AL$1,$AC$3=$AL$2),BO90,IF($AO$18=$AO$20,$AO$21,ROUND((H89+I89)*10%,0))))))),"")</f>
        <v/>
      </c>
      <c r="R89" s="66" t="str">
        <f t="shared" si="87"/>
        <v/>
      </c>
      <c r="S89" s="67" t="str">
        <f>IFERROR(IF(C89="","",IF($AO$16=$AO$17,0,IF($C89="TOTAL",SUM($S$8:S88),IF($AO$19=$AO$20,$AO$25,0)))),"")</f>
        <v/>
      </c>
      <c r="T89" s="67" t="str">
        <f>IFERROR(IF(C89="","",IF($AO$16=$AO$17,0,IF($C89="TOTAL",SUM($T$8:T88),IF($AO$19=$AO$20,$AO$24,0)))),"")</f>
        <v/>
      </c>
      <c r="U89" s="66" t="str">
        <f t="shared" si="88"/>
        <v/>
      </c>
      <c r="V89" s="66" t="str">
        <f>IF(C89="","",IF($C89="TOTAL",SUM($V$8:V88),IF(AND($AO$2=$AO$20,C89=$AO$1),ROUND(D89/31*$AP$2,0),IF(C89=$AM$6,ROUND((G89)*1/30,0),IF(C89=$AN$6,ROUND((G89)*1/31,0),"")))))</f>
        <v/>
      </c>
      <c r="W89" s="66" t="str">
        <f>IF(C89="","",IF($C89="TOTAL",SUM($W$8:W88),IF(AND($AO$2=$AO$20,C89=$AO$1),ROUND(H89/31*$AP$2,0),IF(C89=$AM$6,ROUND((K89)*1/30,0),IF(C89=$AN$6,ROUND((K89)*1/31,0),"")))))</f>
        <v/>
      </c>
      <c r="X89" s="66" t="str">
        <f t="shared" si="89"/>
        <v/>
      </c>
      <c r="Y89" s="66" t="str">
        <f>IFERROR(IF(C89="","",IF(AND(BH90="",BO90=""),"",IF($C89="TOTAL",SUM($Y$8:Y88),BH90))),"")</f>
        <v/>
      </c>
      <c r="Z89" s="66" t="str">
        <f>IFERROR(IF(C89="","",IF($C89="TOTAL",SUM($Z$8:Z88),ROUND(O89*$AO$7%,0))),"")</f>
        <v/>
      </c>
      <c r="AA89" s="66" t="str">
        <f>IFERROR(IF(C89="","",IF($C89="TOTAL",SUM($AA$8:AA88),IF($AC$3=$AL$2,SUM(U89,X89,Y89,Z89),SUM(R89,U89,X89,Y89,Z89)))),"")</f>
        <v/>
      </c>
      <c r="AB89" s="68" t="str">
        <f>IFERROR(IF(C89="","",IF($C89="TOTAL",SUM($AB$8:AB88),SUM(O89-AA89))),"")</f>
        <v/>
      </c>
      <c r="AK89" s="90">
        <f t="shared" si="90"/>
        <v>34</v>
      </c>
      <c r="AL89" s="90">
        <f t="shared" si="91"/>
        <v>34</v>
      </c>
      <c r="AN89" s="92">
        <v>45170</v>
      </c>
      <c r="AP89" s="92">
        <f t="shared" si="93"/>
        <v>45170</v>
      </c>
      <c r="AR89" s="92">
        <f t="shared" si="62"/>
        <v>45170</v>
      </c>
      <c r="AS89" s="92">
        <f t="shared" si="66"/>
        <v>45170</v>
      </c>
      <c r="AT89" s="92" t="str">
        <f t="shared" si="94"/>
        <v/>
      </c>
      <c r="AU89" s="91" t="str">
        <f t="shared" si="74"/>
        <v/>
      </c>
      <c r="AV89" s="91" t="str">
        <f t="shared" si="82"/>
        <v/>
      </c>
      <c r="AW89" s="91" t="str">
        <f t="shared" si="75"/>
        <v/>
      </c>
      <c r="AY89" s="91" t="str">
        <f t="shared" si="76"/>
        <v/>
      </c>
      <c r="AZ89" s="91" t="str">
        <f t="shared" si="67"/>
        <v/>
      </c>
      <c r="BA89" s="91" t="str">
        <f t="shared" si="77"/>
        <v/>
      </c>
      <c r="BB89" s="91" t="str">
        <f t="shared" si="68"/>
        <v/>
      </c>
      <c r="BE89" s="125" t="str">
        <f t="shared" si="78"/>
        <v/>
      </c>
      <c r="BF89" s="91" t="str">
        <f t="shared" si="79"/>
        <v/>
      </c>
      <c r="BG89" s="91" t="str">
        <f t="shared" si="69"/>
        <v/>
      </c>
      <c r="BH89" s="91" t="str">
        <f t="shared" si="70"/>
        <v/>
      </c>
      <c r="BI89" s="91">
        <f t="shared" si="80"/>
        <v>0</v>
      </c>
      <c r="BJ89" s="133">
        <f t="shared" si="81"/>
        <v>0</v>
      </c>
      <c r="BO89" s="28">
        <f t="shared" si="71"/>
        <v>2100</v>
      </c>
    </row>
    <row r="90" spans="1:67" ht="21" customHeight="1">
      <c r="B90" s="64" t="str">
        <f t="shared" ref="B90:B95" si="95">IFERROR(IF(A90="","",IF(A90=0,"",A90)),"")</f>
        <v/>
      </c>
      <c r="C90" s="65" t="str">
        <f t="shared" si="83"/>
        <v/>
      </c>
      <c r="D90" s="66" t="str">
        <f>IFERROR(IF($C89="TOTAL","अक्षरें राशि :-",IF($C90="TOTAL",SUM($D$8:D89),IF(AU91="","",AU91))),"")</f>
        <v/>
      </c>
      <c r="E90" s="66" t="str">
        <f>IFERROR(IF($C90="TOTAL",SUM($E$8:E89),IF(AV91="","",AV91)),"")</f>
        <v/>
      </c>
      <c r="F90" s="66" t="str">
        <f>IFERROR(IF($C90="TOTAL",SUM($F$8:F89),IF(AW91="","",AW91)),"")</f>
        <v/>
      </c>
      <c r="G90" s="66" t="str">
        <f t="shared" si="84"/>
        <v/>
      </c>
      <c r="H90" s="66" t="str">
        <f>IFERROR(IF($C90="TOTAL",SUM($H$8:H89),IF(AY91="","",AY91)),"")</f>
        <v/>
      </c>
      <c r="I90" s="66" t="str">
        <f>IFERROR(IF($C90="TOTAL",SUM($I$8:I89),IF(AZ91="","",AZ91)),"")</f>
        <v/>
      </c>
      <c r="J90" s="66" t="str">
        <f>IFERROR(IF($C90="TOTAL",SUM($J$8:J89),IF(BA91="","",BA91)),"")</f>
        <v/>
      </c>
      <c r="K90" s="66" t="str">
        <f t="shared" si="85"/>
        <v/>
      </c>
      <c r="L90" s="66" t="str">
        <f>IFERROR(IF(C90="","",IF(D90="","",IF(H90="","",IF($C90="TOTAL",SUM($L$8:L89),SUM(D90-H90))))),"")</f>
        <v/>
      </c>
      <c r="M90" s="66" t="str">
        <f>IFERROR(IF(C90="","",IF(E90="","",IF(I90="","",IF($C90="TOTAL",SUM($M$8:M89),SUM(E90-I90))))),"")</f>
        <v/>
      </c>
      <c r="N90" s="66" t="str">
        <f>IFERROR(IF(C90="","",IF(F90="","",IF(J90="","",IF($C90="TOTAL",SUM($N$8:N89),SUM(F90-J90))))),"")</f>
        <v/>
      </c>
      <c r="O90" s="66" t="str">
        <f t="shared" si="86"/>
        <v/>
      </c>
      <c r="P90" s="66" t="str">
        <f>IFERROR(IF(C90="","",IF($C90="TOTAL",SUM($P$8:P89),IF(AND(C90&gt;$AL$1,$AC$3=$AL$2),BO91,IF($AO$18=$AO$20,SUM(BB91+BJ91),ROUND((D90+E90)*10%,0))))),"")</f>
        <v/>
      </c>
      <c r="Q90" s="66" t="str">
        <f>IFERROR(IF(C90="","",IF(H90="","",IF(I90="","",IF($C90="TOTAL",SUM($Q$8:Q89),IF(AND(C90&gt;$AL$1,$AC$3=$AL$2),BO91,IF($AO$18=$AO$20,$AO$21,ROUND((H90+I90)*10%,0))))))),"")</f>
        <v/>
      </c>
      <c r="R90" s="66" t="str">
        <f t="shared" si="87"/>
        <v/>
      </c>
      <c r="S90" s="67" t="str">
        <f>IFERROR(IF(C90="","",IF($AO$16=$AO$17,0,IF($C90="TOTAL",SUM($S$8:S89),IF($AO$19=$AO$20,$AO$25,0)))),"")</f>
        <v/>
      </c>
      <c r="T90" s="67" t="str">
        <f>IFERROR(IF(C90="","",IF($AO$16=$AO$17,0,IF($C90="TOTAL",SUM($T$8:T89),IF($AO$19=$AO$20,$AO$24,0)))),"")</f>
        <v/>
      </c>
      <c r="U90" s="66" t="str">
        <f t="shared" si="88"/>
        <v/>
      </c>
      <c r="V90" s="66" t="str">
        <f>IF(C90="","",IF($C90="TOTAL",SUM($V$8:V89),IF(AND($AO$2=$AO$20,C90=$AO$1),ROUND(D90/31*$AP$2,0),IF(C90=$AM$6,ROUND((G90)*1/30,0),IF(C90=$AN$6,ROUND((G90)*1/31,0),"")))))</f>
        <v/>
      </c>
      <c r="W90" s="66" t="str">
        <f>IF(C90="","",IF($C90="TOTAL",SUM($W$8:W89),IF(AND($AO$2=$AO$20,C90=$AO$1),ROUND(H90/31*$AP$2,0),IF(C90=$AM$6,ROUND((K90)*1/30,0),IF(C90=$AN$6,ROUND((K90)*1/31,0),"")))))</f>
        <v/>
      </c>
      <c r="X90" s="66" t="str">
        <f t="shared" si="89"/>
        <v/>
      </c>
      <c r="Y90" s="66" t="str">
        <f>IFERROR(IF(C90="","",IF(AND(BH91="",BO91=""),"",IF($C90="TOTAL",SUM($Y$8:Y89),BH91))),"")</f>
        <v/>
      </c>
      <c r="Z90" s="66" t="str">
        <f>IFERROR(IF(C90="","",IF($C90="TOTAL",SUM($Z$8:Z89),ROUND(O90*$AO$7%,0))),"")</f>
        <v/>
      </c>
      <c r="AA90" s="66" t="str">
        <f>IFERROR(IF(C90="","",IF($C90="TOTAL",SUM($AA$8:AA89),IF($AC$3=$AL$2,SUM(U90,X90,Y90,Z90),SUM(R90,U90,X90,Y90,Z90)))),"")</f>
        <v/>
      </c>
      <c r="AB90" s="68" t="str">
        <f>IFERROR(IF(C90="","",IF($C90="TOTAL",SUM($AB$8:AB89),SUM(O90-AA90))),"")</f>
        <v/>
      </c>
      <c r="AK90" s="90">
        <f t="shared" si="90"/>
        <v>34</v>
      </c>
      <c r="AL90" s="90">
        <f t="shared" si="91"/>
        <v>34</v>
      </c>
      <c r="AN90" s="92">
        <v>45200</v>
      </c>
      <c r="AP90" s="92">
        <f t="shared" si="93"/>
        <v>45200</v>
      </c>
      <c r="AR90" s="92">
        <f t="shared" si="62"/>
        <v>45200</v>
      </c>
      <c r="AS90" s="92">
        <f t="shared" si="66"/>
        <v>45200</v>
      </c>
      <c r="AT90" s="92" t="str">
        <f t="shared" si="94"/>
        <v/>
      </c>
      <c r="AU90" s="91" t="str">
        <f t="shared" si="74"/>
        <v/>
      </c>
      <c r="AV90" s="91" t="str">
        <f t="shared" si="82"/>
        <v/>
      </c>
      <c r="AW90" s="91" t="str">
        <f t="shared" si="75"/>
        <v/>
      </c>
      <c r="AY90" s="91" t="str">
        <f t="shared" si="76"/>
        <v/>
      </c>
      <c r="AZ90" s="91" t="str">
        <f t="shared" si="67"/>
        <v/>
      </c>
      <c r="BA90" s="91" t="str">
        <f t="shared" si="77"/>
        <v/>
      </c>
      <c r="BB90" s="91" t="str">
        <f t="shared" si="68"/>
        <v/>
      </c>
      <c r="BE90" s="125" t="str">
        <f t="shared" si="78"/>
        <v/>
      </c>
      <c r="BF90" s="91" t="str">
        <f t="shared" si="79"/>
        <v/>
      </c>
      <c r="BG90" s="91" t="str">
        <f t="shared" si="69"/>
        <v/>
      </c>
      <c r="BH90" s="91" t="str">
        <f t="shared" si="70"/>
        <v/>
      </c>
      <c r="BI90" s="91">
        <f t="shared" si="80"/>
        <v>0</v>
      </c>
      <c r="BJ90" s="133">
        <f t="shared" si="81"/>
        <v>0</v>
      </c>
      <c r="BO90" s="28">
        <f t="shared" si="71"/>
        <v>2100</v>
      </c>
    </row>
    <row r="91" spans="1:67" ht="21" customHeight="1">
      <c r="B91" s="64" t="str">
        <f t="shared" si="95"/>
        <v/>
      </c>
      <c r="C91" s="65" t="str">
        <f t="shared" si="83"/>
        <v/>
      </c>
      <c r="D91" s="66" t="str">
        <f>IFERROR(IF($C90="TOTAL","अक्षरें राशि :-",IF($C91="TOTAL",SUM($D$8:D90),IF(AU92="","",AU92))),"")</f>
        <v/>
      </c>
      <c r="E91" s="66" t="str">
        <f>IFERROR(IF($C91="TOTAL",SUM($E$8:E90),IF(AV92="","",AV92)),"")</f>
        <v/>
      </c>
      <c r="F91" s="66" t="str">
        <f>IFERROR(IF($C91="TOTAL",SUM($F$8:F90),IF(AW92="","",AW92)),"")</f>
        <v/>
      </c>
      <c r="G91" s="66" t="str">
        <f t="shared" si="84"/>
        <v/>
      </c>
      <c r="H91" s="66" t="str">
        <f>IFERROR(IF($C91="TOTAL",SUM($H$8:H90),IF(AY92="","",AY92)),"")</f>
        <v/>
      </c>
      <c r="I91" s="66" t="str">
        <f>IFERROR(IF($C91="TOTAL",SUM($I$8:I90),IF(AZ92="","",AZ92)),"")</f>
        <v/>
      </c>
      <c r="J91" s="66" t="str">
        <f>IFERROR(IF($C91="TOTAL",SUM($J$8:J90),IF(BA92="","",BA92)),"")</f>
        <v/>
      </c>
      <c r="K91" s="66" t="str">
        <f t="shared" si="85"/>
        <v/>
      </c>
      <c r="L91" s="66" t="str">
        <f>IFERROR(IF(C91="","",IF(D91="","",IF(H91="","",IF($C91="TOTAL",SUM($L$8:L90),SUM(D91-H91))))),"")</f>
        <v/>
      </c>
      <c r="M91" s="66" t="str">
        <f>IFERROR(IF(C91="","",IF(E91="","",IF(I91="","",IF($C91="TOTAL",SUM($M$8:M90),SUM(E91-I91))))),"")</f>
        <v/>
      </c>
      <c r="N91" s="66" t="str">
        <f>IFERROR(IF(C91="","",IF(F91="","",IF(J91="","",IF($C91="TOTAL",SUM($N$8:N90),SUM(F91-J91))))),"")</f>
        <v/>
      </c>
      <c r="O91" s="66" t="str">
        <f t="shared" si="86"/>
        <v/>
      </c>
      <c r="P91" s="66" t="str">
        <f>IFERROR(IF(C91="","",IF($C91="TOTAL",SUM($P$8:P90),IF(AND(C91&gt;$AL$1,$AC$3=$AL$2),BO92,IF($AO$18=$AO$20,SUM(BB92+BJ92),ROUND((D91+E91)*10%,0))))),"")</f>
        <v/>
      </c>
      <c r="Q91" s="66" t="str">
        <f>IFERROR(IF(C91="","",IF(H91="","",IF(I91="","",IF($C91="TOTAL",SUM($Q$8:Q90),IF(AND(C91&gt;$AL$1,$AC$3=$AL$2),BO92,IF($AO$18=$AO$20,$AO$21,ROUND((H91+I91)*10%,0))))))),"")</f>
        <v/>
      </c>
      <c r="R91" s="66" t="str">
        <f t="shared" si="87"/>
        <v/>
      </c>
      <c r="S91" s="67" t="str">
        <f>IFERROR(IF(C91="","",IF($AO$16=$AO$17,0,IF($C91="TOTAL",SUM($S$8:S90),IF($AO$19=$AO$20,$AO$25,0)))),"")</f>
        <v/>
      </c>
      <c r="T91" s="67" t="str">
        <f>IFERROR(IF(C91="","",IF($AO$16=$AO$17,0,IF($C91="TOTAL",SUM($T$8:T90),IF($AO$19=$AO$20,$AO$24,0)))),"")</f>
        <v/>
      </c>
      <c r="U91" s="66" t="str">
        <f t="shared" si="88"/>
        <v/>
      </c>
      <c r="V91" s="66" t="str">
        <f>IF(C91="","",IF($C91="TOTAL",SUM($V$8:V90),IF(AND($AO$2=$AO$20,C91=$AO$1),ROUND(D91/31*$AP$2,0),IF(C91=$AM$6,ROUND((G91)*1/30,0),IF(C91=$AN$6,ROUND((G91)*1/31,0),"")))))</f>
        <v/>
      </c>
      <c r="W91" s="66" t="str">
        <f>IF(C91="","",IF($C91="TOTAL",SUM($W$8:W90),IF(AND($AO$2=$AO$20,C91=$AO$1),ROUND(H91/31*$AP$2,0),IF(C91=$AM$6,ROUND((K91)*1/30,0),IF(C91=$AN$6,ROUND((K91)*1/31,0),"")))))</f>
        <v/>
      </c>
      <c r="X91" s="66" t="str">
        <f t="shared" si="89"/>
        <v/>
      </c>
      <c r="Y91" s="66" t="str">
        <f>IFERROR(IF(C91="","",IF(AND(BH92="",BO92=""),"",IF($C91="TOTAL",SUM($Y$8:Y90),BH92))),"")</f>
        <v/>
      </c>
      <c r="Z91" s="66" t="str">
        <f>IFERROR(IF(C91="","",IF($C91="TOTAL",SUM($Z$8:Z90),ROUND(O91*$AO$7%,0))),"")</f>
        <v/>
      </c>
      <c r="AA91" s="66" t="str">
        <f>IFERROR(IF(C91="","",IF($C91="TOTAL",SUM($AA$8:AA90),IF($AC$3=$AL$2,SUM(U91,X91,Y91,Z91),SUM(R91,U91,X91,Y91,Z91)))),"")</f>
        <v/>
      </c>
      <c r="AB91" s="68" t="str">
        <f>IFERROR(IF(C91="","",IF($C91="TOTAL",SUM($AB$8:AB90),SUM(O91-AA91))),"")</f>
        <v/>
      </c>
      <c r="AK91" s="90">
        <f t="shared" si="90"/>
        <v>34</v>
      </c>
      <c r="AL91" s="90">
        <f t="shared" si="91"/>
        <v>34</v>
      </c>
      <c r="AN91" s="92">
        <v>45231</v>
      </c>
      <c r="AP91" s="92">
        <f t="shared" si="93"/>
        <v>45231</v>
      </c>
      <c r="AR91" s="92">
        <f t="shared" si="62"/>
        <v>45231</v>
      </c>
      <c r="AS91" s="92">
        <f t="shared" si="66"/>
        <v>45231</v>
      </c>
      <c r="AT91" s="92" t="str">
        <f t="shared" si="94"/>
        <v/>
      </c>
      <c r="AU91" s="91" t="str">
        <f t="shared" si="74"/>
        <v/>
      </c>
      <c r="AV91" s="91" t="str">
        <f t="shared" si="82"/>
        <v/>
      </c>
      <c r="AW91" s="91" t="str">
        <f t="shared" si="75"/>
        <v/>
      </c>
      <c r="AY91" s="91" t="str">
        <f t="shared" si="76"/>
        <v/>
      </c>
      <c r="AZ91" s="91" t="str">
        <f t="shared" si="67"/>
        <v/>
      </c>
      <c r="BA91" s="91" t="str">
        <f t="shared" si="77"/>
        <v/>
      </c>
      <c r="BB91" s="91" t="str">
        <f t="shared" si="68"/>
        <v/>
      </c>
      <c r="BE91" s="125" t="str">
        <f t="shared" si="78"/>
        <v/>
      </c>
      <c r="BF91" s="91" t="str">
        <f t="shared" si="79"/>
        <v/>
      </c>
      <c r="BG91" s="91" t="str">
        <f t="shared" si="69"/>
        <v/>
      </c>
      <c r="BH91" s="91" t="str">
        <f t="shared" si="70"/>
        <v/>
      </c>
      <c r="BI91" s="91">
        <f t="shared" si="80"/>
        <v>0</v>
      </c>
      <c r="BJ91" s="133">
        <f t="shared" si="81"/>
        <v>0</v>
      </c>
      <c r="BO91" s="28">
        <f t="shared" si="71"/>
        <v>2100</v>
      </c>
    </row>
    <row r="92" spans="1:67" ht="21" customHeight="1">
      <c r="B92" s="64" t="str">
        <f t="shared" si="95"/>
        <v/>
      </c>
      <c r="C92" s="65" t="str">
        <f t="shared" si="83"/>
        <v/>
      </c>
      <c r="D92" s="66" t="str">
        <f>IFERROR(IF($C91="TOTAL","अक्षरें राशि :-",IF($C92="TOTAL",SUM($D$8:D91),IF(AU93="","",AU93))),"")</f>
        <v/>
      </c>
      <c r="E92" s="66" t="str">
        <f>IFERROR(IF($C92="TOTAL",SUM($E$8:E91),IF(AV93="","",AV93)),"")</f>
        <v/>
      </c>
      <c r="F92" s="66" t="str">
        <f>IFERROR(IF($C92="TOTAL",SUM($F$8:F91),IF(AW93="","",AW93)),"")</f>
        <v/>
      </c>
      <c r="G92" s="66" t="str">
        <f t="shared" si="84"/>
        <v/>
      </c>
      <c r="H92" s="66" t="str">
        <f>IFERROR(IF($C92="TOTAL",SUM($H$8:H91),IF(AY93="","",AY93)),"")</f>
        <v/>
      </c>
      <c r="I92" s="66" t="str">
        <f>IFERROR(IF($C92="TOTAL",SUM($I$8:I91),IF(AZ93="","",AZ93)),"")</f>
        <v/>
      </c>
      <c r="J92" s="66" t="str">
        <f>IFERROR(IF($C92="TOTAL",SUM($J$8:J91),IF(BA93="","",BA93)),"")</f>
        <v/>
      </c>
      <c r="K92" s="66" t="str">
        <f t="shared" si="85"/>
        <v/>
      </c>
      <c r="L92" s="66" t="str">
        <f>IFERROR(IF(C92="","",IF(D92="","",IF(H92="","",IF($C92="TOTAL",SUM($L$8:L91),SUM(D92-H92))))),"")</f>
        <v/>
      </c>
      <c r="M92" s="66" t="str">
        <f>IFERROR(IF(C92="","",IF(E92="","",IF(I92="","",IF($C92="TOTAL",SUM($M$8:M91),SUM(E92-I92))))),"")</f>
        <v/>
      </c>
      <c r="N92" s="66" t="str">
        <f>IFERROR(IF(C92="","",IF(F92="","",IF(J92="","",IF($C92="TOTAL",SUM($N$8:N91),SUM(F92-J92))))),"")</f>
        <v/>
      </c>
      <c r="O92" s="66" t="str">
        <f t="shared" si="86"/>
        <v/>
      </c>
      <c r="P92" s="66" t="str">
        <f>IFERROR(IF(C92="","",IF($C92="TOTAL",SUM($P$8:P91),IF(AND(C92&gt;$AL$1,$AC$3=$AL$2),BO93,IF($AO$18=$AO$20,SUM(BB93+BJ93),ROUND((D92+E92)*10%,0))))),"")</f>
        <v/>
      </c>
      <c r="Q92" s="66" t="str">
        <f>IFERROR(IF(C92="","",IF(H92="","",IF(I92="","",IF($C92="TOTAL",SUM($Q$8:Q91),IF(AND(C92&gt;$AL$1,$AC$3=$AL$2),BO93,IF($AO$18=$AO$20,$AO$21,ROUND((H92+I92)*10%,0))))))),"")</f>
        <v/>
      </c>
      <c r="R92" s="66" t="str">
        <f t="shared" si="87"/>
        <v/>
      </c>
      <c r="S92" s="67" t="str">
        <f>IFERROR(IF(C92="","",IF($AO$16=$AO$17,0,IF($C92="TOTAL",SUM($S$8:S91),IF($AO$19=$AO$20,$AO$25,0)))),"")</f>
        <v/>
      </c>
      <c r="T92" s="67" t="str">
        <f>IFERROR(IF(C92="","",IF($AO$16=$AO$17,0,IF($C92="TOTAL",SUM($T$8:T91),IF($AO$19=$AO$20,$AO$24,0)))),"")</f>
        <v/>
      </c>
      <c r="U92" s="66" t="str">
        <f t="shared" si="88"/>
        <v/>
      </c>
      <c r="V92" s="66" t="str">
        <f>IF(C92="","",IF($C92="TOTAL",SUM($V$8:V91),IF(AND($AO$2=$AO$20,C92=$AO$1),ROUND(D92/31*$AP$2,0),IF(C92=$AM$6,ROUND((G92)*1/30,0),IF(C92=$AN$6,ROUND((G92)*1/31,0),"")))))</f>
        <v/>
      </c>
      <c r="W92" s="66" t="str">
        <f>IF(C92="","",IF($C92="TOTAL",SUM($W$8:W91),IF(AND($AO$2=$AO$20,C92=$AO$1),ROUND(H92/31*$AP$2,0),IF(C92=$AM$6,ROUND((K92)*1/30,0),IF(C92=$AN$6,ROUND((K92)*1/31,0),"")))))</f>
        <v/>
      </c>
      <c r="X92" s="66" t="str">
        <f t="shared" si="89"/>
        <v/>
      </c>
      <c r="Y92" s="66" t="str">
        <f>IFERROR(IF(C92="","",IF(AND(BH93="",BO93=""),"",IF($C92="TOTAL",SUM($Y$8:Y91),BH93))),"")</f>
        <v/>
      </c>
      <c r="Z92" s="66" t="str">
        <f>IFERROR(IF(C92="","",IF($C92="TOTAL",SUM($Z$8:Z91),ROUND(O92*$AO$7%,0))),"")</f>
        <v/>
      </c>
      <c r="AA92" s="66" t="str">
        <f>IFERROR(IF(C92="","",IF($C92="TOTAL",SUM($AA$8:AA91),IF($AC$3=$AL$2,SUM(U92,X92,Y92,Z92),SUM(R92,U92,X92,Y92,Z92)))),"")</f>
        <v/>
      </c>
      <c r="AB92" s="68" t="str">
        <f>IFERROR(IF(C92="","",IF($C92="TOTAL",SUM($AB$8:AB91),SUM(O92-AA92))),"")</f>
        <v/>
      </c>
      <c r="AK92" s="90">
        <f t="shared" si="90"/>
        <v>34</v>
      </c>
      <c r="AL92" s="90">
        <f t="shared" si="91"/>
        <v>34</v>
      </c>
      <c r="AN92" s="92">
        <v>45261</v>
      </c>
      <c r="AP92" s="92">
        <f t="shared" si="93"/>
        <v>45261</v>
      </c>
      <c r="AR92" s="92">
        <f t="shared" si="62"/>
        <v>45261</v>
      </c>
      <c r="AS92" s="92">
        <f t="shared" si="66"/>
        <v>45261</v>
      </c>
      <c r="AT92" s="92" t="str">
        <f t="shared" si="94"/>
        <v/>
      </c>
      <c r="AU92" s="91" t="str">
        <f t="shared" si="74"/>
        <v/>
      </c>
      <c r="AV92" s="91" t="str">
        <f t="shared" si="82"/>
        <v/>
      </c>
      <c r="AW92" s="91" t="str">
        <f t="shared" si="75"/>
        <v/>
      </c>
      <c r="AY92" s="91" t="str">
        <f t="shared" si="76"/>
        <v/>
      </c>
      <c r="AZ92" s="91" t="str">
        <f t="shared" si="67"/>
        <v/>
      </c>
      <c r="BA92" s="91" t="str">
        <f t="shared" si="77"/>
        <v/>
      </c>
      <c r="BB92" s="91" t="str">
        <f t="shared" si="68"/>
        <v/>
      </c>
      <c r="BE92" s="125" t="str">
        <f t="shared" si="78"/>
        <v/>
      </c>
      <c r="BF92" s="91" t="str">
        <f t="shared" si="79"/>
        <v/>
      </c>
      <c r="BG92" s="91" t="str">
        <f t="shared" si="69"/>
        <v/>
      </c>
      <c r="BH92" s="91" t="str">
        <f t="shared" si="70"/>
        <v/>
      </c>
      <c r="BI92" s="91">
        <f t="shared" si="80"/>
        <v>0</v>
      </c>
      <c r="BJ92" s="133">
        <f t="shared" si="81"/>
        <v>0</v>
      </c>
      <c r="BO92" s="28">
        <f t="shared" si="71"/>
        <v>2100</v>
      </c>
    </row>
    <row r="93" spans="1:67" ht="21" customHeight="1">
      <c r="B93" s="64" t="str">
        <f t="shared" si="95"/>
        <v/>
      </c>
      <c r="C93" s="65" t="str">
        <f t="shared" si="83"/>
        <v/>
      </c>
      <c r="D93" s="66" t="str">
        <f>IFERROR(IF($C92="TOTAL","अक्षरें राशि :-",IF($C93="TOTAL",SUM($D$8:D92),IF(AU94="","",AU94))),"")</f>
        <v/>
      </c>
      <c r="E93" s="66" t="str">
        <f>IFERROR(IF($C93="TOTAL",SUM($E$8:E92),IF(AV94="","",AV94)),"")</f>
        <v/>
      </c>
      <c r="F93" s="66" t="str">
        <f>IFERROR(IF($C93="TOTAL",SUM($F$8:F92),IF(AW94="","",AW94)),"")</f>
        <v/>
      </c>
      <c r="G93" s="66" t="str">
        <f t="shared" si="84"/>
        <v/>
      </c>
      <c r="H93" s="66" t="str">
        <f>IFERROR(IF($C93="TOTAL",SUM($H$8:H92),IF(AY94="","",AY94)),"")</f>
        <v/>
      </c>
      <c r="I93" s="66" t="str">
        <f>IFERROR(IF($C93="TOTAL",SUM($I$8:I92),IF(AZ94="","",AZ94)),"")</f>
        <v/>
      </c>
      <c r="J93" s="66" t="str">
        <f>IFERROR(IF($C93="TOTAL",SUM($J$8:J92),IF(BA94="","",BA94)),"")</f>
        <v/>
      </c>
      <c r="K93" s="66" t="str">
        <f t="shared" si="85"/>
        <v/>
      </c>
      <c r="L93" s="66" t="str">
        <f>IFERROR(IF(C93="","",IF(D93="","",IF(H93="","",IF($C93="TOTAL",SUM($L$8:L92),SUM(D93-H93))))),"")</f>
        <v/>
      </c>
      <c r="M93" s="66" t="str">
        <f>IFERROR(IF(C93="","",IF(E93="","",IF(I93="","",IF($C93="TOTAL",SUM($M$8:M92),SUM(E93-I93))))),"")</f>
        <v/>
      </c>
      <c r="N93" s="66" t="str">
        <f>IFERROR(IF(C93="","",IF(F93="","",IF(J93="","",IF($C93="TOTAL",SUM($N$8:N92),SUM(F93-J93))))),"")</f>
        <v/>
      </c>
      <c r="O93" s="66" t="str">
        <f t="shared" si="86"/>
        <v/>
      </c>
      <c r="P93" s="66" t="str">
        <f>IFERROR(IF(C93="","",IF($C93="TOTAL",SUM($P$8:P92),IF(AND(C93&gt;$AL$1,$AC$3=$AL$2),BO94,IF($AO$18=$AO$20,SUM(BB94+BJ94),ROUND((D93+E93)*10%,0))))),"")</f>
        <v/>
      </c>
      <c r="Q93" s="66" t="str">
        <f>IFERROR(IF(C93="","",IF(H93="","",IF(I93="","",IF($C93="TOTAL",SUM($Q$8:Q92),IF(AND(C93&gt;$AL$1,$AC$3=$AL$2),BO94,IF($AO$18=$AO$20,$AO$21,ROUND((H93+I93)*10%,0))))))),"")</f>
        <v/>
      </c>
      <c r="R93" s="66" t="str">
        <f t="shared" si="87"/>
        <v/>
      </c>
      <c r="S93" s="67" t="str">
        <f>IFERROR(IF(C93="","",IF($AO$16=$AO$17,0,IF($C93="TOTAL",SUM($S$8:S92),IF($AO$19=$AO$20,$AO$25,0)))),"")</f>
        <v/>
      </c>
      <c r="T93" s="67" t="str">
        <f>IFERROR(IF(C93="","",IF($AO$16=$AO$17,0,IF($C93="TOTAL",SUM($T$8:T92),IF($AO$19=$AO$20,$AO$24,0)))),"")</f>
        <v/>
      </c>
      <c r="U93" s="66" t="str">
        <f t="shared" si="88"/>
        <v/>
      </c>
      <c r="V93" s="66" t="str">
        <f>IF(C93="","",IF($C93="TOTAL",SUM($V$8:V92),IF(AND($AO$2=$AO$20,C93=$AO$1),ROUND(D93/31*$AP$2,0),IF(C93=$AM$6,ROUND((G93)*1/30,0),IF(C93=$AN$6,ROUND((G93)*1/31,0),"")))))</f>
        <v/>
      </c>
      <c r="W93" s="66" t="str">
        <f>IF(C93="","",IF($C93="TOTAL",SUM($W$8:W92),IF(AND($AO$2=$AO$20,C93=$AO$1),ROUND(H93/31*$AP$2,0),IF(C93=$AM$6,ROUND((K93)*1/30,0),IF(C93=$AN$6,ROUND((K93)*1/31,0),"")))))</f>
        <v/>
      </c>
      <c r="X93" s="66" t="str">
        <f t="shared" si="89"/>
        <v/>
      </c>
      <c r="Y93" s="66" t="str">
        <f>IFERROR(IF(C93="","",IF(AND(BH94="",BO94=""),"",IF($C93="TOTAL",SUM($Y$8:Y92),BH94))),"")</f>
        <v/>
      </c>
      <c r="Z93" s="66" t="str">
        <f>IFERROR(IF(C93="","",IF($C93="TOTAL",SUM($Z$8:Z92),ROUND(O93*$AO$7%,0))),"")</f>
        <v/>
      </c>
      <c r="AA93" s="66" t="str">
        <f>IFERROR(IF(C93="","",IF($C93="TOTAL",SUM($AA$8:AA92),IF($AC$3=$AL$2,SUM(U93,X93,Y93,Z93),SUM(R93,U93,X93,Y93,Z93)))),"")</f>
        <v/>
      </c>
      <c r="AB93" s="68" t="str">
        <f>IFERROR(IF(C93="","",IF($C93="TOTAL",SUM($AB$8:AB92),SUM(O93-AA93))),"")</f>
        <v/>
      </c>
      <c r="AZ93" s="91" t="str">
        <f t="shared" si="67"/>
        <v/>
      </c>
      <c r="BA93" s="91" t="str">
        <f t="shared" si="77"/>
        <v/>
      </c>
      <c r="BB93" s="91" t="str">
        <f t="shared" si="68"/>
        <v/>
      </c>
      <c r="BG93" s="91" t="str">
        <f t="shared" si="69"/>
        <v/>
      </c>
      <c r="BH93" s="91" t="str">
        <f t="shared" si="70"/>
        <v/>
      </c>
      <c r="BI93" s="91">
        <f t="shared" si="80"/>
        <v>0</v>
      </c>
      <c r="BJ93" s="133">
        <f t="shared" si="81"/>
        <v>0</v>
      </c>
      <c r="BO93" s="28" t="str">
        <f t="shared" si="71"/>
        <v/>
      </c>
    </row>
    <row r="94" spans="1:67" ht="21" customHeight="1">
      <c r="B94" s="64" t="str">
        <f t="shared" si="95"/>
        <v/>
      </c>
      <c r="C94" s="65" t="str">
        <f t="shared" si="83"/>
        <v/>
      </c>
      <c r="D94" s="66" t="str">
        <f>IFERROR(IF($C93="TOTAL","अक्षरें राशि :-",IF($C94="TOTAL",SUM($D$8:D93),IF(AU95="","",AU95))),"")</f>
        <v/>
      </c>
      <c r="E94" s="66" t="str">
        <f>IFERROR(IF($C94="TOTAL",SUM($E$8:E93),IF(AV95="","",AV95)),"")</f>
        <v/>
      </c>
      <c r="F94" s="66" t="str">
        <f>IFERROR(IF($C94="TOTAL",SUM($F$8:F93),IF(AW95="","",AW95)),"")</f>
        <v/>
      </c>
      <c r="G94" s="66" t="str">
        <f t="shared" si="84"/>
        <v/>
      </c>
      <c r="H94" s="66" t="str">
        <f>IFERROR(IF($C94="TOTAL",SUM($H$8:H93),IF(AY95="","",AY95)),"")</f>
        <v/>
      </c>
      <c r="I94" s="66" t="str">
        <f>IFERROR(IF($C94="TOTAL",SUM($I$8:I93),IF(AZ95="","",AZ95)),"")</f>
        <v/>
      </c>
      <c r="J94" s="66" t="str">
        <f>IFERROR(IF($C94="TOTAL",SUM($J$8:J93),IF(BA95="","",BA95)),"")</f>
        <v/>
      </c>
      <c r="K94" s="66" t="str">
        <f t="shared" si="85"/>
        <v/>
      </c>
      <c r="L94" s="66" t="str">
        <f>IFERROR(IF(C94="","",IF(D94="","",IF(H94="","",IF($C94="TOTAL",SUM($L$8:L93),SUM(D94-H94))))),"")</f>
        <v/>
      </c>
      <c r="M94" s="66" t="str">
        <f>IFERROR(IF(C94="","",IF(E94="","",IF(I94="","",IF($C94="TOTAL",SUM($M$8:M93),SUM(E94-I94))))),"")</f>
        <v/>
      </c>
      <c r="N94" s="66" t="str">
        <f>IFERROR(IF(C94="","",IF(F94="","",IF(J94="","",IF($C94="TOTAL",SUM($N$8:N93),SUM(F94-J94))))),"")</f>
        <v/>
      </c>
      <c r="O94" s="66" t="str">
        <f t="shared" si="86"/>
        <v/>
      </c>
      <c r="P94" s="66" t="str">
        <f t="shared" ref="P94:P95" si="96">IFERROR(IF(C94="","",IF(AND(C94&gt;$AL$1,$AC$3=$AL$2),"",IF($AO$18=$AO$20,SUM(BB95,BJ95),ROUND((D94+E94)*10%,0)))),"")</f>
        <v/>
      </c>
      <c r="Q94" s="66" t="str">
        <f>IFERROR(IF(C94="","",IF(H94="","",IF(I94="","",IF(AND(C94&gt;$AL$1,$AC$3=$AL$2),"",IF($C94="TOTAL",SUM($Q$8:Q93),IF($AO$18=$AO$20,$AO$21,ROUND((H94+I94)*10%,0))))))),"")</f>
        <v/>
      </c>
      <c r="R94" s="66" t="str">
        <f t="shared" si="87"/>
        <v/>
      </c>
      <c r="S94" s="67" t="str">
        <f>IFERROR(IF(C94="","",IF($AO$16=$AO$17,0,IF($C94="TOTAL",SUM($S$8:S93),IF($AO$19=$AO$20,$AO$25,0)))),"")</f>
        <v/>
      </c>
      <c r="T94" s="67" t="str">
        <f>IFERROR(IF(C94="","",IF($AO$16=$AO$17,0,IF($C94="TOTAL",SUM($T$8:T93),IF($AO$19=$AO$20,$AO$24,0)))),"")</f>
        <v/>
      </c>
      <c r="U94" s="66" t="str">
        <f t="shared" si="88"/>
        <v/>
      </c>
      <c r="V94" s="66" t="str">
        <f>IF(C94="","",IF($C94="TOTAL",SUM($V$8:V93),IF(AND($AO$2=$AO$20,C94=$AO$1),ROUND(D94/31*$AP$2,0),IF(C94=$AM$6,ROUND((G94)*1/30,0),IF(C94=$AN$6,ROUND((G94)*1/31,0),"")))))</f>
        <v/>
      </c>
      <c r="W94" s="66" t="str">
        <f>IF(C94="","",IF($C94="TOTAL",SUM($W$8:W93),IF(AND($AO$2=$AO$20,C94=$AO$1),ROUND(H94/31*$AP$2,0),IF(C94=$AM$6,ROUND((K94)*1/30,0),IF(C94=$AN$6,ROUND((K94)*1/31,0),"")))))</f>
        <v/>
      </c>
      <c r="X94" s="66" t="str">
        <f t="shared" si="89"/>
        <v/>
      </c>
      <c r="Y94" s="66" t="str">
        <f>IFERROR(IF(C94="","",IF(AND(BH95="",BO95=""),"",IF($C94="TOTAL",SUM($Y$8:Y93),BH95))),"")</f>
        <v/>
      </c>
      <c r="Z94" s="66" t="str">
        <f>IFERROR(IF(C94="","",IF($C94="TOTAL",SUM($Z$8:Z93),ROUND(O94*$AO$7%,0))),"")</f>
        <v/>
      </c>
      <c r="AA94" s="66" t="str">
        <f>IFERROR(IF(C94="","",IF($C94="TOTAL",SUM($AA$8:AA93),IF($AC$3=$AL$2,SUM(U94,X94,Y94,Z94),SUM(R94,U94,X94,Y94,Z94)))),"")</f>
        <v/>
      </c>
      <c r="AB94" s="68" t="str">
        <f>IFERROR(IF(C94="","",IF($C94="TOTAL",SUM($AB$8:AB93),SUM(O94-AA94))),"")</f>
        <v/>
      </c>
    </row>
    <row r="95" spans="1:67" ht="21" customHeight="1">
      <c r="B95" s="64" t="str">
        <f t="shared" si="95"/>
        <v/>
      </c>
      <c r="C95" s="65" t="str">
        <f t="shared" si="83"/>
        <v/>
      </c>
      <c r="D95" s="66" t="str">
        <f>IFERROR(IF($C94="TOTAL","अक्षरें राशि :-",IF($C95="TOTAL",SUM($D$8:D94),IF(AU96="","",AU96))),"")</f>
        <v/>
      </c>
      <c r="E95" s="66" t="str">
        <f>IFERROR(IF($C95="TOTAL",SUM($E$8:E94),IF(AV96="","",AV96)),"")</f>
        <v/>
      </c>
      <c r="F95" s="66" t="str">
        <f>IFERROR(IF($C95="TOTAL",SUM($F$8:F94),IF(AW96="","",AW96)),"")</f>
        <v/>
      </c>
      <c r="G95" s="66" t="str">
        <f t="shared" si="84"/>
        <v/>
      </c>
      <c r="H95" s="66" t="str">
        <f>IFERROR(IF($C95="TOTAL",SUM($H$8:H94),IF(AY96="","",AY96)),"")</f>
        <v/>
      </c>
      <c r="I95" s="66" t="str">
        <f>IFERROR(IF($C95="TOTAL",SUM($I$8:I94),IF(AZ96="","",AZ96)),"")</f>
        <v/>
      </c>
      <c r="J95" s="66" t="str">
        <f>IFERROR(IF($C95="TOTAL",SUM($J$8:J94),IF(BA96="","",BA96)),"")</f>
        <v/>
      </c>
      <c r="K95" s="66" t="str">
        <f t="shared" si="85"/>
        <v/>
      </c>
      <c r="L95" s="66" t="str">
        <f>IFERROR(IF(C95="","",IF(D95="","",IF(H95="","",IF($C95="TOTAL",SUM($L$8:L94),SUM(D95-H95))))),"")</f>
        <v/>
      </c>
      <c r="M95" s="66" t="str">
        <f>IFERROR(IF(C95="","",IF(E95="","",IF(I95="","",IF($C95="TOTAL",SUM($M$8:M94),SUM(E95-I95))))),"")</f>
        <v/>
      </c>
      <c r="N95" s="66" t="str">
        <f>IFERROR(IF(C95="","",IF(F95="","",IF(J95="","",IF($C95="TOTAL",SUM($N$8:N94),SUM(F95-J95))))),"")</f>
        <v/>
      </c>
      <c r="O95" s="66" t="str">
        <f t="shared" si="86"/>
        <v/>
      </c>
      <c r="P95" s="66" t="str">
        <f t="shared" si="96"/>
        <v/>
      </c>
      <c r="Q95" s="66" t="str">
        <f>IFERROR(IF(C95="","",IF(H95="","",IF(I95="","",IF(AND(C95&gt;$AL$1,$AC$3=$AL$2),"",IF($C95="TOTAL",SUM($Q$8:Q94),IF($AO$18=$AO$20,$AO$21,ROUND((H95+I95)*10%,0))))))),"")</f>
        <v/>
      </c>
      <c r="R95" s="66" t="str">
        <f t="shared" si="87"/>
        <v/>
      </c>
      <c r="S95" s="67" t="str">
        <f>IFERROR(IF(C95="","",IF($AO$16=$AO$17,0,IF($C95="TOTAL",SUM($S$8:S94),IF($AO$19=$AO$20,$AO$25,0)))),"")</f>
        <v/>
      </c>
      <c r="T95" s="67" t="str">
        <f>IFERROR(IF(C95="","",IF($AO$16=$AO$17,0,IF($C95="TOTAL",SUM($T$8:T94),IF($AO$19=$AO$20,$AO$24,0)))),"")</f>
        <v/>
      </c>
      <c r="U95" s="66" t="str">
        <f t="shared" si="88"/>
        <v/>
      </c>
      <c r="V95" s="66" t="str">
        <f>IF(C95="","",IF($C95="TOTAL",SUM($V$8:V94),IF(AND($AO$2=$AO$20,C95=$AO$1),ROUND(D95/31*$AP$2,0),IF(C95=$AM$6,ROUND((G95)*1/30,0),IF(C95=$AN$6,ROUND((G95)*1/31,0),"")))))</f>
        <v/>
      </c>
      <c r="W95" s="66" t="str">
        <f>IF(C95="","",IF($C95="TOTAL",SUM($W$8:W94),IF(AND($AO$2=$AO$20,C95=$AO$1),ROUND(H95/31*$AP$2,0),IF(C95=$AM$6,ROUND((K95)*1/30,0),IF(C95=$AN$6,ROUND((K95)*1/31,0),"")))))</f>
        <v/>
      </c>
      <c r="X95" s="66" t="str">
        <f t="shared" si="89"/>
        <v/>
      </c>
      <c r="Y95" s="66" t="str">
        <f>IFERROR(IF(C95="","",IF(AND(BH96="",BO96=""),"",IF($C95="TOTAL",SUM($Y$8:Y94),BH96))),"")</f>
        <v/>
      </c>
      <c r="Z95" s="66" t="str">
        <f>IFERROR(IF(C95="","",IF($C95="TOTAL",SUM($Z$8:Z94),ROUND(O95*$AO$7%,0))),"")</f>
        <v/>
      </c>
      <c r="AA95" s="66" t="str">
        <f>IFERROR(IF(C95="","",IF($C95="TOTAL",SUM($AA$8:AA94),IF($AC$3=$AL$2,SUM(U95,X95,Y95,Z95),SUM(R95,U95,X95,Y95,Z95)))),"")</f>
        <v/>
      </c>
      <c r="AB95" s="68" t="str">
        <f>IFERROR(IF(C95="","",IF($C95="TOTAL",SUM($AB$8:AB94),SUM(O95-AA95))),"")</f>
        <v/>
      </c>
    </row>
    <row r="96" spans="1:67">
      <c r="B96" s="64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7"/>
      <c r="T96" s="67"/>
      <c r="U96" s="66"/>
      <c r="V96" s="66"/>
      <c r="W96" s="66"/>
      <c r="X96" s="66"/>
      <c r="Y96" s="66"/>
      <c r="Z96" s="66"/>
      <c r="AA96" s="66"/>
      <c r="AB96" s="68"/>
    </row>
    <row r="97" spans="2:28">
      <c r="B97" s="64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7"/>
      <c r="T97" s="67"/>
      <c r="U97" s="66"/>
      <c r="V97" s="66"/>
      <c r="W97" s="66"/>
      <c r="X97" s="66"/>
      <c r="Y97" s="66"/>
      <c r="Z97" s="66"/>
      <c r="AA97" s="66"/>
      <c r="AB97" s="68"/>
    </row>
    <row r="98" spans="2:28">
      <c r="B98" s="64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7"/>
      <c r="T98" s="67"/>
      <c r="U98" s="66"/>
      <c r="V98" s="66"/>
      <c r="W98" s="66"/>
      <c r="X98" s="66"/>
      <c r="Y98" s="66"/>
      <c r="Z98" s="66"/>
      <c r="AA98" s="66"/>
      <c r="AB98" s="68"/>
    </row>
    <row r="99" spans="2:28">
      <c r="B99" s="6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7"/>
      <c r="T99" s="67"/>
      <c r="U99" s="66"/>
      <c r="V99" s="66"/>
      <c r="W99" s="66"/>
      <c r="X99" s="66"/>
      <c r="Y99" s="66"/>
      <c r="Z99" s="66"/>
      <c r="AA99" s="66"/>
      <c r="AB99" s="68"/>
    </row>
    <row r="100" spans="2:28">
      <c r="B100" s="64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7"/>
      <c r="T100" s="67"/>
      <c r="U100" s="66"/>
      <c r="V100" s="66"/>
      <c r="W100" s="66"/>
      <c r="X100" s="66"/>
      <c r="Y100" s="66"/>
      <c r="Z100" s="66"/>
      <c r="AA100" s="66"/>
      <c r="AB100" s="68"/>
    </row>
  </sheetData>
  <sheetProtection password="C1FB" sheet="1" objects="1" scenarios="1" formatColumns="0" formatRows="0"/>
  <mergeCells count="30">
    <mergeCell ref="X4:AD4"/>
    <mergeCell ref="T3:V3"/>
    <mergeCell ref="W3:X3"/>
    <mergeCell ref="C4:E4"/>
    <mergeCell ref="H4:M4"/>
    <mergeCell ref="N4:P4"/>
    <mergeCell ref="R4:T4"/>
    <mergeCell ref="U4:W4"/>
    <mergeCell ref="B6:B7"/>
    <mergeCell ref="AA6:AA7"/>
    <mergeCell ref="AB6:AB7"/>
    <mergeCell ref="AC6:AC7"/>
    <mergeCell ref="AD6:AD7"/>
    <mergeCell ref="Y6:Y7"/>
    <mergeCell ref="C1:AD1"/>
    <mergeCell ref="C2:AD2"/>
    <mergeCell ref="C6:C7"/>
    <mergeCell ref="D6:G6"/>
    <mergeCell ref="H6:K6"/>
    <mergeCell ref="L6:O6"/>
    <mergeCell ref="P6:R6"/>
    <mergeCell ref="S6:U6"/>
    <mergeCell ref="V6:X6"/>
    <mergeCell ref="Z6:Z7"/>
    <mergeCell ref="C3:E3"/>
    <mergeCell ref="F3:L3"/>
    <mergeCell ref="O3:S3"/>
    <mergeCell ref="M3:N3"/>
    <mergeCell ref="Z3:AB3"/>
    <mergeCell ref="AC3:AD3"/>
  </mergeCells>
  <conditionalFormatting sqref="C18:C19 B8:B100">
    <cfRule type="expression" dxfId="5" priority="3" stopIfTrue="1">
      <formula>$C8=""</formula>
    </cfRule>
    <cfRule type="cellIs" dxfId="4" priority="5" operator="equal">
      <formula>0</formula>
    </cfRule>
  </conditionalFormatting>
  <conditionalFormatting sqref="B8:AD100">
    <cfRule type="expression" dxfId="3" priority="4" stopIfTrue="1">
      <formula>$B8&lt;&gt;""</formula>
    </cfRule>
  </conditionalFormatting>
  <conditionalFormatting sqref="R8 C9:AD100">
    <cfRule type="expression" dxfId="2" priority="2" stopIfTrue="1">
      <formula>$C8="TOTAL"</formula>
    </cfRule>
  </conditionalFormatting>
  <conditionalFormatting sqref="D9:D100">
    <cfRule type="expression" dxfId="1" priority="1" stopIfTrue="1">
      <formula>$D9="अक्षरें राशि :-"</formula>
    </cfRule>
  </conditionalFormatting>
  <pageMargins left="0.5" right="0.4" top="0.5" bottom="0.5" header="0.3" footer="0.3"/>
  <pageSetup paperSize="9" scale="63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J112"/>
  <sheetViews>
    <sheetView showGridLines="0" view="pageBreakPreview" zoomScaleSheetLayoutView="100" workbookViewId="0">
      <selection activeCell="V17" sqref="V17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14" width="6.625" style="38" customWidth="1"/>
    <col min="15" max="25" width="5.625" style="38" customWidth="1"/>
    <col min="26" max="26" width="7.625" style="15" customWidth="1"/>
    <col min="27" max="27" width="7.375" style="15" customWidth="1"/>
    <col min="28" max="28" width="8.75" style="15" customWidth="1"/>
    <col min="29" max="29" width="9.125" style="15" customWidth="1"/>
    <col min="30" max="35" width="9.125" style="15"/>
    <col min="36" max="36" width="9.125" style="15" customWidth="1"/>
    <col min="37" max="16384" width="9.125" style="15"/>
  </cols>
  <sheetData>
    <row r="1" spans="1:36" ht="22.5">
      <c r="B1" s="222" t="str">
        <f>IF('Master Sheet'!D3="","",CONCATENATE("Office ",'Master Sheet'!D3))</f>
        <v>Office Mahtma Gandhi Government School (English Medium) Bar, PALI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</row>
    <row r="2" spans="1:36" ht="20.25">
      <c r="B2" s="223" t="s">
        <v>23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</row>
    <row r="3" spans="1:36" s="16" customFormat="1" ht="19.5" customHeight="1">
      <c r="B3" s="227" t="s">
        <v>28</v>
      </c>
      <c r="C3" s="227"/>
      <c r="D3" s="227"/>
      <c r="E3" s="238" t="str">
        <f>IFERROR(UPPER('Master Sheet'!D7),"")</f>
        <v>HEERALAL JAT</v>
      </c>
      <c r="F3" s="238"/>
      <c r="G3" s="238"/>
      <c r="H3" s="238"/>
      <c r="I3" s="238"/>
      <c r="J3" s="238"/>
      <c r="K3" s="238"/>
      <c r="L3" s="230" t="s">
        <v>0</v>
      </c>
      <c r="M3" s="230"/>
      <c r="N3" s="229" t="str">
        <f>IFERROR(UPPER('Master Sheet'!G7),"")</f>
        <v>SR. TEACHER</v>
      </c>
      <c r="O3" s="229"/>
      <c r="P3" s="229"/>
      <c r="Q3" s="229"/>
      <c r="R3" s="229"/>
      <c r="S3" s="231" t="s">
        <v>29</v>
      </c>
      <c r="T3" s="231"/>
      <c r="U3" s="231"/>
      <c r="V3" s="235" t="str">
        <f>IFERROR(CONCATENATE("L - ",'Master Sheet'!K7),"")</f>
        <v>L - 11</v>
      </c>
      <c r="W3" s="235"/>
      <c r="X3" s="129"/>
      <c r="Y3" s="231" t="s">
        <v>86</v>
      </c>
      <c r="Z3" s="231"/>
      <c r="AA3" s="231"/>
      <c r="AB3" s="232" t="str">
        <f>IF('Arrear Sheet'!AO18='Arrear Sheet'!AO20,"GPF","NPS")</f>
        <v>NPS</v>
      </c>
      <c r="AC3" s="232"/>
    </row>
    <row r="4" spans="1:36" s="16" customFormat="1" ht="20.25" customHeight="1">
      <c r="B4" s="227"/>
      <c r="C4" s="227"/>
      <c r="D4" s="227"/>
      <c r="E4" s="75"/>
      <c r="F4" s="17"/>
      <c r="G4" s="227" t="s">
        <v>30</v>
      </c>
      <c r="H4" s="227"/>
      <c r="I4" s="227"/>
      <c r="J4" s="227"/>
      <c r="K4" s="227"/>
      <c r="L4" s="227"/>
      <c r="M4" s="236">
        <f>IFERROR('Master Sheet'!D9,"")</f>
        <v>42736</v>
      </c>
      <c r="N4" s="236"/>
      <c r="O4" s="236"/>
      <c r="P4" s="18" t="s">
        <v>31</v>
      </c>
      <c r="Q4" s="236">
        <f>IFERROR('Master Sheet'!G9,"")</f>
        <v>44713</v>
      </c>
      <c r="R4" s="236"/>
      <c r="S4" s="236"/>
      <c r="T4" s="230" t="s">
        <v>32</v>
      </c>
      <c r="U4" s="230"/>
      <c r="V4" s="230"/>
      <c r="W4" s="237" t="str">
        <f>IFERROR(IF('Arrear Sheet'!X4="","",'Arrear Sheet'!X4),"")</f>
        <v>Mahtma Gandhi Government School (English Medium) Bar, PALI</v>
      </c>
      <c r="X4" s="237"/>
      <c r="Y4" s="237"/>
      <c r="Z4" s="237"/>
      <c r="AA4" s="237"/>
      <c r="AB4" s="237"/>
      <c r="AC4" s="237"/>
    </row>
    <row r="5" spans="1:36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36" ht="33" customHeight="1">
      <c r="A6" s="226" t="s">
        <v>22</v>
      </c>
      <c r="B6" s="225" t="s">
        <v>1</v>
      </c>
      <c r="C6" s="225" t="s">
        <v>2</v>
      </c>
      <c r="D6" s="225"/>
      <c r="E6" s="225"/>
      <c r="F6" s="225"/>
      <c r="G6" s="225" t="s">
        <v>3</v>
      </c>
      <c r="H6" s="225"/>
      <c r="I6" s="225"/>
      <c r="J6" s="225"/>
      <c r="K6" s="225" t="s">
        <v>4</v>
      </c>
      <c r="L6" s="225"/>
      <c r="M6" s="225"/>
      <c r="N6" s="225"/>
      <c r="O6" s="225" t="str">
        <f>'Arrear Sheet'!P6</f>
        <v>NPS/GPF-2004</v>
      </c>
      <c r="P6" s="225"/>
      <c r="Q6" s="225"/>
      <c r="R6" s="225" t="s">
        <v>5</v>
      </c>
      <c r="S6" s="225"/>
      <c r="T6" s="225"/>
      <c r="U6" s="225" t="s">
        <v>21</v>
      </c>
      <c r="V6" s="225"/>
      <c r="W6" s="225"/>
      <c r="X6" s="233" t="s">
        <v>126</v>
      </c>
      <c r="Y6" s="226" t="s">
        <v>6</v>
      </c>
      <c r="Z6" s="226" t="s">
        <v>7</v>
      </c>
      <c r="AA6" s="226" t="s">
        <v>8</v>
      </c>
      <c r="AB6" s="226" t="s">
        <v>9</v>
      </c>
      <c r="AC6" s="226" t="s">
        <v>10</v>
      </c>
    </row>
    <row r="7" spans="1:36" ht="27" customHeight="1">
      <c r="A7" s="226"/>
      <c r="B7" s="225"/>
      <c r="C7" s="131" t="s">
        <v>11</v>
      </c>
      <c r="D7" s="131" t="s">
        <v>12</v>
      </c>
      <c r="E7" s="131" t="s">
        <v>13</v>
      </c>
      <c r="F7" s="131" t="s">
        <v>14</v>
      </c>
      <c r="G7" s="131" t="s">
        <v>11</v>
      </c>
      <c r="H7" s="131" t="s">
        <v>12</v>
      </c>
      <c r="I7" s="131" t="s">
        <v>13</v>
      </c>
      <c r="J7" s="131" t="s">
        <v>14</v>
      </c>
      <c r="K7" s="131" t="s">
        <v>11</v>
      </c>
      <c r="L7" s="131" t="s">
        <v>12</v>
      </c>
      <c r="M7" s="131" t="s">
        <v>13</v>
      </c>
      <c r="N7" s="131" t="s">
        <v>14</v>
      </c>
      <c r="O7" s="131" t="s">
        <v>15</v>
      </c>
      <c r="P7" s="131" t="s">
        <v>16</v>
      </c>
      <c r="Q7" s="131" t="s">
        <v>17</v>
      </c>
      <c r="R7" s="131" t="s">
        <v>15</v>
      </c>
      <c r="S7" s="131" t="s">
        <v>16</v>
      </c>
      <c r="T7" s="131" t="s">
        <v>17</v>
      </c>
      <c r="U7" s="131" t="s">
        <v>15</v>
      </c>
      <c r="V7" s="131" t="s">
        <v>16</v>
      </c>
      <c r="W7" s="131" t="s">
        <v>17</v>
      </c>
      <c r="X7" s="233"/>
      <c r="Y7" s="226"/>
      <c r="Z7" s="226"/>
      <c r="AA7" s="226"/>
      <c r="AB7" s="226"/>
      <c r="AC7" s="226"/>
    </row>
    <row r="8" spans="1:36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42736</v>
      </c>
      <c r="C8" s="136">
        <f>IF('Arrear Sheet'!D8="","",IF('Arrear Sheet'!C8="TOTAL","",IF('Arrear Sheet'!D8="अक्षरें राशि :-","",'Arrear Sheet'!D8)))</f>
        <v>30000</v>
      </c>
      <c r="D8" s="136">
        <f>IF('Arrear Sheet'!E8="","",IF('Arrear Sheet'!C8="TOTAL","",'Arrear Sheet'!E8))</f>
        <v>1200</v>
      </c>
      <c r="E8" s="136">
        <f>IF('Arrear Sheet'!F8="","",IF('Arrear Sheet'!C8="TOTAL","",'Arrear Sheet'!F8))</f>
        <v>0</v>
      </c>
      <c r="F8" s="136">
        <f>IF('Arrear Sheet'!G8="","",IF('Arrear Sheet'!C8="TOTAL","",SUM(C8:E8)))</f>
        <v>31200</v>
      </c>
      <c r="G8" s="136">
        <f>IF('Arrear Sheet'!H8="","",IF('Arrear Sheet'!C8="TOTAL","",'Arrear Sheet'!H8))</f>
        <v>29097</v>
      </c>
      <c r="H8" s="136">
        <f>IF('Arrear Sheet'!I8="","",IF('Arrear Sheet'!C8="TOTAL","",'Arrear Sheet'!I8))</f>
        <v>1164</v>
      </c>
      <c r="I8" s="136">
        <f>IF('Arrear Sheet'!J8="","",IF('Arrear Sheet'!C8="TOTAL","",'Arrear Sheet'!J8))</f>
        <v>0</v>
      </c>
      <c r="J8" s="136">
        <f>IF('Arrear Sheet'!K8="","",IF('Arrear Sheet'!C8="TOTAL","",SUM(G8:I8)))</f>
        <v>30261</v>
      </c>
      <c r="K8" s="136">
        <f>IF('Arrear Sheet'!L8="","",IF('Arrear Sheet'!C8="TOTAL","",'Arrear Sheet'!L8))</f>
        <v>903</v>
      </c>
      <c r="L8" s="136">
        <f>IF('Arrear Sheet'!M8="","",IF('Arrear Sheet'!C8="TOTAL","",'Arrear Sheet'!M8))</f>
        <v>36</v>
      </c>
      <c r="M8" s="136">
        <f>IF('Arrear Sheet'!N8="","",IF('Arrear Sheet'!C8="TOTAL","",'Arrear Sheet'!N8))</f>
        <v>0</v>
      </c>
      <c r="N8" s="136">
        <f>IF('Arrear Sheet'!O8="","",IF('Arrear Sheet'!C8="TOTAL","",SUM(K8:M8)))</f>
        <v>939</v>
      </c>
      <c r="O8" s="136">
        <f>IF('Arrear Sheet'!P8="","",IF('Arrear Sheet'!C8="TOTAL","",'Arrear Sheet'!P8))</f>
        <v>3120</v>
      </c>
      <c r="P8" s="136">
        <f>IF('Arrear Sheet'!Q8="","",IF('Arrear Sheet'!C8="TOTAL","",'Arrear Sheet'!Q8))</f>
        <v>3026</v>
      </c>
      <c r="Q8" s="136">
        <f>IF('Arrear Sheet'!R8="","",IF('Arrear Sheet'!C8="TOTAL","",'Arrear Sheet'!R8))</f>
        <v>94</v>
      </c>
      <c r="R8" s="136">
        <f>IF('Arrear Sheet'!S8="","",IF('Arrear Sheet'!C8="TOTAL","",'Arrear Sheet'!S8))</f>
        <v>2100</v>
      </c>
      <c r="S8" s="136">
        <f>IF('Arrear Sheet'!T8="","",IF('Arrear Sheet'!C8="TOTAL","",'Arrear Sheet'!T8))</f>
        <v>2100</v>
      </c>
      <c r="T8" s="136">
        <f>IF('Arrear Sheet'!U8="","",IF('Arrear Sheet'!C8="TOTAL","",'Arrear Sheet'!U8))</f>
        <v>0</v>
      </c>
      <c r="U8" s="136" t="str">
        <f>IF('Arrear Sheet'!V8="","",IF('Arrear Sheet'!C8="TOTAL","",'Arrear Sheet'!V8))</f>
        <v/>
      </c>
      <c r="V8" s="136" t="str">
        <f>IF('Arrear Sheet'!W8="","",IF('Arrear Sheet'!C8="TOTAL","",'Arrear Sheet'!W8))</f>
        <v/>
      </c>
      <c r="W8" s="136" t="str">
        <f>IF('Arrear Sheet'!X8="","",IF('Arrear Sheet'!C8="TOTAL","",'Arrear Sheet'!X8))</f>
        <v/>
      </c>
      <c r="X8" s="136" t="str">
        <f>IF('Arrear Sheet'!Y8="","",IF('Arrear Sheet'!C8="TOTAL","",'Arrear Sheet'!Y8))</f>
        <v/>
      </c>
      <c r="Y8" s="136">
        <f>IF('Arrear Sheet'!Z8="","",IF('Arrear Sheet'!C8="TOTAL","",'Arrear Sheet'!Z8))</f>
        <v>0</v>
      </c>
      <c r="Z8" s="136">
        <f>IF('Arrear Sheet'!AA8="","",'Arrear Sheet'!AA8)</f>
        <v>0</v>
      </c>
      <c r="AA8" s="24">
        <f>IF('Arrear Sheet'!AB8="","",IF('Arrear Sheet'!C8="TOTAL","",SUM(N8-Z8)))</f>
        <v>939</v>
      </c>
      <c r="AB8" s="39"/>
      <c r="AC8" s="40"/>
      <c r="AE8" s="26"/>
      <c r="AF8" s="27"/>
      <c r="AG8" s="27"/>
      <c r="AH8" s="27"/>
      <c r="AI8" s="27"/>
      <c r="AJ8" s="26"/>
    </row>
    <row r="9" spans="1:36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42767</v>
      </c>
      <c r="C9" s="136">
        <f>IF('Arrear Sheet'!D9="","",IF('Arrear Sheet'!C9="TOTAL","",IF('Arrear Sheet'!D9="अक्षरें राशि :-","",'Arrear Sheet'!D9)))</f>
        <v>46500</v>
      </c>
      <c r="D9" s="136">
        <f>IF('Arrear Sheet'!E9="","",IF('Arrear Sheet'!C9="TOTAL","",'Arrear Sheet'!E9))</f>
        <v>1860</v>
      </c>
      <c r="E9" s="136">
        <f>IF('Arrear Sheet'!F9="","",IF('Arrear Sheet'!C9="TOTAL","",'Arrear Sheet'!F9))</f>
        <v>0</v>
      </c>
      <c r="F9" s="136">
        <f>IF('Arrear Sheet'!G9="","",IF('Arrear Sheet'!C9="TOTAL","",SUM(C9:E9)))</f>
        <v>48360</v>
      </c>
      <c r="G9" s="136">
        <f>IF('Arrear Sheet'!H9="","",IF('Arrear Sheet'!C9="TOTAL","",'Arrear Sheet'!H9))</f>
        <v>45100</v>
      </c>
      <c r="H9" s="136">
        <f>IF('Arrear Sheet'!I9="","",IF('Arrear Sheet'!C9="TOTAL","",'Arrear Sheet'!I9))</f>
        <v>1804</v>
      </c>
      <c r="I9" s="136">
        <f>IF('Arrear Sheet'!J9="","",IF('Arrear Sheet'!C9="TOTAL","",'Arrear Sheet'!J9))</f>
        <v>0</v>
      </c>
      <c r="J9" s="136">
        <f>IF('Arrear Sheet'!K9="","",IF('Arrear Sheet'!C9="TOTAL","",SUM(G9:I9)))</f>
        <v>46904</v>
      </c>
      <c r="K9" s="136">
        <f>IF('Arrear Sheet'!L9="","",IF('Arrear Sheet'!C9="TOTAL","",'Arrear Sheet'!L9))</f>
        <v>1400</v>
      </c>
      <c r="L9" s="136">
        <f>IF('Arrear Sheet'!M9="","",IF('Arrear Sheet'!C9="TOTAL","",'Arrear Sheet'!M9))</f>
        <v>56</v>
      </c>
      <c r="M9" s="136">
        <f>IF('Arrear Sheet'!N9="","",IF('Arrear Sheet'!C9="TOTAL","",'Arrear Sheet'!N9))</f>
        <v>0</v>
      </c>
      <c r="N9" s="136">
        <f>IF('Arrear Sheet'!O9="","",IF('Arrear Sheet'!C9="TOTAL","",SUM(K9:M9)))</f>
        <v>1456</v>
      </c>
      <c r="O9" s="136">
        <f>IF('Arrear Sheet'!P9="","",IF('Arrear Sheet'!C9="TOTAL","",'Arrear Sheet'!P9))</f>
        <v>4836</v>
      </c>
      <c r="P9" s="136">
        <f>IF('Arrear Sheet'!Q9="","",IF('Arrear Sheet'!C9="TOTAL","",'Arrear Sheet'!Q9))</f>
        <v>4690</v>
      </c>
      <c r="Q9" s="136">
        <f>IF('Arrear Sheet'!R9="","",IF('Arrear Sheet'!C9="TOTAL","",'Arrear Sheet'!R9))</f>
        <v>146</v>
      </c>
      <c r="R9" s="136">
        <f>IF('Arrear Sheet'!S9="","",IF('Arrear Sheet'!C9="TOTAL","",'Arrear Sheet'!S9))</f>
        <v>2100</v>
      </c>
      <c r="S9" s="136">
        <f>IF('Arrear Sheet'!T9="","",IF('Arrear Sheet'!C9="TOTAL","",'Arrear Sheet'!T9))</f>
        <v>2100</v>
      </c>
      <c r="T9" s="136">
        <f>IF('Arrear Sheet'!U9="","",IF('Arrear Sheet'!C9="TOTAL","",'Arrear Sheet'!U9))</f>
        <v>0</v>
      </c>
      <c r="U9" s="136" t="str">
        <f>IF('Arrear Sheet'!V9="","",IF('Arrear Sheet'!C9="TOTAL","",'Arrear Sheet'!V9))</f>
        <v/>
      </c>
      <c r="V9" s="136" t="str">
        <f>IF('Arrear Sheet'!W9="","",IF('Arrear Sheet'!C9="TOTAL","",'Arrear Sheet'!W9))</f>
        <v/>
      </c>
      <c r="W9" s="136" t="str">
        <f>IF('Arrear Sheet'!X9="","",IF('Arrear Sheet'!C9="TOTAL","",'Arrear Sheet'!X9))</f>
        <v/>
      </c>
      <c r="X9" s="136" t="str">
        <f>IF('Arrear Sheet'!Y9="","",IF('Arrear Sheet'!C9="TOTAL","",'Arrear Sheet'!Y9))</f>
        <v/>
      </c>
      <c r="Y9" s="136">
        <f>IF('Arrear Sheet'!Z9="","",IF('Arrear Sheet'!C9="TOTAL","",'Arrear Sheet'!Z9))</f>
        <v>0</v>
      </c>
      <c r="Z9" s="136">
        <f>IF('Arrear Sheet'!AA9="","",IF('Arrear Sheet'!C9="TOTAL","",'Arrear Sheet'!AA9))</f>
        <v>0</v>
      </c>
      <c r="AA9" s="24">
        <f>IF('Arrear Sheet'!AB9="","",IF('Arrear Sheet'!C9="TOTAL","",SUM(N9-Z9)))</f>
        <v>1456</v>
      </c>
      <c r="AB9" s="41"/>
      <c r="AC9" s="41"/>
      <c r="AE9" s="59"/>
      <c r="AF9" s="59"/>
      <c r="AG9" s="59"/>
      <c r="AH9" s="59"/>
      <c r="AI9" s="59"/>
      <c r="AJ9" s="59"/>
    </row>
    <row r="10" spans="1:36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42795</v>
      </c>
      <c r="C10" s="136">
        <f>IF('Arrear Sheet'!D10="","",IF('Arrear Sheet'!C10="TOTAL","",IF('Arrear Sheet'!D10="अक्षरें राशि :-","",'Arrear Sheet'!D10)))</f>
        <v>46500</v>
      </c>
      <c r="D10" s="136">
        <f>IF('Arrear Sheet'!E10="","",IF('Arrear Sheet'!C10="TOTAL","",'Arrear Sheet'!E10))</f>
        <v>1860</v>
      </c>
      <c r="E10" s="136">
        <f>IF('Arrear Sheet'!F10="","",IF('Arrear Sheet'!C10="TOTAL","",'Arrear Sheet'!F10))</f>
        <v>0</v>
      </c>
      <c r="F10" s="136">
        <f>IF('Arrear Sheet'!G10="","",IF('Arrear Sheet'!C10="TOTAL","",SUM(C10:E10)))</f>
        <v>48360</v>
      </c>
      <c r="G10" s="136">
        <f>IF('Arrear Sheet'!H10="","",IF('Arrear Sheet'!C10="TOTAL","",'Arrear Sheet'!H10))</f>
        <v>45100</v>
      </c>
      <c r="H10" s="136">
        <f>IF('Arrear Sheet'!I10="","",IF('Arrear Sheet'!C10="TOTAL","",'Arrear Sheet'!I10))</f>
        <v>1804</v>
      </c>
      <c r="I10" s="136">
        <f>IF('Arrear Sheet'!J10="","",IF('Arrear Sheet'!C10="TOTAL","",'Arrear Sheet'!J10))</f>
        <v>0</v>
      </c>
      <c r="J10" s="136">
        <f>IF('Arrear Sheet'!K10="","",IF('Arrear Sheet'!C10="TOTAL","",SUM(G10:I10)))</f>
        <v>46904</v>
      </c>
      <c r="K10" s="136">
        <f>IF('Arrear Sheet'!L10="","",IF('Arrear Sheet'!C10="TOTAL","",'Arrear Sheet'!L10))</f>
        <v>1400</v>
      </c>
      <c r="L10" s="136">
        <f>IF('Arrear Sheet'!M10="","",IF('Arrear Sheet'!C10="TOTAL","",'Arrear Sheet'!M10))</f>
        <v>56</v>
      </c>
      <c r="M10" s="136">
        <f>IF('Arrear Sheet'!N10="","",IF('Arrear Sheet'!C10="TOTAL","",'Arrear Sheet'!N10))</f>
        <v>0</v>
      </c>
      <c r="N10" s="136">
        <f>IF('Arrear Sheet'!O10="","",IF('Arrear Sheet'!C10="TOTAL","",SUM(K10:M10)))</f>
        <v>1456</v>
      </c>
      <c r="O10" s="136">
        <f>IF('Arrear Sheet'!P10="","",IF('Arrear Sheet'!C10="TOTAL","",'Arrear Sheet'!P10))</f>
        <v>4836</v>
      </c>
      <c r="P10" s="136">
        <f>IF('Arrear Sheet'!Q10="","",IF('Arrear Sheet'!C10="TOTAL","",'Arrear Sheet'!Q10))</f>
        <v>4690</v>
      </c>
      <c r="Q10" s="136">
        <f>IF('Arrear Sheet'!R10="","",IF('Arrear Sheet'!C10="TOTAL","",'Arrear Sheet'!R10))</f>
        <v>146</v>
      </c>
      <c r="R10" s="136">
        <f>IF('Arrear Sheet'!S10="","",IF('Arrear Sheet'!C10="TOTAL","",'Arrear Sheet'!S10))</f>
        <v>2100</v>
      </c>
      <c r="S10" s="136">
        <f>IF('Arrear Sheet'!T10="","",IF('Arrear Sheet'!C10="TOTAL","",'Arrear Sheet'!T10))</f>
        <v>2100</v>
      </c>
      <c r="T10" s="136">
        <f>IF('Arrear Sheet'!U10="","",IF('Arrear Sheet'!C10="TOTAL","",'Arrear Sheet'!U10))</f>
        <v>0</v>
      </c>
      <c r="U10" s="136" t="str">
        <f>IF('Arrear Sheet'!V10="","",IF('Arrear Sheet'!C10="TOTAL","",'Arrear Sheet'!V10))</f>
        <v/>
      </c>
      <c r="V10" s="136" t="str">
        <f>IF('Arrear Sheet'!W10="","",IF('Arrear Sheet'!C10="TOTAL","",'Arrear Sheet'!W10))</f>
        <v/>
      </c>
      <c r="W10" s="136" t="str">
        <f>IF('Arrear Sheet'!X10="","",IF('Arrear Sheet'!C10="TOTAL","",'Arrear Sheet'!X10))</f>
        <v/>
      </c>
      <c r="X10" s="136" t="str">
        <f>IF('Arrear Sheet'!Y10="","",IF('Arrear Sheet'!C10="TOTAL","",'Arrear Sheet'!Y10))</f>
        <v/>
      </c>
      <c r="Y10" s="136">
        <f>IF('Arrear Sheet'!Z10="","",IF('Arrear Sheet'!C10="TOTAL","",'Arrear Sheet'!Z10))</f>
        <v>0</v>
      </c>
      <c r="Z10" s="136">
        <f>IF('Arrear Sheet'!AA10="","",IF('Arrear Sheet'!C10="TOTAL","",'Arrear Sheet'!AA10))</f>
        <v>0</v>
      </c>
      <c r="AA10" s="24">
        <f>IF('Arrear Sheet'!AB10="","",IF('Arrear Sheet'!C10="TOTAL","",SUM(N10-Z10)))</f>
        <v>1456</v>
      </c>
      <c r="AB10" s="41"/>
      <c r="AC10" s="41"/>
      <c r="AE10" s="59"/>
      <c r="AF10" s="59"/>
      <c r="AG10" s="59"/>
      <c r="AH10" s="59"/>
      <c r="AI10" s="59"/>
      <c r="AJ10" s="59"/>
    </row>
    <row r="11" spans="1:36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42826</v>
      </c>
      <c r="C11" s="136">
        <f>IF('Arrear Sheet'!D11="","",IF('Arrear Sheet'!C11="TOTAL","",IF('Arrear Sheet'!D11="अक्षरें राशि :-","",'Arrear Sheet'!D11)))</f>
        <v>46500</v>
      </c>
      <c r="D11" s="136">
        <f>IF('Arrear Sheet'!E11="","",IF('Arrear Sheet'!C11="TOTAL","",'Arrear Sheet'!E11))</f>
        <v>1860</v>
      </c>
      <c r="E11" s="136">
        <f>IF('Arrear Sheet'!F11="","",IF('Arrear Sheet'!C11="TOTAL","",'Arrear Sheet'!F11))</f>
        <v>0</v>
      </c>
      <c r="F11" s="136">
        <f>IF('Arrear Sheet'!G11="","",IF('Arrear Sheet'!C11="TOTAL","",SUM(C11:E11)))</f>
        <v>48360</v>
      </c>
      <c r="G11" s="136">
        <f>IF('Arrear Sheet'!H11="","",IF('Arrear Sheet'!C11="TOTAL","",'Arrear Sheet'!H11))</f>
        <v>45100</v>
      </c>
      <c r="H11" s="136">
        <f>IF('Arrear Sheet'!I11="","",IF('Arrear Sheet'!C11="TOTAL","",'Arrear Sheet'!I11))</f>
        <v>1804</v>
      </c>
      <c r="I11" s="136">
        <f>IF('Arrear Sheet'!J11="","",IF('Arrear Sheet'!C11="TOTAL","",'Arrear Sheet'!J11))</f>
        <v>0</v>
      </c>
      <c r="J11" s="136">
        <f>IF('Arrear Sheet'!K11="","",IF('Arrear Sheet'!C11="TOTAL","",SUM(G11:I11)))</f>
        <v>46904</v>
      </c>
      <c r="K11" s="136">
        <f>IF('Arrear Sheet'!L11="","",IF('Arrear Sheet'!C11="TOTAL","",'Arrear Sheet'!L11))</f>
        <v>1400</v>
      </c>
      <c r="L11" s="136">
        <f>IF('Arrear Sheet'!M11="","",IF('Arrear Sheet'!C11="TOTAL","",'Arrear Sheet'!M11))</f>
        <v>56</v>
      </c>
      <c r="M11" s="136">
        <f>IF('Arrear Sheet'!N11="","",IF('Arrear Sheet'!C11="TOTAL","",'Arrear Sheet'!N11))</f>
        <v>0</v>
      </c>
      <c r="N11" s="136">
        <f>IF('Arrear Sheet'!O11="","",IF('Arrear Sheet'!C11="TOTAL","",SUM(K11:M11)))</f>
        <v>1456</v>
      </c>
      <c r="O11" s="136">
        <f>IF('Arrear Sheet'!P11="","",IF('Arrear Sheet'!C11="TOTAL","",'Arrear Sheet'!P11))</f>
        <v>4836</v>
      </c>
      <c r="P11" s="136">
        <f>IF('Arrear Sheet'!Q11="","",IF('Arrear Sheet'!C11="TOTAL","",'Arrear Sheet'!Q11))</f>
        <v>4690</v>
      </c>
      <c r="Q11" s="136">
        <f>IF('Arrear Sheet'!R11="","",IF('Arrear Sheet'!C11="TOTAL","",'Arrear Sheet'!R11))</f>
        <v>146</v>
      </c>
      <c r="R11" s="136">
        <f>IF('Arrear Sheet'!S11="","",IF('Arrear Sheet'!C11="TOTAL","",'Arrear Sheet'!S11))</f>
        <v>2100</v>
      </c>
      <c r="S11" s="136">
        <f>IF('Arrear Sheet'!T11="","",IF('Arrear Sheet'!C11="TOTAL","",'Arrear Sheet'!T11))</f>
        <v>2100</v>
      </c>
      <c r="T11" s="136">
        <f>IF('Arrear Sheet'!U11="","",IF('Arrear Sheet'!C11="TOTAL","",'Arrear Sheet'!U11))</f>
        <v>0</v>
      </c>
      <c r="U11" s="136" t="str">
        <f>IF('Arrear Sheet'!V11="","",IF('Arrear Sheet'!C11="TOTAL","",'Arrear Sheet'!V11))</f>
        <v/>
      </c>
      <c r="V11" s="136" t="str">
        <f>IF('Arrear Sheet'!W11="","",IF('Arrear Sheet'!C11="TOTAL","",'Arrear Sheet'!W11))</f>
        <v/>
      </c>
      <c r="W11" s="136" t="str">
        <f>IF('Arrear Sheet'!X11="","",IF('Arrear Sheet'!C11="TOTAL","",'Arrear Sheet'!X11))</f>
        <v/>
      </c>
      <c r="X11" s="136" t="str">
        <f>IF('Arrear Sheet'!Y11="","",IF('Arrear Sheet'!C11="TOTAL","",'Arrear Sheet'!Y11))</f>
        <v/>
      </c>
      <c r="Y11" s="136">
        <f>IF('Arrear Sheet'!Z11="","",IF('Arrear Sheet'!C11="TOTAL","",'Arrear Sheet'!Z11))</f>
        <v>0</v>
      </c>
      <c r="Z11" s="136">
        <f>IF('Arrear Sheet'!AA11="","",IF('Arrear Sheet'!C11="TOTAL","",'Arrear Sheet'!AA11))</f>
        <v>0</v>
      </c>
      <c r="AA11" s="24">
        <f>IF('Arrear Sheet'!AB11="","",IF('Arrear Sheet'!C11="TOTAL","",SUM(N11-Z11)))</f>
        <v>1456</v>
      </c>
      <c r="AB11" s="41"/>
      <c r="AC11" s="41"/>
      <c r="AE11" s="59"/>
      <c r="AF11" s="59"/>
      <c r="AG11" s="59"/>
      <c r="AH11" s="59"/>
      <c r="AI11" s="59"/>
      <c r="AJ11" s="59"/>
    </row>
    <row r="12" spans="1:36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42856</v>
      </c>
      <c r="C12" s="136">
        <f>IF('Arrear Sheet'!D12="","",IF('Arrear Sheet'!C12="TOTAL","",IF('Arrear Sheet'!D12="अक्षरें राशि :-","",'Arrear Sheet'!D12)))</f>
        <v>46500</v>
      </c>
      <c r="D12" s="136">
        <f>IF('Arrear Sheet'!E12="","",IF('Arrear Sheet'!C12="TOTAL","",'Arrear Sheet'!E12))</f>
        <v>1860</v>
      </c>
      <c r="E12" s="136">
        <f>IF('Arrear Sheet'!F12="","",IF('Arrear Sheet'!C12="TOTAL","",'Arrear Sheet'!F12))</f>
        <v>0</v>
      </c>
      <c r="F12" s="136">
        <f>IF('Arrear Sheet'!G12="","",IF('Arrear Sheet'!C12="TOTAL","",SUM(C12:E12)))</f>
        <v>48360</v>
      </c>
      <c r="G12" s="136">
        <f>IF('Arrear Sheet'!H12="","",IF('Arrear Sheet'!C12="TOTAL","",'Arrear Sheet'!H12))</f>
        <v>45100</v>
      </c>
      <c r="H12" s="136">
        <f>IF('Arrear Sheet'!I12="","",IF('Arrear Sheet'!C12="TOTAL","",'Arrear Sheet'!I12))</f>
        <v>1804</v>
      </c>
      <c r="I12" s="136">
        <f>IF('Arrear Sheet'!J12="","",IF('Arrear Sheet'!C12="TOTAL","",'Arrear Sheet'!J12))</f>
        <v>0</v>
      </c>
      <c r="J12" s="136">
        <f>IF('Arrear Sheet'!K12="","",IF('Arrear Sheet'!C12="TOTAL","",SUM(G12:I12)))</f>
        <v>46904</v>
      </c>
      <c r="K12" s="136">
        <f>IF('Arrear Sheet'!L12="","",IF('Arrear Sheet'!C12="TOTAL","",'Arrear Sheet'!L12))</f>
        <v>1400</v>
      </c>
      <c r="L12" s="136">
        <f>IF('Arrear Sheet'!M12="","",IF('Arrear Sheet'!C12="TOTAL","",'Arrear Sheet'!M12))</f>
        <v>56</v>
      </c>
      <c r="M12" s="136">
        <f>IF('Arrear Sheet'!N12="","",IF('Arrear Sheet'!C12="TOTAL","",'Arrear Sheet'!N12))</f>
        <v>0</v>
      </c>
      <c r="N12" s="136">
        <f>IF('Arrear Sheet'!O12="","",IF('Arrear Sheet'!C12="TOTAL","",SUM(K12:M12)))</f>
        <v>1456</v>
      </c>
      <c r="O12" s="136">
        <f>IF('Arrear Sheet'!P12="","",IF('Arrear Sheet'!C12="TOTAL","",'Arrear Sheet'!P12))</f>
        <v>4836</v>
      </c>
      <c r="P12" s="136">
        <f>IF('Arrear Sheet'!Q12="","",IF('Arrear Sheet'!C12="TOTAL","",'Arrear Sheet'!Q12))</f>
        <v>4690</v>
      </c>
      <c r="Q12" s="136">
        <f>IF('Arrear Sheet'!R12="","",IF('Arrear Sheet'!C12="TOTAL","",'Arrear Sheet'!R12))</f>
        <v>146</v>
      </c>
      <c r="R12" s="136">
        <f>IF('Arrear Sheet'!S12="","",IF('Arrear Sheet'!C12="TOTAL","",'Arrear Sheet'!S12))</f>
        <v>2100</v>
      </c>
      <c r="S12" s="136">
        <f>IF('Arrear Sheet'!T12="","",IF('Arrear Sheet'!C12="TOTAL","",'Arrear Sheet'!T12))</f>
        <v>2100</v>
      </c>
      <c r="T12" s="136">
        <f>IF('Arrear Sheet'!U12="","",IF('Arrear Sheet'!C12="TOTAL","",'Arrear Sheet'!U12))</f>
        <v>0</v>
      </c>
      <c r="U12" s="136" t="str">
        <f>IF('Arrear Sheet'!V12="","",IF('Arrear Sheet'!C12="TOTAL","",'Arrear Sheet'!V12))</f>
        <v/>
      </c>
      <c r="V12" s="136" t="str">
        <f>IF('Arrear Sheet'!W12="","",IF('Arrear Sheet'!C12="TOTAL","",'Arrear Sheet'!W12))</f>
        <v/>
      </c>
      <c r="W12" s="136" t="str">
        <f>IF('Arrear Sheet'!X12="","",IF('Arrear Sheet'!C12="TOTAL","",'Arrear Sheet'!X12))</f>
        <v/>
      </c>
      <c r="X12" s="136" t="str">
        <f>IF('Arrear Sheet'!Y12="","",IF('Arrear Sheet'!C12="TOTAL","",'Arrear Sheet'!Y12))</f>
        <v/>
      </c>
      <c r="Y12" s="136">
        <f>IF('Arrear Sheet'!Z12="","",IF('Arrear Sheet'!C12="TOTAL","",'Arrear Sheet'!Z12))</f>
        <v>0</v>
      </c>
      <c r="Z12" s="136">
        <f>IF('Arrear Sheet'!AA12="","",IF('Arrear Sheet'!C12="TOTAL","",'Arrear Sheet'!AA12))</f>
        <v>0</v>
      </c>
      <c r="AA12" s="24">
        <f>IF('Arrear Sheet'!AB12="","",IF('Arrear Sheet'!C12="TOTAL","",SUM(N12-Z12)))</f>
        <v>1456</v>
      </c>
      <c r="AB12" s="41"/>
      <c r="AC12" s="41"/>
      <c r="AE12" s="59"/>
      <c r="AF12" s="59"/>
      <c r="AG12" s="59"/>
      <c r="AH12" s="59"/>
      <c r="AI12" s="59"/>
      <c r="AJ12" s="59"/>
    </row>
    <row r="13" spans="1:36" s="28" customFormat="1" ht="21" customHeight="1">
      <c r="A13" s="22">
        <f>IF('Arrear Sheet'!B13="","",'Arrear Sheet'!B13)</f>
        <v>6</v>
      </c>
      <c r="B13" s="23">
        <f>IF('Arrear Sheet'!C13="","",IF('Arrear Sheet'!C13="TOTAL","",'Arrear Sheet'!C13))</f>
        <v>42887</v>
      </c>
      <c r="C13" s="136">
        <f>IF('Arrear Sheet'!D13="","",IF('Arrear Sheet'!C13="TOTAL","",IF('Arrear Sheet'!D13="अक्षरें राशि :-","",'Arrear Sheet'!D13)))</f>
        <v>46500</v>
      </c>
      <c r="D13" s="136">
        <f>IF('Arrear Sheet'!E13="","",IF('Arrear Sheet'!C13="TOTAL","",'Arrear Sheet'!E13))</f>
        <v>1860</v>
      </c>
      <c r="E13" s="136">
        <f>IF('Arrear Sheet'!F13="","",IF('Arrear Sheet'!C13="TOTAL","",'Arrear Sheet'!F13))</f>
        <v>0</v>
      </c>
      <c r="F13" s="136">
        <f>IF('Arrear Sheet'!G13="","",IF('Arrear Sheet'!C13="TOTAL","",SUM(C13:E13)))</f>
        <v>48360</v>
      </c>
      <c r="G13" s="136">
        <f>IF('Arrear Sheet'!H13="","",IF('Arrear Sheet'!C13="TOTAL","",'Arrear Sheet'!H13))</f>
        <v>45100</v>
      </c>
      <c r="H13" s="136">
        <f>IF('Arrear Sheet'!I13="","",IF('Arrear Sheet'!C13="TOTAL","",'Arrear Sheet'!I13))</f>
        <v>1804</v>
      </c>
      <c r="I13" s="136">
        <f>IF('Arrear Sheet'!J13="","",IF('Arrear Sheet'!C13="TOTAL","",'Arrear Sheet'!J13))</f>
        <v>0</v>
      </c>
      <c r="J13" s="136">
        <f>IF('Arrear Sheet'!K13="","",IF('Arrear Sheet'!C13="TOTAL","",SUM(G13:I13)))</f>
        <v>46904</v>
      </c>
      <c r="K13" s="136">
        <f>IF('Arrear Sheet'!L13="","",IF('Arrear Sheet'!C13="TOTAL","",'Arrear Sheet'!L13))</f>
        <v>1400</v>
      </c>
      <c r="L13" s="136">
        <f>IF('Arrear Sheet'!M13="","",IF('Arrear Sheet'!C13="TOTAL","",'Arrear Sheet'!M13))</f>
        <v>56</v>
      </c>
      <c r="M13" s="136">
        <f>IF('Arrear Sheet'!N13="","",IF('Arrear Sheet'!C13="TOTAL","",'Arrear Sheet'!N13))</f>
        <v>0</v>
      </c>
      <c r="N13" s="136">
        <f>IF('Arrear Sheet'!O13="","",IF('Arrear Sheet'!C13="TOTAL","",SUM(K13:M13)))</f>
        <v>1456</v>
      </c>
      <c r="O13" s="136">
        <f>IF('Arrear Sheet'!P13="","",IF('Arrear Sheet'!C13="TOTAL","",'Arrear Sheet'!P13))</f>
        <v>4836</v>
      </c>
      <c r="P13" s="136">
        <f>IF('Arrear Sheet'!Q13="","",IF('Arrear Sheet'!C13="TOTAL","",'Arrear Sheet'!Q13))</f>
        <v>4690</v>
      </c>
      <c r="Q13" s="136">
        <f>IF('Arrear Sheet'!R13="","",IF('Arrear Sheet'!C13="TOTAL","",'Arrear Sheet'!R13))</f>
        <v>146</v>
      </c>
      <c r="R13" s="136">
        <f>IF('Arrear Sheet'!S13="","",IF('Arrear Sheet'!C13="TOTAL","",'Arrear Sheet'!S13))</f>
        <v>2100</v>
      </c>
      <c r="S13" s="136">
        <f>IF('Arrear Sheet'!T13="","",IF('Arrear Sheet'!C13="TOTAL","",'Arrear Sheet'!T13))</f>
        <v>2100</v>
      </c>
      <c r="T13" s="136">
        <f>IF('Arrear Sheet'!U13="","",IF('Arrear Sheet'!C13="TOTAL","",'Arrear Sheet'!U13))</f>
        <v>0</v>
      </c>
      <c r="U13" s="136" t="str">
        <f>IF('Arrear Sheet'!V13="","",IF('Arrear Sheet'!C13="TOTAL","",'Arrear Sheet'!V13))</f>
        <v/>
      </c>
      <c r="V13" s="136" t="str">
        <f>IF('Arrear Sheet'!W13="","",IF('Arrear Sheet'!C13="TOTAL","",'Arrear Sheet'!W13))</f>
        <v/>
      </c>
      <c r="W13" s="136" t="str">
        <f>IF('Arrear Sheet'!X13="","",IF('Arrear Sheet'!C13="TOTAL","",'Arrear Sheet'!X13))</f>
        <v/>
      </c>
      <c r="X13" s="136" t="str">
        <f>IF('Arrear Sheet'!Y13="","",IF('Arrear Sheet'!C13="TOTAL","",'Arrear Sheet'!Y13))</f>
        <v/>
      </c>
      <c r="Y13" s="136">
        <f>IF('Arrear Sheet'!Z13="","",IF('Arrear Sheet'!C13="TOTAL","",'Arrear Sheet'!Z13))</f>
        <v>0</v>
      </c>
      <c r="Z13" s="136">
        <f>IF('Arrear Sheet'!AA13="","",IF('Arrear Sheet'!C13="TOTAL","",'Arrear Sheet'!AA13))</f>
        <v>0</v>
      </c>
      <c r="AA13" s="24">
        <f>IF('Arrear Sheet'!AB13="","",IF('Arrear Sheet'!C13="TOTAL","",SUM(N13-Z13)))</f>
        <v>1456</v>
      </c>
      <c r="AB13" s="41"/>
      <c r="AC13" s="41"/>
      <c r="AE13" s="59"/>
      <c r="AF13" s="59"/>
      <c r="AG13" s="59"/>
      <c r="AH13" s="59"/>
      <c r="AI13" s="59"/>
      <c r="AJ13" s="59"/>
    </row>
    <row r="14" spans="1:36" s="28" customFormat="1" ht="21" customHeight="1">
      <c r="A14" s="22">
        <f>IF('Arrear Sheet'!B14="","",'Arrear Sheet'!B14)</f>
        <v>7</v>
      </c>
      <c r="B14" s="23">
        <f>IF('Arrear Sheet'!C14="","",IF('Arrear Sheet'!C14="TOTAL","",'Arrear Sheet'!C14))</f>
        <v>42917</v>
      </c>
      <c r="C14" s="136">
        <f>IF('Arrear Sheet'!D14="","",IF('Arrear Sheet'!C14="TOTAL","",IF('Arrear Sheet'!D14="अक्षरें राशि :-","",'Arrear Sheet'!D14)))</f>
        <v>47900</v>
      </c>
      <c r="D14" s="136">
        <f>IF('Arrear Sheet'!E14="","",IF('Arrear Sheet'!C14="TOTAL","",'Arrear Sheet'!E14))</f>
        <v>2395</v>
      </c>
      <c r="E14" s="136">
        <f>IF('Arrear Sheet'!F14="","",IF('Arrear Sheet'!C14="TOTAL","",'Arrear Sheet'!F14))</f>
        <v>0</v>
      </c>
      <c r="F14" s="136">
        <f>IF('Arrear Sheet'!G14="","",IF('Arrear Sheet'!C14="TOTAL","",SUM(C14:E14)))</f>
        <v>50295</v>
      </c>
      <c r="G14" s="136">
        <f>IF('Arrear Sheet'!H14="","",IF('Arrear Sheet'!C14="TOTAL","",'Arrear Sheet'!H14))</f>
        <v>46500</v>
      </c>
      <c r="H14" s="136">
        <f>IF('Arrear Sheet'!I14="","",IF('Arrear Sheet'!C14="TOTAL","",'Arrear Sheet'!I14))</f>
        <v>2325</v>
      </c>
      <c r="I14" s="136">
        <f>IF('Arrear Sheet'!J14="","",IF('Arrear Sheet'!C14="TOTAL","",'Arrear Sheet'!J14))</f>
        <v>0</v>
      </c>
      <c r="J14" s="136">
        <f>IF('Arrear Sheet'!K14="","",IF('Arrear Sheet'!C14="TOTAL","",SUM(G14:I14)))</f>
        <v>48825</v>
      </c>
      <c r="K14" s="136">
        <f>IF('Arrear Sheet'!L14="","",IF('Arrear Sheet'!C14="TOTAL","",'Arrear Sheet'!L14))</f>
        <v>1400</v>
      </c>
      <c r="L14" s="136">
        <f>IF('Arrear Sheet'!M14="","",IF('Arrear Sheet'!C14="TOTAL","",'Arrear Sheet'!M14))</f>
        <v>70</v>
      </c>
      <c r="M14" s="136">
        <f>IF('Arrear Sheet'!N14="","",IF('Arrear Sheet'!C14="TOTAL","",'Arrear Sheet'!N14))</f>
        <v>0</v>
      </c>
      <c r="N14" s="136">
        <f>IF('Arrear Sheet'!O14="","",IF('Arrear Sheet'!C14="TOTAL","",SUM(K14:M14)))</f>
        <v>1470</v>
      </c>
      <c r="O14" s="136">
        <f>IF('Arrear Sheet'!P14="","",IF('Arrear Sheet'!C14="TOTAL","",'Arrear Sheet'!P14))</f>
        <v>5030</v>
      </c>
      <c r="P14" s="136">
        <f>IF('Arrear Sheet'!Q14="","",IF('Arrear Sheet'!C14="TOTAL","",'Arrear Sheet'!Q14))</f>
        <v>4883</v>
      </c>
      <c r="Q14" s="136">
        <f>IF('Arrear Sheet'!R14="","",IF('Arrear Sheet'!C14="TOTAL","",'Arrear Sheet'!R14))</f>
        <v>147</v>
      </c>
      <c r="R14" s="136">
        <f>IF('Arrear Sheet'!S14="","",IF('Arrear Sheet'!C14="TOTAL","",'Arrear Sheet'!S14))</f>
        <v>2100</v>
      </c>
      <c r="S14" s="136">
        <f>IF('Arrear Sheet'!T14="","",IF('Arrear Sheet'!C14="TOTAL","",'Arrear Sheet'!T14))</f>
        <v>2100</v>
      </c>
      <c r="T14" s="136">
        <f>IF('Arrear Sheet'!U14="","",IF('Arrear Sheet'!C14="TOTAL","",'Arrear Sheet'!U14))</f>
        <v>0</v>
      </c>
      <c r="U14" s="136" t="str">
        <f>IF('Arrear Sheet'!V14="","",IF('Arrear Sheet'!C14="TOTAL","",'Arrear Sheet'!V14))</f>
        <v/>
      </c>
      <c r="V14" s="136" t="str">
        <f>IF('Arrear Sheet'!W14="","",IF('Arrear Sheet'!C14="TOTAL","",'Arrear Sheet'!W14))</f>
        <v/>
      </c>
      <c r="W14" s="136" t="str">
        <f>IF('Arrear Sheet'!X14="","",IF('Arrear Sheet'!C14="TOTAL","",'Arrear Sheet'!X14))</f>
        <v/>
      </c>
      <c r="X14" s="136" t="str">
        <f>IF('Arrear Sheet'!Y14="","",IF('Arrear Sheet'!C14="TOTAL","",'Arrear Sheet'!Y14))</f>
        <v/>
      </c>
      <c r="Y14" s="136">
        <f>IF('Arrear Sheet'!Z14="","",IF('Arrear Sheet'!C14="TOTAL","",'Arrear Sheet'!Z14))</f>
        <v>0</v>
      </c>
      <c r="Z14" s="136">
        <f>IF('Arrear Sheet'!AA14="","",IF('Arrear Sheet'!C14="TOTAL","",'Arrear Sheet'!AA14))</f>
        <v>0</v>
      </c>
      <c r="AA14" s="24">
        <f>IF('Arrear Sheet'!AB14="","",IF('Arrear Sheet'!C14="TOTAL","",SUM(N14-Z14)))</f>
        <v>1470</v>
      </c>
      <c r="AB14" s="41"/>
      <c r="AC14" s="41"/>
      <c r="AE14" s="59"/>
      <c r="AF14" s="59"/>
      <c r="AG14" s="59"/>
      <c r="AH14" s="59"/>
      <c r="AI14" s="59"/>
      <c r="AJ14" s="59"/>
    </row>
    <row r="15" spans="1:36" s="28" customFormat="1" ht="21" customHeight="1">
      <c r="A15" s="22">
        <f>IF('Arrear Sheet'!B15="","",'Arrear Sheet'!B15)</f>
        <v>8</v>
      </c>
      <c r="B15" s="23">
        <f>IF('Arrear Sheet'!C15="","",IF('Arrear Sheet'!C15="TOTAL","",'Arrear Sheet'!C15))</f>
        <v>42948</v>
      </c>
      <c r="C15" s="136">
        <f>IF('Arrear Sheet'!D15="","",IF('Arrear Sheet'!C15="TOTAL","",IF('Arrear Sheet'!D15="अक्षरें राशि :-","",'Arrear Sheet'!D15)))</f>
        <v>47900</v>
      </c>
      <c r="D15" s="136">
        <f>IF('Arrear Sheet'!E15="","",IF('Arrear Sheet'!C15="TOTAL","",'Arrear Sheet'!E15))</f>
        <v>2395</v>
      </c>
      <c r="E15" s="136">
        <f>IF('Arrear Sheet'!F15="","",IF('Arrear Sheet'!C15="TOTAL","",'Arrear Sheet'!F15))</f>
        <v>0</v>
      </c>
      <c r="F15" s="136">
        <f>IF('Arrear Sheet'!G15="","",IF('Arrear Sheet'!C15="TOTAL","",SUM(C15:E15)))</f>
        <v>50295</v>
      </c>
      <c r="G15" s="136">
        <f>IF('Arrear Sheet'!H15="","",IF('Arrear Sheet'!C15="TOTAL","",'Arrear Sheet'!H15))</f>
        <v>46500</v>
      </c>
      <c r="H15" s="136">
        <f>IF('Arrear Sheet'!I15="","",IF('Arrear Sheet'!C15="TOTAL","",'Arrear Sheet'!I15))</f>
        <v>2325</v>
      </c>
      <c r="I15" s="136">
        <f>IF('Arrear Sheet'!J15="","",IF('Arrear Sheet'!C15="TOTAL","",'Arrear Sheet'!J15))</f>
        <v>0</v>
      </c>
      <c r="J15" s="136">
        <f>IF('Arrear Sheet'!K15="","",IF('Arrear Sheet'!C15="TOTAL","",SUM(G15:I15)))</f>
        <v>48825</v>
      </c>
      <c r="K15" s="136">
        <f>IF('Arrear Sheet'!L15="","",IF('Arrear Sheet'!C15="TOTAL","",'Arrear Sheet'!L15))</f>
        <v>1400</v>
      </c>
      <c r="L15" s="136">
        <f>IF('Arrear Sheet'!M15="","",IF('Arrear Sheet'!C15="TOTAL","",'Arrear Sheet'!M15))</f>
        <v>70</v>
      </c>
      <c r="M15" s="136">
        <f>IF('Arrear Sheet'!N15="","",IF('Arrear Sheet'!C15="TOTAL","",'Arrear Sheet'!N15))</f>
        <v>0</v>
      </c>
      <c r="N15" s="136">
        <f>IF('Arrear Sheet'!O15="","",IF('Arrear Sheet'!C15="TOTAL","",SUM(K15:M15)))</f>
        <v>1470</v>
      </c>
      <c r="O15" s="136">
        <f>IF('Arrear Sheet'!P15="","",IF('Arrear Sheet'!C15="TOTAL","",'Arrear Sheet'!P15))</f>
        <v>5030</v>
      </c>
      <c r="P15" s="136">
        <f>IF('Arrear Sheet'!Q15="","",IF('Arrear Sheet'!C15="TOTAL","",'Arrear Sheet'!Q15))</f>
        <v>4883</v>
      </c>
      <c r="Q15" s="136">
        <f>IF('Arrear Sheet'!R15="","",IF('Arrear Sheet'!C15="TOTAL","",'Arrear Sheet'!R15))</f>
        <v>147</v>
      </c>
      <c r="R15" s="136">
        <f>IF('Arrear Sheet'!S15="","",IF('Arrear Sheet'!C15="TOTAL","",'Arrear Sheet'!S15))</f>
        <v>2100</v>
      </c>
      <c r="S15" s="136">
        <f>IF('Arrear Sheet'!T15="","",IF('Arrear Sheet'!C15="TOTAL","",'Arrear Sheet'!T15))</f>
        <v>2100</v>
      </c>
      <c r="T15" s="136">
        <f>IF('Arrear Sheet'!U15="","",IF('Arrear Sheet'!C15="TOTAL","",'Arrear Sheet'!U15))</f>
        <v>0</v>
      </c>
      <c r="U15" s="136" t="str">
        <f>IF('Arrear Sheet'!V15="","",IF('Arrear Sheet'!C15="TOTAL","",'Arrear Sheet'!V15))</f>
        <v/>
      </c>
      <c r="V15" s="136" t="str">
        <f>IF('Arrear Sheet'!W15="","",IF('Arrear Sheet'!C15="TOTAL","",'Arrear Sheet'!W15))</f>
        <v/>
      </c>
      <c r="W15" s="136" t="str">
        <f>IF('Arrear Sheet'!X15="","",IF('Arrear Sheet'!C15="TOTAL","",'Arrear Sheet'!X15))</f>
        <v/>
      </c>
      <c r="X15" s="136" t="str">
        <f>IF('Arrear Sheet'!Y15="","",IF('Arrear Sheet'!C15="TOTAL","",'Arrear Sheet'!Y15))</f>
        <v/>
      </c>
      <c r="Y15" s="136">
        <f>IF('Arrear Sheet'!Z15="","",IF('Arrear Sheet'!C15="TOTAL","",'Arrear Sheet'!Z15))</f>
        <v>0</v>
      </c>
      <c r="Z15" s="136">
        <f>IF('Arrear Sheet'!AA15="","",IF('Arrear Sheet'!C15="TOTAL","",'Arrear Sheet'!AA15))</f>
        <v>0</v>
      </c>
      <c r="AA15" s="24">
        <f>IF('Arrear Sheet'!AB15="","",IF('Arrear Sheet'!C15="TOTAL","",SUM(N15-Z15)))</f>
        <v>1470</v>
      </c>
      <c r="AB15" s="41"/>
      <c r="AC15" s="41"/>
      <c r="AE15" s="59"/>
      <c r="AF15" s="59"/>
      <c r="AG15" s="59"/>
      <c r="AH15" s="59"/>
      <c r="AI15" s="59"/>
      <c r="AJ15" s="59"/>
    </row>
    <row r="16" spans="1:36" s="28" customFormat="1" ht="21" customHeight="1">
      <c r="A16" s="22">
        <f>IF('Arrear Sheet'!B16="","",'Arrear Sheet'!B16)</f>
        <v>9</v>
      </c>
      <c r="B16" s="23">
        <f>IF('Arrear Sheet'!C16="","",IF('Arrear Sheet'!C16="TOTAL","",'Arrear Sheet'!C16))</f>
        <v>42979</v>
      </c>
      <c r="C16" s="136">
        <f>IF('Arrear Sheet'!D16="","",IF('Arrear Sheet'!C16="TOTAL","",IF('Arrear Sheet'!D16="अक्षरें राशि :-","",'Arrear Sheet'!D16)))</f>
        <v>47900</v>
      </c>
      <c r="D16" s="136">
        <f>IF('Arrear Sheet'!E16="","",IF('Arrear Sheet'!C16="TOTAL","",'Arrear Sheet'!E16))</f>
        <v>2395</v>
      </c>
      <c r="E16" s="136">
        <f>IF('Arrear Sheet'!F16="","",IF('Arrear Sheet'!C16="TOTAL","",'Arrear Sheet'!F16))</f>
        <v>0</v>
      </c>
      <c r="F16" s="136">
        <f>IF('Arrear Sheet'!G16="","",IF('Arrear Sheet'!C16="TOTAL","",SUM(C16:E16)))</f>
        <v>50295</v>
      </c>
      <c r="G16" s="136">
        <f>IF('Arrear Sheet'!H16="","",IF('Arrear Sheet'!C16="TOTAL","",'Arrear Sheet'!H16))</f>
        <v>46500</v>
      </c>
      <c r="H16" s="136">
        <f>IF('Arrear Sheet'!I16="","",IF('Arrear Sheet'!C16="TOTAL","",'Arrear Sheet'!I16))</f>
        <v>2325</v>
      </c>
      <c r="I16" s="136">
        <f>IF('Arrear Sheet'!J16="","",IF('Arrear Sheet'!C16="TOTAL","",'Arrear Sheet'!J16))</f>
        <v>0</v>
      </c>
      <c r="J16" s="136">
        <f>IF('Arrear Sheet'!K16="","",IF('Arrear Sheet'!C16="TOTAL","",SUM(G16:I16)))</f>
        <v>48825</v>
      </c>
      <c r="K16" s="136">
        <f>IF('Arrear Sheet'!L16="","",IF('Arrear Sheet'!C16="TOTAL","",'Arrear Sheet'!L16))</f>
        <v>1400</v>
      </c>
      <c r="L16" s="136">
        <f>IF('Arrear Sheet'!M16="","",IF('Arrear Sheet'!C16="TOTAL","",'Arrear Sheet'!M16))</f>
        <v>70</v>
      </c>
      <c r="M16" s="136">
        <f>IF('Arrear Sheet'!N16="","",IF('Arrear Sheet'!C16="TOTAL","",'Arrear Sheet'!N16))</f>
        <v>0</v>
      </c>
      <c r="N16" s="136">
        <f>IF('Arrear Sheet'!O16="","",IF('Arrear Sheet'!C16="TOTAL","",SUM(K16:M16)))</f>
        <v>1470</v>
      </c>
      <c r="O16" s="136">
        <f>IF('Arrear Sheet'!P16="","",IF('Arrear Sheet'!C16="TOTAL","",'Arrear Sheet'!P16))</f>
        <v>5030</v>
      </c>
      <c r="P16" s="136">
        <f>IF('Arrear Sheet'!Q16="","",IF('Arrear Sheet'!C16="TOTAL","",'Arrear Sheet'!Q16))</f>
        <v>4883</v>
      </c>
      <c r="Q16" s="136">
        <f>IF('Arrear Sheet'!R16="","",IF('Arrear Sheet'!C16="TOTAL","",'Arrear Sheet'!R16))</f>
        <v>147</v>
      </c>
      <c r="R16" s="136">
        <f>IF('Arrear Sheet'!S16="","",IF('Arrear Sheet'!C16="TOTAL","",'Arrear Sheet'!S16))</f>
        <v>2100</v>
      </c>
      <c r="S16" s="136">
        <f>IF('Arrear Sheet'!T16="","",IF('Arrear Sheet'!C16="TOTAL","",'Arrear Sheet'!T16))</f>
        <v>2100</v>
      </c>
      <c r="T16" s="136">
        <f>IF('Arrear Sheet'!U16="","",IF('Arrear Sheet'!C16="TOTAL","",'Arrear Sheet'!U16))</f>
        <v>0</v>
      </c>
      <c r="U16" s="136" t="str">
        <f>IF('Arrear Sheet'!V16="","",IF('Arrear Sheet'!C16="TOTAL","",'Arrear Sheet'!V16))</f>
        <v/>
      </c>
      <c r="V16" s="136" t="str">
        <f>IF('Arrear Sheet'!W16="","",IF('Arrear Sheet'!C16="TOTAL","",'Arrear Sheet'!W16))</f>
        <v/>
      </c>
      <c r="W16" s="136" t="str">
        <f>IF('Arrear Sheet'!X16="","",IF('Arrear Sheet'!C16="TOTAL","",'Arrear Sheet'!X16))</f>
        <v/>
      </c>
      <c r="X16" s="136" t="str">
        <f>IF('Arrear Sheet'!Y16="","",IF('Arrear Sheet'!C16="TOTAL","",'Arrear Sheet'!Y16))</f>
        <v/>
      </c>
      <c r="Y16" s="136">
        <f>IF('Arrear Sheet'!Z16="","",IF('Arrear Sheet'!C16="TOTAL","",'Arrear Sheet'!Z16))</f>
        <v>0</v>
      </c>
      <c r="Z16" s="136">
        <f>IF('Arrear Sheet'!AA16="","",IF('Arrear Sheet'!C16="TOTAL","",'Arrear Sheet'!AA16))</f>
        <v>0</v>
      </c>
      <c r="AA16" s="24">
        <f>IF('Arrear Sheet'!AB16="","",IF('Arrear Sheet'!C16="TOTAL","",SUM(N16-Z16)))</f>
        <v>1470</v>
      </c>
      <c r="AB16" s="41"/>
      <c r="AC16" s="41"/>
      <c r="AE16" s="59"/>
      <c r="AF16" s="59"/>
      <c r="AG16" s="59"/>
      <c r="AH16" s="59"/>
      <c r="AI16" s="59"/>
      <c r="AJ16" s="59"/>
    </row>
    <row r="17" spans="1:36" s="28" customFormat="1" ht="21" customHeight="1">
      <c r="A17" s="22">
        <f>IF('Arrear Sheet'!B17="","",'Arrear Sheet'!B17)</f>
        <v>10</v>
      </c>
      <c r="B17" s="23">
        <f>IF('Arrear Sheet'!C17="","",IF('Arrear Sheet'!C17="TOTAL","",'Arrear Sheet'!C17))</f>
        <v>43009</v>
      </c>
      <c r="C17" s="136">
        <f>IF('Arrear Sheet'!D17="","",IF('Arrear Sheet'!C17="TOTAL","",IF('Arrear Sheet'!D17="अक्षरें राशि :-","",'Arrear Sheet'!D17)))</f>
        <v>47900</v>
      </c>
      <c r="D17" s="136">
        <f>IF('Arrear Sheet'!E17="","",IF('Arrear Sheet'!C17="TOTAL","",'Arrear Sheet'!E17))</f>
        <v>2395</v>
      </c>
      <c r="E17" s="136">
        <f>IF('Arrear Sheet'!F17="","",IF('Arrear Sheet'!C17="TOTAL","",'Arrear Sheet'!F17))</f>
        <v>3832</v>
      </c>
      <c r="F17" s="136">
        <f>IF('Arrear Sheet'!G17="","",IF('Arrear Sheet'!C17="TOTAL","",SUM(C17:E17)))</f>
        <v>54127</v>
      </c>
      <c r="G17" s="136">
        <f>IF('Arrear Sheet'!H17="","",IF('Arrear Sheet'!C17="TOTAL","",'Arrear Sheet'!H17))</f>
        <v>46500</v>
      </c>
      <c r="H17" s="136">
        <f>IF('Arrear Sheet'!I17="","",IF('Arrear Sheet'!C17="TOTAL","",'Arrear Sheet'!I17))</f>
        <v>2325</v>
      </c>
      <c r="I17" s="136">
        <f>IF('Arrear Sheet'!J17="","",IF('Arrear Sheet'!C17="TOTAL","",'Arrear Sheet'!J17))</f>
        <v>3720</v>
      </c>
      <c r="J17" s="136">
        <f>IF('Arrear Sheet'!K17="","",IF('Arrear Sheet'!C17="TOTAL","",SUM(G17:I17)))</f>
        <v>52545</v>
      </c>
      <c r="K17" s="136">
        <f>IF('Arrear Sheet'!L17="","",IF('Arrear Sheet'!C17="TOTAL","",'Arrear Sheet'!L17))</f>
        <v>1400</v>
      </c>
      <c r="L17" s="136">
        <f>IF('Arrear Sheet'!M17="","",IF('Arrear Sheet'!C17="TOTAL","",'Arrear Sheet'!M17))</f>
        <v>70</v>
      </c>
      <c r="M17" s="136">
        <f>IF('Arrear Sheet'!N17="","",IF('Arrear Sheet'!C17="TOTAL","",'Arrear Sheet'!N17))</f>
        <v>112</v>
      </c>
      <c r="N17" s="136">
        <f>IF('Arrear Sheet'!O17="","",IF('Arrear Sheet'!C17="TOTAL","",SUM(K17:M17)))</f>
        <v>1582</v>
      </c>
      <c r="O17" s="136">
        <f>IF('Arrear Sheet'!P17="","",IF('Arrear Sheet'!C17="TOTAL","",'Arrear Sheet'!P17))</f>
        <v>5030</v>
      </c>
      <c r="P17" s="136">
        <f>IF('Arrear Sheet'!Q17="","",IF('Arrear Sheet'!C17="TOTAL","",'Arrear Sheet'!Q17))</f>
        <v>4883</v>
      </c>
      <c r="Q17" s="136">
        <f>IF('Arrear Sheet'!R17="","",IF('Arrear Sheet'!C17="TOTAL","",'Arrear Sheet'!R17))</f>
        <v>147</v>
      </c>
      <c r="R17" s="136">
        <f>IF('Arrear Sheet'!S17="","",IF('Arrear Sheet'!C17="TOTAL","",'Arrear Sheet'!S17))</f>
        <v>2100</v>
      </c>
      <c r="S17" s="136">
        <f>IF('Arrear Sheet'!T17="","",IF('Arrear Sheet'!C17="TOTAL","",'Arrear Sheet'!T17))</f>
        <v>2100</v>
      </c>
      <c r="T17" s="136">
        <f>IF('Arrear Sheet'!U17="","",IF('Arrear Sheet'!C17="TOTAL","",'Arrear Sheet'!U17))</f>
        <v>0</v>
      </c>
      <c r="U17" s="136" t="str">
        <f>IF('Arrear Sheet'!V17="","",IF('Arrear Sheet'!C17="TOTAL","",'Arrear Sheet'!V17))</f>
        <v/>
      </c>
      <c r="V17" s="136" t="str">
        <f>IF('Arrear Sheet'!W17="","",IF('Arrear Sheet'!C17="TOTAL","",'Arrear Sheet'!W17))</f>
        <v/>
      </c>
      <c r="W17" s="136" t="str">
        <f>IF('Arrear Sheet'!X17="","",IF('Arrear Sheet'!C17="TOTAL","",'Arrear Sheet'!X17))</f>
        <v/>
      </c>
      <c r="X17" s="136" t="str">
        <f>IF('Arrear Sheet'!Y17="","",IF('Arrear Sheet'!C17="TOTAL","",'Arrear Sheet'!Y17))</f>
        <v/>
      </c>
      <c r="Y17" s="136">
        <f>IF('Arrear Sheet'!Z17="","",IF('Arrear Sheet'!C17="TOTAL","",'Arrear Sheet'!Z17))</f>
        <v>0</v>
      </c>
      <c r="Z17" s="136">
        <f>IF('Arrear Sheet'!AA17="","",IF('Arrear Sheet'!C17="TOTAL","",'Arrear Sheet'!AA17))</f>
        <v>0</v>
      </c>
      <c r="AA17" s="24">
        <f>IF('Arrear Sheet'!AB17="","",IF('Arrear Sheet'!C17="TOTAL","",SUM(N17-Z17)))</f>
        <v>1582</v>
      </c>
      <c r="AB17" s="41"/>
      <c r="AC17" s="41"/>
      <c r="AE17" s="59"/>
      <c r="AF17" s="59"/>
      <c r="AG17" s="59"/>
      <c r="AH17" s="59"/>
      <c r="AI17" s="59"/>
      <c r="AJ17" s="59"/>
    </row>
    <row r="18" spans="1:36" s="28" customFormat="1" ht="21" customHeight="1">
      <c r="A18" s="22">
        <f>IF('Arrear Sheet'!B18="","",'Arrear Sheet'!B18)</f>
        <v>11</v>
      </c>
      <c r="B18" s="23">
        <f>IF('Arrear Sheet'!C18="","",IF('Arrear Sheet'!C18="TOTAL","",'Arrear Sheet'!C18))</f>
        <v>43040</v>
      </c>
      <c r="C18" s="136">
        <f>IF('Arrear Sheet'!D18="","",IF('Arrear Sheet'!C18="TOTAL","",IF('Arrear Sheet'!D18="अक्षरें राशि :-","",'Arrear Sheet'!D18)))</f>
        <v>47900</v>
      </c>
      <c r="D18" s="136">
        <f>IF('Arrear Sheet'!E18="","",IF('Arrear Sheet'!C18="TOTAL","",'Arrear Sheet'!E18))</f>
        <v>2395</v>
      </c>
      <c r="E18" s="136">
        <f>IF('Arrear Sheet'!F18="","",IF('Arrear Sheet'!C18="TOTAL","",'Arrear Sheet'!F18))</f>
        <v>3832</v>
      </c>
      <c r="F18" s="136">
        <f>IF('Arrear Sheet'!G18="","",IF('Arrear Sheet'!C18="TOTAL","",SUM(C18:E18)))</f>
        <v>54127</v>
      </c>
      <c r="G18" s="136">
        <f>IF('Arrear Sheet'!H18="","",IF('Arrear Sheet'!C18="TOTAL","",'Arrear Sheet'!H18))</f>
        <v>46500</v>
      </c>
      <c r="H18" s="136">
        <f>IF('Arrear Sheet'!I18="","",IF('Arrear Sheet'!C18="TOTAL","",'Arrear Sheet'!I18))</f>
        <v>2325</v>
      </c>
      <c r="I18" s="136">
        <f>IF('Arrear Sheet'!J18="","",IF('Arrear Sheet'!C18="TOTAL","",'Arrear Sheet'!J18))</f>
        <v>3720</v>
      </c>
      <c r="J18" s="136">
        <f>IF('Arrear Sheet'!K18="","",IF('Arrear Sheet'!C18="TOTAL","",SUM(G18:I18)))</f>
        <v>52545</v>
      </c>
      <c r="K18" s="136">
        <f>IF('Arrear Sheet'!L18="","",IF('Arrear Sheet'!C18="TOTAL","",'Arrear Sheet'!L18))</f>
        <v>1400</v>
      </c>
      <c r="L18" s="136">
        <f>IF('Arrear Sheet'!M18="","",IF('Arrear Sheet'!C18="TOTAL","",'Arrear Sheet'!M18))</f>
        <v>70</v>
      </c>
      <c r="M18" s="136">
        <f>IF('Arrear Sheet'!N18="","",IF('Arrear Sheet'!C18="TOTAL","",'Arrear Sheet'!N18))</f>
        <v>112</v>
      </c>
      <c r="N18" s="136">
        <f>IF('Arrear Sheet'!O18="","",IF('Arrear Sheet'!C18="TOTAL","",SUM(K18:M18)))</f>
        <v>1582</v>
      </c>
      <c r="O18" s="136">
        <f>IF('Arrear Sheet'!P18="","",IF('Arrear Sheet'!C18="TOTAL","",'Arrear Sheet'!P18))</f>
        <v>5030</v>
      </c>
      <c r="P18" s="136">
        <f>IF('Arrear Sheet'!Q18="","",IF('Arrear Sheet'!C18="TOTAL","",'Arrear Sheet'!Q18))</f>
        <v>4883</v>
      </c>
      <c r="Q18" s="136">
        <f>IF('Arrear Sheet'!R18="","",IF('Arrear Sheet'!C18="TOTAL","",'Arrear Sheet'!R18))</f>
        <v>147</v>
      </c>
      <c r="R18" s="136">
        <f>IF('Arrear Sheet'!S18="","",IF('Arrear Sheet'!C18="TOTAL","",'Arrear Sheet'!S18))</f>
        <v>2100</v>
      </c>
      <c r="S18" s="136">
        <f>IF('Arrear Sheet'!T18="","",IF('Arrear Sheet'!C18="TOTAL","",'Arrear Sheet'!T18))</f>
        <v>2100</v>
      </c>
      <c r="T18" s="136">
        <f>IF('Arrear Sheet'!U18="","",IF('Arrear Sheet'!C18="TOTAL","",'Arrear Sheet'!U18))</f>
        <v>0</v>
      </c>
      <c r="U18" s="136" t="str">
        <f>IF('Arrear Sheet'!V18="","",IF('Arrear Sheet'!C18="TOTAL","",'Arrear Sheet'!V18))</f>
        <v/>
      </c>
      <c r="V18" s="136" t="str">
        <f>IF('Arrear Sheet'!W18="","",IF('Arrear Sheet'!C18="TOTAL","",'Arrear Sheet'!W18))</f>
        <v/>
      </c>
      <c r="W18" s="136" t="str">
        <f>IF('Arrear Sheet'!X18="","",IF('Arrear Sheet'!C18="TOTAL","",'Arrear Sheet'!X18))</f>
        <v/>
      </c>
      <c r="X18" s="136" t="str">
        <f>IF('Arrear Sheet'!Y18="","",IF('Arrear Sheet'!C18="TOTAL","",'Arrear Sheet'!Y18))</f>
        <v/>
      </c>
      <c r="Y18" s="136">
        <f>IF('Arrear Sheet'!Z18="","",IF('Arrear Sheet'!C18="TOTAL","",'Arrear Sheet'!Z18))</f>
        <v>0</v>
      </c>
      <c r="Z18" s="136">
        <f>IF('Arrear Sheet'!AA18="","",IF('Arrear Sheet'!C18="TOTAL","",'Arrear Sheet'!AA18))</f>
        <v>0</v>
      </c>
      <c r="AA18" s="24">
        <f>IF('Arrear Sheet'!AB18="","",IF('Arrear Sheet'!C18="TOTAL","",SUM(N18-Z18)))</f>
        <v>1582</v>
      </c>
      <c r="AB18" s="41"/>
      <c r="AC18" s="41"/>
      <c r="AE18" s="73"/>
      <c r="AF18" s="73"/>
      <c r="AG18" s="73"/>
      <c r="AH18" s="73"/>
      <c r="AI18" s="73"/>
      <c r="AJ18" s="73"/>
    </row>
    <row r="19" spans="1:36" s="28" customFormat="1" ht="21" customHeight="1">
      <c r="A19" s="22">
        <f>IF('Arrear Sheet'!B19="","",'Arrear Sheet'!B19)</f>
        <v>12</v>
      </c>
      <c r="B19" s="23">
        <f>IF('Arrear Sheet'!C19="","",IF('Arrear Sheet'!C19="TOTAL","",'Arrear Sheet'!C19))</f>
        <v>43070</v>
      </c>
      <c r="C19" s="136">
        <f>IF('Arrear Sheet'!D19="","",IF('Arrear Sheet'!C19="TOTAL","",IF('Arrear Sheet'!D19="अक्षरें राशि :-","",'Arrear Sheet'!D19)))</f>
        <v>47900</v>
      </c>
      <c r="D19" s="136">
        <f>IF('Arrear Sheet'!E19="","",IF('Arrear Sheet'!C19="TOTAL","",'Arrear Sheet'!E19))</f>
        <v>2395</v>
      </c>
      <c r="E19" s="136">
        <f>IF('Arrear Sheet'!F19="","",IF('Arrear Sheet'!C19="TOTAL","",'Arrear Sheet'!F19))</f>
        <v>3832</v>
      </c>
      <c r="F19" s="136">
        <f>IF('Arrear Sheet'!G19="","",IF('Arrear Sheet'!C19="TOTAL","",SUM(C19:E19)))</f>
        <v>54127</v>
      </c>
      <c r="G19" s="136">
        <f>IF('Arrear Sheet'!H19="","",IF('Arrear Sheet'!C19="TOTAL","",'Arrear Sheet'!H19))</f>
        <v>46500</v>
      </c>
      <c r="H19" s="136">
        <f>IF('Arrear Sheet'!I19="","",IF('Arrear Sheet'!C19="TOTAL","",'Arrear Sheet'!I19))</f>
        <v>2325</v>
      </c>
      <c r="I19" s="136">
        <f>IF('Arrear Sheet'!J19="","",IF('Arrear Sheet'!C19="TOTAL","",'Arrear Sheet'!J19))</f>
        <v>3720</v>
      </c>
      <c r="J19" s="136">
        <f>IF('Arrear Sheet'!K19="","",IF('Arrear Sheet'!C19="TOTAL","",SUM(G19:I19)))</f>
        <v>52545</v>
      </c>
      <c r="K19" s="136">
        <f>IF('Arrear Sheet'!L19="","",IF('Arrear Sheet'!C19="TOTAL","",'Arrear Sheet'!L19))</f>
        <v>1400</v>
      </c>
      <c r="L19" s="136">
        <f>IF('Arrear Sheet'!M19="","",IF('Arrear Sheet'!C19="TOTAL","",'Arrear Sheet'!M19))</f>
        <v>70</v>
      </c>
      <c r="M19" s="136">
        <f>IF('Arrear Sheet'!N19="","",IF('Arrear Sheet'!C19="TOTAL","",'Arrear Sheet'!N19))</f>
        <v>112</v>
      </c>
      <c r="N19" s="136">
        <f>IF('Arrear Sheet'!O19="","",IF('Arrear Sheet'!C19="TOTAL","",SUM(K19:M19)))</f>
        <v>1582</v>
      </c>
      <c r="O19" s="136">
        <f>IF('Arrear Sheet'!P19="","",IF('Arrear Sheet'!C19="TOTAL","",'Arrear Sheet'!P19))</f>
        <v>5030</v>
      </c>
      <c r="P19" s="136">
        <f>IF('Arrear Sheet'!Q19="","",IF('Arrear Sheet'!C19="TOTAL","",'Arrear Sheet'!Q19))</f>
        <v>4883</v>
      </c>
      <c r="Q19" s="136">
        <f>IF('Arrear Sheet'!R19="","",IF('Arrear Sheet'!C19="TOTAL","",'Arrear Sheet'!R19))</f>
        <v>147</v>
      </c>
      <c r="R19" s="136">
        <f>IF('Arrear Sheet'!S19="","",IF('Arrear Sheet'!C19="TOTAL","",'Arrear Sheet'!S19))</f>
        <v>2100</v>
      </c>
      <c r="S19" s="136">
        <f>IF('Arrear Sheet'!T19="","",IF('Arrear Sheet'!C19="TOTAL","",'Arrear Sheet'!T19))</f>
        <v>2100</v>
      </c>
      <c r="T19" s="136">
        <f>IF('Arrear Sheet'!U19="","",IF('Arrear Sheet'!C19="TOTAL","",'Arrear Sheet'!U19))</f>
        <v>0</v>
      </c>
      <c r="U19" s="136" t="str">
        <f>IF('Arrear Sheet'!V19="","",IF('Arrear Sheet'!C19="TOTAL","",'Arrear Sheet'!V19))</f>
        <v/>
      </c>
      <c r="V19" s="136" t="str">
        <f>IF('Arrear Sheet'!W19="","",IF('Arrear Sheet'!C19="TOTAL","",'Arrear Sheet'!W19))</f>
        <v/>
      </c>
      <c r="W19" s="136" t="str">
        <f>IF('Arrear Sheet'!X19="","",IF('Arrear Sheet'!C19="TOTAL","",'Arrear Sheet'!X19))</f>
        <v/>
      </c>
      <c r="X19" s="136" t="str">
        <f>IF('Arrear Sheet'!Y19="","",IF('Arrear Sheet'!C19="TOTAL","",'Arrear Sheet'!Y19))</f>
        <v/>
      </c>
      <c r="Y19" s="136">
        <f>IF('Arrear Sheet'!Z19="","",IF('Arrear Sheet'!C19="TOTAL","",'Arrear Sheet'!Z19))</f>
        <v>0</v>
      </c>
      <c r="Z19" s="136">
        <f>IF('Arrear Sheet'!AA19="","",IF('Arrear Sheet'!C19="TOTAL","",'Arrear Sheet'!AA19))</f>
        <v>0</v>
      </c>
      <c r="AA19" s="24">
        <f>IF('Arrear Sheet'!AB19="","",IF('Arrear Sheet'!C19="TOTAL","",SUM(N19-Z19)))</f>
        <v>1582</v>
      </c>
      <c r="AB19" s="41"/>
      <c r="AC19" s="41"/>
      <c r="AE19" s="73"/>
      <c r="AF19" s="73"/>
      <c r="AG19" s="73"/>
      <c r="AH19" s="73"/>
      <c r="AI19" s="73"/>
      <c r="AJ19" s="73"/>
    </row>
    <row r="20" spans="1:36" s="28" customFormat="1" ht="21" customHeight="1">
      <c r="A20" s="22">
        <f>IF('Arrear Sheet'!B20="","",'Arrear Sheet'!B20)</f>
        <v>13</v>
      </c>
      <c r="B20" s="23">
        <f>IF('Arrear Sheet'!C20="","",IF('Arrear Sheet'!C20="TOTAL","",'Arrear Sheet'!C20))</f>
        <v>43101</v>
      </c>
      <c r="C20" s="136">
        <f>IF('Arrear Sheet'!D20="","",IF('Arrear Sheet'!C20="TOTAL","",IF('Arrear Sheet'!D20="अक्षरें राशि :-","",'Arrear Sheet'!D20)))</f>
        <v>47900</v>
      </c>
      <c r="D20" s="136">
        <f>IF('Arrear Sheet'!E20="","",IF('Arrear Sheet'!C20="TOTAL","",'Arrear Sheet'!E20))</f>
        <v>3353</v>
      </c>
      <c r="E20" s="136">
        <f>IF('Arrear Sheet'!F20="","",IF('Arrear Sheet'!C20="TOTAL","",'Arrear Sheet'!F20))</f>
        <v>3832</v>
      </c>
      <c r="F20" s="136">
        <f>IF('Arrear Sheet'!G20="","",IF('Arrear Sheet'!C20="TOTAL","",SUM(C20:E20)))</f>
        <v>55085</v>
      </c>
      <c r="G20" s="136">
        <f>IF('Arrear Sheet'!H20="","",IF('Arrear Sheet'!C20="TOTAL","",'Arrear Sheet'!H20))</f>
        <v>46500</v>
      </c>
      <c r="H20" s="136">
        <f>IF('Arrear Sheet'!I20="","",IF('Arrear Sheet'!C20="TOTAL","",'Arrear Sheet'!I20))</f>
        <v>3255</v>
      </c>
      <c r="I20" s="136">
        <f>IF('Arrear Sheet'!J20="","",IF('Arrear Sheet'!C20="TOTAL","",'Arrear Sheet'!J20))</f>
        <v>3720</v>
      </c>
      <c r="J20" s="136">
        <f>IF('Arrear Sheet'!K20="","",IF('Arrear Sheet'!C20="TOTAL","",SUM(G20:I20)))</f>
        <v>53475</v>
      </c>
      <c r="K20" s="136">
        <f>IF('Arrear Sheet'!L20="","",IF('Arrear Sheet'!C20="TOTAL","",'Arrear Sheet'!L20))</f>
        <v>1400</v>
      </c>
      <c r="L20" s="136">
        <f>IF('Arrear Sheet'!M20="","",IF('Arrear Sheet'!C20="TOTAL","",'Arrear Sheet'!M20))</f>
        <v>98</v>
      </c>
      <c r="M20" s="136">
        <f>IF('Arrear Sheet'!N20="","",IF('Arrear Sheet'!C20="TOTAL","",'Arrear Sheet'!N20))</f>
        <v>112</v>
      </c>
      <c r="N20" s="136">
        <f>IF('Arrear Sheet'!O20="","",IF('Arrear Sheet'!C20="TOTAL","",SUM(K20:M20)))</f>
        <v>1610</v>
      </c>
      <c r="O20" s="136">
        <f>IF('Arrear Sheet'!P20="","",IF('Arrear Sheet'!C20="TOTAL","",'Arrear Sheet'!P20))</f>
        <v>5125</v>
      </c>
      <c r="P20" s="136">
        <f>IF('Arrear Sheet'!Q20="","",IF('Arrear Sheet'!C20="TOTAL","",'Arrear Sheet'!Q20))</f>
        <v>4976</v>
      </c>
      <c r="Q20" s="136">
        <f>IF('Arrear Sheet'!R20="","",IF('Arrear Sheet'!C20="TOTAL","",'Arrear Sheet'!R20))</f>
        <v>149</v>
      </c>
      <c r="R20" s="136">
        <f>IF('Arrear Sheet'!S20="","",IF('Arrear Sheet'!C20="TOTAL","",'Arrear Sheet'!S20))</f>
        <v>2100</v>
      </c>
      <c r="S20" s="136">
        <f>IF('Arrear Sheet'!T20="","",IF('Arrear Sheet'!C20="TOTAL","",'Arrear Sheet'!T20))</f>
        <v>2100</v>
      </c>
      <c r="T20" s="136">
        <f>IF('Arrear Sheet'!U20="","",IF('Arrear Sheet'!C20="TOTAL","",'Arrear Sheet'!U20))</f>
        <v>0</v>
      </c>
      <c r="U20" s="136" t="str">
        <f>IF('Arrear Sheet'!V20="","",IF('Arrear Sheet'!C20="TOTAL","",'Arrear Sheet'!V20))</f>
        <v/>
      </c>
      <c r="V20" s="136" t="str">
        <f>IF('Arrear Sheet'!W20="","",IF('Arrear Sheet'!C20="TOTAL","",'Arrear Sheet'!W20))</f>
        <v/>
      </c>
      <c r="W20" s="136" t="str">
        <f>IF('Arrear Sheet'!X20="","",IF('Arrear Sheet'!C20="TOTAL","",'Arrear Sheet'!X20))</f>
        <v/>
      </c>
      <c r="X20" s="136" t="str">
        <f>IF('Arrear Sheet'!Y20="","",IF('Arrear Sheet'!C20="TOTAL","",'Arrear Sheet'!Y20))</f>
        <v/>
      </c>
      <c r="Y20" s="136">
        <f>IF('Arrear Sheet'!Z20="","",IF('Arrear Sheet'!C20="TOTAL","",'Arrear Sheet'!Z20))</f>
        <v>0</v>
      </c>
      <c r="Z20" s="136">
        <f>IF('Arrear Sheet'!AA20="","",IF('Arrear Sheet'!C20="TOTAL","",'Arrear Sheet'!AA20))</f>
        <v>0</v>
      </c>
      <c r="AA20" s="24">
        <f>IF('Arrear Sheet'!AB20="","",IF('Arrear Sheet'!C20="TOTAL","",SUM(N20-Z20)))</f>
        <v>1610</v>
      </c>
      <c r="AB20" s="41"/>
      <c r="AC20" s="41"/>
      <c r="AE20" s="73"/>
      <c r="AF20" s="73"/>
      <c r="AG20" s="73"/>
      <c r="AH20" s="73"/>
      <c r="AI20" s="73"/>
      <c r="AJ20" s="73"/>
    </row>
    <row r="21" spans="1:36" s="28" customFormat="1" ht="21" customHeight="1">
      <c r="A21" s="22">
        <f>IF('Arrear Sheet'!B21="","",'Arrear Sheet'!B21)</f>
        <v>14</v>
      </c>
      <c r="B21" s="23">
        <f>IF('Arrear Sheet'!C21="","",IF('Arrear Sheet'!C21="TOTAL","",'Arrear Sheet'!C21))</f>
        <v>43132</v>
      </c>
      <c r="C21" s="136">
        <f>IF('Arrear Sheet'!D21="","",IF('Arrear Sheet'!C21="TOTAL","",IF('Arrear Sheet'!D21="अक्षरें राशि :-","",'Arrear Sheet'!D21)))</f>
        <v>47900</v>
      </c>
      <c r="D21" s="136">
        <f>IF('Arrear Sheet'!E21="","",IF('Arrear Sheet'!C21="TOTAL","",'Arrear Sheet'!E21))</f>
        <v>3353</v>
      </c>
      <c r="E21" s="136">
        <f>IF('Arrear Sheet'!F21="","",IF('Arrear Sheet'!C21="TOTAL","",'Arrear Sheet'!F21))</f>
        <v>3832</v>
      </c>
      <c r="F21" s="136">
        <f>IF('Arrear Sheet'!G21="","",IF('Arrear Sheet'!C21="TOTAL","",SUM(C21:E21)))</f>
        <v>55085</v>
      </c>
      <c r="G21" s="136">
        <f>IF('Arrear Sheet'!H21="","",IF('Arrear Sheet'!C21="TOTAL","",'Arrear Sheet'!H21))</f>
        <v>46500</v>
      </c>
      <c r="H21" s="136">
        <f>IF('Arrear Sheet'!I21="","",IF('Arrear Sheet'!C21="TOTAL","",'Arrear Sheet'!I21))</f>
        <v>3255</v>
      </c>
      <c r="I21" s="136">
        <f>IF('Arrear Sheet'!J21="","",IF('Arrear Sheet'!C21="TOTAL","",'Arrear Sheet'!J21))</f>
        <v>3720</v>
      </c>
      <c r="J21" s="136">
        <f>IF('Arrear Sheet'!K21="","",IF('Arrear Sheet'!C21="TOTAL","",SUM(G21:I21)))</f>
        <v>53475</v>
      </c>
      <c r="K21" s="136">
        <f>IF('Arrear Sheet'!L21="","",IF('Arrear Sheet'!C21="TOTAL","",'Arrear Sheet'!L21))</f>
        <v>1400</v>
      </c>
      <c r="L21" s="136">
        <f>IF('Arrear Sheet'!M21="","",IF('Arrear Sheet'!C21="TOTAL","",'Arrear Sheet'!M21))</f>
        <v>98</v>
      </c>
      <c r="M21" s="136">
        <f>IF('Arrear Sheet'!N21="","",IF('Arrear Sheet'!C21="TOTAL","",'Arrear Sheet'!N21))</f>
        <v>112</v>
      </c>
      <c r="N21" s="136">
        <f>IF('Arrear Sheet'!O21="","",IF('Arrear Sheet'!C21="TOTAL","",SUM(K21:M21)))</f>
        <v>1610</v>
      </c>
      <c r="O21" s="136">
        <f>IF('Arrear Sheet'!P21="","",IF('Arrear Sheet'!C21="TOTAL","",'Arrear Sheet'!P21))</f>
        <v>5125</v>
      </c>
      <c r="P21" s="136">
        <f>IF('Arrear Sheet'!Q21="","",IF('Arrear Sheet'!C21="TOTAL","",'Arrear Sheet'!Q21))</f>
        <v>4976</v>
      </c>
      <c r="Q21" s="136">
        <f>IF('Arrear Sheet'!R21="","",IF('Arrear Sheet'!C21="TOTAL","",'Arrear Sheet'!R21))</f>
        <v>149</v>
      </c>
      <c r="R21" s="136">
        <f>IF('Arrear Sheet'!S21="","",IF('Arrear Sheet'!C21="TOTAL","",'Arrear Sheet'!S21))</f>
        <v>2100</v>
      </c>
      <c r="S21" s="136">
        <f>IF('Arrear Sheet'!T21="","",IF('Arrear Sheet'!C21="TOTAL","",'Arrear Sheet'!T21))</f>
        <v>2100</v>
      </c>
      <c r="T21" s="136">
        <f>IF('Arrear Sheet'!U21="","",IF('Arrear Sheet'!C21="TOTAL","",'Arrear Sheet'!U21))</f>
        <v>0</v>
      </c>
      <c r="U21" s="136" t="str">
        <f>IF('Arrear Sheet'!V21="","",IF('Arrear Sheet'!C21="TOTAL","",'Arrear Sheet'!V21))</f>
        <v/>
      </c>
      <c r="V21" s="136" t="str">
        <f>IF('Arrear Sheet'!W21="","",IF('Arrear Sheet'!C21="TOTAL","",'Arrear Sheet'!W21))</f>
        <v/>
      </c>
      <c r="W21" s="136" t="str">
        <f>IF('Arrear Sheet'!X21="","",IF('Arrear Sheet'!C21="TOTAL","",'Arrear Sheet'!X21))</f>
        <v/>
      </c>
      <c r="X21" s="136" t="str">
        <f>IF('Arrear Sheet'!Y21="","",IF('Arrear Sheet'!C21="TOTAL","",'Arrear Sheet'!Y21))</f>
        <v/>
      </c>
      <c r="Y21" s="136">
        <f>IF('Arrear Sheet'!Z21="","",IF('Arrear Sheet'!C21="TOTAL","",'Arrear Sheet'!Z21))</f>
        <v>0</v>
      </c>
      <c r="Z21" s="136">
        <f>IF('Arrear Sheet'!AA21="","",IF('Arrear Sheet'!C21="TOTAL","",'Arrear Sheet'!AA21))</f>
        <v>0</v>
      </c>
      <c r="AA21" s="24">
        <f>IF('Arrear Sheet'!AB21="","",IF('Arrear Sheet'!C21="TOTAL","",SUM(N21-Z21)))</f>
        <v>1610</v>
      </c>
      <c r="AB21" s="41"/>
      <c r="AC21" s="41"/>
      <c r="AE21" s="73"/>
      <c r="AF21" s="73"/>
      <c r="AG21" s="73"/>
      <c r="AH21" s="73"/>
      <c r="AI21" s="73"/>
      <c r="AJ21" s="73"/>
    </row>
    <row r="22" spans="1:36" s="28" customFormat="1" ht="21" customHeight="1">
      <c r="A22" s="22">
        <f>IF('Arrear Sheet'!B22="","",'Arrear Sheet'!B22)</f>
        <v>15</v>
      </c>
      <c r="B22" s="23">
        <f>IF('Arrear Sheet'!C22="","",IF('Arrear Sheet'!C22="TOTAL","",'Arrear Sheet'!C22))</f>
        <v>43160</v>
      </c>
      <c r="C22" s="136">
        <f>IF('Arrear Sheet'!D22="","",IF('Arrear Sheet'!C22="TOTAL","",IF('Arrear Sheet'!D22="अक्षरें राशि :-","",'Arrear Sheet'!D22)))</f>
        <v>47900</v>
      </c>
      <c r="D22" s="136">
        <f>IF('Arrear Sheet'!E22="","",IF('Arrear Sheet'!C22="TOTAL","",'Arrear Sheet'!E22))</f>
        <v>3353</v>
      </c>
      <c r="E22" s="136">
        <f>IF('Arrear Sheet'!F22="","",IF('Arrear Sheet'!C22="TOTAL","",'Arrear Sheet'!F22))</f>
        <v>3832</v>
      </c>
      <c r="F22" s="136">
        <f>IF('Arrear Sheet'!G22="","",IF('Arrear Sheet'!C22="TOTAL","",SUM(C22:E22)))</f>
        <v>55085</v>
      </c>
      <c r="G22" s="136">
        <f>IF('Arrear Sheet'!H22="","",IF('Arrear Sheet'!C22="TOTAL","",'Arrear Sheet'!H22))</f>
        <v>46500</v>
      </c>
      <c r="H22" s="136">
        <f>IF('Arrear Sheet'!I22="","",IF('Arrear Sheet'!C22="TOTAL","",'Arrear Sheet'!I22))</f>
        <v>3255</v>
      </c>
      <c r="I22" s="136">
        <f>IF('Arrear Sheet'!J22="","",IF('Arrear Sheet'!C22="TOTAL","",'Arrear Sheet'!J22))</f>
        <v>3720</v>
      </c>
      <c r="J22" s="136">
        <f>IF('Arrear Sheet'!K22="","",IF('Arrear Sheet'!C22="TOTAL","",SUM(G22:I22)))</f>
        <v>53475</v>
      </c>
      <c r="K22" s="136">
        <f>IF('Arrear Sheet'!L22="","",IF('Arrear Sheet'!C22="TOTAL","",'Arrear Sheet'!L22))</f>
        <v>1400</v>
      </c>
      <c r="L22" s="136">
        <f>IF('Arrear Sheet'!M22="","",IF('Arrear Sheet'!C22="TOTAL","",'Arrear Sheet'!M22))</f>
        <v>98</v>
      </c>
      <c r="M22" s="136">
        <f>IF('Arrear Sheet'!N22="","",IF('Arrear Sheet'!C22="TOTAL","",'Arrear Sheet'!N22))</f>
        <v>112</v>
      </c>
      <c r="N22" s="136">
        <f>IF('Arrear Sheet'!O22="","",IF('Arrear Sheet'!C22="TOTAL","",SUM(K22:M22)))</f>
        <v>1610</v>
      </c>
      <c r="O22" s="136">
        <f>IF('Arrear Sheet'!P22="","",IF('Arrear Sheet'!C22="TOTAL","",'Arrear Sheet'!P22))</f>
        <v>5125</v>
      </c>
      <c r="P22" s="136">
        <f>IF('Arrear Sheet'!Q22="","",IF('Arrear Sheet'!C22="TOTAL","",'Arrear Sheet'!Q22))</f>
        <v>4976</v>
      </c>
      <c r="Q22" s="136">
        <f>IF('Arrear Sheet'!R22="","",IF('Arrear Sheet'!C22="TOTAL","",'Arrear Sheet'!R22))</f>
        <v>149</v>
      </c>
      <c r="R22" s="136">
        <f>IF('Arrear Sheet'!S22="","",IF('Arrear Sheet'!C22="TOTAL","",'Arrear Sheet'!S22))</f>
        <v>2100</v>
      </c>
      <c r="S22" s="136">
        <f>IF('Arrear Sheet'!T22="","",IF('Arrear Sheet'!C22="TOTAL","",'Arrear Sheet'!T22))</f>
        <v>2100</v>
      </c>
      <c r="T22" s="136">
        <f>IF('Arrear Sheet'!U22="","",IF('Arrear Sheet'!C22="TOTAL","",'Arrear Sheet'!U22))</f>
        <v>0</v>
      </c>
      <c r="U22" s="136" t="str">
        <f>IF('Arrear Sheet'!V22="","",IF('Arrear Sheet'!C22="TOTAL","",'Arrear Sheet'!V22))</f>
        <v/>
      </c>
      <c r="V22" s="136" t="str">
        <f>IF('Arrear Sheet'!W22="","",IF('Arrear Sheet'!C22="TOTAL","",'Arrear Sheet'!W22))</f>
        <v/>
      </c>
      <c r="W22" s="136" t="str">
        <f>IF('Arrear Sheet'!X22="","",IF('Arrear Sheet'!C22="TOTAL","",'Arrear Sheet'!X22))</f>
        <v/>
      </c>
      <c r="X22" s="136" t="str">
        <f>IF('Arrear Sheet'!Y22="","",IF('Arrear Sheet'!C22="TOTAL","",'Arrear Sheet'!Y22))</f>
        <v/>
      </c>
      <c r="Y22" s="136">
        <f>IF('Arrear Sheet'!Z22="","",IF('Arrear Sheet'!C22="TOTAL","",'Arrear Sheet'!Z22))</f>
        <v>0</v>
      </c>
      <c r="Z22" s="136">
        <f>IF('Arrear Sheet'!AA22="","",IF('Arrear Sheet'!C22="TOTAL","",'Arrear Sheet'!AA22))</f>
        <v>0</v>
      </c>
      <c r="AA22" s="24">
        <f>IF('Arrear Sheet'!AB22="","",IF('Arrear Sheet'!C22="TOTAL","",SUM(N22-Z22)))</f>
        <v>1610</v>
      </c>
      <c r="AB22" s="41"/>
      <c r="AC22" s="41"/>
      <c r="AE22" s="73"/>
      <c r="AF22" s="73"/>
      <c r="AG22" s="73"/>
      <c r="AH22" s="73"/>
      <c r="AI22" s="73"/>
      <c r="AJ22" s="73"/>
    </row>
    <row r="23" spans="1:36" s="28" customFormat="1" ht="21" customHeight="1">
      <c r="A23" s="22">
        <f>IF('Arrear Sheet'!B23="","",'Arrear Sheet'!B23)</f>
        <v>16</v>
      </c>
      <c r="B23" s="23">
        <f>IF('Arrear Sheet'!C23="","",IF('Arrear Sheet'!C23="TOTAL","",'Arrear Sheet'!C23))</f>
        <v>43191</v>
      </c>
      <c r="C23" s="136">
        <f>IF('Arrear Sheet'!D23="","",IF('Arrear Sheet'!C23="TOTAL","",IF('Arrear Sheet'!D23="अक्षरें राशि :-","",'Arrear Sheet'!D23)))</f>
        <v>47900</v>
      </c>
      <c r="D23" s="136">
        <f>IF('Arrear Sheet'!E23="","",IF('Arrear Sheet'!C23="TOTAL","",'Arrear Sheet'!E23))</f>
        <v>3353</v>
      </c>
      <c r="E23" s="136">
        <f>IF('Arrear Sheet'!F23="","",IF('Arrear Sheet'!C23="TOTAL","",'Arrear Sheet'!F23))</f>
        <v>3832</v>
      </c>
      <c r="F23" s="136">
        <f>IF('Arrear Sheet'!G23="","",IF('Arrear Sheet'!C23="TOTAL","",SUM(C23:E23)))</f>
        <v>55085</v>
      </c>
      <c r="G23" s="136">
        <f>IF('Arrear Sheet'!H23="","",IF('Arrear Sheet'!C23="TOTAL","",'Arrear Sheet'!H23))</f>
        <v>46500</v>
      </c>
      <c r="H23" s="136">
        <f>IF('Arrear Sheet'!I23="","",IF('Arrear Sheet'!C23="TOTAL","",'Arrear Sheet'!I23))</f>
        <v>3255</v>
      </c>
      <c r="I23" s="136">
        <f>IF('Arrear Sheet'!J23="","",IF('Arrear Sheet'!C23="TOTAL","",'Arrear Sheet'!J23))</f>
        <v>3720</v>
      </c>
      <c r="J23" s="136">
        <f>IF('Arrear Sheet'!K23="","",IF('Arrear Sheet'!C23="TOTAL","",SUM(G23:I23)))</f>
        <v>53475</v>
      </c>
      <c r="K23" s="136">
        <f>IF('Arrear Sheet'!L23="","",IF('Arrear Sheet'!C23="TOTAL","",'Arrear Sheet'!L23))</f>
        <v>1400</v>
      </c>
      <c r="L23" s="136">
        <f>IF('Arrear Sheet'!M23="","",IF('Arrear Sheet'!C23="TOTAL","",'Arrear Sheet'!M23))</f>
        <v>98</v>
      </c>
      <c r="M23" s="136">
        <f>IF('Arrear Sheet'!N23="","",IF('Arrear Sheet'!C23="TOTAL","",'Arrear Sheet'!N23))</f>
        <v>112</v>
      </c>
      <c r="N23" s="136">
        <f>IF('Arrear Sheet'!O23="","",IF('Arrear Sheet'!C23="TOTAL","",SUM(K23:M23)))</f>
        <v>1610</v>
      </c>
      <c r="O23" s="136">
        <f>IF('Arrear Sheet'!P23="","",IF('Arrear Sheet'!C23="TOTAL","",'Arrear Sheet'!P23))</f>
        <v>5125</v>
      </c>
      <c r="P23" s="136">
        <f>IF('Arrear Sheet'!Q23="","",IF('Arrear Sheet'!C23="TOTAL","",'Arrear Sheet'!Q23))</f>
        <v>4976</v>
      </c>
      <c r="Q23" s="136">
        <f>IF('Arrear Sheet'!R23="","",IF('Arrear Sheet'!C23="TOTAL","",'Arrear Sheet'!R23))</f>
        <v>149</v>
      </c>
      <c r="R23" s="136">
        <f>IF('Arrear Sheet'!S23="","",IF('Arrear Sheet'!C23="TOTAL","",'Arrear Sheet'!S23))</f>
        <v>2100</v>
      </c>
      <c r="S23" s="136">
        <f>IF('Arrear Sheet'!T23="","",IF('Arrear Sheet'!C23="TOTAL","",'Arrear Sheet'!T23))</f>
        <v>2100</v>
      </c>
      <c r="T23" s="136">
        <f>IF('Arrear Sheet'!U23="","",IF('Arrear Sheet'!C23="TOTAL","",'Arrear Sheet'!U23))</f>
        <v>0</v>
      </c>
      <c r="U23" s="136" t="str">
        <f>IF('Arrear Sheet'!V23="","",IF('Arrear Sheet'!C23="TOTAL","",'Arrear Sheet'!V23))</f>
        <v/>
      </c>
      <c r="V23" s="136" t="str">
        <f>IF('Arrear Sheet'!W23="","",IF('Arrear Sheet'!C23="TOTAL","",'Arrear Sheet'!W23))</f>
        <v/>
      </c>
      <c r="W23" s="136" t="str">
        <f>IF('Arrear Sheet'!X23="","",IF('Arrear Sheet'!C23="TOTAL","",'Arrear Sheet'!X23))</f>
        <v/>
      </c>
      <c r="X23" s="136" t="str">
        <f>IF('Arrear Sheet'!Y23="","",IF('Arrear Sheet'!C23="TOTAL","",'Arrear Sheet'!Y23))</f>
        <v/>
      </c>
      <c r="Y23" s="136">
        <f>IF('Arrear Sheet'!Z23="","",IF('Arrear Sheet'!C23="TOTAL","",'Arrear Sheet'!Z23))</f>
        <v>0</v>
      </c>
      <c r="Z23" s="136">
        <f>IF('Arrear Sheet'!AA23="","",IF('Arrear Sheet'!C23="TOTAL","",'Arrear Sheet'!AA23))</f>
        <v>0</v>
      </c>
      <c r="AA23" s="24">
        <f>IF('Arrear Sheet'!AB23="","",IF('Arrear Sheet'!C23="TOTAL","",SUM(N23-Z23)))</f>
        <v>1610</v>
      </c>
      <c r="AB23" s="41"/>
      <c r="AC23" s="41"/>
      <c r="AE23" s="73"/>
      <c r="AF23" s="73"/>
      <c r="AG23" s="73"/>
      <c r="AH23" s="73"/>
      <c r="AI23" s="73"/>
      <c r="AJ23" s="73"/>
    </row>
    <row r="24" spans="1:36" s="28" customFormat="1" ht="21" customHeight="1">
      <c r="A24" s="22">
        <f>IF('Arrear Sheet'!B24="","",'Arrear Sheet'!B24)</f>
        <v>17</v>
      </c>
      <c r="B24" s="23">
        <f>IF('Arrear Sheet'!C24="","",IF('Arrear Sheet'!C24="TOTAL","",'Arrear Sheet'!C24))</f>
        <v>43221</v>
      </c>
      <c r="C24" s="136">
        <f>IF('Arrear Sheet'!D24="","",IF('Arrear Sheet'!C24="TOTAL","",IF('Arrear Sheet'!D24="अक्षरें राशि :-","",'Arrear Sheet'!D24)))</f>
        <v>47900</v>
      </c>
      <c r="D24" s="136">
        <f>IF('Arrear Sheet'!E24="","",IF('Arrear Sheet'!C24="TOTAL","",'Arrear Sheet'!E24))</f>
        <v>3353</v>
      </c>
      <c r="E24" s="136">
        <f>IF('Arrear Sheet'!F24="","",IF('Arrear Sheet'!C24="TOTAL","",'Arrear Sheet'!F24))</f>
        <v>3832</v>
      </c>
      <c r="F24" s="136">
        <f>IF('Arrear Sheet'!G24="","",IF('Arrear Sheet'!C24="TOTAL","",SUM(C24:E24)))</f>
        <v>55085</v>
      </c>
      <c r="G24" s="136">
        <f>IF('Arrear Sheet'!H24="","",IF('Arrear Sheet'!C24="TOTAL","",'Arrear Sheet'!H24))</f>
        <v>46500</v>
      </c>
      <c r="H24" s="136">
        <f>IF('Arrear Sheet'!I24="","",IF('Arrear Sheet'!C24="TOTAL","",'Arrear Sheet'!I24))</f>
        <v>3255</v>
      </c>
      <c r="I24" s="136">
        <f>IF('Arrear Sheet'!J24="","",IF('Arrear Sheet'!C24="TOTAL","",'Arrear Sheet'!J24))</f>
        <v>3720</v>
      </c>
      <c r="J24" s="136">
        <f>IF('Arrear Sheet'!K24="","",IF('Arrear Sheet'!C24="TOTAL","",SUM(G24:I24)))</f>
        <v>53475</v>
      </c>
      <c r="K24" s="136">
        <f>IF('Arrear Sheet'!L24="","",IF('Arrear Sheet'!C24="TOTAL","",'Arrear Sheet'!L24))</f>
        <v>1400</v>
      </c>
      <c r="L24" s="136">
        <f>IF('Arrear Sheet'!M24="","",IF('Arrear Sheet'!C24="TOTAL","",'Arrear Sheet'!M24))</f>
        <v>98</v>
      </c>
      <c r="M24" s="136">
        <f>IF('Arrear Sheet'!N24="","",IF('Arrear Sheet'!C24="TOTAL","",'Arrear Sheet'!N24))</f>
        <v>112</v>
      </c>
      <c r="N24" s="136">
        <f>IF('Arrear Sheet'!O24="","",IF('Arrear Sheet'!C24="TOTAL","",SUM(K24:M24)))</f>
        <v>1610</v>
      </c>
      <c r="O24" s="136">
        <f>IF('Arrear Sheet'!P24="","",IF('Arrear Sheet'!C24="TOTAL","",'Arrear Sheet'!P24))</f>
        <v>5125</v>
      </c>
      <c r="P24" s="136">
        <f>IF('Arrear Sheet'!Q24="","",IF('Arrear Sheet'!C24="TOTAL","",'Arrear Sheet'!Q24))</f>
        <v>4976</v>
      </c>
      <c r="Q24" s="136">
        <f>IF('Arrear Sheet'!R24="","",IF('Arrear Sheet'!C24="TOTAL","",'Arrear Sheet'!R24))</f>
        <v>149</v>
      </c>
      <c r="R24" s="136">
        <f>IF('Arrear Sheet'!S24="","",IF('Arrear Sheet'!C24="TOTAL","",'Arrear Sheet'!S24))</f>
        <v>2100</v>
      </c>
      <c r="S24" s="136">
        <f>IF('Arrear Sheet'!T24="","",IF('Arrear Sheet'!C24="TOTAL","",'Arrear Sheet'!T24))</f>
        <v>2100</v>
      </c>
      <c r="T24" s="136">
        <f>IF('Arrear Sheet'!U24="","",IF('Arrear Sheet'!C24="TOTAL","",'Arrear Sheet'!U24))</f>
        <v>0</v>
      </c>
      <c r="U24" s="136" t="str">
        <f>IF('Arrear Sheet'!V24="","",IF('Arrear Sheet'!C24="TOTAL","",'Arrear Sheet'!V24))</f>
        <v/>
      </c>
      <c r="V24" s="136" t="str">
        <f>IF('Arrear Sheet'!W24="","",IF('Arrear Sheet'!C24="TOTAL","",'Arrear Sheet'!W24))</f>
        <v/>
      </c>
      <c r="W24" s="136" t="str">
        <f>IF('Arrear Sheet'!X24="","",IF('Arrear Sheet'!C24="TOTAL","",'Arrear Sheet'!X24))</f>
        <v/>
      </c>
      <c r="X24" s="136" t="str">
        <f>IF('Arrear Sheet'!Y24="","",IF('Arrear Sheet'!C24="TOTAL","",'Arrear Sheet'!Y24))</f>
        <v/>
      </c>
      <c r="Y24" s="136">
        <f>IF('Arrear Sheet'!Z24="","",IF('Arrear Sheet'!C24="TOTAL","",'Arrear Sheet'!Z24))</f>
        <v>0</v>
      </c>
      <c r="Z24" s="136">
        <f>IF('Arrear Sheet'!AA24="","",IF('Arrear Sheet'!C24="TOTAL","",'Arrear Sheet'!AA24))</f>
        <v>0</v>
      </c>
      <c r="AA24" s="24">
        <f>IF('Arrear Sheet'!AB24="","",IF('Arrear Sheet'!C24="TOTAL","",SUM(N24-Z24)))</f>
        <v>1610</v>
      </c>
      <c r="AB24" s="41"/>
      <c r="AC24" s="41"/>
      <c r="AE24" s="73"/>
      <c r="AF24" s="73"/>
      <c r="AG24" s="73"/>
      <c r="AH24" s="73"/>
      <c r="AI24" s="73"/>
      <c r="AJ24" s="73"/>
    </row>
    <row r="25" spans="1:36" s="28" customFormat="1" ht="21" customHeight="1">
      <c r="A25" s="22">
        <f>IF('Arrear Sheet'!B25="","",'Arrear Sheet'!B25)</f>
        <v>18</v>
      </c>
      <c r="B25" s="23">
        <f>IF('Arrear Sheet'!C25="","",IF('Arrear Sheet'!C25="TOTAL","",'Arrear Sheet'!C25))</f>
        <v>43252</v>
      </c>
      <c r="C25" s="136">
        <f>IF('Arrear Sheet'!D25="","",IF('Arrear Sheet'!C25="TOTAL","",IF('Arrear Sheet'!D25="अक्षरें राशि :-","",'Arrear Sheet'!D25)))</f>
        <v>47900</v>
      </c>
      <c r="D25" s="136">
        <f>IF('Arrear Sheet'!E25="","",IF('Arrear Sheet'!C25="TOTAL","",'Arrear Sheet'!E25))</f>
        <v>3353</v>
      </c>
      <c r="E25" s="136">
        <f>IF('Arrear Sheet'!F25="","",IF('Arrear Sheet'!C25="TOTAL","",'Arrear Sheet'!F25))</f>
        <v>3832</v>
      </c>
      <c r="F25" s="136">
        <f>IF('Arrear Sheet'!G25="","",IF('Arrear Sheet'!C25="TOTAL","",SUM(C25:E25)))</f>
        <v>55085</v>
      </c>
      <c r="G25" s="136">
        <f>IF('Arrear Sheet'!H25="","",IF('Arrear Sheet'!C25="TOTAL","",'Arrear Sheet'!H25))</f>
        <v>46500</v>
      </c>
      <c r="H25" s="136">
        <f>IF('Arrear Sheet'!I25="","",IF('Arrear Sheet'!C25="TOTAL","",'Arrear Sheet'!I25))</f>
        <v>3255</v>
      </c>
      <c r="I25" s="136">
        <f>IF('Arrear Sheet'!J25="","",IF('Arrear Sheet'!C25="TOTAL","",'Arrear Sheet'!J25))</f>
        <v>3720</v>
      </c>
      <c r="J25" s="136">
        <f>IF('Arrear Sheet'!K25="","",IF('Arrear Sheet'!C25="TOTAL","",SUM(G25:I25)))</f>
        <v>53475</v>
      </c>
      <c r="K25" s="136">
        <f>IF('Arrear Sheet'!L25="","",IF('Arrear Sheet'!C25="TOTAL","",'Arrear Sheet'!L25))</f>
        <v>1400</v>
      </c>
      <c r="L25" s="136">
        <f>IF('Arrear Sheet'!M25="","",IF('Arrear Sheet'!C25="TOTAL","",'Arrear Sheet'!M25))</f>
        <v>98</v>
      </c>
      <c r="M25" s="136">
        <f>IF('Arrear Sheet'!N25="","",IF('Arrear Sheet'!C25="TOTAL","",'Arrear Sheet'!N25))</f>
        <v>112</v>
      </c>
      <c r="N25" s="136">
        <f>IF('Arrear Sheet'!O25="","",IF('Arrear Sheet'!C25="TOTAL","",SUM(K25:M25)))</f>
        <v>1610</v>
      </c>
      <c r="O25" s="136">
        <f>IF('Arrear Sheet'!P25="","",IF('Arrear Sheet'!C25="TOTAL","",'Arrear Sheet'!P25))</f>
        <v>5125</v>
      </c>
      <c r="P25" s="136">
        <f>IF('Arrear Sheet'!Q25="","",IF('Arrear Sheet'!C25="TOTAL","",'Arrear Sheet'!Q25))</f>
        <v>4976</v>
      </c>
      <c r="Q25" s="136">
        <f>IF('Arrear Sheet'!R25="","",IF('Arrear Sheet'!C25="TOTAL","",'Arrear Sheet'!R25))</f>
        <v>149</v>
      </c>
      <c r="R25" s="136">
        <f>IF('Arrear Sheet'!S25="","",IF('Arrear Sheet'!C25="TOTAL","",'Arrear Sheet'!S25))</f>
        <v>2100</v>
      </c>
      <c r="S25" s="136">
        <f>IF('Arrear Sheet'!T25="","",IF('Arrear Sheet'!C25="TOTAL","",'Arrear Sheet'!T25))</f>
        <v>2100</v>
      </c>
      <c r="T25" s="136">
        <f>IF('Arrear Sheet'!U25="","",IF('Arrear Sheet'!C25="TOTAL","",'Arrear Sheet'!U25))</f>
        <v>0</v>
      </c>
      <c r="U25" s="136" t="str">
        <f>IF('Arrear Sheet'!V25="","",IF('Arrear Sheet'!C25="TOTAL","",'Arrear Sheet'!V25))</f>
        <v/>
      </c>
      <c r="V25" s="136" t="str">
        <f>IF('Arrear Sheet'!W25="","",IF('Arrear Sheet'!C25="TOTAL","",'Arrear Sheet'!W25))</f>
        <v/>
      </c>
      <c r="W25" s="136" t="str">
        <f>IF('Arrear Sheet'!X25="","",IF('Arrear Sheet'!C25="TOTAL","",'Arrear Sheet'!X25))</f>
        <v/>
      </c>
      <c r="X25" s="136" t="str">
        <f>IF('Arrear Sheet'!Y25="","",IF('Arrear Sheet'!C25="TOTAL","",'Arrear Sheet'!Y25))</f>
        <v/>
      </c>
      <c r="Y25" s="136">
        <f>IF('Arrear Sheet'!Z25="","",IF('Arrear Sheet'!C25="TOTAL","",'Arrear Sheet'!Z25))</f>
        <v>0</v>
      </c>
      <c r="Z25" s="136">
        <f>IF('Arrear Sheet'!AA25="","",IF('Arrear Sheet'!C25="TOTAL","",'Arrear Sheet'!AA25))</f>
        <v>0</v>
      </c>
      <c r="AA25" s="24">
        <f>IF('Arrear Sheet'!AB25="","",IF('Arrear Sheet'!C25="TOTAL","",SUM(N25-Z25)))</f>
        <v>1610</v>
      </c>
      <c r="AB25" s="41"/>
      <c r="AC25" s="41"/>
      <c r="AE25" s="73"/>
      <c r="AF25" s="73"/>
      <c r="AG25" s="73"/>
      <c r="AH25" s="73"/>
      <c r="AI25" s="73"/>
      <c r="AJ25" s="73"/>
    </row>
    <row r="26" spans="1:36" s="28" customFormat="1" ht="21" customHeight="1">
      <c r="A26" s="22">
        <f>IF('Arrear Sheet'!B26="","",'Arrear Sheet'!B26)</f>
        <v>19</v>
      </c>
      <c r="B26" s="23">
        <f>IF('Arrear Sheet'!C26="","",IF('Arrear Sheet'!C26="TOTAL","",'Arrear Sheet'!C26))</f>
        <v>43282</v>
      </c>
      <c r="C26" s="136">
        <f>IF('Arrear Sheet'!D26="","",IF('Arrear Sheet'!C26="TOTAL","",IF('Arrear Sheet'!D26="अक्षरें राशि :-","",'Arrear Sheet'!D26)))</f>
        <v>49300</v>
      </c>
      <c r="D26" s="136">
        <f>IF('Arrear Sheet'!E26="","",IF('Arrear Sheet'!C26="TOTAL","",'Arrear Sheet'!E26))</f>
        <v>4437</v>
      </c>
      <c r="E26" s="136">
        <f>IF('Arrear Sheet'!F26="","",IF('Arrear Sheet'!C26="TOTAL","",'Arrear Sheet'!F26))</f>
        <v>3944</v>
      </c>
      <c r="F26" s="136">
        <f>IF('Arrear Sheet'!G26="","",IF('Arrear Sheet'!C26="TOTAL","",SUM(C26:E26)))</f>
        <v>57681</v>
      </c>
      <c r="G26" s="136">
        <f>IF('Arrear Sheet'!H26="","",IF('Arrear Sheet'!C26="TOTAL","",'Arrear Sheet'!H26))</f>
        <v>47900</v>
      </c>
      <c r="H26" s="136">
        <f>IF('Arrear Sheet'!I26="","",IF('Arrear Sheet'!C26="TOTAL","",'Arrear Sheet'!I26))</f>
        <v>4311</v>
      </c>
      <c r="I26" s="136">
        <f>IF('Arrear Sheet'!J26="","",IF('Arrear Sheet'!C26="TOTAL","",'Arrear Sheet'!J26))</f>
        <v>3832</v>
      </c>
      <c r="J26" s="136">
        <f>IF('Arrear Sheet'!K26="","",IF('Arrear Sheet'!C26="TOTAL","",SUM(G26:I26)))</f>
        <v>56043</v>
      </c>
      <c r="K26" s="136">
        <f>IF('Arrear Sheet'!L26="","",IF('Arrear Sheet'!C26="TOTAL","",'Arrear Sheet'!L26))</f>
        <v>1400</v>
      </c>
      <c r="L26" s="136">
        <f>IF('Arrear Sheet'!M26="","",IF('Arrear Sheet'!C26="TOTAL","",'Arrear Sheet'!M26))</f>
        <v>126</v>
      </c>
      <c r="M26" s="136">
        <f>IF('Arrear Sheet'!N26="","",IF('Arrear Sheet'!C26="TOTAL","",'Arrear Sheet'!N26))</f>
        <v>112</v>
      </c>
      <c r="N26" s="136">
        <f>IF('Arrear Sheet'!O26="","",IF('Arrear Sheet'!C26="TOTAL","",SUM(K26:M26)))</f>
        <v>1638</v>
      </c>
      <c r="O26" s="136">
        <f>IF('Arrear Sheet'!P26="","",IF('Arrear Sheet'!C26="TOTAL","",'Arrear Sheet'!P26))</f>
        <v>5374</v>
      </c>
      <c r="P26" s="136">
        <f>IF('Arrear Sheet'!Q26="","",IF('Arrear Sheet'!C26="TOTAL","",'Arrear Sheet'!Q26))</f>
        <v>5221</v>
      </c>
      <c r="Q26" s="136">
        <f>IF('Arrear Sheet'!R26="","",IF('Arrear Sheet'!C26="TOTAL","",'Arrear Sheet'!R26))</f>
        <v>153</v>
      </c>
      <c r="R26" s="136">
        <f>IF('Arrear Sheet'!S26="","",IF('Arrear Sheet'!C26="TOTAL","",'Arrear Sheet'!S26))</f>
        <v>2100</v>
      </c>
      <c r="S26" s="136">
        <f>IF('Arrear Sheet'!T26="","",IF('Arrear Sheet'!C26="TOTAL","",'Arrear Sheet'!T26))</f>
        <v>2100</v>
      </c>
      <c r="T26" s="136">
        <f>IF('Arrear Sheet'!U26="","",IF('Arrear Sheet'!C26="TOTAL","",'Arrear Sheet'!U26))</f>
        <v>0</v>
      </c>
      <c r="U26" s="136" t="str">
        <f>IF('Arrear Sheet'!V26="","",IF('Arrear Sheet'!C26="TOTAL","",'Arrear Sheet'!V26))</f>
        <v/>
      </c>
      <c r="V26" s="136" t="str">
        <f>IF('Arrear Sheet'!W26="","",IF('Arrear Sheet'!C26="TOTAL","",'Arrear Sheet'!W26))</f>
        <v/>
      </c>
      <c r="W26" s="136" t="str">
        <f>IF('Arrear Sheet'!X26="","",IF('Arrear Sheet'!C26="TOTAL","",'Arrear Sheet'!X26))</f>
        <v/>
      </c>
      <c r="X26" s="136" t="str">
        <f>IF('Arrear Sheet'!Y26="","",IF('Arrear Sheet'!C26="TOTAL","",'Arrear Sheet'!Y26))</f>
        <v/>
      </c>
      <c r="Y26" s="136">
        <f>IF('Arrear Sheet'!Z26="","",IF('Arrear Sheet'!C26="TOTAL","",'Arrear Sheet'!Z26))</f>
        <v>0</v>
      </c>
      <c r="Z26" s="136">
        <f>IF('Arrear Sheet'!AA26="","",IF('Arrear Sheet'!C26="TOTAL","",'Arrear Sheet'!AA26))</f>
        <v>0</v>
      </c>
      <c r="AA26" s="24">
        <f>IF('Arrear Sheet'!AB26="","",IF('Arrear Sheet'!C26="TOTAL","",SUM(N26-Z26)))</f>
        <v>1638</v>
      </c>
      <c r="AB26" s="41"/>
      <c r="AC26" s="41"/>
      <c r="AE26" s="73"/>
      <c r="AF26" s="73"/>
      <c r="AG26" s="73"/>
      <c r="AH26" s="73"/>
      <c r="AI26" s="73"/>
      <c r="AJ26" s="73"/>
    </row>
    <row r="27" spans="1:36" s="28" customFormat="1" ht="21" customHeight="1">
      <c r="A27" s="22">
        <f>IF('Arrear Sheet'!B27="","",'Arrear Sheet'!B27)</f>
        <v>20</v>
      </c>
      <c r="B27" s="23">
        <f>IF('Arrear Sheet'!C27="","",IF('Arrear Sheet'!C27="TOTAL","",'Arrear Sheet'!C27))</f>
        <v>43313</v>
      </c>
      <c r="C27" s="136">
        <f>IF('Arrear Sheet'!D27="","",IF('Arrear Sheet'!C27="TOTAL","",IF('Arrear Sheet'!D27="अक्षरें राशि :-","",'Arrear Sheet'!D27)))</f>
        <v>49300</v>
      </c>
      <c r="D27" s="136">
        <f>IF('Arrear Sheet'!E27="","",IF('Arrear Sheet'!C27="TOTAL","",'Arrear Sheet'!E27))</f>
        <v>4437</v>
      </c>
      <c r="E27" s="136">
        <f>IF('Arrear Sheet'!F27="","",IF('Arrear Sheet'!C27="TOTAL","",'Arrear Sheet'!F27))</f>
        <v>3944</v>
      </c>
      <c r="F27" s="136">
        <f>IF('Arrear Sheet'!G27="","",IF('Arrear Sheet'!C27="TOTAL","",SUM(C27:E27)))</f>
        <v>57681</v>
      </c>
      <c r="G27" s="136">
        <f>IF('Arrear Sheet'!H27="","",IF('Arrear Sheet'!C27="TOTAL","",'Arrear Sheet'!H27))</f>
        <v>47900</v>
      </c>
      <c r="H27" s="136">
        <f>IF('Arrear Sheet'!I27="","",IF('Arrear Sheet'!C27="TOTAL","",'Arrear Sheet'!I27))</f>
        <v>4311</v>
      </c>
      <c r="I27" s="136">
        <f>IF('Arrear Sheet'!J27="","",IF('Arrear Sheet'!C27="TOTAL","",'Arrear Sheet'!J27))</f>
        <v>3832</v>
      </c>
      <c r="J27" s="136">
        <f>IF('Arrear Sheet'!K27="","",IF('Arrear Sheet'!C27="TOTAL","",SUM(G27:I27)))</f>
        <v>56043</v>
      </c>
      <c r="K27" s="136">
        <f>IF('Arrear Sheet'!L27="","",IF('Arrear Sheet'!C27="TOTAL","",'Arrear Sheet'!L27))</f>
        <v>1400</v>
      </c>
      <c r="L27" s="136">
        <f>IF('Arrear Sheet'!M27="","",IF('Arrear Sheet'!C27="TOTAL","",'Arrear Sheet'!M27))</f>
        <v>126</v>
      </c>
      <c r="M27" s="136">
        <f>IF('Arrear Sheet'!N27="","",IF('Arrear Sheet'!C27="TOTAL","",'Arrear Sheet'!N27))</f>
        <v>112</v>
      </c>
      <c r="N27" s="136">
        <f>IF('Arrear Sheet'!O27="","",IF('Arrear Sheet'!C27="TOTAL","",SUM(K27:M27)))</f>
        <v>1638</v>
      </c>
      <c r="O27" s="136">
        <f>IF('Arrear Sheet'!P27="","",IF('Arrear Sheet'!C27="TOTAL","",'Arrear Sheet'!P27))</f>
        <v>5374</v>
      </c>
      <c r="P27" s="136">
        <f>IF('Arrear Sheet'!Q27="","",IF('Arrear Sheet'!C27="TOTAL","",'Arrear Sheet'!Q27))</f>
        <v>5221</v>
      </c>
      <c r="Q27" s="136">
        <f>IF('Arrear Sheet'!R27="","",IF('Arrear Sheet'!C27="TOTAL","",'Arrear Sheet'!R27))</f>
        <v>153</v>
      </c>
      <c r="R27" s="136">
        <f>IF('Arrear Sheet'!S27="","",IF('Arrear Sheet'!C27="TOTAL","",'Arrear Sheet'!S27))</f>
        <v>2100</v>
      </c>
      <c r="S27" s="136">
        <f>IF('Arrear Sheet'!T27="","",IF('Arrear Sheet'!C27="TOTAL","",'Arrear Sheet'!T27))</f>
        <v>2100</v>
      </c>
      <c r="T27" s="136">
        <f>IF('Arrear Sheet'!U27="","",IF('Arrear Sheet'!C27="TOTAL","",'Arrear Sheet'!U27))</f>
        <v>0</v>
      </c>
      <c r="U27" s="136" t="str">
        <f>IF('Arrear Sheet'!V27="","",IF('Arrear Sheet'!C27="TOTAL","",'Arrear Sheet'!V27))</f>
        <v/>
      </c>
      <c r="V27" s="136" t="str">
        <f>IF('Arrear Sheet'!W27="","",IF('Arrear Sheet'!C27="TOTAL","",'Arrear Sheet'!W27))</f>
        <v/>
      </c>
      <c r="W27" s="136" t="str">
        <f>IF('Arrear Sheet'!X27="","",IF('Arrear Sheet'!C27="TOTAL","",'Arrear Sheet'!X27))</f>
        <v/>
      </c>
      <c r="X27" s="136" t="str">
        <f>IF('Arrear Sheet'!Y27="","",IF('Arrear Sheet'!C27="TOTAL","",'Arrear Sheet'!Y27))</f>
        <v/>
      </c>
      <c r="Y27" s="136">
        <f>IF('Arrear Sheet'!Z27="","",IF('Arrear Sheet'!C27="TOTAL","",'Arrear Sheet'!Z27))</f>
        <v>0</v>
      </c>
      <c r="Z27" s="136">
        <f>IF('Arrear Sheet'!AA27="","",IF('Arrear Sheet'!C27="TOTAL","",'Arrear Sheet'!AA27))</f>
        <v>0</v>
      </c>
      <c r="AA27" s="24">
        <f>IF('Arrear Sheet'!AB27="","",IF('Arrear Sheet'!C27="TOTAL","",SUM(N27-Z27)))</f>
        <v>1638</v>
      </c>
      <c r="AB27" s="41"/>
      <c r="AC27" s="41"/>
      <c r="AE27" s="73"/>
      <c r="AF27" s="73"/>
      <c r="AG27" s="73"/>
      <c r="AH27" s="73"/>
      <c r="AI27" s="73"/>
      <c r="AJ27" s="73"/>
    </row>
    <row r="28" spans="1:36" s="28" customFormat="1" ht="21" customHeight="1">
      <c r="A28" s="22">
        <f>IF('Arrear Sheet'!B28="","",'Arrear Sheet'!B28)</f>
        <v>21</v>
      </c>
      <c r="B28" s="23">
        <f>IF('Arrear Sheet'!C28="","",IF('Arrear Sheet'!C28="TOTAL","",'Arrear Sheet'!C28))</f>
        <v>43344</v>
      </c>
      <c r="C28" s="136">
        <f>IF('Arrear Sheet'!D28="","",IF('Arrear Sheet'!C28="TOTAL","",IF('Arrear Sheet'!D28="अक्षरें राशि :-","",'Arrear Sheet'!D28)))</f>
        <v>49300</v>
      </c>
      <c r="D28" s="136">
        <f>IF('Arrear Sheet'!E28="","",IF('Arrear Sheet'!C28="TOTAL","",'Arrear Sheet'!E28))</f>
        <v>4437</v>
      </c>
      <c r="E28" s="136">
        <f>IF('Arrear Sheet'!F28="","",IF('Arrear Sheet'!C28="TOTAL","",'Arrear Sheet'!F28))</f>
        <v>3944</v>
      </c>
      <c r="F28" s="136">
        <f>IF('Arrear Sheet'!G28="","",IF('Arrear Sheet'!C28="TOTAL","",SUM(C28:E28)))</f>
        <v>57681</v>
      </c>
      <c r="G28" s="136">
        <f>IF('Arrear Sheet'!H28="","",IF('Arrear Sheet'!C28="TOTAL","",'Arrear Sheet'!H28))</f>
        <v>47900</v>
      </c>
      <c r="H28" s="136">
        <f>IF('Arrear Sheet'!I28="","",IF('Arrear Sheet'!C28="TOTAL","",'Arrear Sheet'!I28))</f>
        <v>4311</v>
      </c>
      <c r="I28" s="136">
        <f>IF('Arrear Sheet'!J28="","",IF('Arrear Sheet'!C28="TOTAL","",'Arrear Sheet'!J28))</f>
        <v>3832</v>
      </c>
      <c r="J28" s="136">
        <f>IF('Arrear Sheet'!K28="","",IF('Arrear Sheet'!C28="TOTAL","",SUM(G28:I28)))</f>
        <v>56043</v>
      </c>
      <c r="K28" s="136">
        <f>IF('Arrear Sheet'!L28="","",IF('Arrear Sheet'!C28="TOTAL","",'Arrear Sheet'!L28))</f>
        <v>1400</v>
      </c>
      <c r="L28" s="136">
        <f>IF('Arrear Sheet'!M28="","",IF('Arrear Sheet'!C28="TOTAL","",'Arrear Sheet'!M28))</f>
        <v>126</v>
      </c>
      <c r="M28" s="136">
        <f>IF('Arrear Sheet'!N28="","",IF('Arrear Sheet'!C28="TOTAL","",'Arrear Sheet'!N28))</f>
        <v>112</v>
      </c>
      <c r="N28" s="136">
        <f>IF('Arrear Sheet'!O28="","",IF('Arrear Sheet'!C28="TOTAL","",SUM(K28:M28)))</f>
        <v>1638</v>
      </c>
      <c r="O28" s="136">
        <f>IF('Arrear Sheet'!P28="","",IF('Arrear Sheet'!C28="TOTAL","",'Arrear Sheet'!P28))</f>
        <v>5374</v>
      </c>
      <c r="P28" s="136">
        <f>IF('Arrear Sheet'!Q28="","",IF('Arrear Sheet'!C28="TOTAL","",'Arrear Sheet'!Q28))</f>
        <v>5221</v>
      </c>
      <c r="Q28" s="136">
        <f>IF('Arrear Sheet'!R28="","",IF('Arrear Sheet'!C28="TOTAL","",'Arrear Sheet'!R28))</f>
        <v>153</v>
      </c>
      <c r="R28" s="136">
        <f>IF('Arrear Sheet'!S28="","",IF('Arrear Sheet'!C28="TOTAL","",'Arrear Sheet'!S28))</f>
        <v>2100</v>
      </c>
      <c r="S28" s="136">
        <f>IF('Arrear Sheet'!T28="","",IF('Arrear Sheet'!C28="TOTAL","",'Arrear Sheet'!T28))</f>
        <v>2100</v>
      </c>
      <c r="T28" s="136">
        <f>IF('Arrear Sheet'!U28="","",IF('Arrear Sheet'!C28="TOTAL","",'Arrear Sheet'!U28))</f>
        <v>0</v>
      </c>
      <c r="U28" s="136" t="str">
        <f>IF('Arrear Sheet'!V28="","",IF('Arrear Sheet'!C28="TOTAL","",'Arrear Sheet'!V28))</f>
        <v/>
      </c>
      <c r="V28" s="136" t="str">
        <f>IF('Arrear Sheet'!W28="","",IF('Arrear Sheet'!C28="TOTAL","",'Arrear Sheet'!W28))</f>
        <v/>
      </c>
      <c r="W28" s="136" t="str">
        <f>IF('Arrear Sheet'!X28="","",IF('Arrear Sheet'!C28="TOTAL","",'Arrear Sheet'!X28))</f>
        <v/>
      </c>
      <c r="X28" s="136" t="str">
        <f>IF('Arrear Sheet'!Y28="","",IF('Arrear Sheet'!C28="TOTAL","",'Arrear Sheet'!Y28))</f>
        <v/>
      </c>
      <c r="Y28" s="136">
        <f>IF('Arrear Sheet'!Z28="","",IF('Arrear Sheet'!C28="TOTAL","",'Arrear Sheet'!Z28))</f>
        <v>0</v>
      </c>
      <c r="Z28" s="136">
        <f>IF('Arrear Sheet'!AA28="","",IF('Arrear Sheet'!C28="TOTAL","",'Arrear Sheet'!AA28))</f>
        <v>0</v>
      </c>
      <c r="AA28" s="24">
        <f>IF('Arrear Sheet'!AB28="","",IF('Arrear Sheet'!C28="TOTAL","",SUM(N28-Z28)))</f>
        <v>1638</v>
      </c>
      <c r="AB28" s="41"/>
      <c r="AC28" s="41"/>
      <c r="AE28" s="73"/>
      <c r="AF28" s="73"/>
      <c r="AG28" s="73"/>
      <c r="AH28" s="73"/>
      <c r="AI28" s="73"/>
      <c r="AJ28" s="73"/>
    </row>
    <row r="29" spans="1:36" s="28" customFormat="1" ht="21" customHeight="1">
      <c r="A29" s="22">
        <f>IF('Arrear Sheet'!B29="","",'Arrear Sheet'!B29)</f>
        <v>22</v>
      </c>
      <c r="B29" s="23">
        <f>IF('Arrear Sheet'!C29="","",IF('Arrear Sheet'!C29="TOTAL","",'Arrear Sheet'!C29))</f>
        <v>43374</v>
      </c>
      <c r="C29" s="136">
        <f>IF('Arrear Sheet'!D29="","",IF('Arrear Sheet'!C29="TOTAL","",IF('Arrear Sheet'!D29="अक्षरें राशि :-","",'Arrear Sheet'!D29)))</f>
        <v>49300</v>
      </c>
      <c r="D29" s="136">
        <f>IF('Arrear Sheet'!E29="","",IF('Arrear Sheet'!C29="TOTAL","",'Arrear Sheet'!E29))</f>
        <v>4437</v>
      </c>
      <c r="E29" s="136">
        <f>IF('Arrear Sheet'!F29="","",IF('Arrear Sheet'!C29="TOTAL","",'Arrear Sheet'!F29))</f>
        <v>3944</v>
      </c>
      <c r="F29" s="136">
        <f>IF('Arrear Sheet'!G29="","",IF('Arrear Sheet'!C29="TOTAL","",SUM(C29:E29)))</f>
        <v>57681</v>
      </c>
      <c r="G29" s="136">
        <f>IF('Arrear Sheet'!H29="","",IF('Arrear Sheet'!C29="TOTAL","",'Arrear Sheet'!H29))</f>
        <v>47900</v>
      </c>
      <c r="H29" s="136">
        <f>IF('Arrear Sheet'!I29="","",IF('Arrear Sheet'!C29="TOTAL","",'Arrear Sheet'!I29))</f>
        <v>4311</v>
      </c>
      <c r="I29" s="136">
        <f>IF('Arrear Sheet'!J29="","",IF('Arrear Sheet'!C29="TOTAL","",'Arrear Sheet'!J29))</f>
        <v>3832</v>
      </c>
      <c r="J29" s="136">
        <f>IF('Arrear Sheet'!K29="","",IF('Arrear Sheet'!C29="TOTAL","",SUM(G29:I29)))</f>
        <v>56043</v>
      </c>
      <c r="K29" s="136">
        <f>IF('Arrear Sheet'!L29="","",IF('Arrear Sheet'!C29="TOTAL","",'Arrear Sheet'!L29))</f>
        <v>1400</v>
      </c>
      <c r="L29" s="136">
        <f>IF('Arrear Sheet'!M29="","",IF('Arrear Sheet'!C29="TOTAL","",'Arrear Sheet'!M29))</f>
        <v>126</v>
      </c>
      <c r="M29" s="136">
        <f>IF('Arrear Sheet'!N29="","",IF('Arrear Sheet'!C29="TOTAL","",'Arrear Sheet'!N29))</f>
        <v>112</v>
      </c>
      <c r="N29" s="136">
        <f>IF('Arrear Sheet'!O29="","",IF('Arrear Sheet'!C29="TOTAL","",SUM(K29:M29)))</f>
        <v>1638</v>
      </c>
      <c r="O29" s="136">
        <f>IF('Arrear Sheet'!P29="","",IF('Arrear Sheet'!C29="TOTAL","",'Arrear Sheet'!P29))</f>
        <v>5374</v>
      </c>
      <c r="P29" s="136">
        <f>IF('Arrear Sheet'!Q29="","",IF('Arrear Sheet'!C29="TOTAL","",'Arrear Sheet'!Q29))</f>
        <v>5221</v>
      </c>
      <c r="Q29" s="136">
        <f>IF('Arrear Sheet'!R29="","",IF('Arrear Sheet'!C29="TOTAL","",'Arrear Sheet'!R29))</f>
        <v>153</v>
      </c>
      <c r="R29" s="136">
        <f>IF('Arrear Sheet'!S29="","",IF('Arrear Sheet'!C29="TOTAL","",'Arrear Sheet'!S29))</f>
        <v>2100</v>
      </c>
      <c r="S29" s="136">
        <f>IF('Arrear Sheet'!T29="","",IF('Arrear Sheet'!C29="TOTAL","",'Arrear Sheet'!T29))</f>
        <v>2100</v>
      </c>
      <c r="T29" s="136">
        <f>IF('Arrear Sheet'!U29="","",IF('Arrear Sheet'!C29="TOTAL","",'Arrear Sheet'!U29))</f>
        <v>0</v>
      </c>
      <c r="U29" s="136" t="str">
        <f>IF('Arrear Sheet'!V29="","",IF('Arrear Sheet'!C29="TOTAL","",'Arrear Sheet'!V29))</f>
        <v/>
      </c>
      <c r="V29" s="136" t="str">
        <f>IF('Arrear Sheet'!W29="","",IF('Arrear Sheet'!C29="TOTAL","",'Arrear Sheet'!W29))</f>
        <v/>
      </c>
      <c r="W29" s="136" t="str">
        <f>IF('Arrear Sheet'!X29="","",IF('Arrear Sheet'!C29="TOTAL","",'Arrear Sheet'!X29))</f>
        <v/>
      </c>
      <c r="X29" s="136" t="str">
        <f>IF('Arrear Sheet'!Y29="","",IF('Arrear Sheet'!C29="TOTAL","",'Arrear Sheet'!Y29))</f>
        <v/>
      </c>
      <c r="Y29" s="136">
        <f>IF('Arrear Sheet'!Z29="","",IF('Arrear Sheet'!C29="TOTAL","",'Arrear Sheet'!Z29))</f>
        <v>0</v>
      </c>
      <c r="Z29" s="136">
        <f>IF('Arrear Sheet'!AA29="","",IF('Arrear Sheet'!C29="TOTAL","",'Arrear Sheet'!AA29))</f>
        <v>0</v>
      </c>
      <c r="AA29" s="24">
        <f>IF('Arrear Sheet'!AB29="","",IF('Arrear Sheet'!C29="TOTAL","",SUM(N29-Z29)))</f>
        <v>1638</v>
      </c>
      <c r="AB29" s="41"/>
      <c r="AC29" s="41"/>
      <c r="AE29" s="73"/>
      <c r="AF29" s="73"/>
      <c r="AG29" s="73"/>
      <c r="AH29" s="73"/>
      <c r="AI29" s="73"/>
      <c r="AJ29" s="73"/>
    </row>
    <row r="30" spans="1:36" s="28" customFormat="1" ht="21" customHeight="1">
      <c r="A30" s="22">
        <f>IF('Arrear Sheet'!B30="","",'Arrear Sheet'!B30)</f>
        <v>23</v>
      </c>
      <c r="B30" s="23">
        <f>IF('Arrear Sheet'!C30="","",IF('Arrear Sheet'!C30="TOTAL","",'Arrear Sheet'!C30))</f>
        <v>43405</v>
      </c>
      <c r="C30" s="136">
        <f>IF('Arrear Sheet'!D30="","",IF('Arrear Sheet'!C30="TOTAL","",IF('Arrear Sheet'!D30="अक्षरें राशि :-","",'Arrear Sheet'!D30)))</f>
        <v>49300</v>
      </c>
      <c r="D30" s="136">
        <f>IF('Arrear Sheet'!E30="","",IF('Arrear Sheet'!C30="TOTAL","",'Arrear Sheet'!E30))</f>
        <v>4437</v>
      </c>
      <c r="E30" s="136">
        <f>IF('Arrear Sheet'!F30="","",IF('Arrear Sheet'!C30="TOTAL","",'Arrear Sheet'!F30))</f>
        <v>3944</v>
      </c>
      <c r="F30" s="136">
        <f>IF('Arrear Sheet'!G30="","",IF('Arrear Sheet'!C30="TOTAL","",SUM(C30:E30)))</f>
        <v>57681</v>
      </c>
      <c r="G30" s="136">
        <f>IF('Arrear Sheet'!H30="","",IF('Arrear Sheet'!C30="TOTAL","",'Arrear Sheet'!H30))</f>
        <v>47900</v>
      </c>
      <c r="H30" s="136">
        <f>IF('Arrear Sheet'!I30="","",IF('Arrear Sheet'!C30="TOTAL","",'Arrear Sheet'!I30))</f>
        <v>4311</v>
      </c>
      <c r="I30" s="136">
        <f>IF('Arrear Sheet'!J30="","",IF('Arrear Sheet'!C30="TOTAL","",'Arrear Sheet'!J30))</f>
        <v>3832</v>
      </c>
      <c r="J30" s="136">
        <f>IF('Arrear Sheet'!K30="","",IF('Arrear Sheet'!C30="TOTAL","",SUM(G30:I30)))</f>
        <v>56043</v>
      </c>
      <c r="K30" s="136">
        <f>IF('Arrear Sheet'!L30="","",IF('Arrear Sheet'!C30="TOTAL","",'Arrear Sheet'!L30))</f>
        <v>1400</v>
      </c>
      <c r="L30" s="136">
        <f>IF('Arrear Sheet'!M30="","",IF('Arrear Sheet'!C30="TOTAL","",'Arrear Sheet'!M30))</f>
        <v>126</v>
      </c>
      <c r="M30" s="136">
        <f>IF('Arrear Sheet'!N30="","",IF('Arrear Sheet'!C30="TOTAL","",'Arrear Sheet'!N30))</f>
        <v>112</v>
      </c>
      <c r="N30" s="136">
        <f>IF('Arrear Sheet'!O30="","",IF('Arrear Sheet'!C30="TOTAL","",SUM(K30:M30)))</f>
        <v>1638</v>
      </c>
      <c r="O30" s="136">
        <f>IF('Arrear Sheet'!P30="","",IF('Arrear Sheet'!C30="TOTAL","",'Arrear Sheet'!P30))</f>
        <v>5374</v>
      </c>
      <c r="P30" s="136">
        <f>IF('Arrear Sheet'!Q30="","",IF('Arrear Sheet'!C30="TOTAL","",'Arrear Sheet'!Q30))</f>
        <v>5221</v>
      </c>
      <c r="Q30" s="136">
        <f>IF('Arrear Sheet'!R30="","",IF('Arrear Sheet'!C30="TOTAL","",'Arrear Sheet'!R30))</f>
        <v>153</v>
      </c>
      <c r="R30" s="136">
        <f>IF('Arrear Sheet'!S30="","",IF('Arrear Sheet'!C30="TOTAL","",'Arrear Sheet'!S30))</f>
        <v>2100</v>
      </c>
      <c r="S30" s="136">
        <f>IF('Arrear Sheet'!T30="","",IF('Arrear Sheet'!C30="TOTAL","",'Arrear Sheet'!T30))</f>
        <v>2100</v>
      </c>
      <c r="T30" s="136">
        <f>IF('Arrear Sheet'!U30="","",IF('Arrear Sheet'!C30="TOTAL","",'Arrear Sheet'!U30))</f>
        <v>0</v>
      </c>
      <c r="U30" s="136" t="str">
        <f>IF('Arrear Sheet'!V30="","",IF('Arrear Sheet'!C30="TOTAL","",'Arrear Sheet'!V30))</f>
        <v/>
      </c>
      <c r="V30" s="136" t="str">
        <f>IF('Arrear Sheet'!W30="","",IF('Arrear Sheet'!C30="TOTAL","",'Arrear Sheet'!W30))</f>
        <v/>
      </c>
      <c r="W30" s="136" t="str">
        <f>IF('Arrear Sheet'!X30="","",IF('Arrear Sheet'!C30="TOTAL","",'Arrear Sheet'!X30))</f>
        <v/>
      </c>
      <c r="X30" s="136" t="str">
        <f>IF('Arrear Sheet'!Y30="","",IF('Arrear Sheet'!C30="TOTAL","",'Arrear Sheet'!Y30))</f>
        <v/>
      </c>
      <c r="Y30" s="136">
        <f>IF('Arrear Sheet'!Z30="","",IF('Arrear Sheet'!C30="TOTAL","",'Arrear Sheet'!Z30))</f>
        <v>0</v>
      </c>
      <c r="Z30" s="136">
        <f>IF('Arrear Sheet'!AA30="","",IF('Arrear Sheet'!C30="TOTAL","",'Arrear Sheet'!AA30))</f>
        <v>0</v>
      </c>
      <c r="AA30" s="24">
        <f>IF('Arrear Sheet'!AB30="","",IF('Arrear Sheet'!C30="TOTAL","",SUM(N30-Z30)))</f>
        <v>1638</v>
      </c>
      <c r="AB30" s="41"/>
      <c r="AC30" s="41"/>
      <c r="AE30" s="73"/>
      <c r="AF30" s="73"/>
      <c r="AG30" s="73"/>
      <c r="AH30" s="73"/>
      <c r="AI30" s="73"/>
      <c r="AJ30" s="73"/>
    </row>
    <row r="31" spans="1:36" s="28" customFormat="1" ht="21" customHeight="1">
      <c r="A31" s="22">
        <f>IF('Arrear Sheet'!B31="","",'Arrear Sheet'!B31)</f>
        <v>24</v>
      </c>
      <c r="B31" s="23">
        <f>IF('Arrear Sheet'!C31="","",IF('Arrear Sheet'!C31="TOTAL","",'Arrear Sheet'!C31))</f>
        <v>43435</v>
      </c>
      <c r="C31" s="136">
        <f>IF('Arrear Sheet'!D31="","",IF('Arrear Sheet'!C31="TOTAL","",IF('Arrear Sheet'!D31="अक्षरें राशि :-","",'Arrear Sheet'!D31)))</f>
        <v>49300</v>
      </c>
      <c r="D31" s="136">
        <f>IF('Arrear Sheet'!E31="","",IF('Arrear Sheet'!C31="TOTAL","",'Arrear Sheet'!E31))</f>
        <v>4437</v>
      </c>
      <c r="E31" s="136">
        <f>IF('Arrear Sheet'!F31="","",IF('Arrear Sheet'!C31="TOTAL","",'Arrear Sheet'!F31))</f>
        <v>3944</v>
      </c>
      <c r="F31" s="136">
        <f>IF('Arrear Sheet'!G31="","",IF('Arrear Sheet'!C31="TOTAL","",SUM(C31:E31)))</f>
        <v>57681</v>
      </c>
      <c r="G31" s="136">
        <f>IF('Arrear Sheet'!H31="","",IF('Arrear Sheet'!C31="TOTAL","",'Arrear Sheet'!H31))</f>
        <v>47900</v>
      </c>
      <c r="H31" s="136">
        <f>IF('Arrear Sheet'!I31="","",IF('Arrear Sheet'!C31="TOTAL","",'Arrear Sheet'!I31))</f>
        <v>4311</v>
      </c>
      <c r="I31" s="136">
        <f>IF('Arrear Sheet'!J31="","",IF('Arrear Sheet'!C31="TOTAL","",'Arrear Sheet'!J31))</f>
        <v>3832</v>
      </c>
      <c r="J31" s="136">
        <f>IF('Arrear Sheet'!K31="","",IF('Arrear Sheet'!C31="TOTAL","",SUM(G31:I31)))</f>
        <v>56043</v>
      </c>
      <c r="K31" s="136">
        <f>IF('Arrear Sheet'!L31="","",IF('Arrear Sheet'!C31="TOTAL","",'Arrear Sheet'!L31))</f>
        <v>1400</v>
      </c>
      <c r="L31" s="136">
        <f>IF('Arrear Sheet'!M31="","",IF('Arrear Sheet'!C31="TOTAL","",'Arrear Sheet'!M31))</f>
        <v>126</v>
      </c>
      <c r="M31" s="136">
        <f>IF('Arrear Sheet'!N31="","",IF('Arrear Sheet'!C31="TOTAL","",'Arrear Sheet'!N31))</f>
        <v>112</v>
      </c>
      <c r="N31" s="136">
        <f>IF('Arrear Sheet'!O31="","",IF('Arrear Sheet'!C31="TOTAL","",SUM(K31:M31)))</f>
        <v>1638</v>
      </c>
      <c r="O31" s="136">
        <f>IF('Arrear Sheet'!P31="","",IF('Arrear Sheet'!C31="TOTAL","",'Arrear Sheet'!P31))</f>
        <v>5374</v>
      </c>
      <c r="P31" s="136">
        <f>IF('Arrear Sheet'!Q31="","",IF('Arrear Sheet'!C31="TOTAL","",'Arrear Sheet'!Q31))</f>
        <v>5221</v>
      </c>
      <c r="Q31" s="136">
        <f>IF('Arrear Sheet'!R31="","",IF('Arrear Sheet'!C31="TOTAL","",'Arrear Sheet'!R31))</f>
        <v>153</v>
      </c>
      <c r="R31" s="136">
        <f>IF('Arrear Sheet'!S31="","",IF('Arrear Sheet'!C31="TOTAL","",'Arrear Sheet'!S31))</f>
        <v>2100</v>
      </c>
      <c r="S31" s="136">
        <f>IF('Arrear Sheet'!T31="","",IF('Arrear Sheet'!C31="TOTAL","",'Arrear Sheet'!T31))</f>
        <v>2100</v>
      </c>
      <c r="T31" s="136">
        <f>IF('Arrear Sheet'!U31="","",IF('Arrear Sheet'!C31="TOTAL","",'Arrear Sheet'!U31))</f>
        <v>0</v>
      </c>
      <c r="U31" s="136" t="str">
        <f>IF('Arrear Sheet'!V31="","",IF('Arrear Sheet'!C31="TOTAL","",'Arrear Sheet'!V31))</f>
        <v/>
      </c>
      <c r="V31" s="136" t="str">
        <f>IF('Arrear Sheet'!W31="","",IF('Arrear Sheet'!C31="TOTAL","",'Arrear Sheet'!W31))</f>
        <v/>
      </c>
      <c r="W31" s="136" t="str">
        <f>IF('Arrear Sheet'!X31="","",IF('Arrear Sheet'!C31="TOTAL","",'Arrear Sheet'!X31))</f>
        <v/>
      </c>
      <c r="X31" s="136" t="str">
        <f>IF('Arrear Sheet'!Y31="","",IF('Arrear Sheet'!C31="TOTAL","",'Arrear Sheet'!Y31))</f>
        <v/>
      </c>
      <c r="Y31" s="136">
        <f>IF('Arrear Sheet'!Z31="","",IF('Arrear Sheet'!C31="TOTAL","",'Arrear Sheet'!Z31))</f>
        <v>0</v>
      </c>
      <c r="Z31" s="136">
        <f>IF('Arrear Sheet'!AA31="","",IF('Arrear Sheet'!C31="TOTAL","",'Arrear Sheet'!AA31))</f>
        <v>0</v>
      </c>
      <c r="AA31" s="24">
        <f>IF('Arrear Sheet'!AB31="","",IF('Arrear Sheet'!C31="TOTAL","",SUM(N31-Z31)))</f>
        <v>1638</v>
      </c>
      <c r="AB31" s="41"/>
      <c r="AC31" s="41"/>
      <c r="AE31" s="73"/>
      <c r="AF31" s="73"/>
      <c r="AG31" s="73"/>
      <c r="AH31" s="73"/>
      <c r="AI31" s="73"/>
      <c r="AJ31" s="73"/>
    </row>
    <row r="32" spans="1:36" s="28" customFormat="1" ht="21" customHeight="1">
      <c r="A32" s="22">
        <f>IF('Arrear Sheet'!B32="","",'Arrear Sheet'!B32)</f>
        <v>25</v>
      </c>
      <c r="B32" s="23">
        <f>IF('Arrear Sheet'!C32="","",IF('Arrear Sheet'!C32="TOTAL","",'Arrear Sheet'!C32))</f>
        <v>43466</v>
      </c>
      <c r="C32" s="136">
        <f>IF('Arrear Sheet'!D32="","",IF('Arrear Sheet'!C32="TOTAL","",IF('Arrear Sheet'!D32="अक्षरें राशि :-","",'Arrear Sheet'!D32)))</f>
        <v>49300</v>
      </c>
      <c r="D32" s="136">
        <f>IF('Arrear Sheet'!E32="","",IF('Arrear Sheet'!C32="TOTAL","",'Arrear Sheet'!E32))</f>
        <v>5916</v>
      </c>
      <c r="E32" s="136">
        <f>IF('Arrear Sheet'!F32="","",IF('Arrear Sheet'!C32="TOTAL","",'Arrear Sheet'!F32))</f>
        <v>3944</v>
      </c>
      <c r="F32" s="136">
        <f>IF('Arrear Sheet'!G32="","",IF('Arrear Sheet'!C32="TOTAL","",SUM(C32:E32)))</f>
        <v>59160</v>
      </c>
      <c r="G32" s="136">
        <f>IF('Arrear Sheet'!H32="","",IF('Arrear Sheet'!C32="TOTAL","",'Arrear Sheet'!H32))</f>
        <v>47900</v>
      </c>
      <c r="H32" s="136">
        <f>IF('Arrear Sheet'!I32="","",IF('Arrear Sheet'!C32="TOTAL","",'Arrear Sheet'!I32))</f>
        <v>5748</v>
      </c>
      <c r="I32" s="136">
        <f>IF('Arrear Sheet'!J32="","",IF('Arrear Sheet'!C32="TOTAL","",'Arrear Sheet'!J32))</f>
        <v>3832</v>
      </c>
      <c r="J32" s="136">
        <f>IF('Arrear Sheet'!K32="","",IF('Arrear Sheet'!C32="TOTAL","",SUM(G32:I32)))</f>
        <v>57480</v>
      </c>
      <c r="K32" s="136">
        <f>IF('Arrear Sheet'!L32="","",IF('Arrear Sheet'!C32="TOTAL","",'Arrear Sheet'!L32))</f>
        <v>1400</v>
      </c>
      <c r="L32" s="136">
        <f>IF('Arrear Sheet'!M32="","",IF('Arrear Sheet'!C32="TOTAL","",'Arrear Sheet'!M32))</f>
        <v>168</v>
      </c>
      <c r="M32" s="136">
        <f>IF('Arrear Sheet'!N32="","",IF('Arrear Sheet'!C32="TOTAL","",'Arrear Sheet'!N32))</f>
        <v>112</v>
      </c>
      <c r="N32" s="136">
        <f>IF('Arrear Sheet'!O32="","",IF('Arrear Sheet'!C32="TOTAL","",SUM(K32:M32)))</f>
        <v>1680</v>
      </c>
      <c r="O32" s="136">
        <f>IF('Arrear Sheet'!P32="","",IF('Arrear Sheet'!C32="TOTAL","",'Arrear Sheet'!P32))</f>
        <v>5522</v>
      </c>
      <c r="P32" s="136">
        <f>IF('Arrear Sheet'!Q32="","",IF('Arrear Sheet'!C32="TOTAL","",'Arrear Sheet'!Q32))</f>
        <v>5365</v>
      </c>
      <c r="Q32" s="136">
        <f>IF('Arrear Sheet'!R32="","",IF('Arrear Sheet'!C32="TOTAL","",'Arrear Sheet'!R32))</f>
        <v>157</v>
      </c>
      <c r="R32" s="136">
        <f>IF('Arrear Sheet'!S32="","",IF('Arrear Sheet'!C32="TOTAL","",'Arrear Sheet'!S32))</f>
        <v>2100</v>
      </c>
      <c r="S32" s="136">
        <f>IF('Arrear Sheet'!T32="","",IF('Arrear Sheet'!C32="TOTAL","",'Arrear Sheet'!T32))</f>
        <v>2100</v>
      </c>
      <c r="T32" s="136">
        <f>IF('Arrear Sheet'!U32="","",IF('Arrear Sheet'!C32="TOTAL","",'Arrear Sheet'!U32))</f>
        <v>0</v>
      </c>
      <c r="U32" s="136" t="str">
        <f>IF('Arrear Sheet'!V32="","",IF('Arrear Sheet'!C32="TOTAL","",'Arrear Sheet'!V32))</f>
        <v/>
      </c>
      <c r="V32" s="136" t="str">
        <f>IF('Arrear Sheet'!W32="","",IF('Arrear Sheet'!C32="TOTAL","",'Arrear Sheet'!W32))</f>
        <v/>
      </c>
      <c r="W32" s="136" t="str">
        <f>IF('Arrear Sheet'!X32="","",IF('Arrear Sheet'!C32="TOTAL","",'Arrear Sheet'!X32))</f>
        <v/>
      </c>
      <c r="X32" s="136" t="str">
        <f>IF('Arrear Sheet'!Y32="","",IF('Arrear Sheet'!C32="TOTAL","",'Arrear Sheet'!Y32))</f>
        <v/>
      </c>
      <c r="Y32" s="136">
        <f>IF('Arrear Sheet'!Z32="","",IF('Arrear Sheet'!C32="TOTAL","",'Arrear Sheet'!Z32))</f>
        <v>0</v>
      </c>
      <c r="Z32" s="136">
        <f>IF('Arrear Sheet'!AA32="","",IF('Arrear Sheet'!C32="TOTAL","",'Arrear Sheet'!AA32))</f>
        <v>0</v>
      </c>
      <c r="AA32" s="24">
        <f>IF('Arrear Sheet'!AB32="","",IF('Arrear Sheet'!C32="TOTAL","",SUM(N32-Z32)))</f>
        <v>1680</v>
      </c>
      <c r="AB32" s="41"/>
      <c r="AC32" s="41"/>
      <c r="AE32" s="73"/>
      <c r="AF32" s="73"/>
      <c r="AG32" s="73"/>
      <c r="AH32" s="73"/>
      <c r="AI32" s="73"/>
      <c r="AJ32" s="73"/>
    </row>
    <row r="33" spans="1:36" s="28" customFormat="1" ht="21" customHeight="1">
      <c r="A33" s="22">
        <f>IF('Arrear Sheet'!B33="","",'Arrear Sheet'!B33)</f>
        <v>26</v>
      </c>
      <c r="B33" s="23">
        <f>IF('Arrear Sheet'!C33="","",IF('Arrear Sheet'!C33="TOTAL","",'Arrear Sheet'!C33))</f>
        <v>43497</v>
      </c>
      <c r="C33" s="136">
        <f>IF('Arrear Sheet'!D33="","",IF('Arrear Sheet'!C33="TOTAL","",IF('Arrear Sheet'!D33="अक्षरें राशि :-","",'Arrear Sheet'!D33)))</f>
        <v>49300</v>
      </c>
      <c r="D33" s="136">
        <f>IF('Arrear Sheet'!E33="","",IF('Arrear Sheet'!C33="TOTAL","",'Arrear Sheet'!E33))</f>
        <v>5916</v>
      </c>
      <c r="E33" s="136">
        <f>IF('Arrear Sheet'!F33="","",IF('Arrear Sheet'!C33="TOTAL","",'Arrear Sheet'!F33))</f>
        <v>3944</v>
      </c>
      <c r="F33" s="136">
        <f>IF('Arrear Sheet'!G33="","",IF('Arrear Sheet'!C33="TOTAL","",SUM(C33:E33)))</f>
        <v>59160</v>
      </c>
      <c r="G33" s="136">
        <f>IF('Arrear Sheet'!H33="","",IF('Arrear Sheet'!C33="TOTAL","",'Arrear Sheet'!H33))</f>
        <v>47900</v>
      </c>
      <c r="H33" s="136">
        <f>IF('Arrear Sheet'!I33="","",IF('Arrear Sheet'!C33="TOTAL","",'Arrear Sheet'!I33))</f>
        <v>5748</v>
      </c>
      <c r="I33" s="136">
        <f>IF('Arrear Sheet'!J33="","",IF('Arrear Sheet'!C33="TOTAL","",'Arrear Sheet'!J33))</f>
        <v>3832</v>
      </c>
      <c r="J33" s="136">
        <f>IF('Arrear Sheet'!K33="","",IF('Arrear Sheet'!C33="TOTAL","",SUM(G33:I33)))</f>
        <v>57480</v>
      </c>
      <c r="K33" s="136">
        <f>IF('Arrear Sheet'!L33="","",IF('Arrear Sheet'!C33="TOTAL","",'Arrear Sheet'!L33))</f>
        <v>1400</v>
      </c>
      <c r="L33" s="136">
        <f>IF('Arrear Sheet'!M33="","",IF('Arrear Sheet'!C33="TOTAL","",'Arrear Sheet'!M33))</f>
        <v>168</v>
      </c>
      <c r="M33" s="136">
        <f>IF('Arrear Sheet'!N33="","",IF('Arrear Sheet'!C33="TOTAL","",'Arrear Sheet'!N33))</f>
        <v>112</v>
      </c>
      <c r="N33" s="136">
        <f>IF('Arrear Sheet'!O33="","",IF('Arrear Sheet'!C33="TOTAL","",SUM(K33:M33)))</f>
        <v>1680</v>
      </c>
      <c r="O33" s="136">
        <f>IF('Arrear Sheet'!P33="","",IF('Arrear Sheet'!C33="TOTAL","",'Arrear Sheet'!P33))</f>
        <v>5522</v>
      </c>
      <c r="P33" s="136">
        <f>IF('Arrear Sheet'!Q33="","",IF('Arrear Sheet'!C33="TOTAL","",'Arrear Sheet'!Q33))</f>
        <v>5365</v>
      </c>
      <c r="Q33" s="136">
        <f>IF('Arrear Sheet'!R33="","",IF('Arrear Sheet'!C33="TOTAL","",'Arrear Sheet'!R33))</f>
        <v>157</v>
      </c>
      <c r="R33" s="136">
        <f>IF('Arrear Sheet'!S33="","",IF('Arrear Sheet'!C33="TOTAL","",'Arrear Sheet'!S33))</f>
        <v>2100</v>
      </c>
      <c r="S33" s="136">
        <f>IF('Arrear Sheet'!T33="","",IF('Arrear Sheet'!C33="TOTAL","",'Arrear Sheet'!T33))</f>
        <v>2100</v>
      </c>
      <c r="T33" s="136">
        <f>IF('Arrear Sheet'!U33="","",IF('Arrear Sheet'!C33="TOTAL","",'Arrear Sheet'!U33))</f>
        <v>0</v>
      </c>
      <c r="U33" s="136" t="str">
        <f>IF('Arrear Sheet'!V33="","",IF('Arrear Sheet'!C33="TOTAL","",'Arrear Sheet'!V33))</f>
        <v/>
      </c>
      <c r="V33" s="136" t="str">
        <f>IF('Arrear Sheet'!W33="","",IF('Arrear Sheet'!C33="TOTAL","",'Arrear Sheet'!W33))</f>
        <v/>
      </c>
      <c r="W33" s="136" t="str">
        <f>IF('Arrear Sheet'!X33="","",IF('Arrear Sheet'!C33="TOTAL","",'Arrear Sheet'!X33))</f>
        <v/>
      </c>
      <c r="X33" s="136" t="str">
        <f>IF('Arrear Sheet'!Y33="","",IF('Arrear Sheet'!C33="TOTAL","",'Arrear Sheet'!Y33))</f>
        <v/>
      </c>
      <c r="Y33" s="136">
        <f>IF('Arrear Sheet'!Z33="","",IF('Arrear Sheet'!C33="TOTAL","",'Arrear Sheet'!Z33))</f>
        <v>0</v>
      </c>
      <c r="Z33" s="136">
        <f>IF('Arrear Sheet'!AA33="","",IF('Arrear Sheet'!C33="TOTAL","",'Arrear Sheet'!AA33))</f>
        <v>0</v>
      </c>
      <c r="AA33" s="24">
        <f>IF('Arrear Sheet'!AB33="","",IF('Arrear Sheet'!C33="TOTAL","",SUM(N33-Z33)))</f>
        <v>1680</v>
      </c>
      <c r="AB33" s="41"/>
      <c r="AC33" s="41"/>
      <c r="AE33" s="73"/>
      <c r="AF33" s="73"/>
      <c r="AG33" s="73"/>
      <c r="AH33" s="73"/>
      <c r="AI33" s="73"/>
      <c r="AJ33" s="73"/>
    </row>
    <row r="34" spans="1:36" s="28" customFormat="1" ht="21" customHeight="1">
      <c r="A34" s="22">
        <f>IF('Arrear Sheet'!B34="","",'Arrear Sheet'!B34)</f>
        <v>27</v>
      </c>
      <c r="B34" s="23">
        <f>IF('Arrear Sheet'!C34="","",IF('Arrear Sheet'!C34="TOTAL","",'Arrear Sheet'!C34))</f>
        <v>43525</v>
      </c>
      <c r="C34" s="136">
        <f>IF('Arrear Sheet'!D34="","",IF('Arrear Sheet'!C34="TOTAL","",IF('Arrear Sheet'!D34="अक्षरें राशि :-","",'Arrear Sheet'!D34)))</f>
        <v>49300</v>
      </c>
      <c r="D34" s="136">
        <f>IF('Arrear Sheet'!E34="","",IF('Arrear Sheet'!C34="TOTAL","",'Arrear Sheet'!E34))</f>
        <v>5916</v>
      </c>
      <c r="E34" s="136">
        <f>IF('Arrear Sheet'!F34="","",IF('Arrear Sheet'!C34="TOTAL","",'Arrear Sheet'!F34))</f>
        <v>3944</v>
      </c>
      <c r="F34" s="136">
        <f>IF('Arrear Sheet'!G34="","",IF('Arrear Sheet'!C34="TOTAL","",SUM(C34:E34)))</f>
        <v>59160</v>
      </c>
      <c r="G34" s="136">
        <f>IF('Arrear Sheet'!H34="","",IF('Arrear Sheet'!C34="TOTAL","",'Arrear Sheet'!H34))</f>
        <v>47900</v>
      </c>
      <c r="H34" s="136">
        <f>IF('Arrear Sheet'!I34="","",IF('Arrear Sheet'!C34="TOTAL","",'Arrear Sheet'!I34))</f>
        <v>5748</v>
      </c>
      <c r="I34" s="136">
        <f>IF('Arrear Sheet'!J34="","",IF('Arrear Sheet'!C34="TOTAL","",'Arrear Sheet'!J34))</f>
        <v>3832</v>
      </c>
      <c r="J34" s="136">
        <f>IF('Arrear Sheet'!K34="","",IF('Arrear Sheet'!C34="TOTAL","",SUM(G34:I34)))</f>
        <v>57480</v>
      </c>
      <c r="K34" s="136">
        <f>IF('Arrear Sheet'!L34="","",IF('Arrear Sheet'!C34="TOTAL","",'Arrear Sheet'!L34))</f>
        <v>1400</v>
      </c>
      <c r="L34" s="136">
        <f>IF('Arrear Sheet'!M34="","",IF('Arrear Sheet'!C34="TOTAL","",'Arrear Sheet'!M34))</f>
        <v>168</v>
      </c>
      <c r="M34" s="136">
        <f>IF('Arrear Sheet'!N34="","",IF('Arrear Sheet'!C34="TOTAL","",'Arrear Sheet'!N34))</f>
        <v>112</v>
      </c>
      <c r="N34" s="136">
        <f>IF('Arrear Sheet'!O34="","",IF('Arrear Sheet'!C34="TOTAL","",SUM(K34:M34)))</f>
        <v>1680</v>
      </c>
      <c r="O34" s="136">
        <f>IF('Arrear Sheet'!P34="","",IF('Arrear Sheet'!C34="TOTAL","",'Arrear Sheet'!P34))</f>
        <v>5522</v>
      </c>
      <c r="P34" s="136">
        <f>IF('Arrear Sheet'!Q34="","",IF('Arrear Sheet'!C34="TOTAL","",'Arrear Sheet'!Q34))</f>
        <v>5365</v>
      </c>
      <c r="Q34" s="136">
        <f>IF('Arrear Sheet'!R34="","",IF('Arrear Sheet'!C34="TOTAL","",'Arrear Sheet'!R34))</f>
        <v>157</v>
      </c>
      <c r="R34" s="136">
        <f>IF('Arrear Sheet'!S34="","",IF('Arrear Sheet'!C34="TOTAL","",'Arrear Sheet'!S34))</f>
        <v>2100</v>
      </c>
      <c r="S34" s="136">
        <f>IF('Arrear Sheet'!T34="","",IF('Arrear Sheet'!C34="TOTAL","",'Arrear Sheet'!T34))</f>
        <v>2100</v>
      </c>
      <c r="T34" s="136">
        <f>IF('Arrear Sheet'!U34="","",IF('Arrear Sheet'!C34="TOTAL","",'Arrear Sheet'!U34))</f>
        <v>0</v>
      </c>
      <c r="U34" s="136" t="str">
        <f>IF('Arrear Sheet'!V34="","",IF('Arrear Sheet'!C34="TOTAL","",'Arrear Sheet'!V34))</f>
        <v/>
      </c>
      <c r="V34" s="136" t="str">
        <f>IF('Arrear Sheet'!W34="","",IF('Arrear Sheet'!C34="TOTAL","",'Arrear Sheet'!W34))</f>
        <v/>
      </c>
      <c r="W34" s="136" t="str">
        <f>IF('Arrear Sheet'!X34="","",IF('Arrear Sheet'!C34="TOTAL","",'Arrear Sheet'!X34))</f>
        <v/>
      </c>
      <c r="X34" s="136" t="str">
        <f>IF('Arrear Sheet'!Y34="","",IF('Arrear Sheet'!C34="TOTAL","",'Arrear Sheet'!Y34))</f>
        <v/>
      </c>
      <c r="Y34" s="136">
        <f>IF('Arrear Sheet'!Z34="","",IF('Arrear Sheet'!C34="TOTAL","",'Arrear Sheet'!Z34))</f>
        <v>0</v>
      </c>
      <c r="Z34" s="136">
        <f>IF('Arrear Sheet'!AA34="","",IF('Arrear Sheet'!C34="TOTAL","",'Arrear Sheet'!AA34))</f>
        <v>0</v>
      </c>
      <c r="AA34" s="24">
        <f>IF('Arrear Sheet'!AB34="","",IF('Arrear Sheet'!C34="TOTAL","",SUM(N34-Z34)))</f>
        <v>1680</v>
      </c>
      <c r="AB34" s="41"/>
      <c r="AC34" s="41"/>
      <c r="AE34" s="73"/>
      <c r="AF34" s="73"/>
      <c r="AG34" s="73"/>
      <c r="AH34" s="73"/>
      <c r="AI34" s="73"/>
      <c r="AJ34" s="73"/>
    </row>
    <row r="35" spans="1:36" s="28" customFormat="1" ht="21" customHeight="1">
      <c r="A35" s="22">
        <f>IF('Arrear Sheet'!B35="","",'Arrear Sheet'!B35)</f>
        <v>28</v>
      </c>
      <c r="B35" s="23">
        <f>IF('Arrear Sheet'!C35="","",IF('Arrear Sheet'!C35="TOTAL","",'Arrear Sheet'!C35))</f>
        <v>43556</v>
      </c>
      <c r="C35" s="136">
        <f>IF('Arrear Sheet'!D35="","",IF('Arrear Sheet'!C35="TOTAL","",IF('Arrear Sheet'!D35="अक्षरें राशि :-","",'Arrear Sheet'!D35)))</f>
        <v>49300</v>
      </c>
      <c r="D35" s="136">
        <f>IF('Arrear Sheet'!E35="","",IF('Arrear Sheet'!C35="TOTAL","",'Arrear Sheet'!E35))</f>
        <v>5916</v>
      </c>
      <c r="E35" s="136">
        <f>IF('Arrear Sheet'!F35="","",IF('Arrear Sheet'!C35="TOTAL","",'Arrear Sheet'!F35))</f>
        <v>3944</v>
      </c>
      <c r="F35" s="136">
        <f>IF('Arrear Sheet'!G35="","",IF('Arrear Sheet'!C35="TOTAL","",SUM(C35:E35)))</f>
        <v>59160</v>
      </c>
      <c r="G35" s="136">
        <f>IF('Arrear Sheet'!H35="","",IF('Arrear Sheet'!C35="TOTAL","",'Arrear Sheet'!H35))</f>
        <v>47900</v>
      </c>
      <c r="H35" s="136">
        <f>IF('Arrear Sheet'!I35="","",IF('Arrear Sheet'!C35="TOTAL","",'Arrear Sheet'!I35))</f>
        <v>5748</v>
      </c>
      <c r="I35" s="136">
        <f>IF('Arrear Sheet'!J35="","",IF('Arrear Sheet'!C35="TOTAL","",'Arrear Sheet'!J35))</f>
        <v>3832</v>
      </c>
      <c r="J35" s="136">
        <f>IF('Arrear Sheet'!K35="","",IF('Arrear Sheet'!C35="TOTAL","",SUM(G35:I35)))</f>
        <v>57480</v>
      </c>
      <c r="K35" s="136">
        <f>IF('Arrear Sheet'!L35="","",IF('Arrear Sheet'!C35="TOTAL","",'Arrear Sheet'!L35))</f>
        <v>1400</v>
      </c>
      <c r="L35" s="136">
        <f>IF('Arrear Sheet'!M35="","",IF('Arrear Sheet'!C35="TOTAL","",'Arrear Sheet'!M35))</f>
        <v>168</v>
      </c>
      <c r="M35" s="136">
        <f>IF('Arrear Sheet'!N35="","",IF('Arrear Sheet'!C35="TOTAL","",'Arrear Sheet'!N35))</f>
        <v>112</v>
      </c>
      <c r="N35" s="136">
        <f>IF('Arrear Sheet'!O35="","",IF('Arrear Sheet'!C35="TOTAL","",SUM(K35:M35)))</f>
        <v>1680</v>
      </c>
      <c r="O35" s="136">
        <f>IF('Arrear Sheet'!P35="","",IF('Arrear Sheet'!C35="TOTAL","",'Arrear Sheet'!P35))</f>
        <v>5522</v>
      </c>
      <c r="P35" s="136">
        <f>IF('Arrear Sheet'!Q35="","",IF('Arrear Sheet'!C35="TOTAL","",'Arrear Sheet'!Q35))</f>
        <v>5365</v>
      </c>
      <c r="Q35" s="136">
        <f>IF('Arrear Sheet'!R35="","",IF('Arrear Sheet'!C35="TOTAL","",'Arrear Sheet'!R35))</f>
        <v>157</v>
      </c>
      <c r="R35" s="136">
        <f>IF('Arrear Sheet'!S35="","",IF('Arrear Sheet'!C35="TOTAL","",'Arrear Sheet'!S35))</f>
        <v>2100</v>
      </c>
      <c r="S35" s="136">
        <f>IF('Arrear Sheet'!T35="","",IF('Arrear Sheet'!C35="TOTAL","",'Arrear Sheet'!T35))</f>
        <v>2100</v>
      </c>
      <c r="T35" s="136">
        <f>IF('Arrear Sheet'!U35="","",IF('Arrear Sheet'!C35="TOTAL","",'Arrear Sheet'!U35))</f>
        <v>0</v>
      </c>
      <c r="U35" s="136" t="str">
        <f>IF('Arrear Sheet'!V35="","",IF('Arrear Sheet'!C35="TOTAL","",'Arrear Sheet'!V35))</f>
        <v/>
      </c>
      <c r="V35" s="136" t="str">
        <f>IF('Arrear Sheet'!W35="","",IF('Arrear Sheet'!C35="TOTAL","",'Arrear Sheet'!W35))</f>
        <v/>
      </c>
      <c r="W35" s="136" t="str">
        <f>IF('Arrear Sheet'!X35="","",IF('Arrear Sheet'!C35="TOTAL","",'Arrear Sheet'!X35))</f>
        <v/>
      </c>
      <c r="X35" s="136" t="str">
        <f>IF('Arrear Sheet'!Y35="","",IF('Arrear Sheet'!C35="TOTAL","",'Arrear Sheet'!Y35))</f>
        <v/>
      </c>
      <c r="Y35" s="136">
        <f>IF('Arrear Sheet'!Z35="","",IF('Arrear Sheet'!C35="TOTAL","",'Arrear Sheet'!Z35))</f>
        <v>0</v>
      </c>
      <c r="Z35" s="136">
        <f>IF('Arrear Sheet'!AA35="","",IF('Arrear Sheet'!C35="TOTAL","",'Arrear Sheet'!AA35))</f>
        <v>0</v>
      </c>
      <c r="AA35" s="24">
        <f>IF('Arrear Sheet'!AB35="","",IF('Arrear Sheet'!C35="TOTAL","",SUM(N35-Z35)))</f>
        <v>1680</v>
      </c>
      <c r="AB35" s="41"/>
      <c r="AC35" s="41"/>
      <c r="AE35" s="73"/>
      <c r="AF35" s="73"/>
      <c r="AG35" s="73"/>
      <c r="AH35" s="73"/>
      <c r="AI35" s="73"/>
      <c r="AJ35" s="73"/>
    </row>
    <row r="36" spans="1:36" s="28" customFormat="1" ht="21" customHeight="1">
      <c r="A36" s="22">
        <f>IF('Arrear Sheet'!B36="","",'Arrear Sheet'!B36)</f>
        <v>29</v>
      </c>
      <c r="B36" s="23">
        <f>IF('Arrear Sheet'!C36="","",IF('Arrear Sheet'!C36="TOTAL","",'Arrear Sheet'!C36))</f>
        <v>43586</v>
      </c>
      <c r="C36" s="136">
        <f>IF('Arrear Sheet'!D36="","",IF('Arrear Sheet'!C36="TOTAL","",IF('Arrear Sheet'!D36="अक्षरें राशि :-","",'Arrear Sheet'!D36)))</f>
        <v>49300</v>
      </c>
      <c r="D36" s="136">
        <f>IF('Arrear Sheet'!E36="","",IF('Arrear Sheet'!C36="TOTAL","",'Arrear Sheet'!E36))</f>
        <v>5916</v>
      </c>
      <c r="E36" s="136">
        <f>IF('Arrear Sheet'!F36="","",IF('Arrear Sheet'!C36="TOTAL","",'Arrear Sheet'!F36))</f>
        <v>3944</v>
      </c>
      <c r="F36" s="136">
        <f>IF('Arrear Sheet'!G36="","",IF('Arrear Sheet'!C36="TOTAL","",SUM(C36:E36)))</f>
        <v>59160</v>
      </c>
      <c r="G36" s="136">
        <f>IF('Arrear Sheet'!H36="","",IF('Arrear Sheet'!C36="TOTAL","",'Arrear Sheet'!H36))</f>
        <v>47900</v>
      </c>
      <c r="H36" s="136">
        <f>IF('Arrear Sheet'!I36="","",IF('Arrear Sheet'!C36="TOTAL","",'Arrear Sheet'!I36))</f>
        <v>5748</v>
      </c>
      <c r="I36" s="136">
        <f>IF('Arrear Sheet'!J36="","",IF('Arrear Sheet'!C36="TOTAL","",'Arrear Sheet'!J36))</f>
        <v>3832</v>
      </c>
      <c r="J36" s="136">
        <f>IF('Arrear Sheet'!K36="","",IF('Arrear Sheet'!C36="TOTAL","",SUM(G36:I36)))</f>
        <v>57480</v>
      </c>
      <c r="K36" s="136">
        <f>IF('Arrear Sheet'!L36="","",IF('Arrear Sheet'!C36="TOTAL","",'Arrear Sheet'!L36))</f>
        <v>1400</v>
      </c>
      <c r="L36" s="136">
        <f>IF('Arrear Sheet'!M36="","",IF('Arrear Sheet'!C36="TOTAL","",'Arrear Sheet'!M36))</f>
        <v>168</v>
      </c>
      <c r="M36" s="136">
        <f>IF('Arrear Sheet'!N36="","",IF('Arrear Sheet'!C36="TOTAL","",'Arrear Sheet'!N36))</f>
        <v>112</v>
      </c>
      <c r="N36" s="136">
        <f>IF('Arrear Sheet'!O36="","",IF('Arrear Sheet'!C36="TOTAL","",SUM(K36:M36)))</f>
        <v>1680</v>
      </c>
      <c r="O36" s="136">
        <f>IF('Arrear Sheet'!P36="","",IF('Arrear Sheet'!C36="TOTAL","",'Arrear Sheet'!P36))</f>
        <v>5522</v>
      </c>
      <c r="P36" s="136">
        <f>IF('Arrear Sheet'!Q36="","",IF('Arrear Sheet'!C36="TOTAL","",'Arrear Sheet'!Q36))</f>
        <v>5365</v>
      </c>
      <c r="Q36" s="136">
        <f>IF('Arrear Sheet'!R36="","",IF('Arrear Sheet'!C36="TOTAL","",'Arrear Sheet'!R36))</f>
        <v>157</v>
      </c>
      <c r="R36" s="136">
        <f>IF('Arrear Sheet'!S36="","",IF('Arrear Sheet'!C36="TOTAL","",'Arrear Sheet'!S36))</f>
        <v>2100</v>
      </c>
      <c r="S36" s="136">
        <f>IF('Arrear Sheet'!T36="","",IF('Arrear Sheet'!C36="TOTAL","",'Arrear Sheet'!T36))</f>
        <v>2100</v>
      </c>
      <c r="T36" s="136">
        <f>IF('Arrear Sheet'!U36="","",IF('Arrear Sheet'!C36="TOTAL","",'Arrear Sheet'!U36))</f>
        <v>0</v>
      </c>
      <c r="U36" s="136" t="str">
        <f>IF('Arrear Sheet'!V36="","",IF('Arrear Sheet'!C36="TOTAL","",'Arrear Sheet'!V36))</f>
        <v/>
      </c>
      <c r="V36" s="136" t="str">
        <f>IF('Arrear Sheet'!W36="","",IF('Arrear Sheet'!C36="TOTAL","",'Arrear Sheet'!W36))</f>
        <v/>
      </c>
      <c r="W36" s="136" t="str">
        <f>IF('Arrear Sheet'!X36="","",IF('Arrear Sheet'!C36="TOTAL","",'Arrear Sheet'!X36))</f>
        <v/>
      </c>
      <c r="X36" s="136" t="str">
        <f>IF('Arrear Sheet'!Y36="","",IF('Arrear Sheet'!C36="TOTAL","",'Arrear Sheet'!Y36))</f>
        <v/>
      </c>
      <c r="Y36" s="136">
        <f>IF('Arrear Sheet'!Z36="","",IF('Arrear Sheet'!C36="TOTAL","",'Arrear Sheet'!Z36))</f>
        <v>0</v>
      </c>
      <c r="Z36" s="136">
        <f>IF('Arrear Sheet'!AA36="","",IF('Arrear Sheet'!C36="TOTAL","",'Arrear Sheet'!AA36))</f>
        <v>0</v>
      </c>
      <c r="AA36" s="24">
        <f>IF('Arrear Sheet'!AB36="","",IF('Arrear Sheet'!C36="TOTAL","",SUM(N36-Z36)))</f>
        <v>1680</v>
      </c>
      <c r="AB36" s="41"/>
      <c r="AC36" s="41"/>
      <c r="AE36" s="73"/>
      <c r="AF36" s="73"/>
      <c r="AG36" s="73"/>
      <c r="AH36" s="73"/>
      <c r="AI36" s="73"/>
      <c r="AJ36" s="73"/>
    </row>
    <row r="37" spans="1:36" s="28" customFormat="1" ht="21" customHeight="1">
      <c r="A37" s="22">
        <f>IF('Arrear Sheet'!B37="","",'Arrear Sheet'!B37)</f>
        <v>30</v>
      </c>
      <c r="B37" s="23">
        <f>IF('Arrear Sheet'!C37="","",IF('Arrear Sheet'!C37="TOTAL","",'Arrear Sheet'!C37))</f>
        <v>43617</v>
      </c>
      <c r="C37" s="136">
        <f>IF('Arrear Sheet'!D37="","",IF('Arrear Sheet'!C37="TOTAL","",IF('Arrear Sheet'!D37="अक्षरें राशि :-","",'Arrear Sheet'!D37)))</f>
        <v>49300</v>
      </c>
      <c r="D37" s="136">
        <f>IF('Arrear Sheet'!E37="","",IF('Arrear Sheet'!C37="TOTAL","",'Arrear Sheet'!E37))</f>
        <v>5916</v>
      </c>
      <c r="E37" s="136">
        <f>IF('Arrear Sheet'!F37="","",IF('Arrear Sheet'!C37="TOTAL","",'Arrear Sheet'!F37))</f>
        <v>3944</v>
      </c>
      <c r="F37" s="136">
        <f>IF('Arrear Sheet'!G37="","",IF('Arrear Sheet'!C37="TOTAL","",SUM(C37:E37)))</f>
        <v>59160</v>
      </c>
      <c r="G37" s="136">
        <f>IF('Arrear Sheet'!H37="","",IF('Arrear Sheet'!C37="TOTAL","",'Arrear Sheet'!H37))</f>
        <v>47900</v>
      </c>
      <c r="H37" s="136">
        <f>IF('Arrear Sheet'!I37="","",IF('Arrear Sheet'!C37="TOTAL","",'Arrear Sheet'!I37))</f>
        <v>5748</v>
      </c>
      <c r="I37" s="136">
        <f>IF('Arrear Sheet'!J37="","",IF('Arrear Sheet'!C37="TOTAL","",'Arrear Sheet'!J37))</f>
        <v>3832</v>
      </c>
      <c r="J37" s="136">
        <f>IF('Arrear Sheet'!K37="","",IF('Arrear Sheet'!C37="TOTAL","",SUM(G37:I37)))</f>
        <v>57480</v>
      </c>
      <c r="K37" s="136">
        <f>IF('Arrear Sheet'!L37="","",IF('Arrear Sheet'!C37="TOTAL","",'Arrear Sheet'!L37))</f>
        <v>1400</v>
      </c>
      <c r="L37" s="136">
        <f>IF('Arrear Sheet'!M37="","",IF('Arrear Sheet'!C37="TOTAL","",'Arrear Sheet'!M37))</f>
        <v>168</v>
      </c>
      <c r="M37" s="136">
        <f>IF('Arrear Sheet'!N37="","",IF('Arrear Sheet'!C37="TOTAL","",'Arrear Sheet'!N37))</f>
        <v>112</v>
      </c>
      <c r="N37" s="136">
        <f>IF('Arrear Sheet'!O37="","",IF('Arrear Sheet'!C37="TOTAL","",SUM(K37:M37)))</f>
        <v>1680</v>
      </c>
      <c r="O37" s="136">
        <f>IF('Arrear Sheet'!P37="","",IF('Arrear Sheet'!C37="TOTAL","",'Arrear Sheet'!P37))</f>
        <v>5522</v>
      </c>
      <c r="P37" s="136">
        <f>IF('Arrear Sheet'!Q37="","",IF('Arrear Sheet'!C37="TOTAL","",'Arrear Sheet'!Q37))</f>
        <v>5365</v>
      </c>
      <c r="Q37" s="136">
        <f>IF('Arrear Sheet'!R37="","",IF('Arrear Sheet'!C37="TOTAL","",'Arrear Sheet'!R37))</f>
        <v>157</v>
      </c>
      <c r="R37" s="136">
        <f>IF('Arrear Sheet'!S37="","",IF('Arrear Sheet'!C37="TOTAL","",'Arrear Sheet'!S37))</f>
        <v>2100</v>
      </c>
      <c r="S37" s="136">
        <f>IF('Arrear Sheet'!T37="","",IF('Arrear Sheet'!C37="TOTAL","",'Arrear Sheet'!T37))</f>
        <v>2100</v>
      </c>
      <c r="T37" s="136">
        <f>IF('Arrear Sheet'!U37="","",IF('Arrear Sheet'!C37="TOTAL","",'Arrear Sheet'!U37))</f>
        <v>0</v>
      </c>
      <c r="U37" s="136" t="str">
        <f>IF('Arrear Sheet'!V37="","",IF('Arrear Sheet'!C37="TOTAL","",'Arrear Sheet'!V37))</f>
        <v/>
      </c>
      <c r="V37" s="136" t="str">
        <f>IF('Arrear Sheet'!W37="","",IF('Arrear Sheet'!C37="TOTAL","",'Arrear Sheet'!W37))</f>
        <v/>
      </c>
      <c r="W37" s="136" t="str">
        <f>IF('Arrear Sheet'!X37="","",IF('Arrear Sheet'!C37="TOTAL","",'Arrear Sheet'!X37))</f>
        <v/>
      </c>
      <c r="X37" s="136" t="str">
        <f>IF('Arrear Sheet'!Y37="","",IF('Arrear Sheet'!C37="TOTAL","",'Arrear Sheet'!Y37))</f>
        <v/>
      </c>
      <c r="Y37" s="136">
        <f>IF('Arrear Sheet'!Z37="","",IF('Arrear Sheet'!C37="TOTAL","",'Arrear Sheet'!Z37))</f>
        <v>0</v>
      </c>
      <c r="Z37" s="136">
        <f>IF('Arrear Sheet'!AA37="","",IF('Arrear Sheet'!C37="TOTAL","",'Arrear Sheet'!AA37))</f>
        <v>0</v>
      </c>
      <c r="AA37" s="24">
        <f>IF('Arrear Sheet'!AB37="","",IF('Arrear Sheet'!C37="TOTAL","",SUM(N37-Z37)))</f>
        <v>1680</v>
      </c>
      <c r="AB37" s="41"/>
      <c r="AC37" s="41"/>
      <c r="AE37" s="73"/>
      <c r="AF37" s="73"/>
      <c r="AG37" s="73"/>
      <c r="AH37" s="73"/>
      <c r="AI37" s="73"/>
      <c r="AJ37" s="73"/>
    </row>
    <row r="38" spans="1:36" s="28" customFormat="1" ht="21" customHeight="1">
      <c r="A38" s="22">
        <f>IF('Arrear Sheet'!B38="","",'Arrear Sheet'!B38)</f>
        <v>31</v>
      </c>
      <c r="B38" s="23">
        <f>IF('Arrear Sheet'!C38="","",IF('Arrear Sheet'!C38="TOTAL","",'Arrear Sheet'!C38))</f>
        <v>43647</v>
      </c>
      <c r="C38" s="136">
        <f>IF('Arrear Sheet'!D38="","",IF('Arrear Sheet'!C38="TOTAL","",IF('Arrear Sheet'!D38="अक्षरें राशि :-","",'Arrear Sheet'!D38)))</f>
        <v>50800</v>
      </c>
      <c r="D38" s="136">
        <f>IF('Arrear Sheet'!E38="","",IF('Arrear Sheet'!C38="TOTAL","",'Arrear Sheet'!E38))</f>
        <v>8636</v>
      </c>
      <c r="E38" s="136">
        <f>IF('Arrear Sheet'!F38="","",IF('Arrear Sheet'!C38="TOTAL","",'Arrear Sheet'!F38))</f>
        <v>4064</v>
      </c>
      <c r="F38" s="136">
        <f>IF('Arrear Sheet'!G38="","",IF('Arrear Sheet'!C38="TOTAL","",SUM(C38:E38)))</f>
        <v>63500</v>
      </c>
      <c r="G38" s="136">
        <f>IF('Arrear Sheet'!H38="","",IF('Arrear Sheet'!C38="TOTAL","",'Arrear Sheet'!H38))</f>
        <v>49300</v>
      </c>
      <c r="H38" s="136">
        <f>IF('Arrear Sheet'!I38="","",IF('Arrear Sheet'!C38="TOTAL","",'Arrear Sheet'!I38))</f>
        <v>8381</v>
      </c>
      <c r="I38" s="136">
        <f>IF('Arrear Sheet'!J38="","",IF('Arrear Sheet'!C38="TOTAL","",'Arrear Sheet'!J38))</f>
        <v>3944</v>
      </c>
      <c r="J38" s="136">
        <f>IF('Arrear Sheet'!K38="","",IF('Arrear Sheet'!C38="TOTAL","",SUM(G38:I38)))</f>
        <v>61625</v>
      </c>
      <c r="K38" s="136">
        <f>IF('Arrear Sheet'!L38="","",IF('Arrear Sheet'!C38="TOTAL","",'Arrear Sheet'!L38))</f>
        <v>1500</v>
      </c>
      <c r="L38" s="136">
        <f>IF('Arrear Sheet'!M38="","",IF('Arrear Sheet'!C38="TOTAL","",'Arrear Sheet'!M38))</f>
        <v>255</v>
      </c>
      <c r="M38" s="136">
        <f>IF('Arrear Sheet'!N38="","",IF('Arrear Sheet'!C38="TOTAL","",'Arrear Sheet'!N38))</f>
        <v>120</v>
      </c>
      <c r="N38" s="136">
        <f>IF('Arrear Sheet'!O38="","",IF('Arrear Sheet'!C38="TOTAL","",SUM(K38:M38)))</f>
        <v>1875</v>
      </c>
      <c r="O38" s="136">
        <f>IF('Arrear Sheet'!P38="","",IF('Arrear Sheet'!C38="TOTAL","",'Arrear Sheet'!P38))</f>
        <v>5944</v>
      </c>
      <c r="P38" s="136">
        <f>IF('Arrear Sheet'!Q38="","",IF('Arrear Sheet'!C38="TOTAL","",'Arrear Sheet'!Q38))</f>
        <v>5768</v>
      </c>
      <c r="Q38" s="136">
        <f>IF('Arrear Sheet'!R38="","",IF('Arrear Sheet'!C38="TOTAL","",'Arrear Sheet'!R38))</f>
        <v>176</v>
      </c>
      <c r="R38" s="136">
        <f>IF('Arrear Sheet'!S38="","",IF('Arrear Sheet'!C38="TOTAL","",'Arrear Sheet'!S38))</f>
        <v>2100</v>
      </c>
      <c r="S38" s="136">
        <f>IF('Arrear Sheet'!T38="","",IF('Arrear Sheet'!C38="TOTAL","",'Arrear Sheet'!T38))</f>
        <v>2100</v>
      </c>
      <c r="T38" s="136">
        <f>IF('Arrear Sheet'!U38="","",IF('Arrear Sheet'!C38="TOTAL","",'Arrear Sheet'!U38))</f>
        <v>0</v>
      </c>
      <c r="U38" s="136" t="str">
        <f>IF('Arrear Sheet'!V38="","",IF('Arrear Sheet'!C38="TOTAL","",'Arrear Sheet'!V38))</f>
        <v/>
      </c>
      <c r="V38" s="136" t="str">
        <f>IF('Arrear Sheet'!W38="","",IF('Arrear Sheet'!C38="TOTAL","",'Arrear Sheet'!W38))</f>
        <v/>
      </c>
      <c r="W38" s="136" t="str">
        <f>IF('Arrear Sheet'!X38="","",IF('Arrear Sheet'!C38="TOTAL","",'Arrear Sheet'!X38))</f>
        <v/>
      </c>
      <c r="X38" s="136" t="str">
        <f>IF('Arrear Sheet'!Y38="","",IF('Arrear Sheet'!C38="TOTAL","",'Arrear Sheet'!Y38))</f>
        <v/>
      </c>
      <c r="Y38" s="136">
        <f>IF('Arrear Sheet'!Z38="","",IF('Arrear Sheet'!C38="TOTAL","",'Arrear Sheet'!Z38))</f>
        <v>0</v>
      </c>
      <c r="Z38" s="136">
        <f>IF('Arrear Sheet'!AA38="","",IF('Arrear Sheet'!C38="TOTAL","",'Arrear Sheet'!AA38))</f>
        <v>0</v>
      </c>
      <c r="AA38" s="24">
        <f>IF('Arrear Sheet'!AB38="","",IF('Arrear Sheet'!C38="TOTAL","",SUM(N38-Z38)))</f>
        <v>1875</v>
      </c>
      <c r="AB38" s="41"/>
      <c r="AC38" s="41"/>
      <c r="AE38" s="73"/>
      <c r="AF38" s="73"/>
      <c r="AG38" s="73"/>
      <c r="AH38" s="73"/>
      <c r="AI38" s="73"/>
      <c r="AJ38" s="73"/>
    </row>
    <row r="39" spans="1:36" s="28" customFormat="1" ht="21" customHeight="1">
      <c r="A39" s="22">
        <f>IF('Arrear Sheet'!B39="","",'Arrear Sheet'!B39)</f>
        <v>32</v>
      </c>
      <c r="B39" s="23">
        <f>IF('Arrear Sheet'!C39="","",IF('Arrear Sheet'!C39="TOTAL","",'Arrear Sheet'!C39))</f>
        <v>43678</v>
      </c>
      <c r="C39" s="136">
        <f>IF('Arrear Sheet'!D39="","",IF('Arrear Sheet'!C39="TOTAL","",IF('Arrear Sheet'!D39="अक्षरें राशि :-","",'Arrear Sheet'!D39)))</f>
        <v>50800</v>
      </c>
      <c r="D39" s="136">
        <f>IF('Arrear Sheet'!E39="","",IF('Arrear Sheet'!C39="TOTAL","",'Arrear Sheet'!E39))</f>
        <v>8636</v>
      </c>
      <c r="E39" s="136">
        <f>IF('Arrear Sheet'!F39="","",IF('Arrear Sheet'!C39="TOTAL","",'Arrear Sheet'!F39))</f>
        <v>4064</v>
      </c>
      <c r="F39" s="136">
        <f>IF('Arrear Sheet'!G39="","",IF('Arrear Sheet'!C39="TOTAL","",SUM(C39:E39)))</f>
        <v>63500</v>
      </c>
      <c r="G39" s="136">
        <f>IF('Arrear Sheet'!H39="","",IF('Arrear Sheet'!C39="TOTAL","",'Arrear Sheet'!H39))</f>
        <v>49300</v>
      </c>
      <c r="H39" s="136">
        <f>IF('Arrear Sheet'!I39="","",IF('Arrear Sheet'!C39="TOTAL","",'Arrear Sheet'!I39))</f>
        <v>8381</v>
      </c>
      <c r="I39" s="136">
        <f>IF('Arrear Sheet'!J39="","",IF('Arrear Sheet'!C39="TOTAL","",'Arrear Sheet'!J39))</f>
        <v>3944</v>
      </c>
      <c r="J39" s="136">
        <f>IF('Arrear Sheet'!K39="","",IF('Arrear Sheet'!C39="TOTAL","",SUM(G39:I39)))</f>
        <v>61625</v>
      </c>
      <c r="K39" s="136">
        <f>IF('Arrear Sheet'!L39="","",IF('Arrear Sheet'!C39="TOTAL","",'Arrear Sheet'!L39))</f>
        <v>1500</v>
      </c>
      <c r="L39" s="136">
        <f>IF('Arrear Sheet'!M39="","",IF('Arrear Sheet'!C39="TOTAL","",'Arrear Sheet'!M39))</f>
        <v>255</v>
      </c>
      <c r="M39" s="136">
        <f>IF('Arrear Sheet'!N39="","",IF('Arrear Sheet'!C39="TOTAL","",'Arrear Sheet'!N39))</f>
        <v>120</v>
      </c>
      <c r="N39" s="136">
        <f>IF('Arrear Sheet'!O39="","",IF('Arrear Sheet'!C39="TOTAL","",SUM(K39:M39)))</f>
        <v>1875</v>
      </c>
      <c r="O39" s="136">
        <f>IF('Arrear Sheet'!P39="","",IF('Arrear Sheet'!C39="TOTAL","",'Arrear Sheet'!P39))</f>
        <v>5944</v>
      </c>
      <c r="P39" s="136">
        <f>IF('Arrear Sheet'!Q39="","",IF('Arrear Sheet'!C39="TOTAL","",'Arrear Sheet'!Q39))</f>
        <v>5768</v>
      </c>
      <c r="Q39" s="136">
        <f>IF('Arrear Sheet'!R39="","",IF('Arrear Sheet'!C39="TOTAL","",'Arrear Sheet'!R39))</f>
        <v>176</v>
      </c>
      <c r="R39" s="136">
        <f>IF('Arrear Sheet'!S39="","",IF('Arrear Sheet'!C39="TOTAL","",'Arrear Sheet'!S39))</f>
        <v>2100</v>
      </c>
      <c r="S39" s="136">
        <f>IF('Arrear Sheet'!T39="","",IF('Arrear Sheet'!C39="TOTAL","",'Arrear Sheet'!T39))</f>
        <v>2100</v>
      </c>
      <c r="T39" s="136">
        <f>IF('Arrear Sheet'!U39="","",IF('Arrear Sheet'!C39="TOTAL","",'Arrear Sheet'!U39))</f>
        <v>0</v>
      </c>
      <c r="U39" s="136" t="str">
        <f>IF('Arrear Sheet'!V39="","",IF('Arrear Sheet'!C39="TOTAL","",'Arrear Sheet'!V39))</f>
        <v/>
      </c>
      <c r="V39" s="136" t="str">
        <f>IF('Arrear Sheet'!W39="","",IF('Arrear Sheet'!C39="TOTAL","",'Arrear Sheet'!W39))</f>
        <v/>
      </c>
      <c r="W39" s="136" t="str">
        <f>IF('Arrear Sheet'!X39="","",IF('Arrear Sheet'!C39="TOTAL","",'Arrear Sheet'!X39))</f>
        <v/>
      </c>
      <c r="X39" s="136" t="str">
        <f>IF('Arrear Sheet'!Y39="","",IF('Arrear Sheet'!C39="TOTAL","",'Arrear Sheet'!Y39))</f>
        <v/>
      </c>
      <c r="Y39" s="136">
        <f>IF('Arrear Sheet'!Z39="","",IF('Arrear Sheet'!C39="TOTAL","",'Arrear Sheet'!Z39))</f>
        <v>0</v>
      </c>
      <c r="Z39" s="136">
        <f>IF('Arrear Sheet'!AA39="","",IF('Arrear Sheet'!C39="TOTAL","",'Arrear Sheet'!AA39))</f>
        <v>0</v>
      </c>
      <c r="AA39" s="24">
        <f>IF('Arrear Sheet'!AB39="","",IF('Arrear Sheet'!C39="TOTAL","",SUM(N39-Z39)))</f>
        <v>1875</v>
      </c>
      <c r="AB39" s="41"/>
      <c r="AC39" s="41"/>
      <c r="AE39" s="73"/>
      <c r="AF39" s="73"/>
      <c r="AG39" s="73"/>
      <c r="AH39" s="73"/>
      <c r="AI39" s="73"/>
      <c r="AJ39" s="73"/>
    </row>
    <row r="40" spans="1:36" s="28" customFormat="1" ht="21" customHeight="1">
      <c r="A40" s="22">
        <f>IF('Arrear Sheet'!B40="","",'Arrear Sheet'!B40)</f>
        <v>33</v>
      </c>
      <c r="B40" s="23">
        <f>IF('Arrear Sheet'!C40="","",IF('Arrear Sheet'!C40="TOTAL","",'Arrear Sheet'!C40))</f>
        <v>43709</v>
      </c>
      <c r="C40" s="136">
        <f>IF('Arrear Sheet'!D40="","",IF('Arrear Sheet'!C40="TOTAL","",IF('Arrear Sheet'!D40="अक्षरें राशि :-","",'Arrear Sheet'!D40)))</f>
        <v>50800</v>
      </c>
      <c r="D40" s="136">
        <f>IF('Arrear Sheet'!E40="","",IF('Arrear Sheet'!C40="TOTAL","",'Arrear Sheet'!E40))</f>
        <v>8636</v>
      </c>
      <c r="E40" s="136">
        <f>IF('Arrear Sheet'!F40="","",IF('Arrear Sheet'!C40="TOTAL","",'Arrear Sheet'!F40))</f>
        <v>4064</v>
      </c>
      <c r="F40" s="136">
        <f>IF('Arrear Sheet'!G40="","",IF('Arrear Sheet'!C40="TOTAL","",SUM(C40:E40)))</f>
        <v>63500</v>
      </c>
      <c r="G40" s="136">
        <f>IF('Arrear Sheet'!H40="","",IF('Arrear Sheet'!C40="TOTAL","",'Arrear Sheet'!H40))</f>
        <v>49300</v>
      </c>
      <c r="H40" s="136">
        <f>IF('Arrear Sheet'!I40="","",IF('Arrear Sheet'!C40="TOTAL","",'Arrear Sheet'!I40))</f>
        <v>8381</v>
      </c>
      <c r="I40" s="136">
        <f>IF('Arrear Sheet'!J40="","",IF('Arrear Sheet'!C40="TOTAL","",'Arrear Sheet'!J40))</f>
        <v>3944</v>
      </c>
      <c r="J40" s="136">
        <f>IF('Arrear Sheet'!K40="","",IF('Arrear Sheet'!C40="TOTAL","",SUM(G40:I40)))</f>
        <v>61625</v>
      </c>
      <c r="K40" s="136">
        <f>IF('Arrear Sheet'!L40="","",IF('Arrear Sheet'!C40="TOTAL","",'Arrear Sheet'!L40))</f>
        <v>1500</v>
      </c>
      <c r="L40" s="136">
        <f>IF('Arrear Sheet'!M40="","",IF('Arrear Sheet'!C40="TOTAL","",'Arrear Sheet'!M40))</f>
        <v>255</v>
      </c>
      <c r="M40" s="136">
        <f>IF('Arrear Sheet'!N40="","",IF('Arrear Sheet'!C40="TOTAL","",'Arrear Sheet'!N40))</f>
        <v>120</v>
      </c>
      <c r="N40" s="136">
        <f>IF('Arrear Sheet'!O40="","",IF('Arrear Sheet'!C40="TOTAL","",SUM(K40:M40)))</f>
        <v>1875</v>
      </c>
      <c r="O40" s="136">
        <f>IF('Arrear Sheet'!P40="","",IF('Arrear Sheet'!C40="TOTAL","",'Arrear Sheet'!P40))</f>
        <v>5944</v>
      </c>
      <c r="P40" s="136">
        <f>IF('Arrear Sheet'!Q40="","",IF('Arrear Sheet'!C40="TOTAL","",'Arrear Sheet'!Q40))</f>
        <v>5768</v>
      </c>
      <c r="Q40" s="136">
        <f>IF('Arrear Sheet'!R40="","",IF('Arrear Sheet'!C40="TOTAL","",'Arrear Sheet'!R40))</f>
        <v>176</v>
      </c>
      <c r="R40" s="136">
        <f>IF('Arrear Sheet'!S40="","",IF('Arrear Sheet'!C40="TOTAL","",'Arrear Sheet'!S40))</f>
        <v>2100</v>
      </c>
      <c r="S40" s="136">
        <f>IF('Arrear Sheet'!T40="","",IF('Arrear Sheet'!C40="TOTAL","",'Arrear Sheet'!T40))</f>
        <v>2100</v>
      </c>
      <c r="T40" s="136">
        <f>IF('Arrear Sheet'!U40="","",IF('Arrear Sheet'!C40="TOTAL","",'Arrear Sheet'!U40))</f>
        <v>0</v>
      </c>
      <c r="U40" s="136" t="str">
        <f>IF('Arrear Sheet'!V40="","",IF('Arrear Sheet'!C40="TOTAL","",'Arrear Sheet'!V40))</f>
        <v/>
      </c>
      <c r="V40" s="136" t="str">
        <f>IF('Arrear Sheet'!W40="","",IF('Arrear Sheet'!C40="TOTAL","",'Arrear Sheet'!W40))</f>
        <v/>
      </c>
      <c r="W40" s="136" t="str">
        <f>IF('Arrear Sheet'!X40="","",IF('Arrear Sheet'!C40="TOTAL","",'Arrear Sheet'!X40))</f>
        <v/>
      </c>
      <c r="X40" s="136" t="str">
        <f>IF('Arrear Sheet'!Y40="","",IF('Arrear Sheet'!C40="TOTAL","",'Arrear Sheet'!Y40))</f>
        <v/>
      </c>
      <c r="Y40" s="136">
        <f>IF('Arrear Sheet'!Z40="","",IF('Arrear Sheet'!C40="TOTAL","",'Arrear Sheet'!Z40))</f>
        <v>0</v>
      </c>
      <c r="Z40" s="136">
        <f>IF('Arrear Sheet'!AA40="","",IF('Arrear Sheet'!C40="TOTAL","",'Arrear Sheet'!AA40))</f>
        <v>0</v>
      </c>
      <c r="AA40" s="24">
        <f>IF('Arrear Sheet'!AB40="","",IF('Arrear Sheet'!C40="TOTAL","",SUM(N40-Z40)))</f>
        <v>1875</v>
      </c>
      <c r="AB40" s="41"/>
      <c r="AC40" s="41"/>
      <c r="AE40" s="73"/>
      <c r="AF40" s="73"/>
      <c r="AG40" s="73"/>
      <c r="AH40" s="73"/>
      <c r="AI40" s="73"/>
      <c r="AJ40" s="73"/>
    </row>
    <row r="41" spans="1:36" s="28" customFormat="1" ht="21" customHeight="1">
      <c r="A41" s="22">
        <f>IF('Arrear Sheet'!B41="","",'Arrear Sheet'!B41)</f>
        <v>34</v>
      </c>
      <c r="B41" s="23">
        <f>IF('Arrear Sheet'!C41="","",IF('Arrear Sheet'!C41="TOTAL","",'Arrear Sheet'!C41))</f>
        <v>43739</v>
      </c>
      <c r="C41" s="136">
        <f>IF('Arrear Sheet'!D41="","",IF('Arrear Sheet'!C41="TOTAL","",IF('Arrear Sheet'!D41="अक्षरें राशि :-","",'Arrear Sheet'!D41)))</f>
        <v>50800</v>
      </c>
      <c r="D41" s="136">
        <f>IF('Arrear Sheet'!E41="","",IF('Arrear Sheet'!C41="TOTAL","",'Arrear Sheet'!E41))</f>
        <v>8636</v>
      </c>
      <c r="E41" s="136">
        <f>IF('Arrear Sheet'!F41="","",IF('Arrear Sheet'!C41="TOTAL","",'Arrear Sheet'!F41))</f>
        <v>4064</v>
      </c>
      <c r="F41" s="136">
        <f>IF('Arrear Sheet'!G41="","",IF('Arrear Sheet'!C41="TOTAL","",SUM(C41:E41)))</f>
        <v>63500</v>
      </c>
      <c r="G41" s="136">
        <f>IF('Arrear Sheet'!H41="","",IF('Arrear Sheet'!C41="TOTAL","",'Arrear Sheet'!H41))</f>
        <v>49300</v>
      </c>
      <c r="H41" s="136">
        <f>IF('Arrear Sheet'!I41="","",IF('Arrear Sheet'!C41="TOTAL","",'Arrear Sheet'!I41))</f>
        <v>8381</v>
      </c>
      <c r="I41" s="136">
        <f>IF('Arrear Sheet'!J41="","",IF('Arrear Sheet'!C41="TOTAL","",'Arrear Sheet'!J41))</f>
        <v>3944</v>
      </c>
      <c r="J41" s="136">
        <f>IF('Arrear Sheet'!K41="","",IF('Arrear Sheet'!C41="TOTAL","",SUM(G41:I41)))</f>
        <v>61625</v>
      </c>
      <c r="K41" s="136">
        <f>IF('Arrear Sheet'!L41="","",IF('Arrear Sheet'!C41="TOTAL","",'Arrear Sheet'!L41))</f>
        <v>1500</v>
      </c>
      <c r="L41" s="136">
        <f>IF('Arrear Sheet'!M41="","",IF('Arrear Sheet'!C41="TOTAL","",'Arrear Sheet'!M41))</f>
        <v>255</v>
      </c>
      <c r="M41" s="136">
        <f>IF('Arrear Sheet'!N41="","",IF('Arrear Sheet'!C41="TOTAL","",'Arrear Sheet'!N41))</f>
        <v>120</v>
      </c>
      <c r="N41" s="136">
        <f>IF('Arrear Sheet'!O41="","",IF('Arrear Sheet'!C41="TOTAL","",SUM(K41:M41)))</f>
        <v>1875</v>
      </c>
      <c r="O41" s="136">
        <f>IF('Arrear Sheet'!P41="","",IF('Arrear Sheet'!C41="TOTAL","",'Arrear Sheet'!P41))</f>
        <v>5944</v>
      </c>
      <c r="P41" s="136">
        <f>IF('Arrear Sheet'!Q41="","",IF('Arrear Sheet'!C41="TOTAL","",'Arrear Sheet'!Q41))</f>
        <v>5768</v>
      </c>
      <c r="Q41" s="136">
        <f>IF('Arrear Sheet'!R41="","",IF('Arrear Sheet'!C41="TOTAL","",'Arrear Sheet'!R41))</f>
        <v>176</v>
      </c>
      <c r="R41" s="136">
        <f>IF('Arrear Sheet'!S41="","",IF('Arrear Sheet'!C41="TOTAL","",'Arrear Sheet'!S41))</f>
        <v>2100</v>
      </c>
      <c r="S41" s="136">
        <f>IF('Arrear Sheet'!T41="","",IF('Arrear Sheet'!C41="TOTAL","",'Arrear Sheet'!T41))</f>
        <v>2100</v>
      </c>
      <c r="T41" s="136">
        <f>IF('Arrear Sheet'!U41="","",IF('Arrear Sheet'!C41="TOTAL","",'Arrear Sheet'!U41))</f>
        <v>0</v>
      </c>
      <c r="U41" s="136" t="str">
        <f>IF('Arrear Sheet'!V41="","",IF('Arrear Sheet'!C41="TOTAL","",'Arrear Sheet'!V41))</f>
        <v/>
      </c>
      <c r="V41" s="136" t="str">
        <f>IF('Arrear Sheet'!W41="","",IF('Arrear Sheet'!C41="TOTAL","",'Arrear Sheet'!W41))</f>
        <v/>
      </c>
      <c r="W41" s="136" t="str">
        <f>IF('Arrear Sheet'!X41="","",IF('Arrear Sheet'!C41="TOTAL","",'Arrear Sheet'!X41))</f>
        <v/>
      </c>
      <c r="X41" s="136" t="str">
        <f>IF('Arrear Sheet'!Y41="","",IF('Arrear Sheet'!C41="TOTAL","",'Arrear Sheet'!Y41))</f>
        <v/>
      </c>
      <c r="Y41" s="136">
        <f>IF('Arrear Sheet'!Z41="","",IF('Arrear Sheet'!C41="TOTAL","",'Arrear Sheet'!Z41))</f>
        <v>0</v>
      </c>
      <c r="Z41" s="136">
        <f>IF('Arrear Sheet'!AA41="","",IF('Arrear Sheet'!C41="TOTAL","",'Arrear Sheet'!AA41))</f>
        <v>0</v>
      </c>
      <c r="AA41" s="24">
        <f>IF('Arrear Sheet'!AB41="","",IF('Arrear Sheet'!C41="TOTAL","",SUM(N41-Z41)))</f>
        <v>1875</v>
      </c>
      <c r="AB41" s="41"/>
      <c r="AC41" s="41"/>
      <c r="AE41" s="73"/>
      <c r="AF41" s="73"/>
      <c r="AG41" s="73"/>
      <c r="AH41" s="73"/>
      <c r="AI41" s="73"/>
      <c r="AJ41" s="73"/>
    </row>
    <row r="42" spans="1:36" s="28" customFormat="1" ht="21" customHeight="1">
      <c r="A42" s="22">
        <f>IF('Arrear Sheet'!B42="","",'Arrear Sheet'!B42)</f>
        <v>35</v>
      </c>
      <c r="B42" s="23">
        <f>IF('Arrear Sheet'!C42="","",IF('Arrear Sheet'!C42="TOTAL","",'Arrear Sheet'!C42))</f>
        <v>43770</v>
      </c>
      <c r="C42" s="136">
        <f>IF('Arrear Sheet'!D42="","",IF('Arrear Sheet'!C42="TOTAL","",IF('Arrear Sheet'!D42="अक्षरें राशि :-","",'Arrear Sheet'!D42)))</f>
        <v>50800</v>
      </c>
      <c r="D42" s="136">
        <f>IF('Arrear Sheet'!E42="","",IF('Arrear Sheet'!C42="TOTAL","",'Arrear Sheet'!E42))</f>
        <v>8636</v>
      </c>
      <c r="E42" s="136">
        <f>IF('Arrear Sheet'!F42="","",IF('Arrear Sheet'!C42="TOTAL","",'Arrear Sheet'!F42))</f>
        <v>4064</v>
      </c>
      <c r="F42" s="136">
        <f>IF('Arrear Sheet'!G42="","",IF('Arrear Sheet'!C42="TOTAL","",SUM(C42:E42)))</f>
        <v>63500</v>
      </c>
      <c r="G42" s="136">
        <f>IF('Arrear Sheet'!H42="","",IF('Arrear Sheet'!C42="TOTAL","",'Arrear Sheet'!H42))</f>
        <v>49300</v>
      </c>
      <c r="H42" s="136">
        <f>IF('Arrear Sheet'!I42="","",IF('Arrear Sheet'!C42="TOTAL","",'Arrear Sheet'!I42))</f>
        <v>8381</v>
      </c>
      <c r="I42" s="136">
        <f>IF('Arrear Sheet'!J42="","",IF('Arrear Sheet'!C42="TOTAL","",'Arrear Sheet'!J42))</f>
        <v>3944</v>
      </c>
      <c r="J42" s="136">
        <f>IF('Arrear Sheet'!K42="","",IF('Arrear Sheet'!C42="TOTAL","",SUM(G42:I42)))</f>
        <v>61625</v>
      </c>
      <c r="K42" s="136">
        <f>IF('Arrear Sheet'!L42="","",IF('Arrear Sheet'!C42="TOTAL","",'Arrear Sheet'!L42))</f>
        <v>1500</v>
      </c>
      <c r="L42" s="136">
        <f>IF('Arrear Sheet'!M42="","",IF('Arrear Sheet'!C42="TOTAL","",'Arrear Sheet'!M42))</f>
        <v>255</v>
      </c>
      <c r="M42" s="136">
        <f>IF('Arrear Sheet'!N42="","",IF('Arrear Sheet'!C42="TOTAL","",'Arrear Sheet'!N42))</f>
        <v>120</v>
      </c>
      <c r="N42" s="136">
        <f>IF('Arrear Sheet'!O42="","",IF('Arrear Sheet'!C42="TOTAL","",SUM(K42:M42)))</f>
        <v>1875</v>
      </c>
      <c r="O42" s="136">
        <f>IF('Arrear Sheet'!P42="","",IF('Arrear Sheet'!C42="TOTAL","",'Arrear Sheet'!P42))</f>
        <v>5944</v>
      </c>
      <c r="P42" s="136">
        <f>IF('Arrear Sheet'!Q42="","",IF('Arrear Sheet'!C42="TOTAL","",'Arrear Sheet'!Q42))</f>
        <v>5768</v>
      </c>
      <c r="Q42" s="136">
        <f>IF('Arrear Sheet'!R42="","",IF('Arrear Sheet'!C42="TOTAL","",'Arrear Sheet'!R42))</f>
        <v>176</v>
      </c>
      <c r="R42" s="136">
        <f>IF('Arrear Sheet'!S42="","",IF('Arrear Sheet'!C42="TOTAL","",'Arrear Sheet'!S42))</f>
        <v>2100</v>
      </c>
      <c r="S42" s="136">
        <f>IF('Arrear Sheet'!T42="","",IF('Arrear Sheet'!C42="TOTAL","",'Arrear Sheet'!T42))</f>
        <v>2100</v>
      </c>
      <c r="T42" s="136">
        <f>IF('Arrear Sheet'!U42="","",IF('Arrear Sheet'!C42="TOTAL","",'Arrear Sheet'!U42))</f>
        <v>0</v>
      </c>
      <c r="U42" s="136" t="str">
        <f>IF('Arrear Sheet'!V42="","",IF('Arrear Sheet'!C42="TOTAL","",'Arrear Sheet'!V42))</f>
        <v/>
      </c>
      <c r="V42" s="136" t="str">
        <f>IF('Arrear Sheet'!W42="","",IF('Arrear Sheet'!C42="TOTAL","",'Arrear Sheet'!W42))</f>
        <v/>
      </c>
      <c r="W42" s="136" t="str">
        <f>IF('Arrear Sheet'!X42="","",IF('Arrear Sheet'!C42="TOTAL","",'Arrear Sheet'!X42))</f>
        <v/>
      </c>
      <c r="X42" s="136" t="str">
        <f>IF('Arrear Sheet'!Y42="","",IF('Arrear Sheet'!C42="TOTAL","",'Arrear Sheet'!Y42))</f>
        <v/>
      </c>
      <c r="Y42" s="136">
        <f>IF('Arrear Sheet'!Z42="","",IF('Arrear Sheet'!C42="TOTAL","",'Arrear Sheet'!Z42))</f>
        <v>0</v>
      </c>
      <c r="Z42" s="136">
        <f>IF('Arrear Sheet'!AA42="","",IF('Arrear Sheet'!C42="TOTAL","",'Arrear Sheet'!AA42))</f>
        <v>0</v>
      </c>
      <c r="AA42" s="24">
        <f>IF('Arrear Sheet'!AB42="","",IF('Arrear Sheet'!C42="TOTAL","",SUM(N42-Z42)))</f>
        <v>1875</v>
      </c>
      <c r="AB42" s="41"/>
      <c r="AC42" s="41"/>
      <c r="AE42" s="73"/>
      <c r="AF42" s="73"/>
      <c r="AG42" s="73"/>
      <c r="AH42" s="73"/>
      <c r="AI42" s="73"/>
      <c r="AJ42" s="73"/>
    </row>
    <row r="43" spans="1:36" s="28" customFormat="1" ht="21" customHeight="1">
      <c r="A43" s="22">
        <f>IF('Arrear Sheet'!B43="","",'Arrear Sheet'!B43)</f>
        <v>36</v>
      </c>
      <c r="B43" s="23">
        <f>IF('Arrear Sheet'!C43="","",IF('Arrear Sheet'!C43="TOTAL","",'Arrear Sheet'!C43))</f>
        <v>43800</v>
      </c>
      <c r="C43" s="136">
        <f>IF('Arrear Sheet'!D43="","",IF('Arrear Sheet'!C43="TOTAL","",IF('Arrear Sheet'!D43="अक्षरें राशि :-","",'Arrear Sheet'!D43)))</f>
        <v>50800</v>
      </c>
      <c r="D43" s="136">
        <f>IF('Arrear Sheet'!E43="","",IF('Arrear Sheet'!C43="TOTAL","",'Arrear Sheet'!E43))</f>
        <v>8636</v>
      </c>
      <c r="E43" s="136">
        <f>IF('Arrear Sheet'!F43="","",IF('Arrear Sheet'!C43="TOTAL","",'Arrear Sheet'!F43))</f>
        <v>4064</v>
      </c>
      <c r="F43" s="136">
        <f>IF('Arrear Sheet'!G43="","",IF('Arrear Sheet'!C43="TOTAL","",SUM(C43:E43)))</f>
        <v>63500</v>
      </c>
      <c r="G43" s="136">
        <f>IF('Arrear Sheet'!H43="","",IF('Arrear Sheet'!C43="TOTAL","",'Arrear Sheet'!H43))</f>
        <v>49300</v>
      </c>
      <c r="H43" s="136">
        <f>IF('Arrear Sheet'!I43="","",IF('Arrear Sheet'!C43="TOTAL","",'Arrear Sheet'!I43))</f>
        <v>8381</v>
      </c>
      <c r="I43" s="136">
        <f>IF('Arrear Sheet'!J43="","",IF('Arrear Sheet'!C43="TOTAL","",'Arrear Sheet'!J43))</f>
        <v>3944</v>
      </c>
      <c r="J43" s="136">
        <f>IF('Arrear Sheet'!K43="","",IF('Arrear Sheet'!C43="TOTAL","",SUM(G43:I43)))</f>
        <v>61625</v>
      </c>
      <c r="K43" s="136">
        <f>IF('Arrear Sheet'!L43="","",IF('Arrear Sheet'!C43="TOTAL","",'Arrear Sheet'!L43))</f>
        <v>1500</v>
      </c>
      <c r="L43" s="136">
        <f>IF('Arrear Sheet'!M43="","",IF('Arrear Sheet'!C43="TOTAL","",'Arrear Sheet'!M43))</f>
        <v>255</v>
      </c>
      <c r="M43" s="136">
        <f>IF('Arrear Sheet'!N43="","",IF('Arrear Sheet'!C43="TOTAL","",'Arrear Sheet'!N43))</f>
        <v>120</v>
      </c>
      <c r="N43" s="136">
        <f>IF('Arrear Sheet'!O43="","",IF('Arrear Sheet'!C43="TOTAL","",SUM(K43:M43)))</f>
        <v>1875</v>
      </c>
      <c r="O43" s="136">
        <f>IF('Arrear Sheet'!P43="","",IF('Arrear Sheet'!C43="TOTAL","",'Arrear Sheet'!P43))</f>
        <v>5944</v>
      </c>
      <c r="P43" s="136">
        <f>IF('Arrear Sheet'!Q43="","",IF('Arrear Sheet'!C43="TOTAL","",'Arrear Sheet'!Q43))</f>
        <v>5768</v>
      </c>
      <c r="Q43" s="136">
        <f>IF('Arrear Sheet'!R43="","",IF('Arrear Sheet'!C43="TOTAL","",'Arrear Sheet'!R43))</f>
        <v>176</v>
      </c>
      <c r="R43" s="136">
        <f>IF('Arrear Sheet'!S43="","",IF('Arrear Sheet'!C43="TOTAL","",'Arrear Sheet'!S43))</f>
        <v>2100</v>
      </c>
      <c r="S43" s="136">
        <f>IF('Arrear Sheet'!T43="","",IF('Arrear Sheet'!C43="TOTAL","",'Arrear Sheet'!T43))</f>
        <v>2100</v>
      </c>
      <c r="T43" s="136">
        <f>IF('Arrear Sheet'!U43="","",IF('Arrear Sheet'!C43="TOTAL","",'Arrear Sheet'!U43))</f>
        <v>0</v>
      </c>
      <c r="U43" s="136" t="str">
        <f>IF('Arrear Sheet'!V43="","",IF('Arrear Sheet'!C43="TOTAL","",'Arrear Sheet'!V43))</f>
        <v/>
      </c>
      <c r="V43" s="136" t="str">
        <f>IF('Arrear Sheet'!W43="","",IF('Arrear Sheet'!C43="TOTAL","",'Arrear Sheet'!W43))</f>
        <v/>
      </c>
      <c r="W43" s="136" t="str">
        <f>IF('Arrear Sheet'!X43="","",IF('Arrear Sheet'!C43="TOTAL","",'Arrear Sheet'!X43))</f>
        <v/>
      </c>
      <c r="X43" s="136" t="str">
        <f>IF('Arrear Sheet'!Y43="","",IF('Arrear Sheet'!C43="TOTAL","",'Arrear Sheet'!Y43))</f>
        <v/>
      </c>
      <c r="Y43" s="136">
        <f>IF('Arrear Sheet'!Z43="","",IF('Arrear Sheet'!C43="TOTAL","",'Arrear Sheet'!Z43))</f>
        <v>0</v>
      </c>
      <c r="Z43" s="136">
        <f>IF('Arrear Sheet'!AA43="","",IF('Arrear Sheet'!C43="TOTAL","",'Arrear Sheet'!AA43))</f>
        <v>0</v>
      </c>
      <c r="AA43" s="24">
        <f>IF('Arrear Sheet'!AB43="","",IF('Arrear Sheet'!C43="TOTAL","",SUM(N43-Z43)))</f>
        <v>1875</v>
      </c>
      <c r="AB43" s="41"/>
      <c r="AC43" s="41"/>
      <c r="AE43" s="73"/>
      <c r="AF43" s="73"/>
      <c r="AG43" s="73"/>
      <c r="AH43" s="73"/>
      <c r="AI43" s="73"/>
      <c r="AJ43" s="73"/>
    </row>
    <row r="44" spans="1:36" s="28" customFormat="1" ht="21" customHeight="1">
      <c r="A44" s="22">
        <f>IF('Arrear Sheet'!B44="","",'Arrear Sheet'!B44)</f>
        <v>37</v>
      </c>
      <c r="B44" s="23">
        <f>IF('Arrear Sheet'!C44="","",IF('Arrear Sheet'!C44="TOTAL","",'Arrear Sheet'!C44))</f>
        <v>43831</v>
      </c>
      <c r="C44" s="136">
        <f>IF('Arrear Sheet'!D44="","",IF('Arrear Sheet'!C44="TOTAL","",IF('Arrear Sheet'!D44="अक्षरें राशि :-","",'Arrear Sheet'!D44)))</f>
        <v>50800</v>
      </c>
      <c r="D44" s="136">
        <f>IF('Arrear Sheet'!E44="","",IF('Arrear Sheet'!C44="TOTAL","",'Arrear Sheet'!E44))</f>
        <v>8636</v>
      </c>
      <c r="E44" s="136">
        <f>IF('Arrear Sheet'!F44="","",IF('Arrear Sheet'!C44="TOTAL","",'Arrear Sheet'!F44))</f>
        <v>4064</v>
      </c>
      <c r="F44" s="136">
        <f>IF('Arrear Sheet'!G44="","",IF('Arrear Sheet'!C44="TOTAL","",SUM(C44:E44)))</f>
        <v>63500</v>
      </c>
      <c r="G44" s="136">
        <f>IF('Arrear Sheet'!H44="","",IF('Arrear Sheet'!C44="TOTAL","",'Arrear Sheet'!H44))</f>
        <v>49300</v>
      </c>
      <c r="H44" s="136">
        <f>IF('Arrear Sheet'!I44="","",IF('Arrear Sheet'!C44="TOTAL","",'Arrear Sheet'!I44))</f>
        <v>8381</v>
      </c>
      <c r="I44" s="136">
        <f>IF('Arrear Sheet'!J44="","",IF('Arrear Sheet'!C44="TOTAL","",'Arrear Sheet'!J44))</f>
        <v>3944</v>
      </c>
      <c r="J44" s="136">
        <f>IF('Arrear Sheet'!K44="","",IF('Arrear Sheet'!C44="TOTAL","",SUM(G44:I44)))</f>
        <v>61625</v>
      </c>
      <c r="K44" s="136">
        <f>IF('Arrear Sheet'!L44="","",IF('Arrear Sheet'!C44="TOTAL","",'Arrear Sheet'!L44))</f>
        <v>1500</v>
      </c>
      <c r="L44" s="136">
        <f>IF('Arrear Sheet'!M44="","",IF('Arrear Sheet'!C44="TOTAL","",'Arrear Sheet'!M44))</f>
        <v>255</v>
      </c>
      <c r="M44" s="136">
        <f>IF('Arrear Sheet'!N44="","",IF('Arrear Sheet'!C44="TOTAL","",'Arrear Sheet'!N44))</f>
        <v>120</v>
      </c>
      <c r="N44" s="136">
        <f>IF('Arrear Sheet'!O44="","",IF('Arrear Sheet'!C44="TOTAL","",SUM(K44:M44)))</f>
        <v>1875</v>
      </c>
      <c r="O44" s="136">
        <f>IF('Arrear Sheet'!P44="","",IF('Arrear Sheet'!C44="TOTAL","",'Arrear Sheet'!P44))</f>
        <v>5944</v>
      </c>
      <c r="P44" s="136">
        <f>IF('Arrear Sheet'!Q44="","",IF('Arrear Sheet'!C44="TOTAL","",'Arrear Sheet'!Q44))</f>
        <v>5768</v>
      </c>
      <c r="Q44" s="136">
        <f>IF('Arrear Sheet'!R44="","",IF('Arrear Sheet'!C44="TOTAL","",'Arrear Sheet'!R44))</f>
        <v>176</v>
      </c>
      <c r="R44" s="136">
        <f>IF('Arrear Sheet'!S44="","",IF('Arrear Sheet'!C44="TOTAL","",'Arrear Sheet'!S44))</f>
        <v>2100</v>
      </c>
      <c r="S44" s="136">
        <f>IF('Arrear Sheet'!T44="","",IF('Arrear Sheet'!C44="TOTAL","",'Arrear Sheet'!T44))</f>
        <v>2100</v>
      </c>
      <c r="T44" s="136">
        <f>IF('Arrear Sheet'!U44="","",IF('Arrear Sheet'!C44="TOTAL","",'Arrear Sheet'!U44))</f>
        <v>0</v>
      </c>
      <c r="U44" s="136" t="str">
        <f>IF('Arrear Sheet'!V44="","",IF('Arrear Sheet'!C44="TOTAL","",'Arrear Sheet'!V44))</f>
        <v/>
      </c>
      <c r="V44" s="136" t="str">
        <f>IF('Arrear Sheet'!W44="","",IF('Arrear Sheet'!C44="TOTAL","",'Arrear Sheet'!W44))</f>
        <v/>
      </c>
      <c r="W44" s="136" t="str">
        <f>IF('Arrear Sheet'!X44="","",IF('Arrear Sheet'!C44="TOTAL","",'Arrear Sheet'!X44))</f>
        <v/>
      </c>
      <c r="X44" s="136" t="str">
        <f>IF('Arrear Sheet'!Y44="","",IF('Arrear Sheet'!C44="TOTAL","",'Arrear Sheet'!Y44))</f>
        <v/>
      </c>
      <c r="Y44" s="136">
        <f>IF('Arrear Sheet'!Z44="","",IF('Arrear Sheet'!C44="TOTAL","",'Arrear Sheet'!Z44))</f>
        <v>0</v>
      </c>
      <c r="Z44" s="136">
        <f>IF('Arrear Sheet'!AA44="","",IF('Arrear Sheet'!C44="TOTAL","",'Arrear Sheet'!AA44))</f>
        <v>0</v>
      </c>
      <c r="AA44" s="24">
        <f>IF('Arrear Sheet'!AB44="","",IF('Arrear Sheet'!C44="TOTAL","",SUM(N44-Z44)))</f>
        <v>1875</v>
      </c>
      <c r="AB44" s="41"/>
      <c r="AC44" s="41"/>
      <c r="AE44" s="73"/>
      <c r="AF44" s="73"/>
      <c r="AG44" s="73"/>
      <c r="AH44" s="73"/>
      <c r="AI44" s="73"/>
      <c r="AJ44" s="73"/>
    </row>
    <row r="45" spans="1:36" s="28" customFormat="1" ht="21" customHeight="1">
      <c r="A45" s="22">
        <f>IF('Arrear Sheet'!B45="","",'Arrear Sheet'!B45)</f>
        <v>38</v>
      </c>
      <c r="B45" s="23">
        <f>IF('Arrear Sheet'!C45="","",IF('Arrear Sheet'!C45="TOTAL","",'Arrear Sheet'!C45))</f>
        <v>43862</v>
      </c>
      <c r="C45" s="136">
        <f>IF('Arrear Sheet'!D45="","",IF('Arrear Sheet'!C45="TOTAL","",IF('Arrear Sheet'!D45="अक्षरें राशि :-","",'Arrear Sheet'!D45)))</f>
        <v>50800</v>
      </c>
      <c r="D45" s="136">
        <f>IF('Arrear Sheet'!E45="","",IF('Arrear Sheet'!C45="TOTAL","",'Arrear Sheet'!E45))</f>
        <v>8636</v>
      </c>
      <c r="E45" s="136">
        <f>IF('Arrear Sheet'!F45="","",IF('Arrear Sheet'!C45="TOTAL","",'Arrear Sheet'!F45))</f>
        <v>4064</v>
      </c>
      <c r="F45" s="136">
        <f>IF('Arrear Sheet'!G45="","",IF('Arrear Sheet'!C45="TOTAL","",SUM(C45:E45)))</f>
        <v>63500</v>
      </c>
      <c r="G45" s="136">
        <f>IF('Arrear Sheet'!H45="","",IF('Arrear Sheet'!C45="TOTAL","",'Arrear Sheet'!H45))</f>
        <v>49300</v>
      </c>
      <c r="H45" s="136">
        <f>IF('Arrear Sheet'!I45="","",IF('Arrear Sheet'!C45="TOTAL","",'Arrear Sheet'!I45))</f>
        <v>8381</v>
      </c>
      <c r="I45" s="136">
        <f>IF('Arrear Sheet'!J45="","",IF('Arrear Sheet'!C45="TOTAL","",'Arrear Sheet'!J45))</f>
        <v>3944</v>
      </c>
      <c r="J45" s="136">
        <f>IF('Arrear Sheet'!K45="","",IF('Arrear Sheet'!C45="TOTAL","",SUM(G45:I45)))</f>
        <v>61625</v>
      </c>
      <c r="K45" s="136">
        <f>IF('Arrear Sheet'!L45="","",IF('Arrear Sheet'!C45="TOTAL","",'Arrear Sheet'!L45))</f>
        <v>1500</v>
      </c>
      <c r="L45" s="136">
        <f>IF('Arrear Sheet'!M45="","",IF('Arrear Sheet'!C45="TOTAL","",'Arrear Sheet'!M45))</f>
        <v>255</v>
      </c>
      <c r="M45" s="136">
        <f>IF('Arrear Sheet'!N45="","",IF('Arrear Sheet'!C45="TOTAL","",'Arrear Sheet'!N45))</f>
        <v>120</v>
      </c>
      <c r="N45" s="136">
        <f>IF('Arrear Sheet'!O45="","",IF('Arrear Sheet'!C45="TOTAL","",SUM(K45:M45)))</f>
        <v>1875</v>
      </c>
      <c r="O45" s="136">
        <f>IF('Arrear Sheet'!P45="","",IF('Arrear Sheet'!C45="TOTAL","",'Arrear Sheet'!P45))</f>
        <v>5944</v>
      </c>
      <c r="P45" s="136">
        <f>IF('Arrear Sheet'!Q45="","",IF('Arrear Sheet'!C45="TOTAL","",'Arrear Sheet'!Q45))</f>
        <v>5768</v>
      </c>
      <c r="Q45" s="136">
        <f>IF('Arrear Sheet'!R45="","",IF('Arrear Sheet'!C45="TOTAL","",'Arrear Sheet'!R45))</f>
        <v>176</v>
      </c>
      <c r="R45" s="136">
        <f>IF('Arrear Sheet'!S45="","",IF('Arrear Sheet'!C45="TOTAL","",'Arrear Sheet'!S45))</f>
        <v>2100</v>
      </c>
      <c r="S45" s="136">
        <f>IF('Arrear Sheet'!T45="","",IF('Arrear Sheet'!C45="TOTAL","",'Arrear Sheet'!T45))</f>
        <v>2100</v>
      </c>
      <c r="T45" s="136">
        <f>IF('Arrear Sheet'!U45="","",IF('Arrear Sheet'!C45="TOTAL","",'Arrear Sheet'!U45))</f>
        <v>0</v>
      </c>
      <c r="U45" s="136" t="str">
        <f>IF('Arrear Sheet'!V45="","",IF('Arrear Sheet'!C45="TOTAL","",'Arrear Sheet'!V45))</f>
        <v/>
      </c>
      <c r="V45" s="136" t="str">
        <f>IF('Arrear Sheet'!W45="","",IF('Arrear Sheet'!C45="TOTAL","",'Arrear Sheet'!W45))</f>
        <v/>
      </c>
      <c r="W45" s="136" t="str">
        <f>IF('Arrear Sheet'!X45="","",IF('Arrear Sheet'!C45="TOTAL","",'Arrear Sheet'!X45))</f>
        <v/>
      </c>
      <c r="X45" s="136" t="str">
        <f>IF('Arrear Sheet'!Y45="","",IF('Arrear Sheet'!C45="TOTAL","",'Arrear Sheet'!Y45))</f>
        <v/>
      </c>
      <c r="Y45" s="136">
        <f>IF('Arrear Sheet'!Z45="","",IF('Arrear Sheet'!C45="TOTAL","",'Arrear Sheet'!Z45))</f>
        <v>0</v>
      </c>
      <c r="Z45" s="136">
        <f>IF('Arrear Sheet'!AA45="","",IF('Arrear Sheet'!C45="TOTAL","",'Arrear Sheet'!AA45))</f>
        <v>0</v>
      </c>
      <c r="AA45" s="24">
        <f>IF('Arrear Sheet'!AB45="","",IF('Arrear Sheet'!C45="TOTAL","",SUM(N45-Z45)))</f>
        <v>1875</v>
      </c>
      <c r="AB45" s="41"/>
      <c r="AC45" s="41"/>
      <c r="AE45" s="73"/>
      <c r="AF45" s="73"/>
      <c r="AG45" s="73"/>
      <c r="AH45" s="73"/>
      <c r="AI45" s="73"/>
      <c r="AJ45" s="73"/>
    </row>
    <row r="46" spans="1:36" s="28" customFormat="1" ht="21" customHeight="1">
      <c r="A46" s="22">
        <f>IF('Arrear Sheet'!B46="","",'Arrear Sheet'!B46)</f>
        <v>39</v>
      </c>
      <c r="B46" s="23">
        <f>IF('Arrear Sheet'!C46="","",IF('Arrear Sheet'!C46="TOTAL","",'Arrear Sheet'!C46))</f>
        <v>43891</v>
      </c>
      <c r="C46" s="136">
        <f>IF('Arrear Sheet'!D46="","",IF('Arrear Sheet'!C46="TOTAL","",IF('Arrear Sheet'!D46="अक्षरें राशि :-","",'Arrear Sheet'!D46)))</f>
        <v>50800</v>
      </c>
      <c r="D46" s="136">
        <f>IF('Arrear Sheet'!E46="","",IF('Arrear Sheet'!C46="TOTAL","",'Arrear Sheet'!E46))</f>
        <v>8636</v>
      </c>
      <c r="E46" s="136">
        <f>IF('Arrear Sheet'!F46="","",IF('Arrear Sheet'!C46="TOTAL","",'Arrear Sheet'!F46))</f>
        <v>4064</v>
      </c>
      <c r="F46" s="136">
        <f>IF('Arrear Sheet'!G46="","",IF('Arrear Sheet'!C46="TOTAL","",SUM(C46:E46)))</f>
        <v>63500</v>
      </c>
      <c r="G46" s="136">
        <f>IF('Arrear Sheet'!H46="","",IF('Arrear Sheet'!C46="TOTAL","",'Arrear Sheet'!H46))</f>
        <v>49300</v>
      </c>
      <c r="H46" s="136">
        <f>IF('Arrear Sheet'!I46="","",IF('Arrear Sheet'!C46="TOTAL","",'Arrear Sheet'!I46))</f>
        <v>8381</v>
      </c>
      <c r="I46" s="136">
        <f>IF('Arrear Sheet'!J46="","",IF('Arrear Sheet'!C46="TOTAL","",'Arrear Sheet'!J46))</f>
        <v>3944</v>
      </c>
      <c r="J46" s="136">
        <f>IF('Arrear Sheet'!K46="","",IF('Arrear Sheet'!C46="TOTAL","",SUM(G46:I46)))</f>
        <v>61625</v>
      </c>
      <c r="K46" s="136">
        <f>IF('Arrear Sheet'!L46="","",IF('Arrear Sheet'!C46="TOTAL","",'Arrear Sheet'!L46))</f>
        <v>1500</v>
      </c>
      <c r="L46" s="136">
        <f>IF('Arrear Sheet'!M46="","",IF('Arrear Sheet'!C46="TOTAL","",'Arrear Sheet'!M46))</f>
        <v>255</v>
      </c>
      <c r="M46" s="136">
        <f>IF('Arrear Sheet'!N46="","",IF('Arrear Sheet'!C46="TOTAL","",'Arrear Sheet'!N46))</f>
        <v>120</v>
      </c>
      <c r="N46" s="136">
        <f>IF('Arrear Sheet'!O46="","",IF('Arrear Sheet'!C46="TOTAL","",SUM(K46:M46)))</f>
        <v>1875</v>
      </c>
      <c r="O46" s="136">
        <f>IF('Arrear Sheet'!P46="","",IF('Arrear Sheet'!C46="TOTAL","",'Arrear Sheet'!P46))</f>
        <v>5944</v>
      </c>
      <c r="P46" s="136">
        <f>IF('Arrear Sheet'!Q46="","",IF('Arrear Sheet'!C46="TOTAL","",'Arrear Sheet'!Q46))</f>
        <v>5768</v>
      </c>
      <c r="Q46" s="136">
        <f>IF('Arrear Sheet'!R46="","",IF('Arrear Sheet'!C46="TOTAL","",'Arrear Sheet'!R46))</f>
        <v>176</v>
      </c>
      <c r="R46" s="136">
        <f>IF('Arrear Sheet'!S46="","",IF('Arrear Sheet'!C46="TOTAL","",'Arrear Sheet'!S46))</f>
        <v>2100</v>
      </c>
      <c r="S46" s="136">
        <f>IF('Arrear Sheet'!T46="","",IF('Arrear Sheet'!C46="TOTAL","",'Arrear Sheet'!T46))</f>
        <v>2100</v>
      </c>
      <c r="T46" s="136">
        <f>IF('Arrear Sheet'!U46="","",IF('Arrear Sheet'!C46="TOTAL","",'Arrear Sheet'!U46))</f>
        <v>0</v>
      </c>
      <c r="U46" s="136">
        <f>IF('Arrear Sheet'!V46="","",IF('Arrear Sheet'!C46="TOTAL","",'Arrear Sheet'!V46))</f>
        <v>4916</v>
      </c>
      <c r="V46" s="136">
        <f>IF('Arrear Sheet'!W46="","",IF('Arrear Sheet'!C46="TOTAL","",'Arrear Sheet'!W46))</f>
        <v>4771</v>
      </c>
      <c r="W46" s="136">
        <f>IF('Arrear Sheet'!X46="","",IF('Arrear Sheet'!C46="TOTAL","",'Arrear Sheet'!X46))</f>
        <v>145</v>
      </c>
      <c r="X46" s="136" t="str">
        <f>IF('Arrear Sheet'!Y46="","",IF('Arrear Sheet'!C46="TOTAL","",'Arrear Sheet'!Y46))</f>
        <v/>
      </c>
      <c r="Y46" s="136">
        <f>IF('Arrear Sheet'!Z46="","",IF('Arrear Sheet'!C46="TOTAL","",'Arrear Sheet'!Z46))</f>
        <v>0</v>
      </c>
      <c r="Z46" s="136">
        <f>IF('Arrear Sheet'!AA46="","",IF('Arrear Sheet'!C46="TOTAL","",'Arrear Sheet'!AA46))</f>
        <v>145</v>
      </c>
      <c r="AA46" s="24">
        <f>IF('Arrear Sheet'!AB46="","",IF('Arrear Sheet'!C46="TOTAL","",SUM(N46-Z46)))</f>
        <v>1730</v>
      </c>
      <c r="AB46" s="41"/>
      <c r="AC46" s="41"/>
      <c r="AE46" s="73"/>
      <c r="AF46" s="73"/>
      <c r="AG46" s="73"/>
      <c r="AH46" s="73"/>
      <c r="AI46" s="73"/>
      <c r="AJ46" s="73"/>
    </row>
    <row r="47" spans="1:36" s="28" customFormat="1" ht="21" customHeight="1">
      <c r="A47" s="22">
        <f>IF('Arrear Sheet'!B47="","",'Arrear Sheet'!B47)</f>
        <v>40</v>
      </c>
      <c r="B47" s="23">
        <f>IF('Arrear Sheet'!C47="","",IF('Arrear Sheet'!C47="TOTAL","",'Arrear Sheet'!C47))</f>
        <v>43922</v>
      </c>
      <c r="C47" s="136">
        <f>IF('Arrear Sheet'!D47="","",IF('Arrear Sheet'!C47="TOTAL","",IF('Arrear Sheet'!D47="अक्षरें राशि :-","",'Arrear Sheet'!D47)))</f>
        <v>50800</v>
      </c>
      <c r="D47" s="136">
        <f>IF('Arrear Sheet'!E47="","",IF('Arrear Sheet'!C47="TOTAL","",'Arrear Sheet'!E47))</f>
        <v>8636</v>
      </c>
      <c r="E47" s="136">
        <f>IF('Arrear Sheet'!F47="","",IF('Arrear Sheet'!C47="TOTAL","",'Arrear Sheet'!F47))</f>
        <v>4064</v>
      </c>
      <c r="F47" s="136">
        <f>IF('Arrear Sheet'!G47="","",IF('Arrear Sheet'!C47="TOTAL","",SUM(C47:E47)))</f>
        <v>63500</v>
      </c>
      <c r="G47" s="136">
        <f>IF('Arrear Sheet'!H47="","",IF('Arrear Sheet'!C47="TOTAL","",'Arrear Sheet'!H47))</f>
        <v>49300</v>
      </c>
      <c r="H47" s="136">
        <f>IF('Arrear Sheet'!I47="","",IF('Arrear Sheet'!C47="TOTAL","",'Arrear Sheet'!I47))</f>
        <v>8381</v>
      </c>
      <c r="I47" s="136">
        <f>IF('Arrear Sheet'!J47="","",IF('Arrear Sheet'!C47="TOTAL","",'Arrear Sheet'!J47))</f>
        <v>3944</v>
      </c>
      <c r="J47" s="136">
        <f>IF('Arrear Sheet'!K47="","",IF('Arrear Sheet'!C47="TOTAL","",SUM(G47:I47)))</f>
        <v>61625</v>
      </c>
      <c r="K47" s="136">
        <f>IF('Arrear Sheet'!L47="","",IF('Arrear Sheet'!C47="TOTAL","",'Arrear Sheet'!L47))</f>
        <v>1500</v>
      </c>
      <c r="L47" s="136">
        <f>IF('Arrear Sheet'!M47="","",IF('Arrear Sheet'!C47="TOTAL","",'Arrear Sheet'!M47))</f>
        <v>255</v>
      </c>
      <c r="M47" s="136">
        <f>IF('Arrear Sheet'!N47="","",IF('Arrear Sheet'!C47="TOTAL","",'Arrear Sheet'!N47))</f>
        <v>120</v>
      </c>
      <c r="N47" s="136">
        <f>IF('Arrear Sheet'!O47="","",IF('Arrear Sheet'!C47="TOTAL","",SUM(K47:M47)))</f>
        <v>1875</v>
      </c>
      <c r="O47" s="136">
        <f>IF('Arrear Sheet'!P47="","",IF('Arrear Sheet'!C47="TOTAL","",'Arrear Sheet'!P47))</f>
        <v>5944</v>
      </c>
      <c r="P47" s="136">
        <f>IF('Arrear Sheet'!Q47="","",IF('Arrear Sheet'!C47="TOTAL","",'Arrear Sheet'!Q47))</f>
        <v>5768</v>
      </c>
      <c r="Q47" s="136">
        <f>IF('Arrear Sheet'!R47="","",IF('Arrear Sheet'!C47="TOTAL","",'Arrear Sheet'!R47))</f>
        <v>176</v>
      </c>
      <c r="R47" s="136">
        <f>IF('Arrear Sheet'!S47="","",IF('Arrear Sheet'!C47="TOTAL","",'Arrear Sheet'!S47))</f>
        <v>2100</v>
      </c>
      <c r="S47" s="136">
        <f>IF('Arrear Sheet'!T47="","",IF('Arrear Sheet'!C47="TOTAL","",'Arrear Sheet'!T47))</f>
        <v>2100</v>
      </c>
      <c r="T47" s="136">
        <f>IF('Arrear Sheet'!U47="","",IF('Arrear Sheet'!C47="TOTAL","",'Arrear Sheet'!U47))</f>
        <v>0</v>
      </c>
      <c r="U47" s="136" t="str">
        <f>IF('Arrear Sheet'!V47="","",IF('Arrear Sheet'!C47="TOTAL","",'Arrear Sheet'!V47))</f>
        <v/>
      </c>
      <c r="V47" s="136" t="str">
        <f>IF('Arrear Sheet'!W47="","",IF('Arrear Sheet'!C47="TOTAL","",'Arrear Sheet'!W47))</f>
        <v/>
      </c>
      <c r="W47" s="136" t="str">
        <f>IF('Arrear Sheet'!X47="","",IF('Arrear Sheet'!C47="TOTAL","",'Arrear Sheet'!X47))</f>
        <v/>
      </c>
      <c r="X47" s="136" t="str">
        <f>IF('Arrear Sheet'!Y47="","",IF('Arrear Sheet'!C47="TOTAL","",'Arrear Sheet'!Y47))</f>
        <v/>
      </c>
      <c r="Y47" s="136">
        <f>IF('Arrear Sheet'!Z47="","",IF('Arrear Sheet'!C47="TOTAL","",'Arrear Sheet'!Z47))</f>
        <v>0</v>
      </c>
      <c r="Z47" s="136">
        <f>IF('Arrear Sheet'!AA47="","",IF('Arrear Sheet'!C47="TOTAL","",'Arrear Sheet'!AA47))</f>
        <v>0</v>
      </c>
      <c r="AA47" s="24">
        <f>IF('Arrear Sheet'!AB47="","",IF('Arrear Sheet'!C47="TOTAL","",SUM(N47-Z47)))</f>
        <v>1875</v>
      </c>
      <c r="AB47" s="41"/>
      <c r="AC47" s="41"/>
      <c r="AE47" s="73"/>
      <c r="AF47" s="73"/>
      <c r="AG47" s="73"/>
      <c r="AH47" s="73"/>
      <c r="AI47" s="73"/>
      <c r="AJ47" s="73"/>
    </row>
    <row r="48" spans="1:36" s="28" customFormat="1" ht="21" customHeight="1">
      <c r="A48" s="22">
        <f>IF('Arrear Sheet'!B48="","",'Arrear Sheet'!B48)</f>
        <v>41</v>
      </c>
      <c r="B48" s="23">
        <f>IF('Arrear Sheet'!C48="","",IF('Arrear Sheet'!C48="TOTAL","",'Arrear Sheet'!C48))</f>
        <v>43952</v>
      </c>
      <c r="C48" s="136">
        <f>IF('Arrear Sheet'!D48="","",IF('Arrear Sheet'!C48="TOTAL","",IF('Arrear Sheet'!D48="अक्षरें राशि :-","",'Arrear Sheet'!D48)))</f>
        <v>50800</v>
      </c>
      <c r="D48" s="136">
        <f>IF('Arrear Sheet'!E48="","",IF('Arrear Sheet'!C48="TOTAL","",'Arrear Sheet'!E48))</f>
        <v>8636</v>
      </c>
      <c r="E48" s="136">
        <f>IF('Arrear Sheet'!F48="","",IF('Arrear Sheet'!C48="TOTAL","",'Arrear Sheet'!F48))</f>
        <v>4064</v>
      </c>
      <c r="F48" s="136">
        <f>IF('Arrear Sheet'!G48="","",IF('Arrear Sheet'!C48="TOTAL","",SUM(C48:E48)))</f>
        <v>63500</v>
      </c>
      <c r="G48" s="136">
        <f>IF('Arrear Sheet'!H48="","",IF('Arrear Sheet'!C48="TOTAL","",'Arrear Sheet'!H48))</f>
        <v>49300</v>
      </c>
      <c r="H48" s="136">
        <f>IF('Arrear Sheet'!I48="","",IF('Arrear Sheet'!C48="TOTAL","",'Arrear Sheet'!I48))</f>
        <v>8381</v>
      </c>
      <c r="I48" s="136">
        <f>IF('Arrear Sheet'!J48="","",IF('Arrear Sheet'!C48="TOTAL","",'Arrear Sheet'!J48))</f>
        <v>3944</v>
      </c>
      <c r="J48" s="136">
        <f>IF('Arrear Sheet'!K48="","",IF('Arrear Sheet'!C48="TOTAL","",SUM(G48:I48)))</f>
        <v>61625</v>
      </c>
      <c r="K48" s="136">
        <f>IF('Arrear Sheet'!L48="","",IF('Arrear Sheet'!C48="TOTAL","",'Arrear Sheet'!L48))</f>
        <v>1500</v>
      </c>
      <c r="L48" s="136">
        <f>IF('Arrear Sheet'!M48="","",IF('Arrear Sheet'!C48="TOTAL","",'Arrear Sheet'!M48))</f>
        <v>255</v>
      </c>
      <c r="M48" s="136">
        <f>IF('Arrear Sheet'!N48="","",IF('Arrear Sheet'!C48="TOTAL","",'Arrear Sheet'!N48))</f>
        <v>120</v>
      </c>
      <c r="N48" s="136">
        <f>IF('Arrear Sheet'!O48="","",IF('Arrear Sheet'!C48="TOTAL","",SUM(K48:M48)))</f>
        <v>1875</v>
      </c>
      <c r="O48" s="136">
        <f>IF('Arrear Sheet'!P48="","",IF('Arrear Sheet'!C48="TOTAL","",'Arrear Sheet'!P48))</f>
        <v>5944</v>
      </c>
      <c r="P48" s="136">
        <f>IF('Arrear Sheet'!Q48="","",IF('Arrear Sheet'!C48="TOTAL","",'Arrear Sheet'!Q48))</f>
        <v>5768</v>
      </c>
      <c r="Q48" s="136">
        <f>IF('Arrear Sheet'!R48="","",IF('Arrear Sheet'!C48="TOTAL","",'Arrear Sheet'!R48))</f>
        <v>176</v>
      </c>
      <c r="R48" s="136">
        <f>IF('Arrear Sheet'!S48="","",IF('Arrear Sheet'!C48="TOTAL","",'Arrear Sheet'!S48))</f>
        <v>2100</v>
      </c>
      <c r="S48" s="136">
        <f>IF('Arrear Sheet'!T48="","",IF('Arrear Sheet'!C48="TOTAL","",'Arrear Sheet'!T48))</f>
        <v>2100</v>
      </c>
      <c r="T48" s="136">
        <f>IF('Arrear Sheet'!U48="","",IF('Arrear Sheet'!C48="TOTAL","",'Arrear Sheet'!U48))</f>
        <v>0</v>
      </c>
      <c r="U48" s="136" t="str">
        <f>IF('Arrear Sheet'!V48="","",IF('Arrear Sheet'!C48="TOTAL","",'Arrear Sheet'!V48))</f>
        <v/>
      </c>
      <c r="V48" s="136" t="str">
        <f>IF('Arrear Sheet'!W48="","",IF('Arrear Sheet'!C48="TOTAL","",'Arrear Sheet'!W48))</f>
        <v/>
      </c>
      <c r="W48" s="136" t="str">
        <f>IF('Arrear Sheet'!X48="","",IF('Arrear Sheet'!C48="TOTAL","",'Arrear Sheet'!X48))</f>
        <v/>
      </c>
      <c r="X48" s="136" t="str">
        <f>IF('Arrear Sheet'!Y48="","",IF('Arrear Sheet'!C48="TOTAL","",'Arrear Sheet'!Y48))</f>
        <v/>
      </c>
      <c r="Y48" s="136">
        <f>IF('Arrear Sheet'!Z48="","",IF('Arrear Sheet'!C48="TOTAL","",'Arrear Sheet'!Z48))</f>
        <v>0</v>
      </c>
      <c r="Z48" s="136">
        <f>IF('Arrear Sheet'!AA48="","",IF('Arrear Sheet'!C48="TOTAL","",'Arrear Sheet'!AA48))</f>
        <v>0</v>
      </c>
      <c r="AA48" s="24">
        <f>IF('Arrear Sheet'!AB48="","",IF('Arrear Sheet'!C48="TOTAL","",SUM(N48-Z48)))</f>
        <v>1875</v>
      </c>
      <c r="AB48" s="41"/>
      <c r="AC48" s="41"/>
      <c r="AE48" s="127"/>
      <c r="AF48" s="127"/>
      <c r="AG48" s="127"/>
      <c r="AH48" s="127"/>
      <c r="AI48" s="127"/>
      <c r="AJ48" s="127"/>
    </row>
    <row r="49" spans="1:36" s="28" customFormat="1" ht="21" customHeight="1">
      <c r="A49" s="22">
        <f>IF('Arrear Sheet'!B49="","",'Arrear Sheet'!B49)</f>
        <v>42</v>
      </c>
      <c r="B49" s="23">
        <f>IF('Arrear Sheet'!C49="","",IF('Arrear Sheet'!C49="TOTAL","",'Arrear Sheet'!C49))</f>
        <v>43983</v>
      </c>
      <c r="C49" s="136">
        <f>IF('Arrear Sheet'!D49="","",IF('Arrear Sheet'!C49="TOTAL","",IF('Arrear Sheet'!D49="अक्षरें राशि :-","",'Arrear Sheet'!D49)))</f>
        <v>50800</v>
      </c>
      <c r="D49" s="136">
        <f>IF('Arrear Sheet'!E49="","",IF('Arrear Sheet'!C49="TOTAL","",'Arrear Sheet'!E49))</f>
        <v>8636</v>
      </c>
      <c r="E49" s="136">
        <f>IF('Arrear Sheet'!F49="","",IF('Arrear Sheet'!C49="TOTAL","",'Arrear Sheet'!F49))</f>
        <v>4064</v>
      </c>
      <c r="F49" s="136">
        <f>IF('Arrear Sheet'!G49="","",IF('Arrear Sheet'!C49="TOTAL","",SUM(C49:E49)))</f>
        <v>63500</v>
      </c>
      <c r="G49" s="136">
        <f>IF('Arrear Sheet'!H49="","",IF('Arrear Sheet'!C49="TOTAL","",'Arrear Sheet'!H49))</f>
        <v>49300</v>
      </c>
      <c r="H49" s="136">
        <f>IF('Arrear Sheet'!I49="","",IF('Arrear Sheet'!C49="TOTAL","",'Arrear Sheet'!I49))</f>
        <v>8381</v>
      </c>
      <c r="I49" s="136">
        <f>IF('Arrear Sheet'!J49="","",IF('Arrear Sheet'!C49="TOTAL","",'Arrear Sheet'!J49))</f>
        <v>3944</v>
      </c>
      <c r="J49" s="136">
        <f>IF('Arrear Sheet'!K49="","",IF('Arrear Sheet'!C49="TOTAL","",SUM(G49:I49)))</f>
        <v>61625</v>
      </c>
      <c r="K49" s="136">
        <f>IF('Arrear Sheet'!L49="","",IF('Arrear Sheet'!C49="TOTAL","",'Arrear Sheet'!L49))</f>
        <v>1500</v>
      </c>
      <c r="L49" s="136">
        <f>IF('Arrear Sheet'!M49="","",IF('Arrear Sheet'!C49="TOTAL","",'Arrear Sheet'!M49))</f>
        <v>255</v>
      </c>
      <c r="M49" s="136">
        <f>IF('Arrear Sheet'!N49="","",IF('Arrear Sheet'!C49="TOTAL","",'Arrear Sheet'!N49))</f>
        <v>120</v>
      </c>
      <c r="N49" s="136">
        <f>IF('Arrear Sheet'!O49="","",IF('Arrear Sheet'!C49="TOTAL","",SUM(K49:M49)))</f>
        <v>1875</v>
      </c>
      <c r="O49" s="136">
        <f>IF('Arrear Sheet'!P49="","",IF('Arrear Sheet'!C49="TOTAL","",'Arrear Sheet'!P49))</f>
        <v>5944</v>
      </c>
      <c r="P49" s="136">
        <f>IF('Arrear Sheet'!Q49="","",IF('Arrear Sheet'!C49="TOTAL","",'Arrear Sheet'!Q49))</f>
        <v>5768</v>
      </c>
      <c r="Q49" s="136">
        <f>IF('Arrear Sheet'!R49="","",IF('Arrear Sheet'!C49="TOTAL","",'Arrear Sheet'!R49))</f>
        <v>176</v>
      </c>
      <c r="R49" s="136">
        <f>IF('Arrear Sheet'!S49="","",IF('Arrear Sheet'!C49="TOTAL","",'Arrear Sheet'!S49))</f>
        <v>2100</v>
      </c>
      <c r="S49" s="136">
        <f>IF('Arrear Sheet'!T49="","",IF('Arrear Sheet'!C49="TOTAL","",'Arrear Sheet'!T49))</f>
        <v>2100</v>
      </c>
      <c r="T49" s="136">
        <f>IF('Arrear Sheet'!U49="","",IF('Arrear Sheet'!C49="TOTAL","",'Arrear Sheet'!U49))</f>
        <v>0</v>
      </c>
      <c r="U49" s="136" t="str">
        <f>IF('Arrear Sheet'!V49="","",IF('Arrear Sheet'!C49="TOTAL","",'Arrear Sheet'!V49))</f>
        <v/>
      </c>
      <c r="V49" s="136" t="str">
        <f>IF('Arrear Sheet'!W49="","",IF('Arrear Sheet'!C49="TOTAL","",'Arrear Sheet'!W49))</f>
        <v/>
      </c>
      <c r="W49" s="136" t="str">
        <f>IF('Arrear Sheet'!X49="","",IF('Arrear Sheet'!C49="TOTAL","",'Arrear Sheet'!X49))</f>
        <v/>
      </c>
      <c r="X49" s="136" t="str">
        <f>IF('Arrear Sheet'!Y49="","",IF('Arrear Sheet'!C49="TOTAL","",'Arrear Sheet'!Y49))</f>
        <v/>
      </c>
      <c r="Y49" s="136">
        <f>IF('Arrear Sheet'!Z49="","",IF('Arrear Sheet'!C49="TOTAL","",'Arrear Sheet'!Z49))</f>
        <v>0</v>
      </c>
      <c r="Z49" s="136">
        <f>IF('Arrear Sheet'!AA49="","",IF('Arrear Sheet'!C49="TOTAL","",'Arrear Sheet'!AA49))</f>
        <v>0</v>
      </c>
      <c r="AA49" s="24">
        <f>IF('Arrear Sheet'!AB49="","",IF('Arrear Sheet'!C49="TOTAL","",SUM(N49-Z49)))</f>
        <v>1875</v>
      </c>
      <c r="AB49" s="41"/>
      <c r="AC49" s="41"/>
      <c r="AE49" s="127"/>
      <c r="AF49" s="127"/>
      <c r="AG49" s="127"/>
      <c r="AH49" s="127"/>
      <c r="AI49" s="127"/>
      <c r="AJ49" s="127"/>
    </row>
    <row r="50" spans="1:36" s="28" customFormat="1" ht="21" customHeight="1">
      <c r="A50" s="22">
        <f>IF('Arrear Sheet'!B50="","",'Arrear Sheet'!B50)</f>
        <v>43</v>
      </c>
      <c r="B50" s="23">
        <f>IF('Arrear Sheet'!C50="","",IF('Arrear Sheet'!C50="TOTAL","",'Arrear Sheet'!C50))</f>
        <v>44013</v>
      </c>
      <c r="C50" s="136">
        <f>IF('Arrear Sheet'!D50="","",IF('Arrear Sheet'!C50="TOTAL","",IF('Arrear Sheet'!D50="अक्षरें राशि :-","",'Arrear Sheet'!D50)))</f>
        <v>52300</v>
      </c>
      <c r="D50" s="136">
        <f>IF('Arrear Sheet'!E50="","",IF('Arrear Sheet'!C50="TOTAL","",'Arrear Sheet'!E50))</f>
        <v>8891</v>
      </c>
      <c r="E50" s="136">
        <f>IF('Arrear Sheet'!F50="","",IF('Arrear Sheet'!C50="TOTAL","",'Arrear Sheet'!F50))</f>
        <v>4184</v>
      </c>
      <c r="F50" s="136">
        <f>IF('Arrear Sheet'!G50="","",IF('Arrear Sheet'!C50="TOTAL","",SUM(C50:E50)))</f>
        <v>65375</v>
      </c>
      <c r="G50" s="136">
        <f>IF('Arrear Sheet'!H50="","",IF('Arrear Sheet'!C50="TOTAL","",'Arrear Sheet'!H50))</f>
        <v>50800</v>
      </c>
      <c r="H50" s="136">
        <f>IF('Arrear Sheet'!I50="","",IF('Arrear Sheet'!C50="TOTAL","",'Arrear Sheet'!I50))</f>
        <v>8636</v>
      </c>
      <c r="I50" s="136">
        <f>IF('Arrear Sheet'!J50="","",IF('Arrear Sheet'!C50="TOTAL","",'Arrear Sheet'!J50))</f>
        <v>4064</v>
      </c>
      <c r="J50" s="136">
        <f>IF('Arrear Sheet'!K50="","",IF('Arrear Sheet'!C50="TOTAL","",SUM(G50:I50)))</f>
        <v>63500</v>
      </c>
      <c r="K50" s="136">
        <f>IF('Arrear Sheet'!L50="","",IF('Arrear Sheet'!C50="TOTAL","",'Arrear Sheet'!L50))</f>
        <v>1500</v>
      </c>
      <c r="L50" s="136">
        <f>IF('Arrear Sheet'!M50="","",IF('Arrear Sheet'!C50="TOTAL","",'Arrear Sheet'!M50))</f>
        <v>255</v>
      </c>
      <c r="M50" s="136">
        <f>IF('Arrear Sheet'!N50="","",IF('Arrear Sheet'!C50="TOTAL","",'Arrear Sheet'!N50))</f>
        <v>120</v>
      </c>
      <c r="N50" s="136">
        <f>IF('Arrear Sheet'!O50="","",IF('Arrear Sheet'!C50="TOTAL","",SUM(K50:M50)))</f>
        <v>1875</v>
      </c>
      <c r="O50" s="136">
        <f>IF('Arrear Sheet'!P50="","",IF('Arrear Sheet'!C50="TOTAL","",'Arrear Sheet'!P50))</f>
        <v>6119</v>
      </c>
      <c r="P50" s="136">
        <f>IF('Arrear Sheet'!Q50="","",IF('Arrear Sheet'!C50="TOTAL","",'Arrear Sheet'!Q50))</f>
        <v>5944</v>
      </c>
      <c r="Q50" s="136">
        <f>IF('Arrear Sheet'!R50="","",IF('Arrear Sheet'!C50="TOTAL","",'Arrear Sheet'!R50))</f>
        <v>175</v>
      </c>
      <c r="R50" s="136">
        <f>IF('Arrear Sheet'!S50="","",IF('Arrear Sheet'!C50="TOTAL","",'Arrear Sheet'!S50))</f>
        <v>2100</v>
      </c>
      <c r="S50" s="136">
        <f>IF('Arrear Sheet'!T50="","",IF('Arrear Sheet'!C50="TOTAL","",'Arrear Sheet'!T50))</f>
        <v>2100</v>
      </c>
      <c r="T50" s="136">
        <f>IF('Arrear Sheet'!U50="","",IF('Arrear Sheet'!C50="TOTAL","",'Arrear Sheet'!U50))</f>
        <v>0</v>
      </c>
      <c r="U50" s="136" t="str">
        <f>IF('Arrear Sheet'!V50="","",IF('Arrear Sheet'!C50="TOTAL","",'Arrear Sheet'!V50))</f>
        <v/>
      </c>
      <c r="V50" s="136" t="str">
        <f>IF('Arrear Sheet'!W50="","",IF('Arrear Sheet'!C50="TOTAL","",'Arrear Sheet'!W50))</f>
        <v/>
      </c>
      <c r="W50" s="136" t="str">
        <f>IF('Arrear Sheet'!X50="","",IF('Arrear Sheet'!C50="TOTAL","",'Arrear Sheet'!X50))</f>
        <v/>
      </c>
      <c r="X50" s="136" t="str">
        <f>IF('Arrear Sheet'!Y50="","",IF('Arrear Sheet'!C50="TOTAL","",'Arrear Sheet'!Y50))</f>
        <v/>
      </c>
      <c r="Y50" s="136">
        <f>IF('Arrear Sheet'!Z50="","",IF('Arrear Sheet'!C50="TOTAL","",'Arrear Sheet'!Z50))</f>
        <v>0</v>
      </c>
      <c r="Z50" s="136">
        <f>IF('Arrear Sheet'!AA50="","",IF('Arrear Sheet'!C50="TOTAL","",'Arrear Sheet'!AA50))</f>
        <v>0</v>
      </c>
      <c r="AA50" s="24">
        <f>IF('Arrear Sheet'!AB50="","",IF('Arrear Sheet'!C50="TOTAL","",SUM(N50-Z50)))</f>
        <v>1875</v>
      </c>
      <c r="AB50" s="41"/>
      <c r="AC50" s="41"/>
      <c r="AE50" s="127"/>
      <c r="AF50" s="127"/>
      <c r="AG50" s="127"/>
      <c r="AH50" s="127"/>
      <c r="AI50" s="127"/>
      <c r="AJ50" s="127"/>
    </row>
    <row r="51" spans="1:36" s="28" customFormat="1" ht="21" customHeight="1">
      <c r="A51" s="22">
        <f>IF('Arrear Sheet'!B51="","",'Arrear Sheet'!B51)</f>
        <v>44</v>
      </c>
      <c r="B51" s="23">
        <f>IF('Arrear Sheet'!C51="","",IF('Arrear Sheet'!C51="TOTAL","",'Arrear Sheet'!C51))</f>
        <v>44044</v>
      </c>
      <c r="C51" s="136">
        <f>IF('Arrear Sheet'!D51="","",IF('Arrear Sheet'!C51="TOTAL","",IF('Arrear Sheet'!D51="अक्षरें राशि :-","",'Arrear Sheet'!D51)))</f>
        <v>52300</v>
      </c>
      <c r="D51" s="136">
        <f>IF('Arrear Sheet'!E51="","",IF('Arrear Sheet'!C51="TOTAL","",'Arrear Sheet'!E51))</f>
        <v>8891</v>
      </c>
      <c r="E51" s="136">
        <f>IF('Arrear Sheet'!F51="","",IF('Arrear Sheet'!C51="TOTAL","",'Arrear Sheet'!F51))</f>
        <v>4184</v>
      </c>
      <c r="F51" s="136">
        <f>IF('Arrear Sheet'!G51="","",IF('Arrear Sheet'!C51="TOTAL","",SUM(C51:E51)))</f>
        <v>65375</v>
      </c>
      <c r="G51" s="136">
        <f>IF('Arrear Sheet'!H51="","",IF('Arrear Sheet'!C51="TOTAL","",'Arrear Sheet'!H51))</f>
        <v>50800</v>
      </c>
      <c r="H51" s="136">
        <f>IF('Arrear Sheet'!I51="","",IF('Arrear Sheet'!C51="TOTAL","",'Arrear Sheet'!I51))</f>
        <v>8636</v>
      </c>
      <c r="I51" s="136">
        <f>IF('Arrear Sheet'!J51="","",IF('Arrear Sheet'!C51="TOTAL","",'Arrear Sheet'!J51))</f>
        <v>4064</v>
      </c>
      <c r="J51" s="136">
        <f>IF('Arrear Sheet'!K51="","",IF('Arrear Sheet'!C51="TOTAL","",SUM(G51:I51)))</f>
        <v>63500</v>
      </c>
      <c r="K51" s="136">
        <f>IF('Arrear Sheet'!L51="","",IF('Arrear Sheet'!C51="TOTAL","",'Arrear Sheet'!L51))</f>
        <v>1500</v>
      </c>
      <c r="L51" s="136">
        <f>IF('Arrear Sheet'!M51="","",IF('Arrear Sheet'!C51="TOTAL","",'Arrear Sheet'!M51))</f>
        <v>255</v>
      </c>
      <c r="M51" s="136">
        <f>IF('Arrear Sheet'!N51="","",IF('Arrear Sheet'!C51="TOTAL","",'Arrear Sheet'!N51))</f>
        <v>120</v>
      </c>
      <c r="N51" s="136">
        <f>IF('Arrear Sheet'!O51="","",IF('Arrear Sheet'!C51="TOTAL","",SUM(K51:M51)))</f>
        <v>1875</v>
      </c>
      <c r="O51" s="136">
        <f>IF('Arrear Sheet'!P51="","",IF('Arrear Sheet'!C51="TOTAL","",'Arrear Sheet'!P51))</f>
        <v>6119</v>
      </c>
      <c r="P51" s="136">
        <f>IF('Arrear Sheet'!Q51="","",IF('Arrear Sheet'!C51="TOTAL","",'Arrear Sheet'!Q51))</f>
        <v>5944</v>
      </c>
      <c r="Q51" s="136">
        <f>IF('Arrear Sheet'!R51="","",IF('Arrear Sheet'!C51="TOTAL","",'Arrear Sheet'!R51))</f>
        <v>175</v>
      </c>
      <c r="R51" s="136">
        <f>IF('Arrear Sheet'!S51="","",IF('Arrear Sheet'!C51="TOTAL","",'Arrear Sheet'!S51))</f>
        <v>2100</v>
      </c>
      <c r="S51" s="136">
        <f>IF('Arrear Sheet'!T51="","",IF('Arrear Sheet'!C51="TOTAL","",'Arrear Sheet'!T51))</f>
        <v>2100</v>
      </c>
      <c r="T51" s="136">
        <f>IF('Arrear Sheet'!U51="","",IF('Arrear Sheet'!C51="TOTAL","",'Arrear Sheet'!U51))</f>
        <v>0</v>
      </c>
      <c r="U51" s="136" t="str">
        <f>IF('Arrear Sheet'!V51="","",IF('Arrear Sheet'!C51="TOTAL","",'Arrear Sheet'!V51))</f>
        <v/>
      </c>
      <c r="V51" s="136" t="str">
        <f>IF('Arrear Sheet'!W51="","",IF('Arrear Sheet'!C51="TOTAL","",'Arrear Sheet'!W51))</f>
        <v/>
      </c>
      <c r="W51" s="136" t="str">
        <f>IF('Arrear Sheet'!X51="","",IF('Arrear Sheet'!C51="TOTAL","",'Arrear Sheet'!X51))</f>
        <v/>
      </c>
      <c r="X51" s="136" t="str">
        <f>IF('Arrear Sheet'!Y51="","",IF('Arrear Sheet'!C51="TOTAL","",'Arrear Sheet'!Y51))</f>
        <v/>
      </c>
      <c r="Y51" s="136">
        <f>IF('Arrear Sheet'!Z51="","",IF('Arrear Sheet'!C51="TOTAL","",'Arrear Sheet'!Z51))</f>
        <v>0</v>
      </c>
      <c r="Z51" s="136">
        <f>IF('Arrear Sheet'!AA51="","",IF('Arrear Sheet'!C51="TOTAL","",'Arrear Sheet'!AA51))</f>
        <v>0</v>
      </c>
      <c r="AA51" s="24">
        <f>IF('Arrear Sheet'!AB51="","",IF('Arrear Sheet'!C51="TOTAL","",SUM(N51-Z51)))</f>
        <v>1875</v>
      </c>
      <c r="AB51" s="41"/>
      <c r="AC51" s="41"/>
      <c r="AE51" s="127"/>
      <c r="AF51" s="127"/>
      <c r="AG51" s="127"/>
      <c r="AH51" s="127"/>
      <c r="AI51" s="127"/>
      <c r="AJ51" s="127"/>
    </row>
    <row r="52" spans="1:36" s="28" customFormat="1" ht="21" customHeight="1">
      <c r="A52" s="22">
        <f>IF('Arrear Sheet'!B52="","",'Arrear Sheet'!B52)</f>
        <v>45</v>
      </c>
      <c r="B52" s="23">
        <f>IF('Arrear Sheet'!C52="","",IF('Arrear Sheet'!C52="TOTAL","",'Arrear Sheet'!C52))</f>
        <v>44075</v>
      </c>
      <c r="C52" s="136">
        <f>IF('Arrear Sheet'!D52="","",IF('Arrear Sheet'!C52="TOTAL","",IF('Arrear Sheet'!D52="अक्षरें राशि :-","",'Arrear Sheet'!D52)))</f>
        <v>52300</v>
      </c>
      <c r="D52" s="136">
        <f>IF('Arrear Sheet'!E52="","",IF('Arrear Sheet'!C52="TOTAL","",'Arrear Sheet'!E52))</f>
        <v>8891</v>
      </c>
      <c r="E52" s="136">
        <f>IF('Arrear Sheet'!F52="","",IF('Arrear Sheet'!C52="TOTAL","",'Arrear Sheet'!F52))</f>
        <v>4184</v>
      </c>
      <c r="F52" s="136">
        <f>IF('Arrear Sheet'!G52="","",IF('Arrear Sheet'!C52="TOTAL","",SUM(C52:E52)))</f>
        <v>65375</v>
      </c>
      <c r="G52" s="136">
        <f>IF('Arrear Sheet'!H52="","",IF('Arrear Sheet'!C52="TOTAL","",'Arrear Sheet'!H52))</f>
        <v>50800</v>
      </c>
      <c r="H52" s="136">
        <f>IF('Arrear Sheet'!I52="","",IF('Arrear Sheet'!C52="TOTAL","",'Arrear Sheet'!I52))</f>
        <v>8636</v>
      </c>
      <c r="I52" s="136">
        <f>IF('Arrear Sheet'!J52="","",IF('Arrear Sheet'!C52="TOTAL","",'Arrear Sheet'!J52))</f>
        <v>4064</v>
      </c>
      <c r="J52" s="136">
        <f>IF('Arrear Sheet'!K52="","",IF('Arrear Sheet'!C52="TOTAL","",SUM(G52:I52)))</f>
        <v>63500</v>
      </c>
      <c r="K52" s="136">
        <f>IF('Arrear Sheet'!L52="","",IF('Arrear Sheet'!C52="TOTAL","",'Arrear Sheet'!L52))</f>
        <v>1500</v>
      </c>
      <c r="L52" s="136">
        <f>IF('Arrear Sheet'!M52="","",IF('Arrear Sheet'!C52="TOTAL","",'Arrear Sheet'!M52))</f>
        <v>255</v>
      </c>
      <c r="M52" s="136">
        <f>IF('Arrear Sheet'!N52="","",IF('Arrear Sheet'!C52="TOTAL","",'Arrear Sheet'!N52))</f>
        <v>120</v>
      </c>
      <c r="N52" s="136">
        <f>IF('Arrear Sheet'!O52="","",IF('Arrear Sheet'!C52="TOTAL","",SUM(K52:M52)))</f>
        <v>1875</v>
      </c>
      <c r="O52" s="136">
        <f>IF('Arrear Sheet'!P52="","",IF('Arrear Sheet'!C52="TOTAL","",'Arrear Sheet'!P52))</f>
        <v>6119</v>
      </c>
      <c r="P52" s="136">
        <f>IF('Arrear Sheet'!Q52="","",IF('Arrear Sheet'!C52="TOTAL","",'Arrear Sheet'!Q52))</f>
        <v>5944</v>
      </c>
      <c r="Q52" s="136">
        <f>IF('Arrear Sheet'!R52="","",IF('Arrear Sheet'!C52="TOTAL","",'Arrear Sheet'!R52))</f>
        <v>175</v>
      </c>
      <c r="R52" s="136">
        <f>IF('Arrear Sheet'!S52="","",IF('Arrear Sheet'!C52="TOTAL","",'Arrear Sheet'!S52))</f>
        <v>2100</v>
      </c>
      <c r="S52" s="136">
        <f>IF('Arrear Sheet'!T52="","",IF('Arrear Sheet'!C52="TOTAL","",'Arrear Sheet'!T52))</f>
        <v>2100</v>
      </c>
      <c r="T52" s="136">
        <f>IF('Arrear Sheet'!U52="","",IF('Arrear Sheet'!C52="TOTAL","",'Arrear Sheet'!U52))</f>
        <v>0</v>
      </c>
      <c r="U52" s="136">
        <f>IF('Arrear Sheet'!V52="","",IF('Arrear Sheet'!C52="TOTAL","",'Arrear Sheet'!V52))</f>
        <v>2179</v>
      </c>
      <c r="V52" s="136">
        <f>IF('Arrear Sheet'!W52="","",IF('Arrear Sheet'!C52="TOTAL","",'Arrear Sheet'!W52))</f>
        <v>2117</v>
      </c>
      <c r="W52" s="136">
        <f>IF('Arrear Sheet'!X52="","",IF('Arrear Sheet'!C52="TOTAL","",'Arrear Sheet'!X52))</f>
        <v>62</v>
      </c>
      <c r="X52" s="136" t="str">
        <f>IF('Arrear Sheet'!Y52="","",IF('Arrear Sheet'!C52="TOTAL","",'Arrear Sheet'!Y52))</f>
        <v/>
      </c>
      <c r="Y52" s="136">
        <f>IF('Arrear Sheet'!Z52="","",IF('Arrear Sheet'!C52="TOTAL","",'Arrear Sheet'!Z52))</f>
        <v>0</v>
      </c>
      <c r="Z52" s="136">
        <f>IF('Arrear Sheet'!AA52="","",IF('Arrear Sheet'!C52="TOTAL","",'Arrear Sheet'!AA52))</f>
        <v>62</v>
      </c>
      <c r="AA52" s="24">
        <f>IF('Arrear Sheet'!AB52="","",IF('Arrear Sheet'!C52="TOTAL","",SUM(N52-Z52)))</f>
        <v>1813</v>
      </c>
      <c r="AB52" s="41"/>
      <c r="AC52" s="41"/>
      <c r="AE52" s="127"/>
      <c r="AF52" s="127"/>
      <c r="AG52" s="127"/>
      <c r="AH52" s="127"/>
      <c r="AI52" s="127"/>
      <c r="AJ52" s="127"/>
    </row>
    <row r="53" spans="1:36" s="28" customFormat="1" ht="21" customHeight="1">
      <c r="A53" s="22">
        <f>IF('Arrear Sheet'!B53="","",'Arrear Sheet'!B53)</f>
        <v>46</v>
      </c>
      <c r="B53" s="23">
        <f>IF('Arrear Sheet'!C53="","",IF('Arrear Sheet'!C53="TOTAL","",'Arrear Sheet'!C53))</f>
        <v>44105</v>
      </c>
      <c r="C53" s="136">
        <f>IF('Arrear Sheet'!D53="","",IF('Arrear Sheet'!C53="TOTAL","",IF('Arrear Sheet'!D53="अक्षरें राशि :-","",'Arrear Sheet'!D53)))</f>
        <v>52300</v>
      </c>
      <c r="D53" s="136">
        <f>IF('Arrear Sheet'!E53="","",IF('Arrear Sheet'!C53="TOTAL","",'Arrear Sheet'!E53))</f>
        <v>8891</v>
      </c>
      <c r="E53" s="136">
        <f>IF('Arrear Sheet'!F53="","",IF('Arrear Sheet'!C53="TOTAL","",'Arrear Sheet'!F53))</f>
        <v>4184</v>
      </c>
      <c r="F53" s="136">
        <f>IF('Arrear Sheet'!G53="","",IF('Arrear Sheet'!C53="TOTAL","",SUM(C53:E53)))</f>
        <v>65375</v>
      </c>
      <c r="G53" s="136">
        <f>IF('Arrear Sheet'!H53="","",IF('Arrear Sheet'!C53="TOTAL","",'Arrear Sheet'!H53))</f>
        <v>50800</v>
      </c>
      <c r="H53" s="136">
        <f>IF('Arrear Sheet'!I53="","",IF('Arrear Sheet'!C53="TOTAL","",'Arrear Sheet'!I53))</f>
        <v>8636</v>
      </c>
      <c r="I53" s="136">
        <f>IF('Arrear Sheet'!J53="","",IF('Arrear Sheet'!C53="TOTAL","",'Arrear Sheet'!J53))</f>
        <v>4064</v>
      </c>
      <c r="J53" s="136">
        <f>IF('Arrear Sheet'!K53="","",IF('Arrear Sheet'!C53="TOTAL","",SUM(G53:I53)))</f>
        <v>63500</v>
      </c>
      <c r="K53" s="136">
        <f>IF('Arrear Sheet'!L53="","",IF('Arrear Sheet'!C53="TOTAL","",'Arrear Sheet'!L53))</f>
        <v>1500</v>
      </c>
      <c r="L53" s="136">
        <f>IF('Arrear Sheet'!M53="","",IF('Arrear Sheet'!C53="TOTAL","",'Arrear Sheet'!M53))</f>
        <v>255</v>
      </c>
      <c r="M53" s="136">
        <f>IF('Arrear Sheet'!N53="","",IF('Arrear Sheet'!C53="TOTAL","",'Arrear Sheet'!N53))</f>
        <v>120</v>
      </c>
      <c r="N53" s="136">
        <f>IF('Arrear Sheet'!O53="","",IF('Arrear Sheet'!C53="TOTAL","",SUM(K53:M53)))</f>
        <v>1875</v>
      </c>
      <c r="O53" s="136">
        <f>IF('Arrear Sheet'!P53="","",IF('Arrear Sheet'!C53="TOTAL","",'Arrear Sheet'!P53))</f>
        <v>6119</v>
      </c>
      <c r="P53" s="136">
        <f>IF('Arrear Sheet'!Q53="","",IF('Arrear Sheet'!C53="TOTAL","",'Arrear Sheet'!Q53))</f>
        <v>5944</v>
      </c>
      <c r="Q53" s="136">
        <f>IF('Arrear Sheet'!R53="","",IF('Arrear Sheet'!C53="TOTAL","",'Arrear Sheet'!R53))</f>
        <v>175</v>
      </c>
      <c r="R53" s="136">
        <f>IF('Arrear Sheet'!S53="","",IF('Arrear Sheet'!C53="TOTAL","",'Arrear Sheet'!S53))</f>
        <v>2100</v>
      </c>
      <c r="S53" s="136">
        <f>IF('Arrear Sheet'!T53="","",IF('Arrear Sheet'!C53="TOTAL","",'Arrear Sheet'!T53))</f>
        <v>2100</v>
      </c>
      <c r="T53" s="136">
        <f>IF('Arrear Sheet'!U53="","",IF('Arrear Sheet'!C53="TOTAL","",'Arrear Sheet'!U53))</f>
        <v>0</v>
      </c>
      <c r="U53" s="136">
        <f>IF('Arrear Sheet'!V53="","",IF('Arrear Sheet'!C53="TOTAL","",'Arrear Sheet'!V53))</f>
        <v>2109</v>
      </c>
      <c r="V53" s="136">
        <f>IF('Arrear Sheet'!W53="","",IF('Arrear Sheet'!C53="TOTAL","",'Arrear Sheet'!W53))</f>
        <v>2048</v>
      </c>
      <c r="W53" s="136">
        <f>IF('Arrear Sheet'!X53="","",IF('Arrear Sheet'!C53="TOTAL","",'Arrear Sheet'!X53))</f>
        <v>61</v>
      </c>
      <c r="X53" s="136" t="str">
        <f>IF('Arrear Sheet'!Y53="","",IF('Arrear Sheet'!C53="TOTAL","",'Arrear Sheet'!Y53))</f>
        <v/>
      </c>
      <c r="Y53" s="136">
        <f>IF('Arrear Sheet'!Z53="","",IF('Arrear Sheet'!C53="TOTAL","",'Arrear Sheet'!Z53))</f>
        <v>0</v>
      </c>
      <c r="Z53" s="136">
        <f>IF('Arrear Sheet'!AA53="","",IF('Arrear Sheet'!C53="TOTAL","",'Arrear Sheet'!AA53))</f>
        <v>61</v>
      </c>
      <c r="AA53" s="24">
        <f>IF('Arrear Sheet'!AB53="","",IF('Arrear Sheet'!C53="TOTAL","",SUM(N53-Z53)))</f>
        <v>1814</v>
      </c>
      <c r="AB53" s="41"/>
      <c r="AC53" s="41"/>
      <c r="AE53" s="127"/>
      <c r="AF53" s="127"/>
      <c r="AG53" s="127"/>
      <c r="AH53" s="127"/>
      <c r="AI53" s="127"/>
      <c r="AJ53" s="127"/>
    </row>
    <row r="54" spans="1:36" s="28" customFormat="1" ht="21" customHeight="1">
      <c r="A54" s="22">
        <f>IF('Arrear Sheet'!B54="","",'Arrear Sheet'!B54)</f>
        <v>47</v>
      </c>
      <c r="B54" s="23">
        <f>IF('Arrear Sheet'!C54="","",IF('Arrear Sheet'!C54="TOTAL","",'Arrear Sheet'!C54))</f>
        <v>44136</v>
      </c>
      <c r="C54" s="136">
        <f>IF('Arrear Sheet'!D54="","",IF('Arrear Sheet'!C54="TOTAL","",IF('Arrear Sheet'!D54="अक्षरें राशि :-","",'Arrear Sheet'!D54)))</f>
        <v>52300</v>
      </c>
      <c r="D54" s="136">
        <f>IF('Arrear Sheet'!E54="","",IF('Arrear Sheet'!C54="TOTAL","",'Arrear Sheet'!E54))</f>
        <v>8891</v>
      </c>
      <c r="E54" s="136">
        <f>IF('Arrear Sheet'!F54="","",IF('Arrear Sheet'!C54="TOTAL","",'Arrear Sheet'!F54))</f>
        <v>4184</v>
      </c>
      <c r="F54" s="136">
        <f>IF('Arrear Sheet'!G54="","",IF('Arrear Sheet'!C54="TOTAL","",SUM(C54:E54)))</f>
        <v>65375</v>
      </c>
      <c r="G54" s="136">
        <f>IF('Arrear Sheet'!H54="","",IF('Arrear Sheet'!C54="TOTAL","",'Arrear Sheet'!H54))</f>
        <v>50800</v>
      </c>
      <c r="H54" s="136">
        <f>IF('Arrear Sheet'!I54="","",IF('Arrear Sheet'!C54="TOTAL","",'Arrear Sheet'!I54))</f>
        <v>8636</v>
      </c>
      <c r="I54" s="136">
        <f>IF('Arrear Sheet'!J54="","",IF('Arrear Sheet'!C54="TOTAL","",'Arrear Sheet'!J54))</f>
        <v>4064</v>
      </c>
      <c r="J54" s="136">
        <f>IF('Arrear Sheet'!K54="","",IF('Arrear Sheet'!C54="TOTAL","",SUM(G54:I54)))</f>
        <v>63500</v>
      </c>
      <c r="K54" s="136">
        <f>IF('Arrear Sheet'!L54="","",IF('Arrear Sheet'!C54="TOTAL","",'Arrear Sheet'!L54))</f>
        <v>1500</v>
      </c>
      <c r="L54" s="136">
        <f>IF('Arrear Sheet'!M54="","",IF('Arrear Sheet'!C54="TOTAL","",'Arrear Sheet'!M54))</f>
        <v>255</v>
      </c>
      <c r="M54" s="136">
        <f>IF('Arrear Sheet'!N54="","",IF('Arrear Sheet'!C54="TOTAL","",'Arrear Sheet'!N54))</f>
        <v>120</v>
      </c>
      <c r="N54" s="136">
        <f>IF('Arrear Sheet'!O54="","",IF('Arrear Sheet'!C54="TOTAL","",SUM(K54:M54)))</f>
        <v>1875</v>
      </c>
      <c r="O54" s="136">
        <f>IF('Arrear Sheet'!P54="","",IF('Arrear Sheet'!C54="TOTAL","",'Arrear Sheet'!P54))</f>
        <v>6119</v>
      </c>
      <c r="P54" s="136">
        <f>IF('Arrear Sheet'!Q54="","",IF('Arrear Sheet'!C54="TOTAL","",'Arrear Sheet'!Q54))</f>
        <v>5944</v>
      </c>
      <c r="Q54" s="136">
        <f>IF('Arrear Sheet'!R54="","",IF('Arrear Sheet'!C54="TOTAL","",'Arrear Sheet'!R54))</f>
        <v>175</v>
      </c>
      <c r="R54" s="136">
        <f>IF('Arrear Sheet'!S54="","",IF('Arrear Sheet'!C54="TOTAL","",'Arrear Sheet'!S54))</f>
        <v>2100</v>
      </c>
      <c r="S54" s="136">
        <f>IF('Arrear Sheet'!T54="","",IF('Arrear Sheet'!C54="TOTAL","",'Arrear Sheet'!T54))</f>
        <v>2100</v>
      </c>
      <c r="T54" s="136">
        <f>IF('Arrear Sheet'!U54="","",IF('Arrear Sheet'!C54="TOTAL","",'Arrear Sheet'!U54))</f>
        <v>0</v>
      </c>
      <c r="U54" s="136" t="str">
        <f>IF('Arrear Sheet'!V54="","",IF('Arrear Sheet'!C54="TOTAL","",'Arrear Sheet'!V54))</f>
        <v/>
      </c>
      <c r="V54" s="136" t="str">
        <f>IF('Arrear Sheet'!W54="","",IF('Arrear Sheet'!C54="TOTAL","",'Arrear Sheet'!W54))</f>
        <v/>
      </c>
      <c r="W54" s="136" t="str">
        <f>IF('Arrear Sheet'!X54="","",IF('Arrear Sheet'!C54="TOTAL","",'Arrear Sheet'!X54))</f>
        <v/>
      </c>
      <c r="X54" s="136" t="str">
        <f>IF('Arrear Sheet'!Y54="","",IF('Arrear Sheet'!C54="TOTAL","",'Arrear Sheet'!Y54))</f>
        <v/>
      </c>
      <c r="Y54" s="136">
        <f>IF('Arrear Sheet'!Z54="","",IF('Arrear Sheet'!C54="TOTAL","",'Arrear Sheet'!Z54))</f>
        <v>0</v>
      </c>
      <c r="Z54" s="136">
        <f>IF('Arrear Sheet'!AA54="","",IF('Arrear Sheet'!C54="TOTAL","",'Arrear Sheet'!AA54))</f>
        <v>0</v>
      </c>
      <c r="AA54" s="24">
        <f>IF('Arrear Sheet'!AB54="","",IF('Arrear Sheet'!C54="TOTAL","",SUM(N54-Z54)))</f>
        <v>1875</v>
      </c>
      <c r="AB54" s="41"/>
      <c r="AC54" s="41"/>
      <c r="AE54" s="132"/>
      <c r="AF54" s="132"/>
      <c r="AG54" s="132"/>
      <c r="AH54" s="132"/>
      <c r="AI54" s="132"/>
      <c r="AJ54" s="132"/>
    </row>
    <row r="55" spans="1:36" s="28" customFormat="1" ht="21" customHeight="1">
      <c r="A55" s="22">
        <f>IF('Arrear Sheet'!B55="","",'Arrear Sheet'!B55)</f>
        <v>48</v>
      </c>
      <c r="B55" s="23">
        <f>IF('Arrear Sheet'!C55="","",IF('Arrear Sheet'!C55="TOTAL","",'Arrear Sheet'!C55))</f>
        <v>44166</v>
      </c>
      <c r="C55" s="136">
        <f>IF('Arrear Sheet'!D55="","",IF('Arrear Sheet'!C55="TOTAL","",IF('Arrear Sheet'!D55="अक्षरें राशि :-","",'Arrear Sheet'!D55)))</f>
        <v>52300</v>
      </c>
      <c r="D55" s="136">
        <f>IF('Arrear Sheet'!E55="","",IF('Arrear Sheet'!C55="TOTAL","",'Arrear Sheet'!E55))</f>
        <v>8891</v>
      </c>
      <c r="E55" s="136">
        <f>IF('Arrear Sheet'!F55="","",IF('Arrear Sheet'!C55="TOTAL","",'Arrear Sheet'!F55))</f>
        <v>4184</v>
      </c>
      <c r="F55" s="136">
        <f>IF('Arrear Sheet'!G55="","",IF('Arrear Sheet'!C55="TOTAL","",SUM(C55:E55)))</f>
        <v>65375</v>
      </c>
      <c r="G55" s="136">
        <f>IF('Arrear Sheet'!H55="","",IF('Arrear Sheet'!C55="TOTAL","",'Arrear Sheet'!H55))</f>
        <v>50800</v>
      </c>
      <c r="H55" s="136">
        <f>IF('Arrear Sheet'!I55="","",IF('Arrear Sheet'!C55="TOTAL","",'Arrear Sheet'!I55))</f>
        <v>8636</v>
      </c>
      <c r="I55" s="136">
        <f>IF('Arrear Sheet'!J55="","",IF('Arrear Sheet'!C55="TOTAL","",'Arrear Sheet'!J55))</f>
        <v>4064</v>
      </c>
      <c r="J55" s="136">
        <f>IF('Arrear Sheet'!K55="","",IF('Arrear Sheet'!C55="TOTAL","",SUM(G55:I55)))</f>
        <v>63500</v>
      </c>
      <c r="K55" s="136">
        <f>IF('Arrear Sheet'!L55="","",IF('Arrear Sheet'!C55="TOTAL","",'Arrear Sheet'!L55))</f>
        <v>1500</v>
      </c>
      <c r="L55" s="136">
        <f>IF('Arrear Sheet'!M55="","",IF('Arrear Sheet'!C55="TOTAL","",'Arrear Sheet'!M55))</f>
        <v>255</v>
      </c>
      <c r="M55" s="136">
        <f>IF('Arrear Sheet'!N55="","",IF('Arrear Sheet'!C55="TOTAL","",'Arrear Sheet'!N55))</f>
        <v>120</v>
      </c>
      <c r="N55" s="136">
        <f>IF('Arrear Sheet'!O55="","",IF('Arrear Sheet'!C55="TOTAL","",SUM(K55:M55)))</f>
        <v>1875</v>
      </c>
      <c r="O55" s="136">
        <f>IF('Arrear Sheet'!P55="","",IF('Arrear Sheet'!C55="TOTAL","",'Arrear Sheet'!P55))</f>
        <v>6119</v>
      </c>
      <c r="P55" s="136">
        <f>IF('Arrear Sheet'!Q55="","",IF('Arrear Sheet'!C55="TOTAL","",'Arrear Sheet'!Q55))</f>
        <v>5944</v>
      </c>
      <c r="Q55" s="136">
        <f>IF('Arrear Sheet'!R55="","",IF('Arrear Sheet'!C55="TOTAL","",'Arrear Sheet'!R55))</f>
        <v>175</v>
      </c>
      <c r="R55" s="136">
        <f>IF('Arrear Sheet'!S55="","",IF('Arrear Sheet'!C55="TOTAL","",'Arrear Sheet'!S55))</f>
        <v>2100</v>
      </c>
      <c r="S55" s="136">
        <f>IF('Arrear Sheet'!T55="","",IF('Arrear Sheet'!C55="TOTAL","",'Arrear Sheet'!T55))</f>
        <v>2100</v>
      </c>
      <c r="T55" s="136">
        <f>IF('Arrear Sheet'!U55="","",IF('Arrear Sheet'!C55="TOTAL","",'Arrear Sheet'!U55))</f>
        <v>0</v>
      </c>
      <c r="U55" s="136" t="str">
        <f>IF('Arrear Sheet'!V55="","",IF('Arrear Sheet'!C55="TOTAL","",'Arrear Sheet'!V55))</f>
        <v/>
      </c>
      <c r="V55" s="136" t="str">
        <f>IF('Arrear Sheet'!W55="","",IF('Arrear Sheet'!C55="TOTAL","",'Arrear Sheet'!W55))</f>
        <v/>
      </c>
      <c r="W55" s="136" t="str">
        <f>IF('Arrear Sheet'!X55="","",IF('Arrear Sheet'!C55="TOTAL","",'Arrear Sheet'!X55))</f>
        <v/>
      </c>
      <c r="X55" s="136" t="str">
        <f>IF('Arrear Sheet'!Y55="","",IF('Arrear Sheet'!C55="TOTAL","",'Arrear Sheet'!Y55))</f>
        <v/>
      </c>
      <c r="Y55" s="136">
        <f>IF('Arrear Sheet'!Z55="","",IF('Arrear Sheet'!C55="TOTAL","",'Arrear Sheet'!Z55))</f>
        <v>0</v>
      </c>
      <c r="Z55" s="136">
        <f>IF('Arrear Sheet'!AA55="","",IF('Arrear Sheet'!C55="TOTAL","",'Arrear Sheet'!AA55))</f>
        <v>0</v>
      </c>
      <c r="AA55" s="24">
        <f>IF('Arrear Sheet'!AB55="","",IF('Arrear Sheet'!C55="TOTAL","",SUM(N55-Z55)))</f>
        <v>1875</v>
      </c>
      <c r="AB55" s="41"/>
      <c r="AC55" s="41"/>
      <c r="AE55" s="132"/>
      <c r="AF55" s="132"/>
      <c r="AG55" s="132"/>
      <c r="AH55" s="132"/>
      <c r="AI55" s="132"/>
      <c r="AJ55" s="132"/>
    </row>
    <row r="56" spans="1:36" s="28" customFormat="1" ht="21" customHeight="1">
      <c r="A56" s="22">
        <f>IF('Arrear Sheet'!B56="","",'Arrear Sheet'!B56)</f>
        <v>49</v>
      </c>
      <c r="B56" s="23">
        <f>IF('Arrear Sheet'!C56="","",IF('Arrear Sheet'!C56="TOTAL","",'Arrear Sheet'!C56))</f>
        <v>44197</v>
      </c>
      <c r="C56" s="136">
        <f>IF('Arrear Sheet'!D56="","",IF('Arrear Sheet'!C56="TOTAL","",IF('Arrear Sheet'!D56="अक्षरें राशि :-","",'Arrear Sheet'!D56)))</f>
        <v>52300</v>
      </c>
      <c r="D56" s="136">
        <f>IF('Arrear Sheet'!E56="","",IF('Arrear Sheet'!C56="TOTAL","",'Arrear Sheet'!E56))</f>
        <v>8891</v>
      </c>
      <c r="E56" s="136">
        <f>IF('Arrear Sheet'!F56="","",IF('Arrear Sheet'!C56="TOTAL","",'Arrear Sheet'!F56))</f>
        <v>4184</v>
      </c>
      <c r="F56" s="136">
        <f>IF('Arrear Sheet'!G56="","",IF('Arrear Sheet'!C56="TOTAL","",SUM(C56:E56)))</f>
        <v>65375</v>
      </c>
      <c r="G56" s="136">
        <f>IF('Arrear Sheet'!H56="","",IF('Arrear Sheet'!C56="TOTAL","",'Arrear Sheet'!H56))</f>
        <v>50800</v>
      </c>
      <c r="H56" s="136">
        <f>IF('Arrear Sheet'!I56="","",IF('Arrear Sheet'!C56="TOTAL","",'Arrear Sheet'!I56))</f>
        <v>8636</v>
      </c>
      <c r="I56" s="136">
        <f>IF('Arrear Sheet'!J56="","",IF('Arrear Sheet'!C56="TOTAL","",'Arrear Sheet'!J56))</f>
        <v>4064</v>
      </c>
      <c r="J56" s="136">
        <f>IF('Arrear Sheet'!K56="","",IF('Arrear Sheet'!C56="TOTAL","",SUM(G56:I56)))</f>
        <v>63500</v>
      </c>
      <c r="K56" s="136">
        <f>IF('Arrear Sheet'!L56="","",IF('Arrear Sheet'!C56="TOTAL","",'Arrear Sheet'!L56))</f>
        <v>1500</v>
      </c>
      <c r="L56" s="136">
        <f>IF('Arrear Sheet'!M56="","",IF('Arrear Sheet'!C56="TOTAL","",'Arrear Sheet'!M56))</f>
        <v>255</v>
      </c>
      <c r="M56" s="136">
        <f>IF('Arrear Sheet'!N56="","",IF('Arrear Sheet'!C56="TOTAL","",'Arrear Sheet'!N56))</f>
        <v>120</v>
      </c>
      <c r="N56" s="136">
        <f>IF('Arrear Sheet'!O56="","",IF('Arrear Sheet'!C56="TOTAL","",SUM(K56:M56)))</f>
        <v>1875</v>
      </c>
      <c r="O56" s="136">
        <f>IF('Arrear Sheet'!P56="","",IF('Arrear Sheet'!C56="TOTAL","",'Arrear Sheet'!P56))</f>
        <v>6119</v>
      </c>
      <c r="P56" s="136">
        <f>IF('Arrear Sheet'!Q56="","",IF('Arrear Sheet'!C56="TOTAL","",'Arrear Sheet'!Q56))</f>
        <v>5944</v>
      </c>
      <c r="Q56" s="136">
        <f>IF('Arrear Sheet'!R56="","",IF('Arrear Sheet'!C56="TOTAL","",'Arrear Sheet'!R56))</f>
        <v>175</v>
      </c>
      <c r="R56" s="136">
        <f>IF('Arrear Sheet'!S56="","",IF('Arrear Sheet'!C56="TOTAL","",'Arrear Sheet'!S56))</f>
        <v>2100</v>
      </c>
      <c r="S56" s="136">
        <f>IF('Arrear Sheet'!T56="","",IF('Arrear Sheet'!C56="TOTAL","",'Arrear Sheet'!T56))</f>
        <v>2100</v>
      </c>
      <c r="T56" s="136">
        <f>IF('Arrear Sheet'!U56="","",IF('Arrear Sheet'!C56="TOTAL","",'Arrear Sheet'!U56))</f>
        <v>0</v>
      </c>
      <c r="U56" s="136" t="str">
        <f>IF('Arrear Sheet'!V56="","",IF('Arrear Sheet'!C56="TOTAL","",'Arrear Sheet'!V56))</f>
        <v/>
      </c>
      <c r="V56" s="136" t="str">
        <f>IF('Arrear Sheet'!W56="","",IF('Arrear Sheet'!C56="TOTAL","",'Arrear Sheet'!W56))</f>
        <v/>
      </c>
      <c r="W56" s="136" t="str">
        <f>IF('Arrear Sheet'!X56="","",IF('Arrear Sheet'!C56="TOTAL","",'Arrear Sheet'!X56))</f>
        <v/>
      </c>
      <c r="X56" s="136" t="str">
        <f>IF('Arrear Sheet'!Y56="","",IF('Arrear Sheet'!C56="TOTAL","",'Arrear Sheet'!Y56))</f>
        <v/>
      </c>
      <c r="Y56" s="136">
        <f>IF('Arrear Sheet'!Z56="","",IF('Arrear Sheet'!C56="TOTAL","",'Arrear Sheet'!Z56))</f>
        <v>0</v>
      </c>
      <c r="Z56" s="136">
        <f>IF('Arrear Sheet'!AA56="","",IF('Arrear Sheet'!C56="TOTAL","",'Arrear Sheet'!AA56))</f>
        <v>0</v>
      </c>
      <c r="AA56" s="24">
        <f>IF('Arrear Sheet'!AB56="","",IF('Arrear Sheet'!C56="TOTAL","",SUM(N56-Z56)))</f>
        <v>1875</v>
      </c>
      <c r="AB56" s="41"/>
      <c r="AC56" s="41"/>
      <c r="AE56" s="132"/>
      <c r="AF56" s="132"/>
      <c r="AG56" s="132"/>
      <c r="AH56" s="132"/>
      <c r="AI56" s="132"/>
      <c r="AJ56" s="132"/>
    </row>
    <row r="57" spans="1:36" s="28" customFormat="1" ht="21" customHeight="1">
      <c r="A57" s="22">
        <f>IF('Arrear Sheet'!B57="","",'Arrear Sheet'!B57)</f>
        <v>50</v>
      </c>
      <c r="B57" s="23">
        <f>IF('Arrear Sheet'!C57="","",IF('Arrear Sheet'!C57="TOTAL","",'Arrear Sheet'!C57))</f>
        <v>44228</v>
      </c>
      <c r="C57" s="136">
        <f>IF('Arrear Sheet'!D57="","",IF('Arrear Sheet'!C57="TOTAL","",IF('Arrear Sheet'!D57="अक्षरें राशि :-","",'Arrear Sheet'!D57)))</f>
        <v>52300</v>
      </c>
      <c r="D57" s="136">
        <f>IF('Arrear Sheet'!E57="","",IF('Arrear Sheet'!C57="TOTAL","",'Arrear Sheet'!E57))</f>
        <v>8891</v>
      </c>
      <c r="E57" s="136">
        <f>IF('Arrear Sheet'!F57="","",IF('Arrear Sheet'!C57="TOTAL","",'Arrear Sheet'!F57))</f>
        <v>4184</v>
      </c>
      <c r="F57" s="136">
        <f>IF('Arrear Sheet'!G57="","",IF('Arrear Sheet'!C57="TOTAL","",SUM(C57:E57)))</f>
        <v>65375</v>
      </c>
      <c r="G57" s="136">
        <f>IF('Arrear Sheet'!H57="","",IF('Arrear Sheet'!C57="TOTAL","",'Arrear Sheet'!H57))</f>
        <v>50800</v>
      </c>
      <c r="H57" s="136">
        <f>IF('Arrear Sheet'!I57="","",IF('Arrear Sheet'!C57="TOTAL","",'Arrear Sheet'!I57))</f>
        <v>8636</v>
      </c>
      <c r="I57" s="136">
        <f>IF('Arrear Sheet'!J57="","",IF('Arrear Sheet'!C57="TOTAL","",'Arrear Sheet'!J57))</f>
        <v>4064</v>
      </c>
      <c r="J57" s="136">
        <f>IF('Arrear Sheet'!K57="","",IF('Arrear Sheet'!C57="TOTAL","",SUM(G57:I57)))</f>
        <v>63500</v>
      </c>
      <c r="K57" s="136">
        <f>IF('Arrear Sheet'!L57="","",IF('Arrear Sheet'!C57="TOTAL","",'Arrear Sheet'!L57))</f>
        <v>1500</v>
      </c>
      <c r="L57" s="136">
        <f>IF('Arrear Sheet'!M57="","",IF('Arrear Sheet'!C57="TOTAL","",'Arrear Sheet'!M57))</f>
        <v>255</v>
      </c>
      <c r="M57" s="136">
        <f>IF('Arrear Sheet'!N57="","",IF('Arrear Sheet'!C57="TOTAL","",'Arrear Sheet'!N57))</f>
        <v>120</v>
      </c>
      <c r="N57" s="136">
        <f>IF('Arrear Sheet'!O57="","",IF('Arrear Sheet'!C57="TOTAL","",SUM(K57:M57)))</f>
        <v>1875</v>
      </c>
      <c r="O57" s="136">
        <f>IF('Arrear Sheet'!P57="","",IF('Arrear Sheet'!C57="TOTAL","",'Arrear Sheet'!P57))</f>
        <v>6119</v>
      </c>
      <c r="P57" s="136">
        <f>IF('Arrear Sheet'!Q57="","",IF('Arrear Sheet'!C57="TOTAL","",'Arrear Sheet'!Q57))</f>
        <v>5944</v>
      </c>
      <c r="Q57" s="136">
        <f>IF('Arrear Sheet'!R57="","",IF('Arrear Sheet'!C57="TOTAL","",'Arrear Sheet'!R57))</f>
        <v>175</v>
      </c>
      <c r="R57" s="136">
        <f>IF('Arrear Sheet'!S57="","",IF('Arrear Sheet'!C57="TOTAL","",'Arrear Sheet'!S57))</f>
        <v>2100</v>
      </c>
      <c r="S57" s="136">
        <f>IF('Arrear Sheet'!T57="","",IF('Arrear Sheet'!C57="TOTAL","",'Arrear Sheet'!T57))</f>
        <v>2100</v>
      </c>
      <c r="T57" s="136">
        <f>IF('Arrear Sheet'!U57="","",IF('Arrear Sheet'!C57="TOTAL","",'Arrear Sheet'!U57))</f>
        <v>0</v>
      </c>
      <c r="U57" s="136" t="str">
        <f>IF('Arrear Sheet'!V57="","",IF('Arrear Sheet'!C57="TOTAL","",'Arrear Sheet'!V57))</f>
        <v/>
      </c>
      <c r="V57" s="136" t="str">
        <f>IF('Arrear Sheet'!W57="","",IF('Arrear Sheet'!C57="TOTAL","",'Arrear Sheet'!W57))</f>
        <v/>
      </c>
      <c r="W57" s="136" t="str">
        <f>IF('Arrear Sheet'!X57="","",IF('Arrear Sheet'!C57="TOTAL","",'Arrear Sheet'!X57))</f>
        <v/>
      </c>
      <c r="X57" s="136" t="str">
        <f>IF('Arrear Sheet'!Y57="","",IF('Arrear Sheet'!C57="TOTAL","",'Arrear Sheet'!Y57))</f>
        <v/>
      </c>
      <c r="Y57" s="136">
        <f>IF('Arrear Sheet'!Z57="","",IF('Arrear Sheet'!C57="TOTAL","",'Arrear Sheet'!Z57))</f>
        <v>0</v>
      </c>
      <c r="Z57" s="136">
        <f>IF('Arrear Sheet'!AA57="","",IF('Arrear Sheet'!C57="TOTAL","",'Arrear Sheet'!AA57))</f>
        <v>0</v>
      </c>
      <c r="AA57" s="24">
        <f>IF('Arrear Sheet'!AB57="","",IF('Arrear Sheet'!C57="TOTAL","",SUM(N57-Z57)))</f>
        <v>1875</v>
      </c>
      <c r="AB57" s="41"/>
      <c r="AC57" s="41"/>
      <c r="AE57" s="132"/>
      <c r="AF57" s="132"/>
      <c r="AG57" s="132"/>
      <c r="AH57" s="132"/>
      <c r="AI57" s="132"/>
      <c r="AJ57" s="132"/>
    </row>
    <row r="58" spans="1:36" s="28" customFormat="1" ht="21" customHeight="1">
      <c r="A58" s="22">
        <f>IF('Arrear Sheet'!B58="","",'Arrear Sheet'!B58)</f>
        <v>51</v>
      </c>
      <c r="B58" s="23">
        <f>IF('Arrear Sheet'!C58="","",IF('Arrear Sheet'!C58="TOTAL","",'Arrear Sheet'!C58))</f>
        <v>44256</v>
      </c>
      <c r="C58" s="136">
        <f>IF('Arrear Sheet'!D58="","",IF('Arrear Sheet'!C58="TOTAL","",IF('Arrear Sheet'!D58="अक्षरें राशि :-","",'Arrear Sheet'!D58)))</f>
        <v>52300</v>
      </c>
      <c r="D58" s="136">
        <f>IF('Arrear Sheet'!E58="","",IF('Arrear Sheet'!C58="TOTAL","",'Arrear Sheet'!E58))</f>
        <v>8891</v>
      </c>
      <c r="E58" s="136">
        <f>IF('Arrear Sheet'!F58="","",IF('Arrear Sheet'!C58="TOTAL","",'Arrear Sheet'!F58))</f>
        <v>4184</v>
      </c>
      <c r="F58" s="136">
        <f>IF('Arrear Sheet'!G58="","",IF('Arrear Sheet'!C58="TOTAL","",SUM(C58:E58)))</f>
        <v>65375</v>
      </c>
      <c r="G58" s="136">
        <f>IF('Arrear Sheet'!H58="","",IF('Arrear Sheet'!C58="TOTAL","",'Arrear Sheet'!H58))</f>
        <v>50800</v>
      </c>
      <c r="H58" s="136">
        <f>IF('Arrear Sheet'!I58="","",IF('Arrear Sheet'!C58="TOTAL","",'Arrear Sheet'!I58))</f>
        <v>8636</v>
      </c>
      <c r="I58" s="136">
        <f>IF('Arrear Sheet'!J58="","",IF('Arrear Sheet'!C58="TOTAL","",'Arrear Sheet'!J58))</f>
        <v>4064</v>
      </c>
      <c r="J58" s="136">
        <f>IF('Arrear Sheet'!K58="","",IF('Arrear Sheet'!C58="TOTAL","",SUM(G58:I58)))</f>
        <v>63500</v>
      </c>
      <c r="K58" s="136">
        <f>IF('Arrear Sheet'!L58="","",IF('Arrear Sheet'!C58="TOTAL","",'Arrear Sheet'!L58))</f>
        <v>1500</v>
      </c>
      <c r="L58" s="136">
        <f>IF('Arrear Sheet'!M58="","",IF('Arrear Sheet'!C58="TOTAL","",'Arrear Sheet'!M58))</f>
        <v>255</v>
      </c>
      <c r="M58" s="136">
        <f>IF('Arrear Sheet'!N58="","",IF('Arrear Sheet'!C58="TOTAL","",'Arrear Sheet'!N58))</f>
        <v>120</v>
      </c>
      <c r="N58" s="136">
        <f>IF('Arrear Sheet'!O58="","",IF('Arrear Sheet'!C58="TOTAL","",SUM(K58:M58)))</f>
        <v>1875</v>
      </c>
      <c r="O58" s="136">
        <f>IF('Arrear Sheet'!P58="","",IF('Arrear Sheet'!C58="TOTAL","",'Arrear Sheet'!P58))</f>
        <v>6119</v>
      </c>
      <c r="P58" s="136">
        <f>IF('Arrear Sheet'!Q58="","",IF('Arrear Sheet'!C58="TOTAL","",'Arrear Sheet'!Q58))</f>
        <v>5944</v>
      </c>
      <c r="Q58" s="136">
        <f>IF('Arrear Sheet'!R58="","",IF('Arrear Sheet'!C58="TOTAL","",'Arrear Sheet'!R58))</f>
        <v>175</v>
      </c>
      <c r="R58" s="136">
        <f>IF('Arrear Sheet'!S58="","",IF('Arrear Sheet'!C58="TOTAL","",'Arrear Sheet'!S58))</f>
        <v>2100</v>
      </c>
      <c r="S58" s="136">
        <f>IF('Arrear Sheet'!T58="","",IF('Arrear Sheet'!C58="TOTAL","",'Arrear Sheet'!T58))</f>
        <v>2100</v>
      </c>
      <c r="T58" s="136">
        <f>IF('Arrear Sheet'!U58="","",IF('Arrear Sheet'!C58="TOTAL","",'Arrear Sheet'!U58))</f>
        <v>0</v>
      </c>
      <c r="U58" s="136" t="str">
        <f>IF('Arrear Sheet'!V58="","",IF('Arrear Sheet'!C58="TOTAL","",'Arrear Sheet'!V58))</f>
        <v/>
      </c>
      <c r="V58" s="136" t="str">
        <f>IF('Arrear Sheet'!W58="","",IF('Arrear Sheet'!C58="TOTAL","",'Arrear Sheet'!W58))</f>
        <v/>
      </c>
      <c r="W58" s="136" t="str">
        <f>IF('Arrear Sheet'!X58="","",IF('Arrear Sheet'!C58="TOTAL","",'Arrear Sheet'!X58))</f>
        <v/>
      </c>
      <c r="X58" s="136" t="str">
        <f>IF('Arrear Sheet'!Y58="","",IF('Arrear Sheet'!C58="TOTAL","",'Arrear Sheet'!Y58))</f>
        <v/>
      </c>
      <c r="Y58" s="136">
        <f>IF('Arrear Sheet'!Z58="","",IF('Arrear Sheet'!C58="TOTAL","",'Arrear Sheet'!Z58))</f>
        <v>0</v>
      </c>
      <c r="Z58" s="136">
        <f>IF('Arrear Sheet'!AA58="","",IF('Arrear Sheet'!C58="TOTAL","",'Arrear Sheet'!AA58))</f>
        <v>0</v>
      </c>
      <c r="AA58" s="24">
        <f>IF('Arrear Sheet'!AB58="","",IF('Arrear Sheet'!C58="TOTAL","",SUM(N58-Z58)))</f>
        <v>1875</v>
      </c>
      <c r="AB58" s="41"/>
      <c r="AC58" s="41"/>
      <c r="AE58" s="132"/>
      <c r="AF58" s="132"/>
      <c r="AG58" s="132"/>
      <c r="AH58" s="132"/>
      <c r="AI58" s="132"/>
      <c r="AJ58" s="132"/>
    </row>
    <row r="59" spans="1:36" s="28" customFormat="1" ht="21" customHeight="1">
      <c r="A59" s="22">
        <f>IF('Arrear Sheet'!B59="","",'Arrear Sheet'!B59)</f>
        <v>52</v>
      </c>
      <c r="B59" s="23">
        <f>IF('Arrear Sheet'!C59="","",IF('Arrear Sheet'!C59="TOTAL","",'Arrear Sheet'!C59))</f>
        <v>44287</v>
      </c>
      <c r="C59" s="136">
        <f>IF('Arrear Sheet'!D59="","",IF('Arrear Sheet'!C59="TOTAL","",IF('Arrear Sheet'!D59="अक्षरें राशि :-","",'Arrear Sheet'!D59)))</f>
        <v>52300</v>
      </c>
      <c r="D59" s="136">
        <f>IF('Arrear Sheet'!E59="","",IF('Arrear Sheet'!C59="TOTAL","",'Arrear Sheet'!E59))</f>
        <v>8891</v>
      </c>
      <c r="E59" s="136">
        <f>IF('Arrear Sheet'!F59="","",IF('Arrear Sheet'!C59="TOTAL","",'Arrear Sheet'!F59))</f>
        <v>4184</v>
      </c>
      <c r="F59" s="136">
        <f>IF('Arrear Sheet'!G59="","",IF('Arrear Sheet'!C59="TOTAL","",SUM(C59:E59)))</f>
        <v>65375</v>
      </c>
      <c r="G59" s="136">
        <f>IF('Arrear Sheet'!H59="","",IF('Arrear Sheet'!C59="TOTAL","",'Arrear Sheet'!H59))</f>
        <v>50800</v>
      </c>
      <c r="H59" s="136">
        <f>IF('Arrear Sheet'!I59="","",IF('Arrear Sheet'!C59="TOTAL","",'Arrear Sheet'!I59))</f>
        <v>8636</v>
      </c>
      <c r="I59" s="136">
        <f>IF('Arrear Sheet'!J59="","",IF('Arrear Sheet'!C59="TOTAL","",'Arrear Sheet'!J59))</f>
        <v>4064</v>
      </c>
      <c r="J59" s="136">
        <f>IF('Arrear Sheet'!K59="","",IF('Arrear Sheet'!C59="TOTAL","",SUM(G59:I59)))</f>
        <v>63500</v>
      </c>
      <c r="K59" s="136">
        <f>IF('Arrear Sheet'!L59="","",IF('Arrear Sheet'!C59="TOTAL","",'Arrear Sheet'!L59))</f>
        <v>1500</v>
      </c>
      <c r="L59" s="136">
        <f>IF('Arrear Sheet'!M59="","",IF('Arrear Sheet'!C59="TOTAL","",'Arrear Sheet'!M59))</f>
        <v>255</v>
      </c>
      <c r="M59" s="136">
        <f>IF('Arrear Sheet'!N59="","",IF('Arrear Sheet'!C59="TOTAL","",'Arrear Sheet'!N59))</f>
        <v>120</v>
      </c>
      <c r="N59" s="136">
        <f>IF('Arrear Sheet'!O59="","",IF('Arrear Sheet'!C59="TOTAL","",SUM(K59:M59)))</f>
        <v>1875</v>
      </c>
      <c r="O59" s="136">
        <f>IF('Arrear Sheet'!P59="","",IF('Arrear Sheet'!C59="TOTAL","",'Arrear Sheet'!P59))</f>
        <v>6119</v>
      </c>
      <c r="P59" s="136">
        <f>IF('Arrear Sheet'!Q59="","",IF('Arrear Sheet'!C59="TOTAL","",'Arrear Sheet'!Q59))</f>
        <v>5944</v>
      </c>
      <c r="Q59" s="136">
        <f>IF('Arrear Sheet'!R59="","",IF('Arrear Sheet'!C59="TOTAL","",'Arrear Sheet'!R59))</f>
        <v>175</v>
      </c>
      <c r="R59" s="136">
        <f>IF('Arrear Sheet'!S59="","",IF('Arrear Sheet'!C59="TOTAL","",'Arrear Sheet'!S59))</f>
        <v>2100</v>
      </c>
      <c r="S59" s="136">
        <f>IF('Arrear Sheet'!T59="","",IF('Arrear Sheet'!C59="TOTAL","",'Arrear Sheet'!T59))</f>
        <v>2100</v>
      </c>
      <c r="T59" s="136">
        <f>IF('Arrear Sheet'!U59="","",IF('Arrear Sheet'!C59="TOTAL","",'Arrear Sheet'!U59))</f>
        <v>0</v>
      </c>
      <c r="U59" s="136" t="str">
        <f>IF('Arrear Sheet'!V59="","",IF('Arrear Sheet'!C59="TOTAL","",'Arrear Sheet'!V59))</f>
        <v/>
      </c>
      <c r="V59" s="136" t="str">
        <f>IF('Arrear Sheet'!W59="","",IF('Arrear Sheet'!C59="TOTAL","",'Arrear Sheet'!W59))</f>
        <v/>
      </c>
      <c r="W59" s="136" t="str">
        <f>IF('Arrear Sheet'!X59="","",IF('Arrear Sheet'!C59="TOTAL","",'Arrear Sheet'!X59))</f>
        <v/>
      </c>
      <c r="X59" s="136" t="str">
        <f>IF('Arrear Sheet'!Y59="","",IF('Arrear Sheet'!C59="TOTAL","",'Arrear Sheet'!Y59))</f>
        <v/>
      </c>
      <c r="Y59" s="136">
        <f>IF('Arrear Sheet'!Z59="","",IF('Arrear Sheet'!C59="TOTAL","",'Arrear Sheet'!Z59))</f>
        <v>0</v>
      </c>
      <c r="Z59" s="136">
        <f>IF('Arrear Sheet'!AA59="","",IF('Arrear Sheet'!C59="TOTAL","",'Arrear Sheet'!AA59))</f>
        <v>0</v>
      </c>
      <c r="AA59" s="24">
        <f>IF('Arrear Sheet'!AB59="","",IF('Arrear Sheet'!C59="TOTAL","",SUM(N59-Z59)))</f>
        <v>1875</v>
      </c>
      <c r="AB59" s="41"/>
      <c r="AC59" s="41"/>
      <c r="AE59" s="132"/>
      <c r="AF59" s="132"/>
      <c r="AG59" s="132"/>
      <c r="AH59" s="132"/>
      <c r="AI59" s="132"/>
      <c r="AJ59" s="132"/>
    </row>
    <row r="60" spans="1:36" s="28" customFormat="1" ht="21" customHeight="1">
      <c r="A60" s="22">
        <f>IF('Arrear Sheet'!B60="","",'Arrear Sheet'!B60)</f>
        <v>53</v>
      </c>
      <c r="B60" s="23">
        <f>IF('Arrear Sheet'!C60="","",IF('Arrear Sheet'!C60="TOTAL","",'Arrear Sheet'!C60))</f>
        <v>44317</v>
      </c>
      <c r="C60" s="136">
        <f>IF('Arrear Sheet'!D60="","",IF('Arrear Sheet'!C60="TOTAL","",IF('Arrear Sheet'!D60="अक्षरें राशि :-","",'Arrear Sheet'!D60)))</f>
        <v>52300</v>
      </c>
      <c r="D60" s="136">
        <f>IF('Arrear Sheet'!E60="","",IF('Arrear Sheet'!C60="TOTAL","",'Arrear Sheet'!E60))</f>
        <v>8891</v>
      </c>
      <c r="E60" s="136">
        <f>IF('Arrear Sheet'!F60="","",IF('Arrear Sheet'!C60="TOTAL","",'Arrear Sheet'!F60))</f>
        <v>4184</v>
      </c>
      <c r="F60" s="136">
        <f>IF('Arrear Sheet'!G60="","",IF('Arrear Sheet'!C60="TOTAL","",SUM(C60:E60)))</f>
        <v>65375</v>
      </c>
      <c r="G60" s="136">
        <f>IF('Arrear Sheet'!H60="","",IF('Arrear Sheet'!C60="TOTAL","",'Arrear Sheet'!H60))</f>
        <v>50800</v>
      </c>
      <c r="H60" s="136">
        <f>IF('Arrear Sheet'!I60="","",IF('Arrear Sheet'!C60="TOTAL","",'Arrear Sheet'!I60))</f>
        <v>8636</v>
      </c>
      <c r="I60" s="136">
        <f>IF('Arrear Sheet'!J60="","",IF('Arrear Sheet'!C60="TOTAL","",'Arrear Sheet'!J60))</f>
        <v>4064</v>
      </c>
      <c r="J60" s="136">
        <f>IF('Arrear Sheet'!K60="","",IF('Arrear Sheet'!C60="TOTAL","",SUM(G60:I60)))</f>
        <v>63500</v>
      </c>
      <c r="K60" s="136">
        <f>IF('Arrear Sheet'!L60="","",IF('Arrear Sheet'!C60="TOTAL","",'Arrear Sheet'!L60))</f>
        <v>1500</v>
      </c>
      <c r="L60" s="136">
        <f>IF('Arrear Sheet'!M60="","",IF('Arrear Sheet'!C60="TOTAL","",'Arrear Sheet'!M60))</f>
        <v>255</v>
      </c>
      <c r="M60" s="136">
        <f>IF('Arrear Sheet'!N60="","",IF('Arrear Sheet'!C60="TOTAL","",'Arrear Sheet'!N60))</f>
        <v>120</v>
      </c>
      <c r="N60" s="136">
        <f>IF('Arrear Sheet'!O60="","",IF('Arrear Sheet'!C60="TOTAL","",SUM(K60:M60)))</f>
        <v>1875</v>
      </c>
      <c r="O60" s="136">
        <f>IF('Arrear Sheet'!P60="","",IF('Arrear Sheet'!C60="TOTAL","",'Arrear Sheet'!P60))</f>
        <v>6119</v>
      </c>
      <c r="P60" s="136">
        <f>IF('Arrear Sheet'!Q60="","",IF('Arrear Sheet'!C60="TOTAL","",'Arrear Sheet'!Q60))</f>
        <v>5944</v>
      </c>
      <c r="Q60" s="136">
        <f>IF('Arrear Sheet'!R60="","",IF('Arrear Sheet'!C60="TOTAL","",'Arrear Sheet'!R60))</f>
        <v>175</v>
      </c>
      <c r="R60" s="136">
        <f>IF('Arrear Sheet'!S60="","",IF('Arrear Sheet'!C60="TOTAL","",'Arrear Sheet'!S60))</f>
        <v>2100</v>
      </c>
      <c r="S60" s="136">
        <f>IF('Arrear Sheet'!T60="","",IF('Arrear Sheet'!C60="TOTAL","",'Arrear Sheet'!T60))</f>
        <v>2100</v>
      </c>
      <c r="T60" s="136">
        <f>IF('Arrear Sheet'!U60="","",IF('Arrear Sheet'!C60="TOTAL","",'Arrear Sheet'!U60))</f>
        <v>0</v>
      </c>
      <c r="U60" s="136" t="str">
        <f>IF('Arrear Sheet'!V60="","",IF('Arrear Sheet'!C60="TOTAL","",'Arrear Sheet'!V60))</f>
        <v/>
      </c>
      <c r="V60" s="136" t="str">
        <f>IF('Arrear Sheet'!W60="","",IF('Arrear Sheet'!C60="TOTAL","",'Arrear Sheet'!W60))</f>
        <v/>
      </c>
      <c r="W60" s="136" t="str">
        <f>IF('Arrear Sheet'!X60="","",IF('Arrear Sheet'!C60="TOTAL","",'Arrear Sheet'!X60))</f>
        <v/>
      </c>
      <c r="X60" s="136" t="str">
        <f>IF('Arrear Sheet'!Y60="","",IF('Arrear Sheet'!C60="TOTAL","",'Arrear Sheet'!Y60))</f>
        <v/>
      </c>
      <c r="Y60" s="136">
        <f>IF('Arrear Sheet'!Z60="","",IF('Arrear Sheet'!C60="TOTAL","",'Arrear Sheet'!Z60))</f>
        <v>0</v>
      </c>
      <c r="Z60" s="136">
        <f>IF('Arrear Sheet'!AA60="","",IF('Arrear Sheet'!C60="TOTAL","",'Arrear Sheet'!AA60))</f>
        <v>0</v>
      </c>
      <c r="AA60" s="24">
        <f>IF('Arrear Sheet'!AB60="","",IF('Arrear Sheet'!C60="TOTAL","",SUM(N60-Z60)))</f>
        <v>1875</v>
      </c>
      <c r="AB60" s="41"/>
      <c r="AC60" s="41"/>
      <c r="AE60" s="132"/>
      <c r="AF60" s="132"/>
      <c r="AG60" s="132"/>
      <c r="AH60" s="132"/>
      <c r="AI60" s="132"/>
      <c r="AJ60" s="132"/>
    </row>
    <row r="61" spans="1:36" s="28" customFormat="1" ht="21" customHeight="1">
      <c r="A61" s="22">
        <f>IF('Arrear Sheet'!B61="","",'Arrear Sheet'!B61)</f>
        <v>54</v>
      </c>
      <c r="B61" s="23">
        <f>IF('Arrear Sheet'!C61="","",IF('Arrear Sheet'!C61="TOTAL","",'Arrear Sheet'!C61))</f>
        <v>44348</v>
      </c>
      <c r="C61" s="136">
        <f>IF('Arrear Sheet'!D61="","",IF('Arrear Sheet'!C61="TOTAL","",IF('Arrear Sheet'!D61="अक्षरें राशि :-","",'Arrear Sheet'!D61)))</f>
        <v>52300</v>
      </c>
      <c r="D61" s="136">
        <f>IF('Arrear Sheet'!E61="","",IF('Arrear Sheet'!C61="TOTAL","",'Arrear Sheet'!E61))</f>
        <v>8891</v>
      </c>
      <c r="E61" s="136">
        <f>IF('Arrear Sheet'!F61="","",IF('Arrear Sheet'!C61="TOTAL","",'Arrear Sheet'!F61))</f>
        <v>4184</v>
      </c>
      <c r="F61" s="136">
        <f>IF('Arrear Sheet'!G61="","",IF('Arrear Sheet'!C61="TOTAL","",SUM(C61:E61)))</f>
        <v>65375</v>
      </c>
      <c r="G61" s="136">
        <f>IF('Arrear Sheet'!H61="","",IF('Arrear Sheet'!C61="TOTAL","",'Arrear Sheet'!H61))</f>
        <v>50800</v>
      </c>
      <c r="H61" s="136">
        <f>IF('Arrear Sheet'!I61="","",IF('Arrear Sheet'!C61="TOTAL","",'Arrear Sheet'!I61))</f>
        <v>8636</v>
      </c>
      <c r="I61" s="136">
        <f>IF('Arrear Sheet'!J61="","",IF('Arrear Sheet'!C61="TOTAL","",'Arrear Sheet'!J61))</f>
        <v>4064</v>
      </c>
      <c r="J61" s="136">
        <f>IF('Arrear Sheet'!K61="","",IF('Arrear Sheet'!C61="TOTAL","",SUM(G61:I61)))</f>
        <v>63500</v>
      </c>
      <c r="K61" s="136">
        <f>IF('Arrear Sheet'!L61="","",IF('Arrear Sheet'!C61="TOTAL","",'Arrear Sheet'!L61))</f>
        <v>1500</v>
      </c>
      <c r="L61" s="136">
        <f>IF('Arrear Sheet'!M61="","",IF('Arrear Sheet'!C61="TOTAL","",'Arrear Sheet'!M61))</f>
        <v>255</v>
      </c>
      <c r="M61" s="136">
        <f>IF('Arrear Sheet'!N61="","",IF('Arrear Sheet'!C61="TOTAL","",'Arrear Sheet'!N61))</f>
        <v>120</v>
      </c>
      <c r="N61" s="136">
        <f>IF('Arrear Sheet'!O61="","",IF('Arrear Sheet'!C61="TOTAL","",SUM(K61:M61)))</f>
        <v>1875</v>
      </c>
      <c r="O61" s="136">
        <f>IF('Arrear Sheet'!P61="","",IF('Arrear Sheet'!C61="TOTAL","",'Arrear Sheet'!P61))</f>
        <v>6119</v>
      </c>
      <c r="P61" s="136">
        <f>IF('Arrear Sheet'!Q61="","",IF('Arrear Sheet'!C61="TOTAL","",'Arrear Sheet'!Q61))</f>
        <v>5944</v>
      </c>
      <c r="Q61" s="136">
        <f>IF('Arrear Sheet'!R61="","",IF('Arrear Sheet'!C61="TOTAL","",'Arrear Sheet'!R61))</f>
        <v>175</v>
      </c>
      <c r="R61" s="136">
        <f>IF('Arrear Sheet'!S61="","",IF('Arrear Sheet'!C61="TOTAL","",'Arrear Sheet'!S61))</f>
        <v>2100</v>
      </c>
      <c r="S61" s="136">
        <f>IF('Arrear Sheet'!T61="","",IF('Arrear Sheet'!C61="TOTAL","",'Arrear Sheet'!T61))</f>
        <v>2100</v>
      </c>
      <c r="T61" s="136">
        <f>IF('Arrear Sheet'!U61="","",IF('Arrear Sheet'!C61="TOTAL","",'Arrear Sheet'!U61))</f>
        <v>0</v>
      </c>
      <c r="U61" s="136" t="str">
        <f>IF('Arrear Sheet'!V61="","",IF('Arrear Sheet'!C61="TOTAL","",'Arrear Sheet'!V61))</f>
        <v/>
      </c>
      <c r="V61" s="136" t="str">
        <f>IF('Arrear Sheet'!W61="","",IF('Arrear Sheet'!C61="TOTAL","",'Arrear Sheet'!W61))</f>
        <v/>
      </c>
      <c r="W61" s="136" t="str">
        <f>IF('Arrear Sheet'!X61="","",IF('Arrear Sheet'!C61="TOTAL","",'Arrear Sheet'!X61))</f>
        <v/>
      </c>
      <c r="X61" s="136" t="str">
        <f>IF('Arrear Sheet'!Y61="","",IF('Arrear Sheet'!C61="TOTAL","",'Arrear Sheet'!Y61))</f>
        <v/>
      </c>
      <c r="Y61" s="136">
        <f>IF('Arrear Sheet'!Z61="","",IF('Arrear Sheet'!C61="TOTAL","",'Arrear Sheet'!Z61))</f>
        <v>0</v>
      </c>
      <c r="Z61" s="136">
        <f>IF('Arrear Sheet'!AA61="","",IF('Arrear Sheet'!C61="TOTAL","",'Arrear Sheet'!AA61))</f>
        <v>0</v>
      </c>
      <c r="AA61" s="24">
        <f>IF('Arrear Sheet'!AB61="","",IF('Arrear Sheet'!C61="TOTAL","",SUM(N61-Z61)))</f>
        <v>1875</v>
      </c>
      <c r="AB61" s="41"/>
      <c r="AC61" s="41"/>
      <c r="AE61" s="132"/>
      <c r="AF61" s="132"/>
      <c r="AG61" s="132"/>
      <c r="AH61" s="132"/>
      <c r="AI61" s="132"/>
      <c r="AJ61" s="132"/>
    </row>
    <row r="62" spans="1:36" s="28" customFormat="1" ht="21" customHeight="1">
      <c r="A62" s="22">
        <f>IF('Arrear Sheet'!B62="","",'Arrear Sheet'!B62)</f>
        <v>55</v>
      </c>
      <c r="B62" s="23">
        <f>IF('Arrear Sheet'!C62="","",IF('Arrear Sheet'!C62="TOTAL","",'Arrear Sheet'!C62))</f>
        <v>44378</v>
      </c>
      <c r="C62" s="136">
        <f>IF('Arrear Sheet'!D62="","",IF('Arrear Sheet'!C62="TOTAL","",IF('Arrear Sheet'!D62="अक्षरें राशि :-","",'Arrear Sheet'!D62)))</f>
        <v>53900</v>
      </c>
      <c r="D62" s="136">
        <f>IF('Arrear Sheet'!E62="","",IF('Arrear Sheet'!C62="TOTAL","",'Arrear Sheet'!E62))</f>
        <v>16709</v>
      </c>
      <c r="E62" s="136">
        <f>IF('Arrear Sheet'!F62="","",IF('Arrear Sheet'!C62="TOTAL","",'Arrear Sheet'!F62))</f>
        <v>4851</v>
      </c>
      <c r="F62" s="136">
        <f>IF('Arrear Sheet'!G62="","",IF('Arrear Sheet'!C62="TOTAL","",SUM(C62:E62)))</f>
        <v>75460</v>
      </c>
      <c r="G62" s="136">
        <f>IF('Arrear Sheet'!H62="","",IF('Arrear Sheet'!C62="TOTAL","",'Arrear Sheet'!H62))</f>
        <v>52300</v>
      </c>
      <c r="H62" s="136">
        <f>IF('Arrear Sheet'!I62="","",IF('Arrear Sheet'!C62="TOTAL","",'Arrear Sheet'!I62))</f>
        <v>16213</v>
      </c>
      <c r="I62" s="136">
        <f>IF('Arrear Sheet'!J62="","",IF('Arrear Sheet'!C62="TOTAL","",'Arrear Sheet'!J62))</f>
        <v>4707</v>
      </c>
      <c r="J62" s="136">
        <f>IF('Arrear Sheet'!K62="","",IF('Arrear Sheet'!C62="TOTAL","",SUM(G62:I62)))</f>
        <v>73220</v>
      </c>
      <c r="K62" s="136">
        <f>IF('Arrear Sheet'!L62="","",IF('Arrear Sheet'!C62="TOTAL","",'Arrear Sheet'!L62))</f>
        <v>1600</v>
      </c>
      <c r="L62" s="136">
        <f>IF('Arrear Sheet'!M62="","",IF('Arrear Sheet'!C62="TOTAL","",'Arrear Sheet'!M62))</f>
        <v>496</v>
      </c>
      <c r="M62" s="136">
        <f>IF('Arrear Sheet'!N62="","",IF('Arrear Sheet'!C62="TOTAL","",'Arrear Sheet'!N62))</f>
        <v>144</v>
      </c>
      <c r="N62" s="136">
        <f>IF('Arrear Sheet'!O62="","",IF('Arrear Sheet'!C62="TOTAL","",SUM(K62:M62)))</f>
        <v>2240</v>
      </c>
      <c r="O62" s="136">
        <f>IF('Arrear Sheet'!P62="","",IF('Arrear Sheet'!C62="TOTAL","",'Arrear Sheet'!P62))</f>
        <v>7061</v>
      </c>
      <c r="P62" s="136">
        <f>IF('Arrear Sheet'!Q62="","",IF('Arrear Sheet'!C62="TOTAL","",'Arrear Sheet'!Q62))</f>
        <v>6851</v>
      </c>
      <c r="Q62" s="136">
        <f>IF('Arrear Sheet'!R62="","",IF('Arrear Sheet'!C62="TOTAL","",'Arrear Sheet'!R62))</f>
        <v>210</v>
      </c>
      <c r="R62" s="136">
        <f>IF('Arrear Sheet'!S62="","",IF('Arrear Sheet'!C62="TOTAL","",'Arrear Sheet'!S62))</f>
        <v>2100</v>
      </c>
      <c r="S62" s="136">
        <f>IF('Arrear Sheet'!T62="","",IF('Arrear Sheet'!C62="TOTAL","",'Arrear Sheet'!T62))</f>
        <v>2100</v>
      </c>
      <c r="T62" s="136">
        <f>IF('Arrear Sheet'!U62="","",IF('Arrear Sheet'!C62="TOTAL","",'Arrear Sheet'!U62))</f>
        <v>0</v>
      </c>
      <c r="U62" s="136" t="str">
        <f>IF('Arrear Sheet'!V62="","",IF('Arrear Sheet'!C62="TOTAL","",'Arrear Sheet'!V62))</f>
        <v/>
      </c>
      <c r="V62" s="136" t="str">
        <f>IF('Arrear Sheet'!W62="","",IF('Arrear Sheet'!C62="TOTAL","",'Arrear Sheet'!W62))</f>
        <v/>
      </c>
      <c r="W62" s="136" t="str">
        <f>IF('Arrear Sheet'!X62="","",IF('Arrear Sheet'!C62="TOTAL","",'Arrear Sheet'!X62))</f>
        <v/>
      </c>
      <c r="X62" s="136">
        <f>IF('Arrear Sheet'!Y62="","",IF('Arrear Sheet'!C62="TOTAL","",'Arrear Sheet'!Y62))</f>
        <v>48</v>
      </c>
      <c r="Y62" s="136">
        <f>IF('Arrear Sheet'!Z62="","",IF('Arrear Sheet'!C62="TOTAL","",'Arrear Sheet'!Z62))</f>
        <v>0</v>
      </c>
      <c r="Z62" s="136">
        <f>IF('Arrear Sheet'!AA62="","",IF('Arrear Sheet'!C62="TOTAL","",'Arrear Sheet'!AA62))</f>
        <v>48</v>
      </c>
      <c r="AA62" s="24">
        <f>IF('Arrear Sheet'!AB62="","",IF('Arrear Sheet'!C62="TOTAL","",SUM(N62-Z62)))</f>
        <v>2192</v>
      </c>
      <c r="AB62" s="41"/>
      <c r="AC62" s="41"/>
      <c r="AE62" s="132"/>
      <c r="AF62" s="132"/>
      <c r="AG62" s="132"/>
      <c r="AH62" s="132"/>
      <c r="AI62" s="132"/>
      <c r="AJ62" s="132"/>
    </row>
    <row r="63" spans="1:36" s="28" customFormat="1" ht="21" customHeight="1">
      <c r="A63" s="22">
        <f>IF('Arrear Sheet'!B63="","",'Arrear Sheet'!B63)</f>
        <v>56</v>
      </c>
      <c r="B63" s="23">
        <f>IF('Arrear Sheet'!C63="","",IF('Arrear Sheet'!C63="TOTAL","",'Arrear Sheet'!C63))</f>
        <v>44409</v>
      </c>
      <c r="C63" s="136">
        <f>IF('Arrear Sheet'!D63="","",IF('Arrear Sheet'!C63="TOTAL","",IF('Arrear Sheet'!D63="अक्षरें राशि :-","",'Arrear Sheet'!D63)))</f>
        <v>53900</v>
      </c>
      <c r="D63" s="136">
        <f>IF('Arrear Sheet'!E63="","",IF('Arrear Sheet'!C63="TOTAL","",'Arrear Sheet'!E63))</f>
        <v>16709</v>
      </c>
      <c r="E63" s="136">
        <f>IF('Arrear Sheet'!F63="","",IF('Arrear Sheet'!C63="TOTAL","",'Arrear Sheet'!F63))</f>
        <v>4851</v>
      </c>
      <c r="F63" s="136">
        <f>IF('Arrear Sheet'!G63="","",IF('Arrear Sheet'!C63="TOTAL","",SUM(C63:E63)))</f>
        <v>75460</v>
      </c>
      <c r="G63" s="136">
        <f>IF('Arrear Sheet'!H63="","",IF('Arrear Sheet'!C63="TOTAL","",'Arrear Sheet'!H63))</f>
        <v>52300</v>
      </c>
      <c r="H63" s="136">
        <f>IF('Arrear Sheet'!I63="","",IF('Arrear Sheet'!C63="TOTAL","",'Arrear Sheet'!I63))</f>
        <v>16213</v>
      </c>
      <c r="I63" s="136">
        <f>IF('Arrear Sheet'!J63="","",IF('Arrear Sheet'!C63="TOTAL","",'Arrear Sheet'!J63))</f>
        <v>4707</v>
      </c>
      <c r="J63" s="136">
        <f>IF('Arrear Sheet'!K63="","",IF('Arrear Sheet'!C63="TOTAL","",SUM(G63:I63)))</f>
        <v>73220</v>
      </c>
      <c r="K63" s="136">
        <f>IF('Arrear Sheet'!L63="","",IF('Arrear Sheet'!C63="TOTAL","",'Arrear Sheet'!L63))</f>
        <v>1600</v>
      </c>
      <c r="L63" s="136">
        <f>IF('Arrear Sheet'!M63="","",IF('Arrear Sheet'!C63="TOTAL","",'Arrear Sheet'!M63))</f>
        <v>496</v>
      </c>
      <c r="M63" s="136">
        <f>IF('Arrear Sheet'!N63="","",IF('Arrear Sheet'!C63="TOTAL","",'Arrear Sheet'!N63))</f>
        <v>144</v>
      </c>
      <c r="N63" s="136">
        <f>IF('Arrear Sheet'!O63="","",IF('Arrear Sheet'!C63="TOTAL","",SUM(K63:M63)))</f>
        <v>2240</v>
      </c>
      <c r="O63" s="136">
        <f>IF('Arrear Sheet'!P63="","",IF('Arrear Sheet'!C63="TOTAL","",'Arrear Sheet'!P63))</f>
        <v>7061</v>
      </c>
      <c r="P63" s="136">
        <f>IF('Arrear Sheet'!Q63="","",IF('Arrear Sheet'!C63="TOTAL","",'Arrear Sheet'!Q63))</f>
        <v>6851</v>
      </c>
      <c r="Q63" s="136">
        <f>IF('Arrear Sheet'!R63="","",IF('Arrear Sheet'!C63="TOTAL","",'Arrear Sheet'!R63))</f>
        <v>210</v>
      </c>
      <c r="R63" s="136">
        <f>IF('Arrear Sheet'!S63="","",IF('Arrear Sheet'!C63="TOTAL","",'Arrear Sheet'!S63))</f>
        <v>2100</v>
      </c>
      <c r="S63" s="136">
        <f>IF('Arrear Sheet'!T63="","",IF('Arrear Sheet'!C63="TOTAL","",'Arrear Sheet'!T63))</f>
        <v>2100</v>
      </c>
      <c r="T63" s="136">
        <f>IF('Arrear Sheet'!U63="","",IF('Arrear Sheet'!C63="TOTAL","",'Arrear Sheet'!U63))</f>
        <v>0</v>
      </c>
      <c r="U63" s="136" t="str">
        <f>IF('Arrear Sheet'!V63="","",IF('Arrear Sheet'!C63="TOTAL","",'Arrear Sheet'!V63))</f>
        <v/>
      </c>
      <c r="V63" s="136" t="str">
        <f>IF('Arrear Sheet'!W63="","",IF('Arrear Sheet'!C63="TOTAL","",'Arrear Sheet'!W63))</f>
        <v/>
      </c>
      <c r="W63" s="136" t="str">
        <f>IF('Arrear Sheet'!X63="","",IF('Arrear Sheet'!C63="TOTAL","",'Arrear Sheet'!X63))</f>
        <v/>
      </c>
      <c r="X63" s="136">
        <f>IF('Arrear Sheet'!Y63="","",IF('Arrear Sheet'!C63="TOTAL","",'Arrear Sheet'!Y63))</f>
        <v>48</v>
      </c>
      <c r="Y63" s="136">
        <f>IF('Arrear Sheet'!Z63="","",IF('Arrear Sheet'!C63="TOTAL","",'Arrear Sheet'!Z63))</f>
        <v>0</v>
      </c>
      <c r="Z63" s="136">
        <f>IF('Arrear Sheet'!AA63="","",IF('Arrear Sheet'!C63="TOTAL","",'Arrear Sheet'!AA63))</f>
        <v>48</v>
      </c>
      <c r="AA63" s="24">
        <f>IF('Arrear Sheet'!AB63="","",IF('Arrear Sheet'!C63="TOTAL","",SUM(N63-Z63)))</f>
        <v>2192</v>
      </c>
      <c r="AB63" s="41"/>
      <c r="AC63" s="41"/>
      <c r="AE63" s="132"/>
      <c r="AF63" s="132"/>
      <c r="AG63" s="132"/>
      <c r="AH63" s="132"/>
      <c r="AI63" s="132"/>
      <c r="AJ63" s="132"/>
    </row>
    <row r="64" spans="1:36" s="28" customFormat="1" ht="21" customHeight="1">
      <c r="A64" s="22">
        <f>IF('Arrear Sheet'!B64="","",'Arrear Sheet'!B64)</f>
        <v>57</v>
      </c>
      <c r="B64" s="23">
        <f>IF('Arrear Sheet'!C64="","",IF('Arrear Sheet'!C64="TOTAL","",'Arrear Sheet'!C64))</f>
        <v>44440</v>
      </c>
      <c r="C64" s="136">
        <f>IF('Arrear Sheet'!D64="","",IF('Arrear Sheet'!C64="TOTAL","",IF('Arrear Sheet'!D64="अक्षरें राशि :-","",'Arrear Sheet'!D64)))</f>
        <v>53900</v>
      </c>
      <c r="D64" s="136">
        <f>IF('Arrear Sheet'!E64="","",IF('Arrear Sheet'!C64="TOTAL","",'Arrear Sheet'!E64))</f>
        <v>16709</v>
      </c>
      <c r="E64" s="136">
        <f>IF('Arrear Sheet'!F64="","",IF('Arrear Sheet'!C64="TOTAL","",'Arrear Sheet'!F64))</f>
        <v>4851</v>
      </c>
      <c r="F64" s="136">
        <f>IF('Arrear Sheet'!G64="","",IF('Arrear Sheet'!C64="TOTAL","",SUM(C64:E64)))</f>
        <v>75460</v>
      </c>
      <c r="G64" s="136">
        <f>IF('Arrear Sheet'!H64="","",IF('Arrear Sheet'!C64="TOTAL","",'Arrear Sheet'!H64))</f>
        <v>52300</v>
      </c>
      <c r="H64" s="136">
        <f>IF('Arrear Sheet'!I64="","",IF('Arrear Sheet'!C64="TOTAL","",'Arrear Sheet'!I64))</f>
        <v>16213</v>
      </c>
      <c r="I64" s="136">
        <f>IF('Arrear Sheet'!J64="","",IF('Arrear Sheet'!C64="TOTAL","",'Arrear Sheet'!J64))</f>
        <v>4707</v>
      </c>
      <c r="J64" s="136">
        <f>IF('Arrear Sheet'!K64="","",IF('Arrear Sheet'!C64="TOTAL","",SUM(G64:I64)))</f>
        <v>73220</v>
      </c>
      <c r="K64" s="136">
        <f>IF('Arrear Sheet'!L64="","",IF('Arrear Sheet'!C64="TOTAL","",'Arrear Sheet'!L64))</f>
        <v>1600</v>
      </c>
      <c r="L64" s="136">
        <f>IF('Arrear Sheet'!M64="","",IF('Arrear Sheet'!C64="TOTAL","",'Arrear Sheet'!M64))</f>
        <v>496</v>
      </c>
      <c r="M64" s="136">
        <f>IF('Arrear Sheet'!N64="","",IF('Arrear Sheet'!C64="TOTAL","",'Arrear Sheet'!N64))</f>
        <v>144</v>
      </c>
      <c r="N64" s="136">
        <f>IF('Arrear Sheet'!O64="","",IF('Arrear Sheet'!C64="TOTAL","",SUM(K64:M64)))</f>
        <v>2240</v>
      </c>
      <c r="O64" s="136">
        <f>IF('Arrear Sheet'!P64="","",IF('Arrear Sheet'!C64="TOTAL","",'Arrear Sheet'!P64))</f>
        <v>7061</v>
      </c>
      <c r="P64" s="136">
        <f>IF('Arrear Sheet'!Q64="","",IF('Arrear Sheet'!C64="TOTAL","",'Arrear Sheet'!Q64))</f>
        <v>6851</v>
      </c>
      <c r="Q64" s="136">
        <f>IF('Arrear Sheet'!R64="","",IF('Arrear Sheet'!C64="TOTAL","",'Arrear Sheet'!R64))</f>
        <v>210</v>
      </c>
      <c r="R64" s="136">
        <f>IF('Arrear Sheet'!S64="","",IF('Arrear Sheet'!C64="TOTAL","",'Arrear Sheet'!S64))</f>
        <v>2100</v>
      </c>
      <c r="S64" s="136">
        <f>IF('Arrear Sheet'!T64="","",IF('Arrear Sheet'!C64="TOTAL","",'Arrear Sheet'!T64))</f>
        <v>2100</v>
      </c>
      <c r="T64" s="136">
        <f>IF('Arrear Sheet'!U64="","",IF('Arrear Sheet'!C64="TOTAL","",'Arrear Sheet'!U64))</f>
        <v>0</v>
      </c>
      <c r="U64" s="136" t="str">
        <f>IF('Arrear Sheet'!V64="","",IF('Arrear Sheet'!C64="TOTAL","",'Arrear Sheet'!V64))</f>
        <v/>
      </c>
      <c r="V64" s="136" t="str">
        <f>IF('Arrear Sheet'!W64="","",IF('Arrear Sheet'!C64="TOTAL","",'Arrear Sheet'!W64))</f>
        <v/>
      </c>
      <c r="W64" s="136" t="str">
        <f>IF('Arrear Sheet'!X64="","",IF('Arrear Sheet'!C64="TOTAL","",'Arrear Sheet'!X64))</f>
        <v/>
      </c>
      <c r="X64" s="136">
        <f>IF('Arrear Sheet'!Y64="","",IF('Arrear Sheet'!C64="TOTAL","",'Arrear Sheet'!Y64))</f>
        <v>48</v>
      </c>
      <c r="Y64" s="136">
        <f>IF('Arrear Sheet'!Z64="","",IF('Arrear Sheet'!C64="TOTAL","",'Arrear Sheet'!Z64))</f>
        <v>0</v>
      </c>
      <c r="Z64" s="136">
        <f>IF('Arrear Sheet'!AA64="","",IF('Arrear Sheet'!C64="TOTAL","",'Arrear Sheet'!AA64))</f>
        <v>48</v>
      </c>
      <c r="AA64" s="24">
        <f>IF('Arrear Sheet'!AB64="","",IF('Arrear Sheet'!C64="TOTAL","",SUM(N64-Z64)))</f>
        <v>2192</v>
      </c>
      <c r="AB64" s="41"/>
      <c r="AC64" s="41"/>
      <c r="AE64" s="132"/>
      <c r="AF64" s="132"/>
      <c r="AG64" s="132"/>
      <c r="AH64" s="132"/>
      <c r="AI64" s="132"/>
      <c r="AJ64" s="132"/>
    </row>
    <row r="65" spans="1:36" s="28" customFormat="1" ht="21" customHeight="1">
      <c r="A65" s="22">
        <f>IF('Arrear Sheet'!B65="","",'Arrear Sheet'!B65)</f>
        <v>58</v>
      </c>
      <c r="B65" s="23">
        <f>IF('Arrear Sheet'!C65="","",IF('Arrear Sheet'!C65="TOTAL","",'Arrear Sheet'!C65))</f>
        <v>44470</v>
      </c>
      <c r="C65" s="136">
        <f>IF('Arrear Sheet'!D65="","",IF('Arrear Sheet'!C65="TOTAL","",IF('Arrear Sheet'!D65="अक्षरें राशि :-","",'Arrear Sheet'!D65)))</f>
        <v>53900</v>
      </c>
      <c r="D65" s="136">
        <f>IF('Arrear Sheet'!E65="","",IF('Arrear Sheet'!C65="TOTAL","",'Arrear Sheet'!E65))</f>
        <v>16709</v>
      </c>
      <c r="E65" s="136">
        <f>IF('Arrear Sheet'!F65="","",IF('Arrear Sheet'!C65="TOTAL","",'Arrear Sheet'!F65))</f>
        <v>4851</v>
      </c>
      <c r="F65" s="136">
        <f>IF('Arrear Sheet'!G65="","",IF('Arrear Sheet'!C65="TOTAL","",SUM(C65:E65)))</f>
        <v>75460</v>
      </c>
      <c r="G65" s="136">
        <f>IF('Arrear Sheet'!H65="","",IF('Arrear Sheet'!C65="TOTAL","",'Arrear Sheet'!H65))</f>
        <v>52300</v>
      </c>
      <c r="H65" s="136">
        <f>IF('Arrear Sheet'!I65="","",IF('Arrear Sheet'!C65="TOTAL","",'Arrear Sheet'!I65))</f>
        <v>16213</v>
      </c>
      <c r="I65" s="136">
        <f>IF('Arrear Sheet'!J65="","",IF('Arrear Sheet'!C65="TOTAL","",'Arrear Sheet'!J65))</f>
        <v>4707</v>
      </c>
      <c r="J65" s="136">
        <f>IF('Arrear Sheet'!K65="","",IF('Arrear Sheet'!C65="TOTAL","",SUM(G65:I65)))</f>
        <v>73220</v>
      </c>
      <c r="K65" s="136">
        <f>IF('Arrear Sheet'!L65="","",IF('Arrear Sheet'!C65="TOTAL","",'Arrear Sheet'!L65))</f>
        <v>1600</v>
      </c>
      <c r="L65" s="136">
        <f>IF('Arrear Sheet'!M65="","",IF('Arrear Sheet'!C65="TOTAL","",'Arrear Sheet'!M65))</f>
        <v>496</v>
      </c>
      <c r="M65" s="136">
        <f>IF('Arrear Sheet'!N65="","",IF('Arrear Sheet'!C65="TOTAL","",'Arrear Sheet'!N65))</f>
        <v>144</v>
      </c>
      <c r="N65" s="136">
        <f>IF('Arrear Sheet'!O65="","",IF('Arrear Sheet'!C65="TOTAL","",SUM(K65:M65)))</f>
        <v>2240</v>
      </c>
      <c r="O65" s="136">
        <f>IF('Arrear Sheet'!P65="","",IF('Arrear Sheet'!C65="TOTAL","",'Arrear Sheet'!P65))</f>
        <v>7061</v>
      </c>
      <c r="P65" s="136">
        <f>IF('Arrear Sheet'!Q65="","",IF('Arrear Sheet'!C65="TOTAL","",'Arrear Sheet'!Q65))</f>
        <v>6851</v>
      </c>
      <c r="Q65" s="136">
        <f>IF('Arrear Sheet'!R65="","",IF('Arrear Sheet'!C65="TOTAL","",'Arrear Sheet'!R65))</f>
        <v>210</v>
      </c>
      <c r="R65" s="136">
        <f>IF('Arrear Sheet'!S65="","",IF('Arrear Sheet'!C65="TOTAL","",'Arrear Sheet'!S65))</f>
        <v>2100</v>
      </c>
      <c r="S65" s="136">
        <f>IF('Arrear Sheet'!T65="","",IF('Arrear Sheet'!C65="TOTAL","",'Arrear Sheet'!T65))</f>
        <v>2100</v>
      </c>
      <c r="T65" s="136">
        <f>IF('Arrear Sheet'!U65="","",IF('Arrear Sheet'!C65="TOTAL","",'Arrear Sheet'!U65))</f>
        <v>0</v>
      </c>
      <c r="U65" s="136" t="str">
        <f>IF('Arrear Sheet'!V65="","",IF('Arrear Sheet'!C65="TOTAL","",'Arrear Sheet'!V65))</f>
        <v/>
      </c>
      <c r="V65" s="136" t="str">
        <f>IF('Arrear Sheet'!W65="","",IF('Arrear Sheet'!C65="TOTAL","",'Arrear Sheet'!W65))</f>
        <v/>
      </c>
      <c r="W65" s="136" t="str">
        <f>IF('Arrear Sheet'!X65="","",IF('Arrear Sheet'!C65="TOTAL","",'Arrear Sheet'!X65))</f>
        <v/>
      </c>
      <c r="X65" s="136" t="str">
        <f>IF('Arrear Sheet'!Y65="","",IF('Arrear Sheet'!C65="TOTAL","",'Arrear Sheet'!Y65))</f>
        <v/>
      </c>
      <c r="Y65" s="136">
        <f>IF('Arrear Sheet'!Z65="","",IF('Arrear Sheet'!C65="TOTAL","",'Arrear Sheet'!Z65))</f>
        <v>0</v>
      </c>
      <c r="Z65" s="136">
        <f>IF('Arrear Sheet'!AA65="","",IF('Arrear Sheet'!C65="TOTAL","",'Arrear Sheet'!AA65))</f>
        <v>0</v>
      </c>
      <c r="AA65" s="24">
        <f>IF('Arrear Sheet'!AB65="","",IF('Arrear Sheet'!C65="TOTAL","",SUM(N65-Z65)))</f>
        <v>2240</v>
      </c>
      <c r="AB65" s="41"/>
      <c r="AC65" s="41"/>
      <c r="AE65" s="132"/>
      <c r="AF65" s="132"/>
      <c r="AG65" s="132"/>
      <c r="AH65" s="132"/>
      <c r="AI65" s="132"/>
      <c r="AJ65" s="132"/>
    </row>
    <row r="66" spans="1:36" s="28" customFormat="1" ht="21" customHeight="1">
      <c r="A66" s="22">
        <f>IF('Arrear Sheet'!B66="","",'Arrear Sheet'!B66)</f>
        <v>59</v>
      </c>
      <c r="B66" s="23">
        <f>IF('Arrear Sheet'!C66="","",IF('Arrear Sheet'!C66="TOTAL","",'Arrear Sheet'!C66))</f>
        <v>44501</v>
      </c>
      <c r="C66" s="136">
        <f>IF('Arrear Sheet'!D66="","",IF('Arrear Sheet'!C66="TOTAL","",IF('Arrear Sheet'!D66="अक्षरें राशि :-","",'Arrear Sheet'!D66)))</f>
        <v>53900</v>
      </c>
      <c r="D66" s="136">
        <f>IF('Arrear Sheet'!E66="","",IF('Arrear Sheet'!C66="TOTAL","",'Arrear Sheet'!E66))</f>
        <v>16709</v>
      </c>
      <c r="E66" s="136">
        <f>IF('Arrear Sheet'!F66="","",IF('Arrear Sheet'!C66="TOTAL","",'Arrear Sheet'!F66))</f>
        <v>4851</v>
      </c>
      <c r="F66" s="136">
        <f>IF('Arrear Sheet'!G66="","",IF('Arrear Sheet'!C66="TOTAL","",SUM(C66:E66)))</f>
        <v>75460</v>
      </c>
      <c r="G66" s="136">
        <f>IF('Arrear Sheet'!H66="","",IF('Arrear Sheet'!C66="TOTAL","",'Arrear Sheet'!H66))</f>
        <v>52300</v>
      </c>
      <c r="H66" s="136">
        <f>IF('Arrear Sheet'!I66="","",IF('Arrear Sheet'!C66="TOTAL","",'Arrear Sheet'!I66))</f>
        <v>16213</v>
      </c>
      <c r="I66" s="136">
        <f>IF('Arrear Sheet'!J66="","",IF('Arrear Sheet'!C66="TOTAL","",'Arrear Sheet'!J66))</f>
        <v>4707</v>
      </c>
      <c r="J66" s="136">
        <f>IF('Arrear Sheet'!K66="","",IF('Arrear Sheet'!C66="TOTAL","",SUM(G66:I66)))</f>
        <v>73220</v>
      </c>
      <c r="K66" s="136">
        <f>IF('Arrear Sheet'!L66="","",IF('Arrear Sheet'!C66="TOTAL","",'Arrear Sheet'!L66))</f>
        <v>1600</v>
      </c>
      <c r="L66" s="136">
        <f>IF('Arrear Sheet'!M66="","",IF('Arrear Sheet'!C66="TOTAL","",'Arrear Sheet'!M66))</f>
        <v>496</v>
      </c>
      <c r="M66" s="136">
        <f>IF('Arrear Sheet'!N66="","",IF('Arrear Sheet'!C66="TOTAL","",'Arrear Sheet'!N66))</f>
        <v>144</v>
      </c>
      <c r="N66" s="136">
        <f>IF('Arrear Sheet'!O66="","",IF('Arrear Sheet'!C66="TOTAL","",SUM(K66:M66)))</f>
        <v>2240</v>
      </c>
      <c r="O66" s="136">
        <f>IF('Arrear Sheet'!P66="","",IF('Arrear Sheet'!C66="TOTAL","",'Arrear Sheet'!P66))</f>
        <v>7061</v>
      </c>
      <c r="P66" s="136">
        <f>IF('Arrear Sheet'!Q66="","",IF('Arrear Sheet'!C66="TOTAL","",'Arrear Sheet'!Q66))</f>
        <v>6851</v>
      </c>
      <c r="Q66" s="136">
        <f>IF('Arrear Sheet'!R66="","",IF('Arrear Sheet'!C66="TOTAL","",'Arrear Sheet'!R66))</f>
        <v>210</v>
      </c>
      <c r="R66" s="136">
        <f>IF('Arrear Sheet'!S66="","",IF('Arrear Sheet'!C66="TOTAL","",'Arrear Sheet'!S66))</f>
        <v>2100</v>
      </c>
      <c r="S66" s="136">
        <f>IF('Arrear Sheet'!T66="","",IF('Arrear Sheet'!C66="TOTAL","",'Arrear Sheet'!T66))</f>
        <v>2100</v>
      </c>
      <c r="T66" s="136">
        <f>IF('Arrear Sheet'!U66="","",IF('Arrear Sheet'!C66="TOTAL","",'Arrear Sheet'!U66))</f>
        <v>0</v>
      </c>
      <c r="U66" s="136" t="str">
        <f>IF('Arrear Sheet'!V66="","",IF('Arrear Sheet'!C66="TOTAL","",'Arrear Sheet'!V66))</f>
        <v/>
      </c>
      <c r="V66" s="136" t="str">
        <f>IF('Arrear Sheet'!W66="","",IF('Arrear Sheet'!C66="TOTAL","",'Arrear Sheet'!W66))</f>
        <v/>
      </c>
      <c r="W66" s="136" t="str">
        <f>IF('Arrear Sheet'!X66="","",IF('Arrear Sheet'!C66="TOTAL","",'Arrear Sheet'!X66))</f>
        <v/>
      </c>
      <c r="X66" s="136" t="str">
        <f>IF('Arrear Sheet'!Y66="","",IF('Arrear Sheet'!C66="TOTAL","",'Arrear Sheet'!Y66))</f>
        <v/>
      </c>
      <c r="Y66" s="136">
        <f>IF('Arrear Sheet'!Z66="","",IF('Arrear Sheet'!C66="TOTAL","",'Arrear Sheet'!Z66))</f>
        <v>0</v>
      </c>
      <c r="Z66" s="136">
        <f>IF('Arrear Sheet'!AA66="","",IF('Arrear Sheet'!C66="TOTAL","",'Arrear Sheet'!AA66))</f>
        <v>0</v>
      </c>
      <c r="AA66" s="24">
        <f>IF('Arrear Sheet'!AB66="","",IF('Arrear Sheet'!C66="TOTAL","",SUM(N66-Z66)))</f>
        <v>2240</v>
      </c>
      <c r="AB66" s="41"/>
      <c r="AC66" s="41"/>
      <c r="AE66" s="132"/>
      <c r="AF66" s="132"/>
      <c r="AG66" s="132"/>
      <c r="AH66" s="132"/>
      <c r="AI66" s="132"/>
      <c r="AJ66" s="132"/>
    </row>
    <row r="67" spans="1:36" s="28" customFormat="1" ht="21" customHeight="1">
      <c r="A67" s="22">
        <f>IF('Arrear Sheet'!B67="","",'Arrear Sheet'!B67)</f>
        <v>60</v>
      </c>
      <c r="B67" s="23">
        <f>IF('Arrear Sheet'!C67="","",IF('Arrear Sheet'!C67="TOTAL","",'Arrear Sheet'!C67))</f>
        <v>44531</v>
      </c>
      <c r="C67" s="136">
        <f>IF('Arrear Sheet'!D67="","",IF('Arrear Sheet'!C67="TOTAL","",IF('Arrear Sheet'!D67="अक्षरें राशि :-","",'Arrear Sheet'!D67)))</f>
        <v>53900</v>
      </c>
      <c r="D67" s="136">
        <f>IF('Arrear Sheet'!E67="","",IF('Arrear Sheet'!C67="TOTAL","",'Arrear Sheet'!E67))</f>
        <v>16709</v>
      </c>
      <c r="E67" s="136">
        <f>IF('Arrear Sheet'!F67="","",IF('Arrear Sheet'!C67="TOTAL","",'Arrear Sheet'!F67))</f>
        <v>4851</v>
      </c>
      <c r="F67" s="136">
        <f>IF('Arrear Sheet'!G67="","",IF('Arrear Sheet'!C67="TOTAL","",SUM(C67:E67)))</f>
        <v>75460</v>
      </c>
      <c r="G67" s="136">
        <f>IF('Arrear Sheet'!H67="","",IF('Arrear Sheet'!C67="TOTAL","",'Arrear Sheet'!H67))</f>
        <v>52300</v>
      </c>
      <c r="H67" s="136">
        <f>IF('Arrear Sheet'!I67="","",IF('Arrear Sheet'!C67="TOTAL","",'Arrear Sheet'!I67))</f>
        <v>16213</v>
      </c>
      <c r="I67" s="136">
        <f>IF('Arrear Sheet'!J67="","",IF('Arrear Sheet'!C67="TOTAL","",'Arrear Sheet'!J67))</f>
        <v>4707</v>
      </c>
      <c r="J67" s="136">
        <f>IF('Arrear Sheet'!K67="","",IF('Arrear Sheet'!C67="TOTAL","",SUM(G67:I67)))</f>
        <v>73220</v>
      </c>
      <c r="K67" s="136">
        <f>IF('Arrear Sheet'!L67="","",IF('Arrear Sheet'!C67="TOTAL","",'Arrear Sheet'!L67))</f>
        <v>1600</v>
      </c>
      <c r="L67" s="136">
        <f>IF('Arrear Sheet'!M67="","",IF('Arrear Sheet'!C67="TOTAL","",'Arrear Sheet'!M67))</f>
        <v>496</v>
      </c>
      <c r="M67" s="136">
        <f>IF('Arrear Sheet'!N67="","",IF('Arrear Sheet'!C67="TOTAL","",'Arrear Sheet'!N67))</f>
        <v>144</v>
      </c>
      <c r="N67" s="136">
        <f>IF('Arrear Sheet'!O67="","",IF('Arrear Sheet'!C67="TOTAL","",SUM(K67:M67)))</f>
        <v>2240</v>
      </c>
      <c r="O67" s="136">
        <f>IF('Arrear Sheet'!P67="","",IF('Arrear Sheet'!C67="TOTAL","",'Arrear Sheet'!P67))</f>
        <v>7061</v>
      </c>
      <c r="P67" s="136">
        <f>IF('Arrear Sheet'!Q67="","",IF('Arrear Sheet'!C67="TOTAL","",'Arrear Sheet'!Q67))</f>
        <v>6851</v>
      </c>
      <c r="Q67" s="136">
        <f>IF('Arrear Sheet'!R67="","",IF('Arrear Sheet'!C67="TOTAL","",'Arrear Sheet'!R67))</f>
        <v>210</v>
      </c>
      <c r="R67" s="136">
        <f>IF('Arrear Sheet'!S67="","",IF('Arrear Sheet'!C67="TOTAL","",'Arrear Sheet'!S67))</f>
        <v>2100</v>
      </c>
      <c r="S67" s="136">
        <f>IF('Arrear Sheet'!T67="","",IF('Arrear Sheet'!C67="TOTAL","",'Arrear Sheet'!T67))</f>
        <v>2100</v>
      </c>
      <c r="T67" s="136">
        <f>IF('Arrear Sheet'!U67="","",IF('Arrear Sheet'!C67="TOTAL","",'Arrear Sheet'!U67))</f>
        <v>0</v>
      </c>
      <c r="U67" s="136" t="str">
        <f>IF('Arrear Sheet'!V67="","",IF('Arrear Sheet'!C67="TOTAL","",'Arrear Sheet'!V67))</f>
        <v/>
      </c>
      <c r="V67" s="136" t="str">
        <f>IF('Arrear Sheet'!W67="","",IF('Arrear Sheet'!C67="TOTAL","",'Arrear Sheet'!W67))</f>
        <v/>
      </c>
      <c r="W67" s="136" t="str">
        <f>IF('Arrear Sheet'!X67="","",IF('Arrear Sheet'!C67="TOTAL","",'Arrear Sheet'!X67))</f>
        <v/>
      </c>
      <c r="X67" s="136" t="str">
        <f>IF('Arrear Sheet'!Y67="","",IF('Arrear Sheet'!C67="TOTAL","",'Arrear Sheet'!Y67))</f>
        <v/>
      </c>
      <c r="Y67" s="136">
        <f>IF('Arrear Sheet'!Z67="","",IF('Arrear Sheet'!C67="TOTAL","",'Arrear Sheet'!Z67))</f>
        <v>0</v>
      </c>
      <c r="Z67" s="136">
        <f>IF('Arrear Sheet'!AA67="","",IF('Arrear Sheet'!C67="TOTAL","",'Arrear Sheet'!AA67))</f>
        <v>0</v>
      </c>
      <c r="AA67" s="24">
        <f>IF('Arrear Sheet'!AB67="","",IF('Arrear Sheet'!C67="TOTAL","",SUM(N67-Z67)))</f>
        <v>2240</v>
      </c>
      <c r="AB67" s="41"/>
      <c r="AC67" s="41"/>
      <c r="AE67" s="132"/>
      <c r="AF67" s="132"/>
      <c r="AG67" s="132"/>
      <c r="AH67" s="132"/>
      <c r="AI67" s="132"/>
      <c r="AJ67" s="132"/>
    </row>
    <row r="68" spans="1:36" s="28" customFormat="1" ht="21" customHeight="1">
      <c r="A68" s="22">
        <f>IF('Arrear Sheet'!B68="","",'Arrear Sheet'!B68)</f>
        <v>61</v>
      </c>
      <c r="B68" s="23">
        <f>IF('Arrear Sheet'!C68="","",IF('Arrear Sheet'!C68="TOTAL","",'Arrear Sheet'!C68))</f>
        <v>44562</v>
      </c>
      <c r="C68" s="136">
        <f>IF('Arrear Sheet'!D68="","",IF('Arrear Sheet'!C68="TOTAL","",IF('Arrear Sheet'!D68="अक्षरें राशि :-","",'Arrear Sheet'!D68)))</f>
        <v>53900</v>
      </c>
      <c r="D68" s="136">
        <f>IF('Arrear Sheet'!E68="","",IF('Arrear Sheet'!C68="TOTAL","",'Arrear Sheet'!E68))</f>
        <v>18326</v>
      </c>
      <c r="E68" s="136">
        <f>IF('Arrear Sheet'!F68="","",IF('Arrear Sheet'!C68="TOTAL","",'Arrear Sheet'!F68))</f>
        <v>4851</v>
      </c>
      <c r="F68" s="136">
        <f>IF('Arrear Sheet'!G68="","",IF('Arrear Sheet'!C68="TOTAL","",SUM(C68:E68)))</f>
        <v>77077</v>
      </c>
      <c r="G68" s="136">
        <f>IF('Arrear Sheet'!H68="","",IF('Arrear Sheet'!C68="TOTAL","",'Arrear Sheet'!H68))</f>
        <v>52300</v>
      </c>
      <c r="H68" s="136">
        <f>IF('Arrear Sheet'!I68="","",IF('Arrear Sheet'!C68="TOTAL","",'Arrear Sheet'!I68))</f>
        <v>17782</v>
      </c>
      <c r="I68" s="136">
        <f>IF('Arrear Sheet'!J68="","",IF('Arrear Sheet'!C68="TOTAL","",'Arrear Sheet'!J68))</f>
        <v>4707</v>
      </c>
      <c r="J68" s="136">
        <f>IF('Arrear Sheet'!K68="","",IF('Arrear Sheet'!C68="TOTAL","",SUM(G68:I68)))</f>
        <v>74789</v>
      </c>
      <c r="K68" s="136">
        <f>IF('Arrear Sheet'!L68="","",IF('Arrear Sheet'!C68="TOTAL","",'Arrear Sheet'!L68))</f>
        <v>1600</v>
      </c>
      <c r="L68" s="136">
        <f>IF('Arrear Sheet'!M68="","",IF('Arrear Sheet'!C68="TOTAL","",'Arrear Sheet'!M68))</f>
        <v>544</v>
      </c>
      <c r="M68" s="136">
        <f>IF('Arrear Sheet'!N68="","",IF('Arrear Sheet'!C68="TOTAL","",'Arrear Sheet'!N68))</f>
        <v>144</v>
      </c>
      <c r="N68" s="136">
        <f>IF('Arrear Sheet'!O68="","",IF('Arrear Sheet'!C68="TOTAL","",SUM(K68:M68)))</f>
        <v>2288</v>
      </c>
      <c r="O68" s="136">
        <f>IF('Arrear Sheet'!P68="","",IF('Arrear Sheet'!C68="TOTAL","",'Arrear Sheet'!P68))</f>
        <v>7223</v>
      </c>
      <c r="P68" s="136">
        <f>IF('Arrear Sheet'!Q68="","",IF('Arrear Sheet'!C68="TOTAL","",'Arrear Sheet'!Q68))</f>
        <v>7008</v>
      </c>
      <c r="Q68" s="136">
        <f>IF('Arrear Sheet'!R68="","",IF('Arrear Sheet'!C68="TOTAL","",'Arrear Sheet'!R68))</f>
        <v>215</v>
      </c>
      <c r="R68" s="136">
        <f>IF('Arrear Sheet'!S68="","",IF('Arrear Sheet'!C68="TOTAL","",'Arrear Sheet'!S68))</f>
        <v>2100</v>
      </c>
      <c r="S68" s="136">
        <f>IF('Arrear Sheet'!T68="","",IF('Arrear Sheet'!C68="TOTAL","",'Arrear Sheet'!T68))</f>
        <v>2100</v>
      </c>
      <c r="T68" s="136">
        <f>IF('Arrear Sheet'!U68="","",IF('Arrear Sheet'!C68="TOTAL","",'Arrear Sheet'!U68))</f>
        <v>0</v>
      </c>
      <c r="U68" s="136" t="str">
        <f>IF('Arrear Sheet'!V68="","",IF('Arrear Sheet'!C68="TOTAL","",'Arrear Sheet'!V68))</f>
        <v/>
      </c>
      <c r="V68" s="136" t="str">
        <f>IF('Arrear Sheet'!W68="","",IF('Arrear Sheet'!C68="TOTAL","",'Arrear Sheet'!W68))</f>
        <v/>
      </c>
      <c r="W68" s="136" t="str">
        <f>IF('Arrear Sheet'!X68="","",IF('Arrear Sheet'!C68="TOTAL","",'Arrear Sheet'!X68))</f>
        <v/>
      </c>
      <c r="X68" s="136">
        <f>IF('Arrear Sheet'!Y68="","",IF('Arrear Sheet'!C68="TOTAL","",'Arrear Sheet'!Y68))</f>
        <v>48</v>
      </c>
      <c r="Y68" s="136">
        <f>IF('Arrear Sheet'!Z68="","",IF('Arrear Sheet'!C68="TOTAL","",'Arrear Sheet'!Z68))</f>
        <v>0</v>
      </c>
      <c r="Z68" s="136">
        <f>IF('Arrear Sheet'!AA68="","",IF('Arrear Sheet'!C68="TOTAL","",'Arrear Sheet'!AA68))</f>
        <v>48</v>
      </c>
      <c r="AA68" s="24">
        <f>IF('Arrear Sheet'!AB68="","",IF('Arrear Sheet'!C68="TOTAL","",SUM(N68-Z68)))</f>
        <v>2240</v>
      </c>
      <c r="AB68" s="41"/>
      <c r="AC68" s="41"/>
      <c r="AE68" s="132"/>
      <c r="AF68" s="132"/>
      <c r="AG68" s="132"/>
      <c r="AH68" s="132"/>
      <c r="AI68" s="132"/>
      <c r="AJ68" s="132"/>
    </row>
    <row r="69" spans="1:36" s="28" customFormat="1" ht="21" customHeight="1">
      <c r="A69" s="22">
        <f>IF('Arrear Sheet'!B69="","",'Arrear Sheet'!B69)</f>
        <v>62</v>
      </c>
      <c r="B69" s="23">
        <f>IF('Arrear Sheet'!C69="","",IF('Arrear Sheet'!C69="TOTAL","",'Arrear Sheet'!C69))</f>
        <v>44593</v>
      </c>
      <c r="C69" s="136">
        <f>IF('Arrear Sheet'!D69="","",IF('Arrear Sheet'!C69="TOTAL","",IF('Arrear Sheet'!D69="अक्षरें राशि :-","",'Arrear Sheet'!D69)))</f>
        <v>53900</v>
      </c>
      <c r="D69" s="136">
        <f>IF('Arrear Sheet'!E69="","",IF('Arrear Sheet'!C69="TOTAL","",'Arrear Sheet'!E69))</f>
        <v>18326</v>
      </c>
      <c r="E69" s="136">
        <f>IF('Arrear Sheet'!F69="","",IF('Arrear Sheet'!C69="TOTAL","",'Arrear Sheet'!F69))</f>
        <v>4851</v>
      </c>
      <c r="F69" s="136">
        <f>IF('Arrear Sheet'!G69="","",IF('Arrear Sheet'!C69="TOTAL","",SUM(C69:E69)))</f>
        <v>77077</v>
      </c>
      <c r="G69" s="136">
        <f>IF('Arrear Sheet'!H69="","",IF('Arrear Sheet'!C69="TOTAL","",'Arrear Sheet'!H69))</f>
        <v>52300</v>
      </c>
      <c r="H69" s="136">
        <f>IF('Arrear Sheet'!I69="","",IF('Arrear Sheet'!C69="TOTAL","",'Arrear Sheet'!I69))</f>
        <v>17782</v>
      </c>
      <c r="I69" s="136">
        <f>IF('Arrear Sheet'!J69="","",IF('Arrear Sheet'!C69="TOTAL","",'Arrear Sheet'!J69))</f>
        <v>4707</v>
      </c>
      <c r="J69" s="136">
        <f>IF('Arrear Sheet'!K69="","",IF('Arrear Sheet'!C69="TOTAL","",SUM(G69:I69)))</f>
        <v>74789</v>
      </c>
      <c r="K69" s="136">
        <f>IF('Arrear Sheet'!L69="","",IF('Arrear Sheet'!C69="TOTAL","",'Arrear Sheet'!L69))</f>
        <v>1600</v>
      </c>
      <c r="L69" s="136">
        <f>IF('Arrear Sheet'!M69="","",IF('Arrear Sheet'!C69="TOTAL","",'Arrear Sheet'!M69))</f>
        <v>544</v>
      </c>
      <c r="M69" s="136">
        <f>IF('Arrear Sheet'!N69="","",IF('Arrear Sheet'!C69="TOTAL","",'Arrear Sheet'!N69))</f>
        <v>144</v>
      </c>
      <c r="N69" s="136">
        <f>IF('Arrear Sheet'!O69="","",IF('Arrear Sheet'!C69="TOTAL","",SUM(K69:M69)))</f>
        <v>2288</v>
      </c>
      <c r="O69" s="136">
        <f>IF('Arrear Sheet'!P69="","",IF('Arrear Sheet'!C69="TOTAL","",'Arrear Sheet'!P69))</f>
        <v>7223</v>
      </c>
      <c r="P69" s="136">
        <f>IF('Arrear Sheet'!Q69="","",IF('Arrear Sheet'!C69="TOTAL","",'Arrear Sheet'!Q69))</f>
        <v>7008</v>
      </c>
      <c r="Q69" s="136">
        <f>IF('Arrear Sheet'!R69="","",IF('Arrear Sheet'!C69="TOTAL","",'Arrear Sheet'!R69))</f>
        <v>215</v>
      </c>
      <c r="R69" s="136">
        <f>IF('Arrear Sheet'!S69="","",IF('Arrear Sheet'!C69="TOTAL","",'Arrear Sheet'!S69))</f>
        <v>2100</v>
      </c>
      <c r="S69" s="136">
        <f>IF('Arrear Sheet'!T69="","",IF('Arrear Sheet'!C69="TOTAL","",'Arrear Sheet'!T69))</f>
        <v>2100</v>
      </c>
      <c r="T69" s="136">
        <f>IF('Arrear Sheet'!U69="","",IF('Arrear Sheet'!C69="TOTAL","",'Arrear Sheet'!U69))</f>
        <v>0</v>
      </c>
      <c r="U69" s="136" t="str">
        <f>IF('Arrear Sheet'!V69="","",IF('Arrear Sheet'!C69="TOTAL","",'Arrear Sheet'!V69))</f>
        <v/>
      </c>
      <c r="V69" s="136" t="str">
        <f>IF('Arrear Sheet'!W69="","",IF('Arrear Sheet'!C69="TOTAL","",'Arrear Sheet'!W69))</f>
        <v/>
      </c>
      <c r="W69" s="136" t="str">
        <f>IF('Arrear Sheet'!X69="","",IF('Arrear Sheet'!C69="TOTAL","",'Arrear Sheet'!X69))</f>
        <v/>
      </c>
      <c r="X69" s="136">
        <f>IF('Arrear Sheet'!Y69="","",IF('Arrear Sheet'!C69="TOTAL","",'Arrear Sheet'!Y69))</f>
        <v>48</v>
      </c>
      <c r="Y69" s="136">
        <f>IF('Arrear Sheet'!Z69="","",IF('Arrear Sheet'!C69="TOTAL","",'Arrear Sheet'!Z69))</f>
        <v>0</v>
      </c>
      <c r="Z69" s="136">
        <f>IF('Arrear Sheet'!AA69="","",IF('Arrear Sheet'!C69="TOTAL","",'Arrear Sheet'!AA69))</f>
        <v>48</v>
      </c>
      <c r="AA69" s="24">
        <f>IF('Arrear Sheet'!AB69="","",IF('Arrear Sheet'!C69="TOTAL","",SUM(N69-Z69)))</f>
        <v>2240</v>
      </c>
      <c r="AB69" s="41"/>
      <c r="AC69" s="41"/>
      <c r="AE69" s="132"/>
      <c r="AF69" s="132"/>
      <c r="AG69" s="132"/>
      <c r="AH69" s="132"/>
      <c r="AI69" s="132"/>
      <c r="AJ69" s="132"/>
    </row>
    <row r="70" spans="1:36" s="28" customFormat="1" ht="21" customHeight="1">
      <c r="A70" s="22">
        <f>IF('Arrear Sheet'!B70="","",'Arrear Sheet'!B70)</f>
        <v>63</v>
      </c>
      <c r="B70" s="23">
        <f>IF('Arrear Sheet'!C70="","",IF('Arrear Sheet'!C70="TOTAL","",'Arrear Sheet'!C70))</f>
        <v>44621</v>
      </c>
      <c r="C70" s="136">
        <f>IF('Arrear Sheet'!D70="","",IF('Arrear Sheet'!C70="TOTAL","",IF('Arrear Sheet'!D70="अक्षरें राशि :-","",'Arrear Sheet'!D70)))</f>
        <v>53900</v>
      </c>
      <c r="D70" s="136">
        <f>IF('Arrear Sheet'!E70="","",IF('Arrear Sheet'!C70="TOTAL","",'Arrear Sheet'!E70))</f>
        <v>18326</v>
      </c>
      <c r="E70" s="136">
        <f>IF('Arrear Sheet'!F70="","",IF('Arrear Sheet'!C70="TOTAL","",'Arrear Sheet'!F70))</f>
        <v>4851</v>
      </c>
      <c r="F70" s="136">
        <f>IF('Arrear Sheet'!G70="","",IF('Arrear Sheet'!C70="TOTAL","",SUM(C70:E70)))</f>
        <v>77077</v>
      </c>
      <c r="G70" s="136">
        <f>IF('Arrear Sheet'!H70="","",IF('Arrear Sheet'!C70="TOTAL","",'Arrear Sheet'!H70))</f>
        <v>52300</v>
      </c>
      <c r="H70" s="136">
        <f>IF('Arrear Sheet'!I70="","",IF('Arrear Sheet'!C70="TOTAL","",'Arrear Sheet'!I70))</f>
        <v>17782</v>
      </c>
      <c r="I70" s="136">
        <f>IF('Arrear Sheet'!J70="","",IF('Arrear Sheet'!C70="TOTAL","",'Arrear Sheet'!J70))</f>
        <v>4707</v>
      </c>
      <c r="J70" s="136">
        <f>IF('Arrear Sheet'!K70="","",IF('Arrear Sheet'!C70="TOTAL","",SUM(G70:I70)))</f>
        <v>74789</v>
      </c>
      <c r="K70" s="136">
        <f>IF('Arrear Sheet'!L70="","",IF('Arrear Sheet'!C70="TOTAL","",'Arrear Sheet'!L70))</f>
        <v>1600</v>
      </c>
      <c r="L70" s="136">
        <f>IF('Arrear Sheet'!M70="","",IF('Arrear Sheet'!C70="TOTAL","",'Arrear Sheet'!M70))</f>
        <v>544</v>
      </c>
      <c r="M70" s="136">
        <f>IF('Arrear Sheet'!N70="","",IF('Arrear Sheet'!C70="TOTAL","",'Arrear Sheet'!N70))</f>
        <v>144</v>
      </c>
      <c r="N70" s="136">
        <f>IF('Arrear Sheet'!O70="","",IF('Arrear Sheet'!C70="TOTAL","",SUM(K70:M70)))</f>
        <v>2288</v>
      </c>
      <c r="O70" s="136">
        <f>IF('Arrear Sheet'!P70="","",IF('Arrear Sheet'!C70="TOTAL","",'Arrear Sheet'!P70))</f>
        <v>7223</v>
      </c>
      <c r="P70" s="136">
        <f>IF('Arrear Sheet'!Q70="","",IF('Arrear Sheet'!C70="TOTAL","",'Arrear Sheet'!Q70))</f>
        <v>7008</v>
      </c>
      <c r="Q70" s="136">
        <f>IF('Arrear Sheet'!R70="","",IF('Arrear Sheet'!C70="TOTAL","",'Arrear Sheet'!R70))</f>
        <v>215</v>
      </c>
      <c r="R70" s="136">
        <f>IF('Arrear Sheet'!S70="","",IF('Arrear Sheet'!C70="TOTAL","",'Arrear Sheet'!S70))</f>
        <v>2100</v>
      </c>
      <c r="S70" s="136">
        <f>IF('Arrear Sheet'!T70="","",IF('Arrear Sheet'!C70="TOTAL","",'Arrear Sheet'!T70))</f>
        <v>2100</v>
      </c>
      <c r="T70" s="136">
        <f>IF('Arrear Sheet'!U70="","",IF('Arrear Sheet'!C70="TOTAL","",'Arrear Sheet'!U70))</f>
        <v>0</v>
      </c>
      <c r="U70" s="136" t="str">
        <f>IF('Arrear Sheet'!V70="","",IF('Arrear Sheet'!C70="TOTAL","",'Arrear Sheet'!V70))</f>
        <v/>
      </c>
      <c r="V70" s="136" t="str">
        <f>IF('Arrear Sheet'!W70="","",IF('Arrear Sheet'!C70="TOTAL","",'Arrear Sheet'!W70))</f>
        <v/>
      </c>
      <c r="W70" s="136" t="str">
        <f>IF('Arrear Sheet'!X70="","",IF('Arrear Sheet'!C70="TOTAL","",'Arrear Sheet'!X70))</f>
        <v/>
      </c>
      <c r="X70" s="136">
        <f>IF('Arrear Sheet'!Y70="","",IF('Arrear Sheet'!C70="TOTAL","",'Arrear Sheet'!Y70))</f>
        <v>48</v>
      </c>
      <c r="Y70" s="136">
        <f>IF('Arrear Sheet'!Z70="","",IF('Arrear Sheet'!C70="TOTAL","",'Arrear Sheet'!Z70))</f>
        <v>0</v>
      </c>
      <c r="Z70" s="136">
        <f>IF('Arrear Sheet'!AA70="","",IF('Arrear Sheet'!C70="TOTAL","",'Arrear Sheet'!AA70))</f>
        <v>48</v>
      </c>
      <c r="AA70" s="24">
        <f>IF('Arrear Sheet'!AB70="","",IF('Arrear Sheet'!C70="TOTAL","",SUM(N70-Z70)))</f>
        <v>2240</v>
      </c>
      <c r="AB70" s="41"/>
      <c r="AC70" s="41"/>
      <c r="AE70" s="132"/>
      <c r="AF70" s="132"/>
      <c r="AG70" s="132"/>
      <c r="AH70" s="132"/>
      <c r="AI70" s="132"/>
      <c r="AJ70" s="132"/>
    </row>
    <row r="71" spans="1:36" s="28" customFormat="1" ht="21" customHeight="1">
      <c r="A71" s="22">
        <f>IF('Arrear Sheet'!B71="","",'Arrear Sheet'!B71)</f>
        <v>64</v>
      </c>
      <c r="B71" s="23">
        <f>IF('Arrear Sheet'!C71="","",IF('Arrear Sheet'!C71="TOTAL","",'Arrear Sheet'!C71))</f>
        <v>44652</v>
      </c>
      <c r="C71" s="136">
        <f>IF('Arrear Sheet'!D71="","",IF('Arrear Sheet'!C71="TOTAL","",IF('Arrear Sheet'!D71="अक्षरें राशि :-","",'Arrear Sheet'!D71)))</f>
        <v>53900</v>
      </c>
      <c r="D71" s="136">
        <f>IF('Arrear Sheet'!E71="","",IF('Arrear Sheet'!C71="TOTAL","",'Arrear Sheet'!E71))</f>
        <v>18326</v>
      </c>
      <c r="E71" s="136">
        <f>IF('Arrear Sheet'!F71="","",IF('Arrear Sheet'!C71="TOTAL","",'Arrear Sheet'!F71))</f>
        <v>4851</v>
      </c>
      <c r="F71" s="136">
        <f>IF('Arrear Sheet'!G71="","",IF('Arrear Sheet'!C71="TOTAL","",SUM(C71:E71)))</f>
        <v>77077</v>
      </c>
      <c r="G71" s="136">
        <f>IF('Arrear Sheet'!H71="","",IF('Arrear Sheet'!C71="TOTAL","",'Arrear Sheet'!H71))</f>
        <v>52300</v>
      </c>
      <c r="H71" s="136">
        <f>IF('Arrear Sheet'!I71="","",IF('Arrear Sheet'!C71="TOTAL","",'Arrear Sheet'!I71))</f>
        <v>17782</v>
      </c>
      <c r="I71" s="136">
        <f>IF('Arrear Sheet'!J71="","",IF('Arrear Sheet'!C71="TOTAL","",'Arrear Sheet'!J71))</f>
        <v>4707</v>
      </c>
      <c r="J71" s="136">
        <f>IF('Arrear Sheet'!K71="","",IF('Arrear Sheet'!C71="TOTAL","",SUM(G71:I71)))</f>
        <v>74789</v>
      </c>
      <c r="K71" s="136">
        <f>IF('Arrear Sheet'!L71="","",IF('Arrear Sheet'!C71="TOTAL","",'Arrear Sheet'!L71))</f>
        <v>1600</v>
      </c>
      <c r="L71" s="136">
        <f>IF('Arrear Sheet'!M71="","",IF('Arrear Sheet'!C71="TOTAL","",'Arrear Sheet'!M71))</f>
        <v>544</v>
      </c>
      <c r="M71" s="136">
        <f>IF('Arrear Sheet'!N71="","",IF('Arrear Sheet'!C71="TOTAL","",'Arrear Sheet'!N71))</f>
        <v>144</v>
      </c>
      <c r="N71" s="136">
        <f>IF('Arrear Sheet'!O71="","",IF('Arrear Sheet'!C71="TOTAL","",SUM(K71:M71)))</f>
        <v>2288</v>
      </c>
      <c r="O71" s="136">
        <f>IF('Arrear Sheet'!P71="","",IF('Arrear Sheet'!C71="TOTAL","",'Arrear Sheet'!P71))</f>
        <v>2100</v>
      </c>
      <c r="P71" s="136">
        <f>IF('Arrear Sheet'!Q71="","",IF('Arrear Sheet'!C71="TOTAL","",'Arrear Sheet'!Q71))</f>
        <v>2100</v>
      </c>
      <c r="Q71" s="136">
        <f>IF('Arrear Sheet'!R71="","",IF('Arrear Sheet'!C71="TOTAL","",'Arrear Sheet'!R71))</f>
        <v>0</v>
      </c>
      <c r="R71" s="136">
        <f>IF('Arrear Sheet'!S71="","",IF('Arrear Sheet'!C71="TOTAL","",'Arrear Sheet'!S71))</f>
        <v>2100</v>
      </c>
      <c r="S71" s="136">
        <f>IF('Arrear Sheet'!T71="","",IF('Arrear Sheet'!C71="TOTAL","",'Arrear Sheet'!T71))</f>
        <v>2100</v>
      </c>
      <c r="T71" s="136">
        <f>IF('Arrear Sheet'!U71="","",IF('Arrear Sheet'!C71="TOTAL","",'Arrear Sheet'!U71))</f>
        <v>0</v>
      </c>
      <c r="U71" s="136" t="str">
        <f>IF('Arrear Sheet'!V71="","",IF('Arrear Sheet'!C71="TOTAL","",'Arrear Sheet'!V71))</f>
        <v/>
      </c>
      <c r="V71" s="136" t="str">
        <f>IF('Arrear Sheet'!W71="","",IF('Arrear Sheet'!C71="TOTAL","",'Arrear Sheet'!W71))</f>
        <v/>
      </c>
      <c r="W71" s="136" t="str">
        <f>IF('Arrear Sheet'!X71="","",IF('Arrear Sheet'!C71="TOTAL","",'Arrear Sheet'!X71))</f>
        <v/>
      </c>
      <c r="X71" s="136" t="str">
        <f>IF('Arrear Sheet'!Y71="","",IF('Arrear Sheet'!C71="TOTAL","",'Arrear Sheet'!Y71))</f>
        <v/>
      </c>
      <c r="Y71" s="136">
        <f>IF('Arrear Sheet'!Z71="","",IF('Arrear Sheet'!C71="TOTAL","",'Arrear Sheet'!Z71))</f>
        <v>0</v>
      </c>
      <c r="Z71" s="136">
        <f>IF('Arrear Sheet'!AA71="","",IF('Arrear Sheet'!C71="TOTAL","",'Arrear Sheet'!AA71))</f>
        <v>0</v>
      </c>
      <c r="AA71" s="24">
        <f>IF('Arrear Sheet'!AB71="","",IF('Arrear Sheet'!C71="TOTAL","",SUM(N71-Z71)))</f>
        <v>2288</v>
      </c>
      <c r="AB71" s="41"/>
      <c r="AC71" s="41"/>
      <c r="AE71" s="132"/>
      <c r="AF71" s="132"/>
      <c r="AG71" s="132"/>
      <c r="AH71" s="132"/>
      <c r="AI71" s="132"/>
      <c r="AJ71" s="132"/>
    </row>
    <row r="72" spans="1:36" s="28" customFormat="1" ht="21" customHeight="1">
      <c r="A72" s="22">
        <f>IF('Arrear Sheet'!B72="","",'Arrear Sheet'!B72)</f>
        <v>65</v>
      </c>
      <c r="B72" s="23">
        <f>IF('Arrear Sheet'!C72="","",IF('Arrear Sheet'!C72="TOTAL","",'Arrear Sheet'!C72))</f>
        <v>44682</v>
      </c>
      <c r="C72" s="136">
        <f>IF('Arrear Sheet'!D72="","",IF('Arrear Sheet'!C72="TOTAL","",IF('Arrear Sheet'!D72="अक्षरें राशि :-","",'Arrear Sheet'!D72)))</f>
        <v>53900</v>
      </c>
      <c r="D72" s="136">
        <f>IF('Arrear Sheet'!E72="","",IF('Arrear Sheet'!C72="TOTAL","",'Arrear Sheet'!E72))</f>
        <v>18326</v>
      </c>
      <c r="E72" s="136">
        <f>IF('Arrear Sheet'!F72="","",IF('Arrear Sheet'!C72="TOTAL","",'Arrear Sheet'!F72))</f>
        <v>4851</v>
      </c>
      <c r="F72" s="136">
        <f>IF('Arrear Sheet'!G72="","",IF('Arrear Sheet'!C72="TOTAL","",SUM(C72:E72)))</f>
        <v>77077</v>
      </c>
      <c r="G72" s="136">
        <f>IF('Arrear Sheet'!H72="","",IF('Arrear Sheet'!C72="TOTAL","",'Arrear Sheet'!H72))</f>
        <v>52300</v>
      </c>
      <c r="H72" s="136">
        <f>IF('Arrear Sheet'!I72="","",IF('Arrear Sheet'!C72="TOTAL","",'Arrear Sheet'!I72))</f>
        <v>17782</v>
      </c>
      <c r="I72" s="136">
        <f>IF('Arrear Sheet'!J72="","",IF('Arrear Sheet'!C72="TOTAL","",'Arrear Sheet'!J72))</f>
        <v>4707</v>
      </c>
      <c r="J72" s="136">
        <f>IF('Arrear Sheet'!K72="","",IF('Arrear Sheet'!C72="TOTAL","",SUM(G72:I72)))</f>
        <v>74789</v>
      </c>
      <c r="K72" s="136">
        <f>IF('Arrear Sheet'!L72="","",IF('Arrear Sheet'!C72="TOTAL","",'Arrear Sheet'!L72))</f>
        <v>1600</v>
      </c>
      <c r="L72" s="136">
        <f>IF('Arrear Sheet'!M72="","",IF('Arrear Sheet'!C72="TOTAL","",'Arrear Sheet'!M72))</f>
        <v>544</v>
      </c>
      <c r="M72" s="136">
        <f>IF('Arrear Sheet'!N72="","",IF('Arrear Sheet'!C72="TOTAL","",'Arrear Sheet'!N72))</f>
        <v>144</v>
      </c>
      <c r="N72" s="136">
        <f>IF('Arrear Sheet'!O72="","",IF('Arrear Sheet'!C72="TOTAL","",SUM(K72:M72)))</f>
        <v>2288</v>
      </c>
      <c r="O72" s="136">
        <f>IF('Arrear Sheet'!P72="","",IF('Arrear Sheet'!C72="TOTAL","",'Arrear Sheet'!P72))</f>
        <v>2100</v>
      </c>
      <c r="P72" s="136">
        <f>IF('Arrear Sheet'!Q72="","",IF('Arrear Sheet'!C72="TOTAL","",'Arrear Sheet'!Q72))</f>
        <v>2100</v>
      </c>
      <c r="Q72" s="136">
        <f>IF('Arrear Sheet'!R72="","",IF('Arrear Sheet'!C72="TOTAL","",'Arrear Sheet'!R72))</f>
        <v>0</v>
      </c>
      <c r="R72" s="136">
        <f>IF('Arrear Sheet'!S72="","",IF('Arrear Sheet'!C72="TOTAL","",'Arrear Sheet'!S72))</f>
        <v>2100</v>
      </c>
      <c r="S72" s="136">
        <f>IF('Arrear Sheet'!T72="","",IF('Arrear Sheet'!C72="TOTAL","",'Arrear Sheet'!T72))</f>
        <v>2100</v>
      </c>
      <c r="T72" s="136">
        <f>IF('Arrear Sheet'!U72="","",IF('Arrear Sheet'!C72="TOTAL","",'Arrear Sheet'!U72))</f>
        <v>0</v>
      </c>
      <c r="U72" s="136" t="str">
        <f>IF('Arrear Sheet'!V72="","",IF('Arrear Sheet'!C72="TOTAL","",'Arrear Sheet'!V72))</f>
        <v/>
      </c>
      <c r="V72" s="136" t="str">
        <f>IF('Arrear Sheet'!W72="","",IF('Arrear Sheet'!C72="TOTAL","",'Arrear Sheet'!W72))</f>
        <v/>
      </c>
      <c r="W72" s="136" t="str">
        <f>IF('Arrear Sheet'!X72="","",IF('Arrear Sheet'!C72="TOTAL","",'Arrear Sheet'!X72))</f>
        <v/>
      </c>
      <c r="X72" s="136" t="str">
        <f>IF('Arrear Sheet'!Y72="","",IF('Arrear Sheet'!C72="TOTAL","",'Arrear Sheet'!Y72))</f>
        <v/>
      </c>
      <c r="Y72" s="136">
        <f>IF('Arrear Sheet'!Z72="","",IF('Arrear Sheet'!C72="TOTAL","",'Arrear Sheet'!Z72))</f>
        <v>0</v>
      </c>
      <c r="Z72" s="136">
        <f>IF('Arrear Sheet'!AA72="","",IF('Arrear Sheet'!C72="TOTAL","",'Arrear Sheet'!AA72))</f>
        <v>0</v>
      </c>
      <c r="AA72" s="24">
        <f>IF('Arrear Sheet'!AB72="","",IF('Arrear Sheet'!C72="TOTAL","",SUM(N72-Z72)))</f>
        <v>2288</v>
      </c>
      <c r="AB72" s="41"/>
      <c r="AC72" s="41"/>
      <c r="AE72" s="132"/>
      <c r="AF72" s="132"/>
      <c r="AG72" s="132"/>
      <c r="AH72" s="132"/>
      <c r="AI72" s="132"/>
      <c r="AJ72" s="132"/>
    </row>
    <row r="73" spans="1:36" s="28" customFormat="1" ht="21" customHeight="1">
      <c r="A73" s="22">
        <f>IF('Arrear Sheet'!B73="","",'Arrear Sheet'!B73)</f>
        <v>66</v>
      </c>
      <c r="B73" s="23">
        <f>IF('Arrear Sheet'!C73="","",IF('Arrear Sheet'!C73="TOTAL","",'Arrear Sheet'!C73))</f>
        <v>44713</v>
      </c>
      <c r="C73" s="136">
        <f>IF('Arrear Sheet'!D73="","",IF('Arrear Sheet'!C73="TOTAL","",IF('Arrear Sheet'!D73="अक्षरें राशि :-","",'Arrear Sheet'!D73)))</f>
        <v>53900</v>
      </c>
      <c r="D73" s="136">
        <f>IF('Arrear Sheet'!E73="","",IF('Arrear Sheet'!C73="TOTAL","",'Arrear Sheet'!E73))</f>
        <v>18326</v>
      </c>
      <c r="E73" s="136">
        <f>IF('Arrear Sheet'!F73="","",IF('Arrear Sheet'!C73="TOTAL","",'Arrear Sheet'!F73))</f>
        <v>4851</v>
      </c>
      <c r="F73" s="136">
        <f>IF('Arrear Sheet'!G73="","",IF('Arrear Sheet'!C73="TOTAL","",SUM(C73:E73)))</f>
        <v>77077</v>
      </c>
      <c r="G73" s="136">
        <f>IF('Arrear Sheet'!H73="","",IF('Arrear Sheet'!C73="TOTAL","",'Arrear Sheet'!H73))</f>
        <v>52300</v>
      </c>
      <c r="H73" s="136">
        <f>IF('Arrear Sheet'!I73="","",IF('Arrear Sheet'!C73="TOTAL","",'Arrear Sheet'!I73))</f>
        <v>17782</v>
      </c>
      <c r="I73" s="136">
        <f>IF('Arrear Sheet'!J73="","",IF('Arrear Sheet'!C73="TOTAL","",'Arrear Sheet'!J73))</f>
        <v>4707</v>
      </c>
      <c r="J73" s="136">
        <f>IF('Arrear Sheet'!K73="","",IF('Arrear Sheet'!C73="TOTAL","",SUM(G73:I73)))</f>
        <v>74789</v>
      </c>
      <c r="K73" s="136">
        <f>IF('Arrear Sheet'!L73="","",IF('Arrear Sheet'!C73="TOTAL","",'Arrear Sheet'!L73))</f>
        <v>1600</v>
      </c>
      <c r="L73" s="136">
        <f>IF('Arrear Sheet'!M73="","",IF('Arrear Sheet'!C73="TOTAL","",'Arrear Sheet'!M73))</f>
        <v>544</v>
      </c>
      <c r="M73" s="136">
        <f>IF('Arrear Sheet'!N73="","",IF('Arrear Sheet'!C73="TOTAL","",'Arrear Sheet'!N73))</f>
        <v>144</v>
      </c>
      <c r="N73" s="136">
        <f>IF('Arrear Sheet'!O73="","",IF('Arrear Sheet'!C73="TOTAL","",SUM(K73:M73)))</f>
        <v>2288</v>
      </c>
      <c r="O73" s="136">
        <f>IF('Arrear Sheet'!P73="","",IF('Arrear Sheet'!C73="TOTAL","",'Arrear Sheet'!P73))</f>
        <v>2100</v>
      </c>
      <c r="P73" s="136">
        <f>IF('Arrear Sheet'!Q73="","",IF('Arrear Sheet'!C73="TOTAL","",'Arrear Sheet'!Q73))</f>
        <v>2100</v>
      </c>
      <c r="Q73" s="136">
        <f>IF('Arrear Sheet'!R73="","",IF('Arrear Sheet'!C73="TOTAL","",'Arrear Sheet'!R73))</f>
        <v>0</v>
      </c>
      <c r="R73" s="136">
        <f>IF('Arrear Sheet'!S73="","",IF('Arrear Sheet'!C73="TOTAL","",'Arrear Sheet'!S73))</f>
        <v>2100</v>
      </c>
      <c r="S73" s="136">
        <f>IF('Arrear Sheet'!T73="","",IF('Arrear Sheet'!C73="TOTAL","",'Arrear Sheet'!T73))</f>
        <v>2100</v>
      </c>
      <c r="T73" s="136">
        <f>IF('Arrear Sheet'!U73="","",IF('Arrear Sheet'!C73="TOTAL","",'Arrear Sheet'!U73))</f>
        <v>0</v>
      </c>
      <c r="U73" s="136" t="str">
        <f>IF('Arrear Sheet'!V73="","",IF('Arrear Sheet'!C73="TOTAL","",'Arrear Sheet'!V73))</f>
        <v/>
      </c>
      <c r="V73" s="136" t="str">
        <f>IF('Arrear Sheet'!W73="","",IF('Arrear Sheet'!C73="TOTAL","",'Arrear Sheet'!W73))</f>
        <v/>
      </c>
      <c r="W73" s="136" t="str">
        <f>IF('Arrear Sheet'!X73="","",IF('Arrear Sheet'!C73="TOTAL","",'Arrear Sheet'!X73))</f>
        <v/>
      </c>
      <c r="X73" s="136" t="str">
        <f>IF('Arrear Sheet'!Y73="","",IF('Arrear Sheet'!C73="TOTAL","",'Arrear Sheet'!Y73))</f>
        <v/>
      </c>
      <c r="Y73" s="136">
        <f>IF('Arrear Sheet'!Z73="","",IF('Arrear Sheet'!C73="TOTAL","",'Arrear Sheet'!Z73))</f>
        <v>0</v>
      </c>
      <c r="Z73" s="136">
        <f>IF('Arrear Sheet'!AA73="","",IF('Arrear Sheet'!C73="TOTAL","",'Arrear Sheet'!AA73))</f>
        <v>0</v>
      </c>
      <c r="AA73" s="24">
        <f>IF('Arrear Sheet'!AB73="","",IF('Arrear Sheet'!C73="TOTAL","",SUM(N73-Z73)))</f>
        <v>2288</v>
      </c>
      <c r="AB73" s="41"/>
      <c r="AC73" s="41"/>
      <c r="AE73" s="132"/>
      <c r="AF73" s="132"/>
      <c r="AG73" s="132"/>
      <c r="AH73" s="132"/>
      <c r="AI73" s="132"/>
      <c r="AJ73" s="132"/>
    </row>
    <row r="74" spans="1:36" s="28" customFormat="1" ht="21" customHeight="1">
      <c r="A74" s="22" t="str">
        <f>IF('Arrear Sheet'!B74="","",'Arrear Sheet'!B74)</f>
        <v/>
      </c>
      <c r="B74" s="23" t="str">
        <f>IF('Arrear Sheet'!C74="","",IF('Arrear Sheet'!C74="TOTAL","",'Arrear Sheet'!C74))</f>
        <v/>
      </c>
      <c r="C74" s="136" t="str">
        <f>IF('Arrear Sheet'!D74="","",IF('Arrear Sheet'!C74="TOTAL","",IF('Arrear Sheet'!D74="अक्षरें राशि :-","",'Arrear Sheet'!D74)))</f>
        <v/>
      </c>
      <c r="D74" s="136" t="str">
        <f>IF('Arrear Sheet'!E74="","",IF('Arrear Sheet'!C74="TOTAL","",'Arrear Sheet'!E74))</f>
        <v/>
      </c>
      <c r="E74" s="136" t="str">
        <f>IF('Arrear Sheet'!F74="","",IF('Arrear Sheet'!C74="TOTAL","",'Arrear Sheet'!F74))</f>
        <v/>
      </c>
      <c r="F74" s="136" t="str">
        <f>IF('Arrear Sheet'!G74="","",IF('Arrear Sheet'!C74="TOTAL","",SUM(C74:E74)))</f>
        <v/>
      </c>
      <c r="G74" s="136" t="str">
        <f>IF('Arrear Sheet'!H74="","",IF('Arrear Sheet'!C74="TOTAL","",'Arrear Sheet'!H74))</f>
        <v/>
      </c>
      <c r="H74" s="136" t="str">
        <f>IF('Arrear Sheet'!I74="","",IF('Arrear Sheet'!C74="TOTAL","",'Arrear Sheet'!I74))</f>
        <v/>
      </c>
      <c r="I74" s="136" t="str">
        <f>IF('Arrear Sheet'!J74="","",IF('Arrear Sheet'!C74="TOTAL","",'Arrear Sheet'!J74))</f>
        <v/>
      </c>
      <c r="J74" s="136" t="str">
        <f>IF('Arrear Sheet'!K74="","",IF('Arrear Sheet'!C74="TOTAL","",SUM(G74:I74)))</f>
        <v/>
      </c>
      <c r="K74" s="136" t="str">
        <f>IF('Arrear Sheet'!L74="","",IF('Arrear Sheet'!C74="TOTAL","",'Arrear Sheet'!L74))</f>
        <v/>
      </c>
      <c r="L74" s="136" t="str">
        <f>IF('Arrear Sheet'!M74="","",IF('Arrear Sheet'!C74="TOTAL","",'Arrear Sheet'!M74))</f>
        <v/>
      </c>
      <c r="M74" s="136" t="str">
        <f>IF('Arrear Sheet'!N74="","",IF('Arrear Sheet'!C74="TOTAL","",'Arrear Sheet'!N74))</f>
        <v/>
      </c>
      <c r="N74" s="136" t="str">
        <f>IF('Arrear Sheet'!O74="","",IF('Arrear Sheet'!C74="TOTAL","",SUM(K74:M74)))</f>
        <v/>
      </c>
      <c r="O74" s="136" t="str">
        <f>IF('Arrear Sheet'!P74="","",IF('Arrear Sheet'!C74="TOTAL","",'Arrear Sheet'!P74))</f>
        <v/>
      </c>
      <c r="P74" s="136" t="str">
        <f>IF('Arrear Sheet'!Q74="","",IF('Arrear Sheet'!C74="TOTAL","",'Arrear Sheet'!Q74))</f>
        <v/>
      </c>
      <c r="Q74" s="136" t="str">
        <f>IF('Arrear Sheet'!R74="","",IF('Arrear Sheet'!C74="TOTAL","",'Arrear Sheet'!R74))</f>
        <v/>
      </c>
      <c r="R74" s="136" t="str">
        <f>IF('Arrear Sheet'!S74="","",IF('Arrear Sheet'!C74="TOTAL","",'Arrear Sheet'!S74))</f>
        <v/>
      </c>
      <c r="S74" s="136" t="str">
        <f>IF('Arrear Sheet'!T74="","",IF('Arrear Sheet'!C74="TOTAL","",'Arrear Sheet'!T74))</f>
        <v/>
      </c>
      <c r="T74" s="136" t="str">
        <f>IF('Arrear Sheet'!U74="","",IF('Arrear Sheet'!C74="TOTAL","",'Arrear Sheet'!U74))</f>
        <v/>
      </c>
      <c r="U74" s="136" t="str">
        <f>IF('Arrear Sheet'!V74="","",IF('Arrear Sheet'!C74="TOTAL","",'Arrear Sheet'!V74))</f>
        <v/>
      </c>
      <c r="V74" s="136" t="str">
        <f>IF('Arrear Sheet'!W74="","",IF('Arrear Sheet'!C74="TOTAL","",'Arrear Sheet'!W74))</f>
        <v/>
      </c>
      <c r="W74" s="136" t="str">
        <f>IF('Arrear Sheet'!X74="","",IF('Arrear Sheet'!C74="TOTAL","",'Arrear Sheet'!X74))</f>
        <v/>
      </c>
      <c r="X74" s="136" t="str">
        <f>IF('Arrear Sheet'!Y74="","",IF('Arrear Sheet'!C74="TOTAL","",'Arrear Sheet'!Y74))</f>
        <v/>
      </c>
      <c r="Y74" s="136" t="str">
        <f>IF('Arrear Sheet'!Z74="","",IF('Arrear Sheet'!C74="TOTAL","",'Arrear Sheet'!Z74))</f>
        <v/>
      </c>
      <c r="Z74" s="136" t="str">
        <f>IF('Arrear Sheet'!AA74="","",IF('Arrear Sheet'!C74="TOTAL","",'Arrear Sheet'!AA74))</f>
        <v/>
      </c>
      <c r="AA74" s="24" t="str">
        <f>IF('Arrear Sheet'!AB74="","",IF('Arrear Sheet'!C74="TOTAL","",SUM(N74-Z74)))</f>
        <v/>
      </c>
      <c r="AB74" s="41"/>
      <c r="AC74" s="41"/>
      <c r="AE74" s="132"/>
      <c r="AF74" s="132"/>
      <c r="AG74" s="132"/>
      <c r="AH74" s="132"/>
      <c r="AI74" s="132"/>
      <c r="AJ74" s="132"/>
    </row>
    <row r="75" spans="1:36" s="28" customFormat="1" ht="21" customHeight="1">
      <c r="A75" s="22" t="str">
        <f>IF('Arrear Sheet'!B75="","",'Arrear Sheet'!B75)</f>
        <v/>
      </c>
      <c r="B75" s="23" t="str">
        <f>IF('Arrear Sheet'!C75="","",IF('Arrear Sheet'!C75="TOTAL","",'Arrear Sheet'!C75))</f>
        <v/>
      </c>
      <c r="C75" s="136" t="str">
        <f>IF('Arrear Sheet'!D75="","",IF('Arrear Sheet'!C75="TOTAL","",IF('Arrear Sheet'!D75="अक्षरें राशि :-","",'Arrear Sheet'!D75)))</f>
        <v/>
      </c>
      <c r="D75" s="136" t="str">
        <f>IF('Arrear Sheet'!E75="","",IF('Arrear Sheet'!C75="TOTAL","",'Arrear Sheet'!E75))</f>
        <v/>
      </c>
      <c r="E75" s="136" t="str">
        <f>IF('Arrear Sheet'!F75="","",IF('Arrear Sheet'!C75="TOTAL","",'Arrear Sheet'!F75))</f>
        <v/>
      </c>
      <c r="F75" s="136" t="str">
        <f>IF('Arrear Sheet'!G75="","",IF('Arrear Sheet'!C75="TOTAL","",SUM(C75:E75)))</f>
        <v/>
      </c>
      <c r="G75" s="136" t="str">
        <f>IF('Arrear Sheet'!H75="","",IF('Arrear Sheet'!C75="TOTAL","",'Arrear Sheet'!H75))</f>
        <v/>
      </c>
      <c r="H75" s="136" t="str">
        <f>IF('Arrear Sheet'!I75="","",IF('Arrear Sheet'!C75="TOTAL","",'Arrear Sheet'!I75))</f>
        <v/>
      </c>
      <c r="I75" s="136" t="str">
        <f>IF('Arrear Sheet'!J75="","",IF('Arrear Sheet'!C75="TOTAL","",'Arrear Sheet'!J75))</f>
        <v/>
      </c>
      <c r="J75" s="136" t="str">
        <f>IF('Arrear Sheet'!K75="","",IF('Arrear Sheet'!C75="TOTAL","",SUM(G75:I75)))</f>
        <v/>
      </c>
      <c r="K75" s="136" t="str">
        <f>IF('Arrear Sheet'!L75="","",IF('Arrear Sheet'!C75="TOTAL","",'Arrear Sheet'!L75))</f>
        <v/>
      </c>
      <c r="L75" s="136" t="str">
        <f>IF('Arrear Sheet'!M75="","",IF('Arrear Sheet'!C75="TOTAL","",'Arrear Sheet'!M75))</f>
        <v/>
      </c>
      <c r="M75" s="136" t="str">
        <f>IF('Arrear Sheet'!N75="","",IF('Arrear Sheet'!C75="TOTAL","",'Arrear Sheet'!N75))</f>
        <v/>
      </c>
      <c r="N75" s="136" t="str">
        <f>IF('Arrear Sheet'!O75="","",IF('Arrear Sheet'!C75="TOTAL","",SUM(K75:M75)))</f>
        <v/>
      </c>
      <c r="O75" s="136" t="str">
        <f>IF('Arrear Sheet'!P75="","",IF('Arrear Sheet'!C75="TOTAL","",'Arrear Sheet'!P75))</f>
        <v/>
      </c>
      <c r="P75" s="136" t="str">
        <f>IF('Arrear Sheet'!Q75="","",IF('Arrear Sheet'!C75="TOTAL","",'Arrear Sheet'!Q75))</f>
        <v/>
      </c>
      <c r="Q75" s="136" t="str">
        <f>IF('Arrear Sheet'!R75="","",IF('Arrear Sheet'!C75="TOTAL","",'Arrear Sheet'!R75))</f>
        <v/>
      </c>
      <c r="R75" s="136" t="str">
        <f>IF('Arrear Sheet'!S75="","",IF('Arrear Sheet'!C75="TOTAL","",'Arrear Sheet'!S75))</f>
        <v/>
      </c>
      <c r="S75" s="136" t="str">
        <f>IF('Arrear Sheet'!T75="","",IF('Arrear Sheet'!C75="TOTAL","",'Arrear Sheet'!T75))</f>
        <v/>
      </c>
      <c r="T75" s="136" t="str">
        <f>IF('Arrear Sheet'!U75="","",IF('Arrear Sheet'!C75="TOTAL","",'Arrear Sheet'!U75))</f>
        <v/>
      </c>
      <c r="U75" s="136" t="str">
        <f>IF('Arrear Sheet'!V75="","",IF('Arrear Sheet'!C75="TOTAL","",'Arrear Sheet'!V75))</f>
        <v/>
      </c>
      <c r="V75" s="136" t="str">
        <f>IF('Arrear Sheet'!W75="","",IF('Arrear Sheet'!C75="TOTAL","",'Arrear Sheet'!W75))</f>
        <v/>
      </c>
      <c r="W75" s="136" t="str">
        <f>IF('Arrear Sheet'!X75="","",IF('Arrear Sheet'!C75="TOTAL","",'Arrear Sheet'!X75))</f>
        <v/>
      </c>
      <c r="X75" s="136" t="str">
        <f>IF('Arrear Sheet'!Y75="","",IF('Arrear Sheet'!C75="TOTAL","",'Arrear Sheet'!Y75))</f>
        <v/>
      </c>
      <c r="Y75" s="136" t="str">
        <f>IF('Arrear Sheet'!Z75="","",IF('Arrear Sheet'!C75="TOTAL","",'Arrear Sheet'!Z75))</f>
        <v/>
      </c>
      <c r="Z75" s="136" t="str">
        <f>IF('Arrear Sheet'!AA75="","",IF('Arrear Sheet'!C75="TOTAL","",'Arrear Sheet'!AA75))</f>
        <v/>
      </c>
      <c r="AA75" s="24" t="str">
        <f>IF('Arrear Sheet'!AB75="","",IF('Arrear Sheet'!C75="TOTAL","",SUM(N75-Z75)))</f>
        <v/>
      </c>
      <c r="AB75" s="41"/>
      <c r="AC75" s="41"/>
      <c r="AE75" s="132"/>
      <c r="AF75" s="132"/>
      <c r="AG75" s="132"/>
      <c r="AH75" s="132"/>
      <c r="AI75" s="132"/>
      <c r="AJ75" s="132"/>
    </row>
    <row r="76" spans="1:36" s="28" customFormat="1" ht="21" customHeight="1">
      <c r="A76" s="22" t="str">
        <f>IF('Arrear Sheet'!B76="","",'Arrear Sheet'!B76)</f>
        <v/>
      </c>
      <c r="B76" s="23" t="str">
        <f>IF('Arrear Sheet'!C76="","",IF('Arrear Sheet'!C76="TOTAL","",'Arrear Sheet'!C76))</f>
        <v/>
      </c>
      <c r="C76" s="136" t="str">
        <f>IF('Arrear Sheet'!D76="","",IF('Arrear Sheet'!C76="TOTAL","",IF('Arrear Sheet'!D76="अक्षरें राशि :-","",'Arrear Sheet'!D76)))</f>
        <v/>
      </c>
      <c r="D76" s="136" t="str">
        <f>IF('Arrear Sheet'!E76="","",IF('Arrear Sheet'!C76="TOTAL","",'Arrear Sheet'!E76))</f>
        <v/>
      </c>
      <c r="E76" s="136" t="str">
        <f>IF('Arrear Sheet'!F76="","",IF('Arrear Sheet'!C76="TOTAL","",'Arrear Sheet'!F76))</f>
        <v/>
      </c>
      <c r="F76" s="136" t="str">
        <f>IF('Arrear Sheet'!G76="","",IF('Arrear Sheet'!C76="TOTAL","",SUM(C76:E76)))</f>
        <v/>
      </c>
      <c r="G76" s="136" t="str">
        <f>IF('Arrear Sheet'!H76="","",IF('Arrear Sheet'!C76="TOTAL","",'Arrear Sheet'!H76))</f>
        <v/>
      </c>
      <c r="H76" s="136" t="str">
        <f>IF('Arrear Sheet'!I76="","",IF('Arrear Sheet'!C76="TOTAL","",'Arrear Sheet'!I76))</f>
        <v/>
      </c>
      <c r="I76" s="136" t="str">
        <f>IF('Arrear Sheet'!J76="","",IF('Arrear Sheet'!C76="TOTAL","",'Arrear Sheet'!J76))</f>
        <v/>
      </c>
      <c r="J76" s="136" t="str">
        <f>IF('Arrear Sheet'!K76="","",IF('Arrear Sheet'!C76="TOTAL","",SUM(G76:I76)))</f>
        <v/>
      </c>
      <c r="K76" s="136" t="str">
        <f>IF('Arrear Sheet'!L76="","",IF('Arrear Sheet'!C76="TOTAL","",'Arrear Sheet'!L76))</f>
        <v/>
      </c>
      <c r="L76" s="136" t="str">
        <f>IF('Arrear Sheet'!M76="","",IF('Arrear Sheet'!C76="TOTAL","",'Arrear Sheet'!M76))</f>
        <v/>
      </c>
      <c r="M76" s="136" t="str">
        <f>IF('Arrear Sheet'!N76="","",IF('Arrear Sheet'!C76="TOTAL","",'Arrear Sheet'!N76))</f>
        <v/>
      </c>
      <c r="N76" s="136" t="str">
        <f>IF('Arrear Sheet'!O76="","",IF('Arrear Sheet'!C76="TOTAL","",SUM(K76:M76)))</f>
        <v/>
      </c>
      <c r="O76" s="136" t="str">
        <f>IF('Arrear Sheet'!P76="","",IF('Arrear Sheet'!C76="TOTAL","",'Arrear Sheet'!P76))</f>
        <v/>
      </c>
      <c r="P76" s="136" t="str">
        <f>IF('Arrear Sheet'!Q76="","",IF('Arrear Sheet'!C76="TOTAL","",'Arrear Sheet'!Q76))</f>
        <v/>
      </c>
      <c r="Q76" s="136" t="str">
        <f>IF('Arrear Sheet'!R76="","",IF('Arrear Sheet'!C76="TOTAL","",'Arrear Sheet'!R76))</f>
        <v/>
      </c>
      <c r="R76" s="136" t="str">
        <f>IF('Arrear Sheet'!S76="","",IF('Arrear Sheet'!C76="TOTAL","",'Arrear Sheet'!S76))</f>
        <v/>
      </c>
      <c r="S76" s="136" t="str">
        <f>IF('Arrear Sheet'!T76="","",IF('Arrear Sheet'!C76="TOTAL","",'Arrear Sheet'!T76))</f>
        <v/>
      </c>
      <c r="T76" s="136" t="str">
        <f>IF('Arrear Sheet'!U76="","",IF('Arrear Sheet'!C76="TOTAL","",'Arrear Sheet'!U76))</f>
        <v/>
      </c>
      <c r="U76" s="136" t="str">
        <f>IF('Arrear Sheet'!V76="","",IF('Arrear Sheet'!C76="TOTAL","",'Arrear Sheet'!V76))</f>
        <v/>
      </c>
      <c r="V76" s="136" t="str">
        <f>IF('Arrear Sheet'!W76="","",IF('Arrear Sheet'!C76="TOTAL","",'Arrear Sheet'!W76))</f>
        <v/>
      </c>
      <c r="W76" s="136" t="str">
        <f>IF('Arrear Sheet'!X76="","",IF('Arrear Sheet'!C76="TOTAL","",'Arrear Sheet'!X76))</f>
        <v/>
      </c>
      <c r="X76" s="136" t="str">
        <f>IF('Arrear Sheet'!Y76="","",IF('Arrear Sheet'!C76="TOTAL","",'Arrear Sheet'!Y76))</f>
        <v/>
      </c>
      <c r="Y76" s="136" t="str">
        <f>IF('Arrear Sheet'!Z76="","",IF('Arrear Sheet'!C76="TOTAL","",'Arrear Sheet'!Z76))</f>
        <v/>
      </c>
      <c r="Z76" s="136" t="str">
        <f>IF('Arrear Sheet'!AA76="","",IF('Arrear Sheet'!C76="TOTAL","",'Arrear Sheet'!AA76))</f>
        <v/>
      </c>
      <c r="AA76" s="24" t="str">
        <f>IF('Arrear Sheet'!AB76="","",IF('Arrear Sheet'!C76="TOTAL","",SUM(N76-Z76)))</f>
        <v/>
      </c>
      <c r="AB76" s="41"/>
      <c r="AC76" s="41"/>
      <c r="AE76" s="132"/>
      <c r="AF76" s="132"/>
      <c r="AG76" s="132"/>
      <c r="AH76" s="132"/>
      <c r="AI76" s="132"/>
      <c r="AJ76" s="132"/>
    </row>
    <row r="77" spans="1:36" s="28" customFormat="1" ht="21" customHeight="1">
      <c r="A77" s="22" t="str">
        <f>IF('Arrear Sheet'!B77="","",'Arrear Sheet'!B77)</f>
        <v/>
      </c>
      <c r="B77" s="23" t="str">
        <f>IF('Arrear Sheet'!C77="","",IF('Arrear Sheet'!C77="TOTAL","",'Arrear Sheet'!C77))</f>
        <v/>
      </c>
      <c r="C77" s="136" t="str">
        <f>IF('Arrear Sheet'!D77="","",IF('Arrear Sheet'!C77="TOTAL","",IF('Arrear Sheet'!D77="अक्षरें राशि :-","",'Arrear Sheet'!D77)))</f>
        <v/>
      </c>
      <c r="D77" s="136" t="str">
        <f>IF('Arrear Sheet'!E77="","",IF('Arrear Sheet'!C77="TOTAL","",'Arrear Sheet'!E77))</f>
        <v/>
      </c>
      <c r="E77" s="136" t="str">
        <f>IF('Arrear Sheet'!F77="","",IF('Arrear Sheet'!C77="TOTAL","",'Arrear Sheet'!F77))</f>
        <v/>
      </c>
      <c r="F77" s="136" t="str">
        <f>IF('Arrear Sheet'!G77="","",IF('Arrear Sheet'!C77="TOTAL","",SUM(C77:E77)))</f>
        <v/>
      </c>
      <c r="G77" s="136" t="str">
        <f>IF('Arrear Sheet'!H77="","",IF('Arrear Sheet'!C77="TOTAL","",'Arrear Sheet'!H77))</f>
        <v/>
      </c>
      <c r="H77" s="136" t="str">
        <f>IF('Arrear Sheet'!I77="","",IF('Arrear Sheet'!C77="TOTAL","",'Arrear Sheet'!I77))</f>
        <v/>
      </c>
      <c r="I77" s="136" t="str">
        <f>IF('Arrear Sheet'!J77="","",IF('Arrear Sheet'!C77="TOTAL","",'Arrear Sheet'!J77))</f>
        <v/>
      </c>
      <c r="J77" s="136" t="str">
        <f>IF('Arrear Sheet'!K77="","",IF('Arrear Sheet'!C77="TOTAL","",SUM(G77:I77)))</f>
        <v/>
      </c>
      <c r="K77" s="136" t="str">
        <f>IF('Arrear Sheet'!L77="","",IF('Arrear Sheet'!C77="TOTAL","",'Arrear Sheet'!L77))</f>
        <v/>
      </c>
      <c r="L77" s="136" t="str">
        <f>IF('Arrear Sheet'!M77="","",IF('Arrear Sheet'!C77="TOTAL","",'Arrear Sheet'!M77))</f>
        <v/>
      </c>
      <c r="M77" s="136" t="str">
        <f>IF('Arrear Sheet'!N77="","",IF('Arrear Sheet'!C77="TOTAL","",'Arrear Sheet'!N77))</f>
        <v/>
      </c>
      <c r="N77" s="136" t="str">
        <f>IF('Arrear Sheet'!O77="","",IF('Arrear Sheet'!C77="TOTAL","",SUM(K77:M77)))</f>
        <v/>
      </c>
      <c r="O77" s="136" t="str">
        <f>IF('Arrear Sheet'!P77="","",IF('Arrear Sheet'!C77="TOTAL","",'Arrear Sheet'!P77))</f>
        <v/>
      </c>
      <c r="P77" s="136" t="str">
        <f>IF('Arrear Sheet'!Q77="","",IF('Arrear Sheet'!C77="TOTAL","",'Arrear Sheet'!Q77))</f>
        <v/>
      </c>
      <c r="Q77" s="136" t="str">
        <f>IF('Arrear Sheet'!R77="","",IF('Arrear Sheet'!C77="TOTAL","",'Arrear Sheet'!R77))</f>
        <v/>
      </c>
      <c r="R77" s="136" t="str">
        <f>IF('Arrear Sheet'!S77="","",IF('Arrear Sheet'!C77="TOTAL","",'Arrear Sheet'!S77))</f>
        <v/>
      </c>
      <c r="S77" s="136" t="str">
        <f>IF('Arrear Sheet'!T77="","",IF('Arrear Sheet'!C77="TOTAL","",'Arrear Sheet'!T77))</f>
        <v/>
      </c>
      <c r="T77" s="136" t="str">
        <f>IF('Arrear Sheet'!U77="","",IF('Arrear Sheet'!C77="TOTAL","",'Arrear Sheet'!U77))</f>
        <v/>
      </c>
      <c r="U77" s="136" t="str">
        <f>IF('Arrear Sheet'!V77="","",IF('Arrear Sheet'!C77="TOTAL","",'Arrear Sheet'!V77))</f>
        <v/>
      </c>
      <c r="V77" s="136" t="str">
        <f>IF('Arrear Sheet'!W77="","",IF('Arrear Sheet'!C77="TOTAL","",'Arrear Sheet'!W77))</f>
        <v/>
      </c>
      <c r="W77" s="136" t="str">
        <f>IF('Arrear Sheet'!X77="","",IF('Arrear Sheet'!C77="TOTAL","",'Arrear Sheet'!X77))</f>
        <v/>
      </c>
      <c r="X77" s="136" t="str">
        <f>IF('Arrear Sheet'!Y77="","",IF('Arrear Sheet'!C77="TOTAL","",'Arrear Sheet'!Y77))</f>
        <v/>
      </c>
      <c r="Y77" s="136" t="str">
        <f>IF('Arrear Sheet'!Z77="","",IF('Arrear Sheet'!C77="TOTAL","",'Arrear Sheet'!Z77))</f>
        <v/>
      </c>
      <c r="Z77" s="136" t="str">
        <f>IF('Arrear Sheet'!AA77="","",IF('Arrear Sheet'!C77="TOTAL","",'Arrear Sheet'!AA77))</f>
        <v/>
      </c>
      <c r="AA77" s="24" t="str">
        <f>IF('Arrear Sheet'!AB77="","",IF('Arrear Sheet'!C77="TOTAL","",SUM(N77-Z77)))</f>
        <v/>
      </c>
      <c r="AB77" s="41"/>
      <c r="AC77" s="41"/>
      <c r="AE77" s="132"/>
      <c r="AF77" s="132"/>
      <c r="AG77" s="132"/>
      <c r="AH77" s="132"/>
      <c r="AI77" s="132"/>
      <c r="AJ77" s="132"/>
    </row>
    <row r="78" spans="1:36" s="28" customFormat="1" ht="21" customHeight="1">
      <c r="A78" s="22" t="str">
        <f>IF('Arrear Sheet'!B78="","",'Arrear Sheet'!B78)</f>
        <v/>
      </c>
      <c r="B78" s="23" t="str">
        <f>IF('Arrear Sheet'!C78="","",IF('Arrear Sheet'!C78="TOTAL","",'Arrear Sheet'!C78))</f>
        <v/>
      </c>
      <c r="C78" s="136" t="str">
        <f>IF('Arrear Sheet'!D78="","",IF('Arrear Sheet'!C78="TOTAL","",IF('Arrear Sheet'!D78="अक्षरें राशि :-","",'Arrear Sheet'!D78)))</f>
        <v/>
      </c>
      <c r="D78" s="136" t="str">
        <f>IF('Arrear Sheet'!E78="","",IF('Arrear Sheet'!C78="TOTAL","",'Arrear Sheet'!E78))</f>
        <v/>
      </c>
      <c r="E78" s="136" t="str">
        <f>IF('Arrear Sheet'!F78="","",IF('Arrear Sheet'!C78="TOTAL","",'Arrear Sheet'!F78))</f>
        <v/>
      </c>
      <c r="F78" s="136" t="str">
        <f>IF('Arrear Sheet'!G78="","",IF('Arrear Sheet'!C78="TOTAL","",SUM(C78:E78)))</f>
        <v/>
      </c>
      <c r="G78" s="136" t="str">
        <f>IF('Arrear Sheet'!H78="","",IF('Arrear Sheet'!C78="TOTAL","",'Arrear Sheet'!H78))</f>
        <v/>
      </c>
      <c r="H78" s="136" t="str">
        <f>IF('Arrear Sheet'!I78="","",IF('Arrear Sheet'!C78="TOTAL","",'Arrear Sheet'!I78))</f>
        <v/>
      </c>
      <c r="I78" s="136" t="str">
        <f>IF('Arrear Sheet'!J78="","",IF('Arrear Sheet'!C78="TOTAL","",'Arrear Sheet'!J78))</f>
        <v/>
      </c>
      <c r="J78" s="136" t="str">
        <f>IF('Arrear Sheet'!K78="","",IF('Arrear Sheet'!C78="TOTAL","",SUM(G78:I78)))</f>
        <v/>
      </c>
      <c r="K78" s="136" t="str">
        <f>IF('Arrear Sheet'!L78="","",IF('Arrear Sheet'!C78="TOTAL","",'Arrear Sheet'!L78))</f>
        <v/>
      </c>
      <c r="L78" s="136" t="str">
        <f>IF('Arrear Sheet'!M78="","",IF('Arrear Sheet'!C78="TOTAL","",'Arrear Sheet'!M78))</f>
        <v/>
      </c>
      <c r="M78" s="136" t="str">
        <f>IF('Arrear Sheet'!N78="","",IF('Arrear Sheet'!C78="TOTAL","",'Arrear Sheet'!N78))</f>
        <v/>
      </c>
      <c r="N78" s="136" t="str">
        <f>IF('Arrear Sheet'!O78="","",IF('Arrear Sheet'!C78="TOTAL","",SUM(K78:M78)))</f>
        <v/>
      </c>
      <c r="O78" s="136" t="str">
        <f>IF('Arrear Sheet'!P78="","",IF('Arrear Sheet'!C78="TOTAL","",'Arrear Sheet'!P78))</f>
        <v/>
      </c>
      <c r="P78" s="136" t="str">
        <f>IF('Arrear Sheet'!Q78="","",IF('Arrear Sheet'!C78="TOTAL","",'Arrear Sheet'!Q78))</f>
        <v/>
      </c>
      <c r="Q78" s="136" t="str">
        <f>IF('Arrear Sheet'!R78="","",IF('Arrear Sheet'!C78="TOTAL","",'Arrear Sheet'!R78))</f>
        <v/>
      </c>
      <c r="R78" s="136" t="str">
        <f>IF('Arrear Sheet'!S78="","",IF('Arrear Sheet'!C78="TOTAL","",'Arrear Sheet'!S78))</f>
        <v/>
      </c>
      <c r="S78" s="136" t="str">
        <f>IF('Arrear Sheet'!T78="","",IF('Arrear Sheet'!C78="TOTAL","",'Arrear Sheet'!T78))</f>
        <v/>
      </c>
      <c r="T78" s="136" t="str">
        <f>IF('Arrear Sheet'!U78="","",IF('Arrear Sheet'!C78="TOTAL","",'Arrear Sheet'!U78))</f>
        <v/>
      </c>
      <c r="U78" s="136" t="str">
        <f>IF('Arrear Sheet'!V78="","",IF('Arrear Sheet'!C78="TOTAL","",'Arrear Sheet'!V78))</f>
        <v/>
      </c>
      <c r="V78" s="136" t="str">
        <f>IF('Arrear Sheet'!W78="","",IF('Arrear Sheet'!C78="TOTAL","",'Arrear Sheet'!W78))</f>
        <v/>
      </c>
      <c r="W78" s="136" t="str">
        <f>IF('Arrear Sheet'!X78="","",IF('Arrear Sheet'!C78="TOTAL","",'Arrear Sheet'!X78))</f>
        <v/>
      </c>
      <c r="X78" s="136" t="str">
        <f>IF('Arrear Sheet'!Y78="","",IF('Arrear Sheet'!C78="TOTAL","",'Arrear Sheet'!Y78))</f>
        <v/>
      </c>
      <c r="Y78" s="136" t="str">
        <f>IF('Arrear Sheet'!Z78="","",IF('Arrear Sheet'!C78="TOTAL","",'Arrear Sheet'!Z78))</f>
        <v/>
      </c>
      <c r="Z78" s="136" t="str">
        <f>IF('Arrear Sheet'!AA78="","",IF('Arrear Sheet'!C78="TOTAL","",'Arrear Sheet'!AA78))</f>
        <v/>
      </c>
      <c r="AA78" s="24" t="str">
        <f>IF('Arrear Sheet'!AB78="","",IF('Arrear Sheet'!C78="TOTAL","",SUM(N78-Z78)))</f>
        <v/>
      </c>
      <c r="AB78" s="41"/>
      <c r="AC78" s="41"/>
      <c r="AE78" s="132"/>
      <c r="AF78" s="132"/>
      <c r="AG78" s="132"/>
      <c r="AH78" s="132"/>
      <c r="AI78" s="132"/>
      <c r="AJ78" s="132"/>
    </row>
    <row r="79" spans="1:36" s="28" customFormat="1" ht="21" customHeight="1">
      <c r="A79" s="22" t="str">
        <f>IF('Arrear Sheet'!B79="","",'Arrear Sheet'!B79)</f>
        <v/>
      </c>
      <c r="B79" s="23" t="str">
        <f>IF('Arrear Sheet'!C79="","",IF('Arrear Sheet'!C79="TOTAL","",'Arrear Sheet'!C79))</f>
        <v/>
      </c>
      <c r="C79" s="136" t="str">
        <f>IF('Arrear Sheet'!D79="","",IF('Arrear Sheet'!C79="TOTAL","",IF('Arrear Sheet'!D79="अक्षरें राशि :-","",'Arrear Sheet'!D79)))</f>
        <v/>
      </c>
      <c r="D79" s="136" t="str">
        <f>IF('Arrear Sheet'!E79="","",IF('Arrear Sheet'!C79="TOTAL","",'Arrear Sheet'!E79))</f>
        <v/>
      </c>
      <c r="E79" s="136" t="str">
        <f>IF('Arrear Sheet'!F79="","",IF('Arrear Sheet'!C79="TOTAL","",'Arrear Sheet'!F79))</f>
        <v/>
      </c>
      <c r="F79" s="136" t="str">
        <f>IF('Arrear Sheet'!G79="","",IF('Arrear Sheet'!C79="TOTAL","",SUM(C79:E79)))</f>
        <v/>
      </c>
      <c r="G79" s="136" t="str">
        <f>IF('Arrear Sheet'!H79="","",IF('Arrear Sheet'!C79="TOTAL","",'Arrear Sheet'!H79))</f>
        <v/>
      </c>
      <c r="H79" s="136" t="str">
        <f>IF('Arrear Sheet'!I79="","",IF('Arrear Sheet'!C79="TOTAL","",'Arrear Sheet'!I79))</f>
        <v/>
      </c>
      <c r="I79" s="136" t="str">
        <f>IF('Arrear Sheet'!J79="","",IF('Arrear Sheet'!C79="TOTAL","",'Arrear Sheet'!J79))</f>
        <v/>
      </c>
      <c r="J79" s="136" t="str">
        <f>IF('Arrear Sheet'!K79="","",IF('Arrear Sheet'!C79="TOTAL","",SUM(G79:I79)))</f>
        <v/>
      </c>
      <c r="K79" s="136" t="str">
        <f>IF('Arrear Sheet'!L79="","",IF('Arrear Sheet'!C79="TOTAL","",'Arrear Sheet'!L79))</f>
        <v/>
      </c>
      <c r="L79" s="136" t="str">
        <f>IF('Arrear Sheet'!M79="","",IF('Arrear Sheet'!C79="TOTAL","",'Arrear Sheet'!M79))</f>
        <v/>
      </c>
      <c r="M79" s="136" t="str">
        <f>IF('Arrear Sheet'!N79="","",IF('Arrear Sheet'!C79="TOTAL","",'Arrear Sheet'!N79))</f>
        <v/>
      </c>
      <c r="N79" s="136" t="str">
        <f>IF('Arrear Sheet'!O79="","",IF('Arrear Sheet'!C79="TOTAL","",SUM(K79:M79)))</f>
        <v/>
      </c>
      <c r="O79" s="136" t="str">
        <f>IF('Arrear Sheet'!P79="","",IF('Arrear Sheet'!C79="TOTAL","",'Arrear Sheet'!P79))</f>
        <v/>
      </c>
      <c r="P79" s="136" t="str">
        <f>IF('Arrear Sheet'!Q79="","",IF('Arrear Sheet'!C79="TOTAL","",'Arrear Sheet'!Q79))</f>
        <v/>
      </c>
      <c r="Q79" s="136" t="str">
        <f>IF('Arrear Sheet'!R79="","",IF('Arrear Sheet'!C79="TOTAL","",'Arrear Sheet'!R79))</f>
        <v/>
      </c>
      <c r="R79" s="136" t="str">
        <f>IF('Arrear Sheet'!S79="","",IF('Arrear Sheet'!C79="TOTAL","",'Arrear Sheet'!S79))</f>
        <v/>
      </c>
      <c r="S79" s="136" t="str">
        <f>IF('Arrear Sheet'!T79="","",IF('Arrear Sheet'!C79="TOTAL","",'Arrear Sheet'!T79))</f>
        <v/>
      </c>
      <c r="T79" s="136" t="str">
        <f>IF('Arrear Sheet'!U79="","",IF('Arrear Sheet'!C79="TOTAL","",'Arrear Sheet'!U79))</f>
        <v/>
      </c>
      <c r="U79" s="136" t="str">
        <f>IF('Arrear Sheet'!V79="","",IF('Arrear Sheet'!C79="TOTAL","",'Arrear Sheet'!V79))</f>
        <v/>
      </c>
      <c r="V79" s="136" t="str">
        <f>IF('Arrear Sheet'!W79="","",IF('Arrear Sheet'!C79="TOTAL","",'Arrear Sheet'!W79))</f>
        <v/>
      </c>
      <c r="W79" s="136" t="str">
        <f>IF('Arrear Sheet'!X79="","",IF('Arrear Sheet'!C79="TOTAL","",'Arrear Sheet'!X79))</f>
        <v/>
      </c>
      <c r="X79" s="136" t="str">
        <f>IF('Arrear Sheet'!Y79="","",IF('Arrear Sheet'!C79="TOTAL","",'Arrear Sheet'!Y79))</f>
        <v/>
      </c>
      <c r="Y79" s="136" t="str">
        <f>IF('Arrear Sheet'!Z79="","",IF('Arrear Sheet'!C79="TOTAL","",'Arrear Sheet'!Z79))</f>
        <v/>
      </c>
      <c r="Z79" s="136" t="str">
        <f>IF('Arrear Sheet'!AA79="","",IF('Arrear Sheet'!C79="TOTAL","",'Arrear Sheet'!AA79))</f>
        <v/>
      </c>
      <c r="AA79" s="24" t="str">
        <f>IF('Arrear Sheet'!AB79="","",IF('Arrear Sheet'!C79="TOTAL","",SUM(N79-Z79)))</f>
        <v/>
      </c>
      <c r="AB79" s="41"/>
      <c r="AC79" s="41"/>
      <c r="AE79" s="132"/>
      <c r="AF79" s="132"/>
      <c r="AG79" s="132"/>
      <c r="AH79" s="132"/>
      <c r="AI79" s="132"/>
      <c r="AJ79" s="132"/>
    </row>
    <row r="80" spans="1:36" s="28" customFormat="1" ht="32.25" customHeight="1">
      <c r="A80" s="239" t="s">
        <v>18</v>
      </c>
      <c r="B80" s="240"/>
      <c r="C80" s="171">
        <f>IF($E$3="","",SUM(C8:C79))</f>
        <v>3312900</v>
      </c>
      <c r="D80" s="171">
        <f t="shared" ref="D80:AA80" si="0">IF($E$3="","",SUM(D8:D79))</f>
        <v>527640</v>
      </c>
      <c r="E80" s="171">
        <f t="shared" si="0"/>
        <v>239004</v>
      </c>
      <c r="F80" s="171">
        <f t="shared" si="0"/>
        <v>4079544</v>
      </c>
      <c r="G80" s="171">
        <f t="shared" si="0"/>
        <v>3216197</v>
      </c>
      <c r="H80" s="171">
        <f t="shared" si="0"/>
        <v>512192</v>
      </c>
      <c r="I80" s="171">
        <f t="shared" si="0"/>
        <v>232044</v>
      </c>
      <c r="J80" s="171">
        <f t="shared" si="0"/>
        <v>3960433</v>
      </c>
      <c r="K80" s="171">
        <f t="shared" si="0"/>
        <v>96703</v>
      </c>
      <c r="L80" s="171">
        <f t="shared" si="0"/>
        <v>15448</v>
      </c>
      <c r="M80" s="171">
        <f t="shared" si="0"/>
        <v>6960</v>
      </c>
      <c r="N80" s="171">
        <f t="shared" si="0"/>
        <v>119111</v>
      </c>
      <c r="O80" s="171">
        <f t="shared" si="0"/>
        <v>368697</v>
      </c>
      <c r="P80" s="171">
        <f t="shared" si="0"/>
        <v>358120</v>
      </c>
      <c r="Q80" s="171">
        <f t="shared" si="0"/>
        <v>10577</v>
      </c>
      <c r="R80" s="171">
        <f t="shared" si="0"/>
        <v>138600</v>
      </c>
      <c r="S80" s="171">
        <f t="shared" si="0"/>
        <v>138600</v>
      </c>
      <c r="T80" s="171">
        <f t="shared" si="0"/>
        <v>0</v>
      </c>
      <c r="U80" s="171">
        <f t="shared" si="0"/>
        <v>9204</v>
      </c>
      <c r="V80" s="171">
        <f t="shared" si="0"/>
        <v>8936</v>
      </c>
      <c r="W80" s="171">
        <f t="shared" si="0"/>
        <v>268</v>
      </c>
      <c r="X80" s="171">
        <f t="shared" si="0"/>
        <v>288</v>
      </c>
      <c r="Y80" s="171">
        <f t="shared" si="0"/>
        <v>0</v>
      </c>
      <c r="Z80" s="171">
        <f t="shared" si="0"/>
        <v>556</v>
      </c>
      <c r="AA80" s="171">
        <f t="shared" si="0"/>
        <v>118555</v>
      </c>
      <c r="AB80" s="29"/>
      <c r="AC80" s="29"/>
      <c r="AE80" s="241"/>
      <c r="AF80" s="242"/>
      <c r="AG80" s="242"/>
      <c r="AH80" s="242"/>
      <c r="AI80" s="242"/>
      <c r="AJ80" s="241"/>
    </row>
    <row r="81" spans="1:36" s="28" customFormat="1" ht="18.75">
      <c r="A81" s="30"/>
      <c r="B81" s="30"/>
      <c r="C81" s="31"/>
      <c r="D81" s="31"/>
      <c r="E81" s="31"/>
      <c r="F81" s="31"/>
      <c r="G81" s="243" t="s">
        <v>41</v>
      </c>
      <c r="H81" s="243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32"/>
      <c r="AE81" s="241"/>
      <c r="AF81" s="242"/>
      <c r="AG81" s="242"/>
      <c r="AH81" s="242"/>
      <c r="AI81" s="242"/>
      <c r="AJ81" s="241"/>
    </row>
    <row r="82" spans="1:36" s="28" customFormat="1" ht="18.75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245"/>
      <c r="V82" s="245"/>
      <c r="W82" s="245"/>
      <c r="X82" s="245"/>
      <c r="Y82" s="245"/>
      <c r="Z82" s="245"/>
      <c r="AA82" s="245"/>
      <c r="AB82" s="245"/>
      <c r="AC82" s="32"/>
      <c r="AE82" s="241"/>
      <c r="AF82" s="242"/>
      <c r="AG82" s="242"/>
      <c r="AH82" s="242"/>
      <c r="AI82" s="242"/>
      <c r="AJ82" s="241"/>
    </row>
    <row r="83" spans="1:36" s="28" customFormat="1" ht="18.75">
      <c r="A83" s="2"/>
      <c r="B83" s="3" t="s">
        <v>35</v>
      </c>
      <c r="C83" s="246"/>
      <c r="D83" s="246"/>
      <c r="E83" s="246"/>
      <c r="F83" s="246"/>
      <c r="G83" s="246"/>
      <c r="H83" s="4"/>
      <c r="I83" s="5" t="s">
        <v>36</v>
      </c>
      <c r="J83" s="247">
        <f ca="1">TODAY()</f>
        <v>44735</v>
      </c>
      <c r="K83" s="247"/>
      <c r="L83" s="31"/>
      <c r="M83" s="31"/>
      <c r="N83" s="31"/>
      <c r="O83" s="31"/>
      <c r="P83" s="31"/>
      <c r="Q83" s="31"/>
      <c r="R83" s="31"/>
      <c r="S83" s="31"/>
      <c r="T83" s="31"/>
      <c r="U83" s="248"/>
      <c r="V83" s="248"/>
      <c r="W83" s="248"/>
      <c r="X83" s="248"/>
      <c r="Y83" s="248"/>
      <c r="Z83" s="248"/>
      <c r="AA83" s="248"/>
      <c r="AB83" s="248"/>
      <c r="AC83" s="32"/>
      <c r="AE83" s="241"/>
      <c r="AF83" s="242"/>
      <c r="AG83" s="242"/>
      <c r="AH83" s="242"/>
      <c r="AI83" s="242"/>
      <c r="AJ83" s="241"/>
    </row>
    <row r="84" spans="1:36" s="28" customFormat="1" ht="18.75">
      <c r="A84" s="2"/>
      <c r="B84" s="251" t="s">
        <v>37</v>
      </c>
      <c r="C84" s="251"/>
      <c r="D84" s="251"/>
      <c r="E84" s="251"/>
      <c r="F84" s="251"/>
      <c r="G84" s="251"/>
      <c r="H84" s="251"/>
      <c r="I84" s="7"/>
      <c r="J84" s="59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3"/>
      <c r="AB84" s="32"/>
      <c r="AC84" s="32"/>
      <c r="AE84" s="241"/>
      <c r="AF84" s="242"/>
      <c r="AG84" s="242"/>
      <c r="AH84" s="242"/>
      <c r="AI84" s="242"/>
      <c r="AJ84" s="241"/>
    </row>
    <row r="85" spans="1:36" s="28" customFormat="1" ht="18.75">
      <c r="A85" s="8">
        <v>1</v>
      </c>
      <c r="B85" s="252" t="s">
        <v>38</v>
      </c>
      <c r="C85" s="252"/>
      <c r="D85" s="252"/>
      <c r="E85" s="252"/>
      <c r="F85" s="252"/>
      <c r="G85" s="252"/>
      <c r="H85" s="4"/>
      <c r="I85" s="2"/>
      <c r="J85" s="59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245" t="str">
        <f>IF(AND(E3=""),"",CONCATENATE("( ",'Master Sheet'!D5," ) "))</f>
        <v xml:space="preserve">( USHA PALIYA ) </v>
      </c>
      <c r="V85" s="245"/>
      <c r="W85" s="245"/>
      <c r="X85" s="245"/>
      <c r="Y85" s="245"/>
      <c r="Z85" s="245"/>
      <c r="AA85" s="245"/>
      <c r="AB85" s="245"/>
      <c r="AC85" s="32"/>
      <c r="AE85" s="241"/>
      <c r="AF85" s="242"/>
      <c r="AG85" s="242"/>
      <c r="AH85" s="242"/>
      <c r="AI85" s="242"/>
      <c r="AJ85" s="241"/>
    </row>
    <row r="86" spans="1:36" s="28" customFormat="1" ht="18.75">
      <c r="A86" s="9">
        <v>2</v>
      </c>
      <c r="B86" s="249" t="s">
        <v>39</v>
      </c>
      <c r="C86" s="249"/>
      <c r="D86" s="249"/>
      <c r="E86" s="249"/>
      <c r="F86" s="253" t="str">
        <f>CONCATENATE(E3,",","  ",N3)</f>
        <v>HEERALAL JAT,  SR. TEACHER</v>
      </c>
      <c r="G86" s="253"/>
      <c r="H86" s="253"/>
      <c r="I86" s="253"/>
      <c r="J86" s="253"/>
      <c r="K86" s="253"/>
      <c r="L86" s="253"/>
      <c r="M86" s="253"/>
      <c r="N86" s="253"/>
      <c r="O86" s="253"/>
      <c r="P86" s="31"/>
      <c r="Q86" s="31"/>
      <c r="R86" s="34"/>
      <c r="S86" s="31"/>
      <c r="T86" s="31"/>
      <c r="U86" s="248" t="s">
        <v>34</v>
      </c>
      <c r="V86" s="248"/>
      <c r="W86" s="248"/>
      <c r="X86" s="248"/>
      <c r="Y86" s="248"/>
      <c r="Z86" s="248"/>
      <c r="AA86" s="248"/>
      <c r="AB86" s="248"/>
      <c r="AC86" s="32"/>
      <c r="AE86" s="241"/>
      <c r="AF86" s="242"/>
      <c r="AG86" s="242"/>
      <c r="AH86" s="242"/>
      <c r="AI86" s="242"/>
      <c r="AJ86" s="241"/>
    </row>
    <row r="87" spans="1:36" s="28" customFormat="1" ht="18.75">
      <c r="A87" s="8">
        <v>3</v>
      </c>
      <c r="B87" s="249" t="s">
        <v>40</v>
      </c>
      <c r="C87" s="249"/>
      <c r="D87" s="10"/>
      <c r="E87" s="10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31"/>
      <c r="Q87" s="31"/>
      <c r="R87" s="31"/>
      <c r="S87" s="31"/>
      <c r="T87" s="31"/>
      <c r="U87" s="250" t="str">
        <f>IF('Master Sheet'!D3="","",'Master Sheet'!D3)</f>
        <v>Mahtma Gandhi Government School (English Medium) Bar, PALI</v>
      </c>
      <c r="V87" s="250"/>
      <c r="W87" s="250"/>
      <c r="X87" s="250"/>
      <c r="Y87" s="250"/>
      <c r="Z87" s="250"/>
      <c r="AA87" s="250"/>
      <c r="AB87" s="250"/>
      <c r="AC87" s="32"/>
      <c r="AE87" s="241"/>
      <c r="AF87" s="242"/>
      <c r="AG87" s="242"/>
      <c r="AH87" s="242"/>
      <c r="AI87" s="242"/>
      <c r="AJ87" s="241"/>
    </row>
    <row r="88" spans="1:36" s="28" customFormat="1" ht="18.75">
      <c r="A88" s="8"/>
      <c r="B88" s="60"/>
      <c r="C88" s="60"/>
      <c r="D88" s="10"/>
      <c r="E88" s="10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31"/>
      <c r="Q88" s="31"/>
      <c r="R88" s="31"/>
      <c r="S88" s="31"/>
      <c r="T88" s="31"/>
      <c r="U88" s="250"/>
      <c r="V88" s="250"/>
      <c r="W88" s="250"/>
      <c r="X88" s="250"/>
      <c r="Y88" s="250"/>
      <c r="Z88" s="250"/>
      <c r="AA88" s="250"/>
      <c r="AB88" s="250"/>
      <c r="AC88" s="32"/>
      <c r="AE88" s="241"/>
      <c r="AF88" s="242"/>
      <c r="AG88" s="242"/>
      <c r="AH88" s="242"/>
      <c r="AI88" s="242"/>
      <c r="AJ88" s="241"/>
    </row>
    <row r="89" spans="1:36" s="28" customFormat="1" ht="18.75">
      <c r="A89" s="8"/>
      <c r="B89" s="249"/>
      <c r="C89" s="249"/>
      <c r="D89" s="11"/>
      <c r="E89" s="11"/>
      <c r="F89" s="2"/>
      <c r="G89" s="2"/>
      <c r="H89" s="12"/>
      <c r="I89" s="13"/>
      <c r="J89" s="59"/>
      <c r="K89" s="35" t="s">
        <v>19</v>
      </c>
      <c r="L89" s="35"/>
      <c r="M89" s="35"/>
      <c r="N89" s="35"/>
      <c r="O89" s="35"/>
      <c r="P89" s="35"/>
      <c r="Q89" s="35"/>
      <c r="R89" s="35"/>
      <c r="S89" s="1"/>
      <c r="T89" s="35"/>
      <c r="U89" s="35"/>
      <c r="V89" s="35"/>
      <c r="W89" s="35"/>
      <c r="X89" s="35"/>
      <c r="Y89" s="35"/>
      <c r="Z89" s="35"/>
      <c r="AA89" s="36"/>
      <c r="AB89" s="35"/>
      <c r="AC89" s="35"/>
      <c r="AE89" s="242"/>
      <c r="AF89" s="242"/>
      <c r="AG89" s="242"/>
      <c r="AH89" s="242"/>
      <c r="AI89" s="242"/>
      <c r="AJ89" s="242"/>
    </row>
    <row r="90" spans="1:36" s="28" customFormat="1">
      <c r="B90" s="37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</row>
    <row r="91" spans="1:36" s="28" customFormat="1">
      <c r="B91" s="37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</row>
    <row r="92" spans="1:36" s="28" customFormat="1">
      <c r="B92" s="37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</row>
    <row r="93" spans="1:36" s="28" customFormat="1">
      <c r="B93" s="37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</row>
    <row r="94" spans="1:36" s="28" customFormat="1">
      <c r="B94" s="37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</row>
    <row r="95" spans="1:36" s="28" customFormat="1">
      <c r="B95" s="37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</row>
    <row r="96" spans="1:36" s="28" customFormat="1">
      <c r="B96" s="37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</row>
    <row r="97" spans="2:29" s="28" customFormat="1">
      <c r="B97" s="37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</row>
    <row r="98" spans="2:29" s="28" customFormat="1">
      <c r="B98" s="37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</row>
    <row r="99" spans="2:29" s="28" customFormat="1">
      <c r="B99" s="37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2:29" s="28" customForma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15"/>
      <c r="AA100" s="15"/>
      <c r="AB100" s="15"/>
      <c r="AC100" s="15"/>
    </row>
    <row r="101" spans="2:29" s="28" customForma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15"/>
      <c r="AA101" s="15"/>
      <c r="AB101" s="15"/>
      <c r="AC101" s="15"/>
    </row>
    <row r="102" spans="2:29" s="28" customForma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15"/>
      <c r="AA102" s="15"/>
      <c r="AB102" s="15"/>
      <c r="AC102" s="15"/>
    </row>
    <row r="103" spans="2:29" s="28" customForma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15"/>
      <c r="AA103" s="15"/>
      <c r="AB103" s="15"/>
      <c r="AC103" s="15"/>
    </row>
    <row r="104" spans="2:29" s="28" customForma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15"/>
      <c r="AA104" s="15"/>
      <c r="AB104" s="15"/>
      <c r="AC104" s="15"/>
    </row>
    <row r="105" spans="2:29" s="28" customForma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15"/>
      <c r="AA105" s="15"/>
      <c r="AB105" s="15"/>
      <c r="AC105" s="15"/>
    </row>
    <row r="106" spans="2:29" s="28" customForma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15"/>
      <c r="AA106" s="15"/>
      <c r="AB106" s="15"/>
      <c r="AC106" s="15"/>
    </row>
    <row r="107" spans="2:29" s="28" customForma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15"/>
      <c r="AA107" s="15"/>
      <c r="AB107" s="15"/>
      <c r="AC107" s="15"/>
    </row>
    <row r="108" spans="2:29" s="28" customForma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15"/>
      <c r="AA108" s="15"/>
      <c r="AB108" s="15"/>
      <c r="AC108" s="15"/>
    </row>
    <row r="109" spans="2:29" s="28" customForma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15"/>
      <c r="AA109" s="15"/>
      <c r="AB109" s="15"/>
      <c r="AC109" s="15"/>
    </row>
    <row r="110" spans="2:29" s="28" customForma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5"/>
      <c r="AA110" s="15"/>
      <c r="AB110" s="15"/>
      <c r="AC110" s="15"/>
    </row>
    <row r="111" spans="2:29" s="28" customForma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15"/>
      <c r="AA111" s="15"/>
      <c r="AB111" s="15"/>
      <c r="AC111" s="15"/>
    </row>
    <row r="112" spans="2:29" s="28" customForma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15"/>
      <c r="AA112" s="15"/>
      <c r="AB112" s="15"/>
      <c r="AC112" s="15"/>
    </row>
  </sheetData>
  <mergeCells count="48">
    <mergeCell ref="X6:X7"/>
    <mergeCell ref="B87:C87"/>
    <mergeCell ref="U87:AB88"/>
    <mergeCell ref="B89:C89"/>
    <mergeCell ref="B84:H84"/>
    <mergeCell ref="B85:G85"/>
    <mergeCell ref="U85:AB85"/>
    <mergeCell ref="B86:E86"/>
    <mergeCell ref="F86:O86"/>
    <mergeCell ref="U86:AB86"/>
    <mergeCell ref="O6:Q6"/>
    <mergeCell ref="AC6:AC7"/>
    <mergeCell ref="A80:B80"/>
    <mergeCell ref="AE80:AI89"/>
    <mergeCell ref="AJ80:AJ89"/>
    <mergeCell ref="G81:H81"/>
    <mergeCell ref="I81:AB81"/>
    <mergeCell ref="U82:AB82"/>
    <mergeCell ref="C83:G83"/>
    <mergeCell ref="J83:K83"/>
    <mergeCell ref="U83:AB83"/>
    <mergeCell ref="R6:T6"/>
    <mergeCell ref="U6:W6"/>
    <mergeCell ref="Y6:Y7"/>
    <mergeCell ref="Z6:Z7"/>
    <mergeCell ref="AA6:AA7"/>
    <mergeCell ref="AB6:AB7"/>
    <mergeCell ref="A6:A7"/>
    <mergeCell ref="B6:B7"/>
    <mergeCell ref="C6:F6"/>
    <mergeCell ref="G6:J6"/>
    <mergeCell ref="K6:N6"/>
    <mergeCell ref="W4:AC4"/>
    <mergeCell ref="B1:AC1"/>
    <mergeCell ref="B2:AC2"/>
    <mergeCell ref="B3:D3"/>
    <mergeCell ref="E3:K3"/>
    <mergeCell ref="L3:M3"/>
    <mergeCell ref="N3:R3"/>
    <mergeCell ref="S3:U3"/>
    <mergeCell ref="V3:W3"/>
    <mergeCell ref="Y3:AA3"/>
    <mergeCell ref="AB3:AC3"/>
    <mergeCell ref="B4:D4"/>
    <mergeCell ref="G4:L4"/>
    <mergeCell ref="M4:O4"/>
    <mergeCell ref="Q4:S4"/>
    <mergeCell ref="T4:V4"/>
  </mergeCells>
  <conditionalFormatting sqref="A8:A79">
    <cfRule type="cellIs" dxfId="0" priority="1" operator="equal">
      <formula>0</formula>
    </cfRule>
  </conditionalFormatting>
  <pageMargins left="0.4" right="0.3" top="0.5" bottom="0.5" header="0.3" footer="0.3"/>
  <pageSetup paperSize="9" scale="74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2022-06-23T17:45:21Z</dcterms:modified>
</cp:coreProperties>
</file>