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 activeTab="1"/>
  </bookViews>
  <sheets>
    <sheet name="Order" sheetId="1" r:id="rId1"/>
    <sheet name="Arrear Sheet" sheetId="2" r:id="rId2"/>
  </sheets>
  <definedNames>
    <definedName name="_xlnm.Print_Area" localSheetId="1">'Arrear Sheet'!$A$1:$T$28</definedName>
  </definedNames>
  <calcPr calcId="124519"/>
</workbook>
</file>

<file path=xl/calcChain.xml><?xml version="1.0" encoding="utf-8"?>
<calcChain xmlns="http://schemas.openxmlformats.org/spreadsheetml/2006/main">
  <c r="F27" i="2"/>
  <c r="R21"/>
  <c r="D21"/>
  <c r="E21"/>
  <c r="F21"/>
  <c r="G21"/>
  <c r="H21"/>
  <c r="I21"/>
  <c r="J21"/>
  <c r="K21"/>
  <c r="L21"/>
  <c r="M21"/>
  <c r="N21"/>
  <c r="O21"/>
  <c r="P21"/>
  <c r="Q21"/>
  <c r="C21"/>
  <c r="H18"/>
  <c r="H19"/>
  <c r="H20"/>
  <c r="H17"/>
  <c r="D18"/>
  <c r="D19"/>
  <c r="D20"/>
  <c r="D17"/>
  <c r="H12"/>
  <c r="H13"/>
  <c r="H14"/>
  <c r="J14" s="1"/>
  <c r="H15"/>
  <c r="J15" s="1"/>
  <c r="H16"/>
  <c r="J18"/>
  <c r="H11"/>
  <c r="D12"/>
  <c r="D13"/>
  <c r="D14"/>
  <c r="D15"/>
  <c r="D16"/>
  <c r="H10"/>
  <c r="J10" s="1"/>
  <c r="H9"/>
  <c r="J9" s="1"/>
  <c r="D10"/>
  <c r="F10" s="1"/>
  <c r="D9"/>
  <c r="D11"/>
  <c r="G17"/>
  <c r="C17"/>
  <c r="C13"/>
  <c r="E13" s="1"/>
  <c r="M13" s="1"/>
  <c r="F13"/>
  <c r="G13"/>
  <c r="I13" s="1"/>
  <c r="J13"/>
  <c r="K13"/>
  <c r="L13"/>
  <c r="C14"/>
  <c r="E14" s="1"/>
  <c r="G14"/>
  <c r="I14" s="1"/>
  <c r="K14"/>
  <c r="C15"/>
  <c r="E15" s="1"/>
  <c r="M15" s="1"/>
  <c r="F15"/>
  <c r="G15"/>
  <c r="I15" s="1"/>
  <c r="K15"/>
  <c r="L15"/>
  <c r="C16"/>
  <c r="E16" s="1"/>
  <c r="F16"/>
  <c r="G16"/>
  <c r="I16" s="1"/>
  <c r="J16"/>
  <c r="K16"/>
  <c r="L16"/>
  <c r="I17"/>
  <c r="G18"/>
  <c r="I18" s="1"/>
  <c r="G19"/>
  <c r="I19" s="1"/>
  <c r="G12"/>
  <c r="E12"/>
  <c r="F12" s="1"/>
  <c r="C12"/>
  <c r="K11"/>
  <c r="M11"/>
  <c r="I11"/>
  <c r="E11"/>
  <c r="G11"/>
  <c r="C11"/>
  <c r="K10"/>
  <c r="M10"/>
  <c r="I10"/>
  <c r="E10"/>
  <c r="G10"/>
  <c r="C10"/>
  <c r="M9"/>
  <c r="K9"/>
  <c r="I9"/>
  <c r="G9"/>
  <c r="F9"/>
  <c r="C9"/>
  <c r="V11"/>
  <c r="V9"/>
  <c r="V12" s="1"/>
  <c r="N15" l="1"/>
  <c r="N13"/>
  <c r="L14"/>
  <c r="L11"/>
  <c r="F14"/>
  <c r="N10"/>
  <c r="N9"/>
  <c r="P9" s="1"/>
  <c r="Q9" s="1"/>
  <c r="R9" s="1"/>
  <c r="L9"/>
  <c r="P10"/>
  <c r="L10"/>
  <c r="O10" s="1"/>
  <c r="O9"/>
  <c r="J19"/>
  <c r="J17"/>
  <c r="G20"/>
  <c r="L17"/>
  <c r="K17"/>
  <c r="E17"/>
  <c r="F17" s="1"/>
  <c r="C18"/>
  <c r="M17"/>
  <c r="N16"/>
  <c r="N14"/>
  <c r="P15"/>
  <c r="O15"/>
  <c r="Q15" s="1"/>
  <c r="R15" s="1"/>
  <c r="P13"/>
  <c r="O13"/>
  <c r="M16"/>
  <c r="M14"/>
  <c r="J12"/>
  <c r="N12" s="1"/>
  <c r="L12"/>
  <c r="K12"/>
  <c r="I12"/>
  <c r="M12" s="1"/>
  <c r="F11"/>
  <c r="E9"/>
  <c r="V13"/>
  <c r="V22"/>
  <c r="Q13" l="1"/>
  <c r="R13" s="1"/>
  <c r="Q10"/>
  <c r="R10" s="1"/>
  <c r="I20"/>
  <c r="J20" s="1"/>
  <c r="N17"/>
  <c r="O17" s="1"/>
  <c r="E18"/>
  <c r="M18" s="1"/>
  <c r="K18"/>
  <c r="C19"/>
  <c r="P16"/>
  <c r="O16"/>
  <c r="P14"/>
  <c r="O14"/>
  <c r="Q14" s="1"/>
  <c r="R14" s="1"/>
  <c r="P17"/>
  <c r="O12"/>
  <c r="P12"/>
  <c r="Q16" l="1"/>
  <c r="R16" s="1"/>
  <c r="Q12"/>
  <c r="R12" s="1"/>
  <c r="Q17"/>
  <c r="R17" s="1"/>
  <c r="E19"/>
  <c r="M19" s="1"/>
  <c r="C20"/>
  <c r="K19"/>
  <c r="F18"/>
  <c r="N18" s="1"/>
  <c r="L18"/>
  <c r="J11"/>
  <c r="V23"/>
  <c r="N11" l="1"/>
  <c r="O18"/>
  <c r="P18"/>
  <c r="Q18" s="1"/>
  <c r="R18" s="1"/>
  <c r="F19"/>
  <c r="L19"/>
  <c r="E20"/>
  <c r="M20" s="1"/>
  <c r="K20"/>
  <c r="L20"/>
  <c r="P11" l="1"/>
  <c r="O11"/>
  <c r="N19"/>
  <c r="P19" s="1"/>
  <c r="F20"/>
  <c r="N20" s="1"/>
  <c r="Q11" l="1"/>
  <c r="R11" s="1"/>
  <c r="P20"/>
  <c r="O20"/>
  <c r="O19"/>
  <c r="Q20" l="1"/>
  <c r="R20" s="1"/>
  <c r="Q19"/>
  <c r="R19" s="1"/>
</calcChain>
</file>

<file path=xl/sharedStrings.xml><?xml version="1.0" encoding="utf-8"?>
<sst xmlns="http://schemas.openxmlformats.org/spreadsheetml/2006/main" count="88" uniqueCount="75">
  <si>
    <t>dz-l-</t>
  </si>
  <si>
    <t>uke deZpkjh e; in</t>
  </si>
  <si>
    <t>inLFkkiu LFkku@fo|ky; dk uke</t>
  </si>
  <si>
    <t>,lhih Lohd`fr vkns'k</t>
  </si>
  <si>
    <t>dzekad</t>
  </si>
  <si>
    <t>fnukad</t>
  </si>
  <si>
    <t>,lhih vof/k</t>
  </si>
  <si>
    <t xml:space="preserve">,lhih frfFk Lohd`fr frfFk </t>
  </si>
  <si>
    <t>BASIC</t>
  </si>
  <si>
    <t xml:space="preserve">fnukd 12-11-2018 dks ,lhih Lohd`fr i'pkr~ fu;r osrueku o osru </t>
  </si>
  <si>
    <t xml:space="preserve">fnukd 12-11-2018 dks ,lhih ls iwoZ osrueku o osru </t>
  </si>
  <si>
    <t>vxkeh osru o`f} fnukad</t>
  </si>
  <si>
    <t>PAY MATRIX LEVEL</t>
  </si>
  <si>
    <t>Jherh papy pkS/kjh</t>
  </si>
  <si>
    <t>jkmekfo nM+koV</t>
  </si>
  <si>
    <t>27 o"khZ;</t>
  </si>
  <si>
    <t>L-13</t>
  </si>
  <si>
    <t>L-12</t>
  </si>
  <si>
    <t>01&amp;07&amp;2019</t>
  </si>
  <si>
    <t>1876@ 1890</t>
  </si>
  <si>
    <t>iz/kkukpk;Z</t>
  </si>
  <si>
    <t>jktdh; mPp ek/;fed fo|ky;</t>
  </si>
  <si>
    <t>izfrfyfi%&amp; lwpukFkZ ,oa vko';d dk;Zokgh gsrq izsf"kr gS&amp;</t>
  </si>
  <si>
    <t>2&amp; lacaf/kr deZpkjh Jh@Jherh@------------------------------A</t>
  </si>
  <si>
    <t>3&amp; dk;kZy; izfr-A</t>
  </si>
  <si>
    <r>
      <t xml:space="preserve">                foRr foHkkx ds vkns'k dzekad&amp;</t>
    </r>
    <r>
      <rPr>
        <sz val="12"/>
        <color theme="1"/>
        <rFont val="Calibri"/>
        <family val="2"/>
        <scheme val="minor"/>
      </rPr>
      <t>F.15(1)FD(RULES) 2017</t>
    </r>
    <r>
      <rPr>
        <sz val="14"/>
        <color theme="1"/>
        <rFont val="Kruti Dev 010"/>
      </rPr>
      <t xml:space="preserve"> t;iqj fnukad 09-12-2017 ,oa lifBr fnukad 30-10-2017 ds fu;e 14] vuqlwph&amp;</t>
    </r>
    <r>
      <rPr>
        <sz val="12"/>
        <color theme="1"/>
        <rFont val="Calibri"/>
        <family val="2"/>
        <scheme val="minor"/>
      </rPr>
      <t>VI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 xml:space="preserve">ds fcUnq la[;k 02] vuqlwph&amp;1 ¼ikVZ ,½ esa of.kZr </t>
    </r>
    <r>
      <rPr>
        <sz val="12"/>
        <color theme="1"/>
        <rFont val="Calibri"/>
        <family val="2"/>
        <scheme val="minor"/>
      </rPr>
      <t>LEVEL IN PAY MATRIX</t>
    </r>
    <r>
      <rPr>
        <sz val="14"/>
        <color theme="1"/>
        <rFont val="Kruti Dev 010"/>
      </rPr>
      <t xml:space="preserve"> ,oa n'kkZ;s x;s izko/kkukuqlkj deZpkjh Jherh papy pkS/kjh ds uke lEeq[k vafdr frfFk ls ,-lh-ih</t>
    </r>
    <r>
      <rPr>
        <sz val="14"/>
        <color theme="1"/>
        <rFont val="Calibri"/>
        <family val="2"/>
        <scheme val="minor"/>
      </rPr>
      <t>-(</t>
    </r>
    <r>
      <rPr>
        <sz val="12"/>
        <color theme="1"/>
        <rFont val="Calibri"/>
        <family val="2"/>
        <scheme val="minor"/>
      </rPr>
      <t>ASSURED CAREER PROGRESSION</t>
    </r>
    <r>
      <rPr>
        <sz val="14"/>
        <color theme="1"/>
        <rFont val="Calibri"/>
        <family val="2"/>
        <scheme val="minor"/>
      </rPr>
      <t>)</t>
    </r>
    <r>
      <rPr>
        <sz val="14"/>
        <color theme="1"/>
        <rFont val="Kruti Dev 010"/>
      </rPr>
      <t xml:space="preserve"> dh Lohd`fr  iznku dh tkrh gS muds uke ds lEeq[k vafdr Lohd`r jfuax is iS.M @is&amp;eSfVªDl ysoy esas osru fu/kkZj.k vf/klwpuk ds fu;e 14 ,oa vuqlwph&amp;</t>
    </r>
    <r>
      <rPr>
        <sz val="12"/>
        <color theme="1"/>
        <rFont val="Calibri"/>
        <family val="2"/>
        <scheme val="minor"/>
      </rPr>
      <t>VI</t>
    </r>
    <r>
      <rPr>
        <sz val="14"/>
        <color theme="1"/>
        <rFont val="Kruti Dev 010"/>
      </rPr>
      <t>¼fu;e 14½ esa funsZf'kr izfdz;k ds vuqlkj Lohd`fr iznku dh tkrh gSA ,-lh-ih- fnukad 12-11-2018 ls 31-10-2019 dh vof/k dk ,fj;j fu;ekuqlkj ns; gksxkA</t>
    </r>
  </si>
  <si>
    <t>Employee Name :</t>
  </si>
  <si>
    <t>Post :</t>
  </si>
  <si>
    <t>Sr. Teacher</t>
  </si>
  <si>
    <t>Posting Place :</t>
  </si>
  <si>
    <t>ije~ iwT; xq:nso oklqnso th egkjkt dks ueu</t>
  </si>
  <si>
    <t>S.N</t>
  </si>
  <si>
    <t>MONTH</t>
  </si>
  <si>
    <t xml:space="preserve"> Pay is to be receive</t>
  </si>
  <si>
    <t xml:space="preserve"> Pay , salary has been Received</t>
  </si>
  <si>
    <t>Salary Difference</t>
  </si>
  <si>
    <t>NPS Ded.</t>
  </si>
  <si>
    <t>INCOME TAX     (TDS)</t>
  </si>
  <si>
    <t>TOTAL DED.</t>
  </si>
  <si>
    <t xml:space="preserve">NET PAY </t>
  </si>
  <si>
    <t>Bill No &amp; Date</t>
  </si>
  <si>
    <t>Enc.Date</t>
  </si>
  <si>
    <t>Pay</t>
  </si>
  <si>
    <t>DA</t>
  </si>
  <si>
    <t>HRA</t>
  </si>
  <si>
    <t>TOTAL</t>
  </si>
  <si>
    <t xml:space="preserve">This Programme Developed by:        HEERALAL JAT </t>
  </si>
  <si>
    <t>Sr.  Teacher</t>
  </si>
  <si>
    <t xml:space="preserve"> </t>
  </si>
  <si>
    <t>Government Aadras Senior Secondary School INDERWARA, Rani PALI</t>
  </si>
  <si>
    <t>V./P. = Chandawal Nagar , Th. - Sojat , Dist-- Pali</t>
  </si>
  <si>
    <t>heeralaljatchandawal@gmail.com</t>
  </si>
  <si>
    <t>Grand Total</t>
  </si>
  <si>
    <t>S.R.</t>
  </si>
  <si>
    <t>Date :</t>
  </si>
  <si>
    <t>For Copying And Necessary Action</t>
  </si>
  <si>
    <t>(MISHRI LAL )</t>
  </si>
  <si>
    <t>Treasury Officer / Deputy treasury  Officer</t>
  </si>
  <si>
    <t>Seal and Signature</t>
  </si>
  <si>
    <t>Related Employee Sh./Smt./Mis.</t>
  </si>
  <si>
    <t>File Register</t>
  </si>
  <si>
    <t>Contect time =  04:30 P.M. to 7:30 P.M.</t>
  </si>
  <si>
    <t xml:space="preserve">ACP Arrear </t>
  </si>
  <si>
    <t>Chanchal Choudhary</t>
  </si>
  <si>
    <t>1-12-18 to 11-12-18</t>
  </si>
  <si>
    <t>12-12-18 to 31-12-18</t>
  </si>
  <si>
    <t>In words :</t>
  </si>
  <si>
    <t>( Rs - Twenty Thousand Eight Hundred Ninty Seven )</t>
  </si>
  <si>
    <t>Government  Senior Secondary School INDERWARA, Rani PALI</t>
  </si>
  <si>
    <t>GSSS INDERWARA</t>
  </si>
  <si>
    <t xml:space="preserve">   dk;kZy; jktdh; mPp ek/;fed fo|ky; bUnjokM+k ¼jkuh½] ftyk&amp;ikyh</t>
  </si>
  <si>
    <t xml:space="preserve">         dzekad &amp;jkmekfo@bUnjokM+k@,lhih@2020@                                                         fnuakd&amp;</t>
  </si>
  <si>
    <t>bUnjokM+k] ikyh</t>
  </si>
  <si>
    <t>1&amp; midks"k@midks"kkf/kdkjh ikyhA</t>
  </si>
  <si>
    <t>PEEO OFFICE / Principal, Govt. Sr. Secondary School INDERWARA, Rani (Pali)</t>
  </si>
</sst>
</file>

<file path=xl/styles.xml><?xml version="1.0" encoding="utf-8"?>
<styleSheet xmlns="http://schemas.openxmlformats.org/spreadsheetml/2006/main">
  <numFmts count="2">
    <numFmt numFmtId="164" formatCode="0.E+00"/>
    <numFmt numFmtId="165" formatCode="[$-409]mmm/yy;@"/>
  </numFmts>
  <fonts count="38">
    <font>
      <sz val="11"/>
      <color theme="1"/>
      <name val="Calibri"/>
      <family val="2"/>
      <scheme val="minor"/>
    </font>
    <font>
      <sz val="11"/>
      <color theme="1"/>
      <name val="DevLys 010"/>
    </font>
    <font>
      <sz val="14"/>
      <color theme="1"/>
      <name val="Kruti Dev 010"/>
    </font>
    <font>
      <sz val="24"/>
      <color theme="1"/>
      <name val="Kruti Dev 010"/>
    </font>
    <font>
      <sz val="11"/>
      <color theme="1"/>
      <name val="Kruti Dev 010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Kruti Dev 010"/>
    </font>
    <font>
      <b/>
      <i/>
      <sz val="16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Kruti Dev 010"/>
    </font>
    <font>
      <sz val="16"/>
      <name val="Kruti Dev 010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indexed="10"/>
      <name val="Calibri"/>
      <family val="2"/>
    </font>
    <font>
      <sz val="9"/>
      <name val="Calibri"/>
      <family val="2"/>
      <scheme val="minor"/>
    </font>
    <font>
      <b/>
      <sz val="18"/>
      <color indexed="36"/>
      <name val="Calibri"/>
      <family val="2"/>
    </font>
    <font>
      <b/>
      <sz val="14"/>
      <color rgb="FFFF0000"/>
      <name val="Calibri"/>
      <family val="2"/>
      <scheme val="minor"/>
    </font>
    <font>
      <b/>
      <i/>
      <sz val="18"/>
      <name val="Calibri"/>
      <family val="2"/>
    </font>
    <font>
      <u/>
      <sz val="11"/>
      <color theme="10"/>
      <name val="Calibri"/>
      <family val="2"/>
    </font>
    <font>
      <b/>
      <i/>
      <u/>
      <sz val="18"/>
      <color theme="10"/>
      <name val="Calibri"/>
      <family val="2"/>
    </font>
    <font>
      <b/>
      <sz val="18"/>
      <name val="Calibri"/>
      <family val="2"/>
    </font>
    <font>
      <b/>
      <sz val="18"/>
      <color indexed="60"/>
      <name val="Calibri"/>
      <family val="2"/>
    </font>
    <font>
      <b/>
      <sz val="10"/>
      <color rgb="FFFF0000"/>
      <name val="Calibri"/>
      <family val="2"/>
      <scheme val="minor"/>
    </font>
    <font>
      <b/>
      <sz val="13"/>
      <color theme="1"/>
      <name val="Kruti Dev 010"/>
    </font>
    <font>
      <b/>
      <sz val="13"/>
      <color theme="1"/>
      <name val="Calibri"/>
      <family val="2"/>
      <scheme val="minor"/>
    </font>
    <font>
      <sz val="14"/>
      <color theme="1"/>
      <name val="DevLys 010"/>
    </font>
    <font>
      <b/>
      <i/>
      <sz val="12"/>
      <color theme="1"/>
      <name val="Calibri"/>
      <family val="2"/>
      <scheme val="minor"/>
    </font>
    <font>
      <sz val="12"/>
      <color theme="1"/>
      <name val="DevLys 010"/>
    </font>
    <font>
      <sz val="12"/>
      <color theme="1"/>
      <name val="Kruti Dev 010"/>
    </font>
    <font>
      <sz val="10"/>
      <color theme="1"/>
      <name val="Kruti Dev 010"/>
    </font>
    <font>
      <b/>
      <i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46"/>
      </right>
      <top style="medium">
        <color indexed="64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medium">
        <color indexed="64"/>
      </top>
      <bottom style="thin">
        <color indexed="46"/>
      </bottom>
      <diagonal/>
    </border>
    <border>
      <left style="medium">
        <color indexed="64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46"/>
      </bottom>
      <diagonal/>
    </border>
    <border>
      <left style="medium">
        <color indexed="64"/>
      </left>
      <right/>
      <top style="thin">
        <color indexed="46"/>
      </top>
      <bottom style="thin">
        <color indexed="46"/>
      </bottom>
      <diagonal/>
    </border>
    <border>
      <left/>
      <right style="medium">
        <color indexed="64"/>
      </right>
      <top style="thin">
        <color indexed="46"/>
      </top>
      <bottom style="thin">
        <color indexed="4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46"/>
      </top>
      <bottom style="medium">
        <color indexed="64"/>
      </bottom>
      <diagonal/>
    </border>
    <border>
      <left/>
      <right style="medium">
        <color indexed="64"/>
      </right>
      <top style="thin">
        <color indexed="46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/>
      <protection hidden="1"/>
    </xf>
    <xf numFmtId="165" fontId="21" fillId="0" borderId="1" xfId="0" applyNumberFormat="1" applyFont="1" applyBorder="1" applyAlignment="1" applyProtection="1">
      <alignment horizontal="center"/>
      <protection hidden="1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/>
      <protection hidden="1"/>
    </xf>
    <xf numFmtId="0" fontId="29" fillId="0" borderId="1" xfId="0" applyNumberFormat="1" applyFont="1" applyBorder="1" applyAlignment="1" applyProtection="1">
      <alignment horizontal="center" vertical="center"/>
      <protection hidden="1"/>
    </xf>
    <xf numFmtId="0" fontId="23" fillId="0" borderId="1" xfId="0" applyNumberFormat="1" applyFont="1" applyBorder="1" applyAlignment="1" applyProtection="1">
      <alignment horizontal="center" vertical="center"/>
      <protection hidden="1"/>
    </xf>
    <xf numFmtId="49" fontId="16" fillId="0" borderId="0" xfId="0" applyNumberFormat="1" applyFont="1" applyBorder="1" applyAlignment="1" applyProtection="1">
      <alignment horizontal="center" vertical="center"/>
      <protection hidden="1"/>
    </xf>
    <xf numFmtId="49" fontId="16" fillId="0" borderId="15" xfId="0" applyNumberFormat="1" applyFont="1" applyBorder="1" applyAlignment="1" applyProtection="1">
      <alignment horizontal="center" vertical="center"/>
      <protection hidden="1"/>
    </xf>
    <xf numFmtId="0" fontId="29" fillId="0" borderId="15" xfId="0" applyNumberFormat="1" applyFont="1" applyBorder="1" applyAlignment="1" applyProtection="1">
      <alignment horizontal="center" vertical="center"/>
      <protection hidden="1"/>
    </xf>
    <xf numFmtId="0" fontId="23" fillId="0" borderId="15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3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4" fillId="0" borderId="0" xfId="0" applyFont="1" applyProtection="1">
      <protection hidden="1"/>
    </xf>
    <xf numFmtId="0" fontId="32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35" fillId="0" borderId="0" xfId="0" applyFont="1" applyAlignment="1" applyProtection="1"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22" fillId="4" borderId="9" xfId="0" applyFont="1" applyFill="1" applyBorder="1" applyAlignment="1" applyProtection="1">
      <alignment horizontal="center"/>
      <protection hidden="1"/>
    </xf>
    <xf numFmtId="0" fontId="22" fillId="4" borderId="10" xfId="0" applyFont="1" applyFill="1" applyBorder="1" applyAlignment="1" applyProtection="1">
      <alignment horizontal="center"/>
      <protection hidden="1"/>
    </xf>
    <xf numFmtId="165" fontId="2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textRotation="90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0" fillId="4" borderId="6" xfId="0" applyFont="1" applyFill="1" applyBorder="1" applyAlignment="1" applyProtection="1">
      <alignment horizontal="center"/>
      <protection hidden="1"/>
    </xf>
    <xf numFmtId="0" fontId="22" fillId="4" borderId="7" xfId="0" applyFont="1" applyFill="1" applyBorder="1" applyAlignment="1" applyProtection="1">
      <alignment horizontal="center"/>
      <protection hidden="1"/>
    </xf>
    <xf numFmtId="0" fontId="22" fillId="4" borderId="8" xfId="0" applyFont="1" applyFill="1" applyBorder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24" fillId="4" borderId="9" xfId="0" applyFont="1" applyFill="1" applyBorder="1" applyAlignment="1" applyProtection="1">
      <alignment horizontal="center"/>
      <protection hidden="1"/>
    </xf>
    <xf numFmtId="0" fontId="24" fillId="4" borderId="10" xfId="0" applyFont="1" applyFill="1" applyBorder="1" applyAlignment="1" applyProtection="1">
      <alignment horizontal="center"/>
      <protection hidden="1"/>
    </xf>
    <xf numFmtId="0" fontId="26" fillId="4" borderId="9" xfId="1" applyFont="1" applyFill="1" applyBorder="1" applyAlignment="1" applyProtection="1">
      <alignment horizontal="center"/>
      <protection hidden="1"/>
    </xf>
    <xf numFmtId="0" fontId="27" fillId="4" borderId="9" xfId="0" applyFont="1" applyFill="1" applyBorder="1" applyAlignment="1" applyProtection="1">
      <alignment horizontal="center"/>
      <protection hidden="1"/>
    </xf>
    <xf numFmtId="0" fontId="27" fillId="4" borderId="10" xfId="0" applyFont="1" applyFill="1" applyBorder="1" applyAlignment="1" applyProtection="1">
      <alignment horizontal="center"/>
      <protection hidden="1"/>
    </xf>
    <xf numFmtId="0" fontId="22" fillId="4" borderId="13" xfId="0" applyFont="1" applyFill="1" applyBorder="1" applyAlignment="1" applyProtection="1">
      <alignment horizontal="center"/>
      <protection hidden="1"/>
    </xf>
    <xf numFmtId="0" fontId="22" fillId="4" borderId="1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49" fontId="16" fillId="0" borderId="3" xfId="0" applyNumberFormat="1" applyFont="1" applyBorder="1" applyAlignment="1" applyProtection="1">
      <alignment horizontal="center" vertical="center"/>
      <protection hidden="1"/>
    </xf>
    <xf numFmtId="49" fontId="16" fillId="0" borderId="4" xfId="0" applyNumberFormat="1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3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3174</xdr:colOff>
      <xdr:row>0</xdr:row>
      <xdr:rowOff>12700</xdr:rowOff>
    </xdr:from>
    <xdr:to>
      <xdr:col>33</xdr:col>
      <xdr:colOff>1492250</xdr:colOff>
      <xdr:row>6</xdr:row>
      <xdr:rowOff>298450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42524" y="12700"/>
          <a:ext cx="1489076" cy="145415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92075</xdr:colOff>
      <xdr:row>2</xdr:row>
      <xdr:rowOff>260350</xdr:rowOff>
    </xdr:from>
    <xdr:to>
      <xdr:col>30</xdr:col>
      <xdr:colOff>492125</xdr:colOff>
      <xdr:row>9</xdr:row>
      <xdr:rowOff>95249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16025" y="736600"/>
          <a:ext cx="1682750" cy="17525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eralaljatchandaw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view="pageBreakPreview" zoomScaleSheetLayoutView="100" workbookViewId="0">
      <selection activeCell="A15" sqref="A15:M15"/>
    </sheetView>
  </sheetViews>
  <sheetFormatPr defaultRowHeight="14"/>
  <cols>
    <col min="1" max="1" width="5.1796875" style="1" customWidth="1"/>
    <col min="2" max="2" width="12.36328125" style="1" customWidth="1"/>
    <col min="3" max="3" width="13.453125" style="1" customWidth="1"/>
    <col min="4" max="10" width="8.7265625" style="1"/>
    <col min="11" max="11" width="14.7265625" style="1" customWidth="1"/>
    <col min="12" max="12" width="8.7265625" style="1"/>
    <col min="13" max="13" width="4.6328125" style="1" customWidth="1"/>
    <col min="14" max="16384" width="8.7265625" style="1"/>
  </cols>
  <sheetData>
    <row r="1" spans="1:13" ht="30.5">
      <c r="A1" s="49" t="s">
        <v>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>
      <c r="A2" s="50" t="s">
        <v>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92.5" customHeight="1">
      <c r="A3" s="51" t="s">
        <v>25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72" customHeight="1">
      <c r="A4" s="52" t="s">
        <v>0</v>
      </c>
      <c r="B4" s="52" t="s">
        <v>1</v>
      </c>
      <c r="C4" s="52" t="s">
        <v>2</v>
      </c>
      <c r="D4" s="52" t="s">
        <v>3</v>
      </c>
      <c r="E4" s="52"/>
      <c r="F4" s="52" t="s">
        <v>6</v>
      </c>
      <c r="G4" s="52" t="s">
        <v>7</v>
      </c>
      <c r="H4" s="52" t="s">
        <v>10</v>
      </c>
      <c r="I4" s="52"/>
      <c r="J4" s="52" t="s">
        <v>9</v>
      </c>
      <c r="K4" s="52"/>
      <c r="L4" s="52" t="s">
        <v>11</v>
      </c>
      <c r="M4" s="52"/>
    </row>
    <row r="5" spans="1:13" ht="40.5" customHeight="1">
      <c r="A5" s="52"/>
      <c r="B5" s="52"/>
      <c r="C5" s="52"/>
      <c r="D5" s="2" t="s">
        <v>4</v>
      </c>
      <c r="E5" s="2" t="s">
        <v>5</v>
      </c>
      <c r="F5" s="52"/>
      <c r="G5" s="52"/>
      <c r="H5" s="4" t="s">
        <v>12</v>
      </c>
      <c r="I5" s="4" t="s">
        <v>8</v>
      </c>
      <c r="J5" s="4" t="s">
        <v>12</v>
      </c>
      <c r="K5" s="4" t="s">
        <v>8</v>
      </c>
      <c r="L5" s="52"/>
      <c r="M5" s="52"/>
    </row>
    <row r="6" spans="1:13" ht="35" customHeight="1">
      <c r="A6" s="6">
        <v>1</v>
      </c>
      <c r="B6" s="6" t="s">
        <v>13</v>
      </c>
      <c r="C6" s="6" t="s">
        <v>14</v>
      </c>
      <c r="D6" s="6" t="s">
        <v>19</v>
      </c>
      <c r="E6" s="7">
        <v>43698</v>
      </c>
      <c r="F6" s="6" t="s">
        <v>15</v>
      </c>
      <c r="G6" s="7">
        <v>43416</v>
      </c>
      <c r="H6" s="5" t="s">
        <v>17</v>
      </c>
      <c r="I6" s="5">
        <v>59500</v>
      </c>
      <c r="J6" s="5" t="s">
        <v>16</v>
      </c>
      <c r="K6" s="5">
        <v>61500</v>
      </c>
      <c r="L6" s="55" t="s">
        <v>18</v>
      </c>
      <c r="M6" s="56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8">
      <c r="A9" s="3"/>
      <c r="B9" s="3"/>
      <c r="C9" s="3"/>
      <c r="D9" s="3"/>
      <c r="E9" s="3"/>
      <c r="F9" s="3"/>
      <c r="G9" s="3"/>
      <c r="H9" s="3"/>
      <c r="I9" s="3"/>
      <c r="J9" s="3"/>
      <c r="K9" s="53" t="s">
        <v>20</v>
      </c>
      <c r="L9" s="53"/>
      <c r="M9" s="53"/>
    </row>
    <row r="10" spans="1:13" ht="18">
      <c r="A10" s="3"/>
      <c r="B10" s="3"/>
      <c r="C10" s="3"/>
      <c r="D10" s="3"/>
      <c r="E10" s="3"/>
      <c r="F10" s="3"/>
      <c r="G10" s="3"/>
      <c r="H10" s="3"/>
      <c r="I10" s="3"/>
      <c r="J10" s="3"/>
      <c r="K10" s="53" t="s">
        <v>21</v>
      </c>
      <c r="L10" s="53"/>
      <c r="M10" s="53"/>
    </row>
    <row r="11" spans="1:13" ht="18">
      <c r="A11" s="3"/>
      <c r="B11" s="3"/>
      <c r="C11" s="3"/>
      <c r="D11" s="3"/>
      <c r="E11" s="3"/>
      <c r="F11" s="3"/>
      <c r="G11" s="3"/>
      <c r="H11" s="3"/>
      <c r="I11" s="3"/>
      <c r="J11" s="3"/>
      <c r="K11" s="53" t="s">
        <v>72</v>
      </c>
      <c r="L11" s="53"/>
      <c r="M11" s="53"/>
    </row>
    <row r="12" spans="1:13" ht="18">
      <c r="A12" s="54" t="s">
        <v>22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ht="18">
      <c r="A13" s="54" t="s">
        <v>73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18">
      <c r="A14" s="54" t="s">
        <v>23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 ht="18">
      <c r="A15" s="54" t="s">
        <v>24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8">
      <c r="A17" s="3"/>
      <c r="B17" s="3"/>
      <c r="C17" s="3"/>
      <c r="D17" s="3"/>
      <c r="E17" s="3"/>
      <c r="F17" s="3"/>
      <c r="G17" s="3"/>
      <c r="H17" s="3"/>
      <c r="I17" s="3"/>
      <c r="J17" s="3"/>
      <c r="K17" s="53" t="s">
        <v>20</v>
      </c>
      <c r="L17" s="53"/>
      <c r="M17" s="53"/>
    </row>
    <row r="18" spans="1:13" ht="18">
      <c r="A18" s="3"/>
      <c r="B18" s="3"/>
      <c r="C18" s="3"/>
      <c r="D18" s="3"/>
      <c r="E18" s="3"/>
      <c r="F18" s="3"/>
      <c r="G18" s="3"/>
      <c r="H18" s="3"/>
      <c r="I18" s="3"/>
      <c r="J18" s="3"/>
      <c r="K18" s="53" t="s">
        <v>21</v>
      </c>
      <c r="L18" s="53"/>
      <c r="M18" s="53"/>
    </row>
    <row r="19" spans="1:13" ht="18">
      <c r="A19" s="3"/>
      <c r="B19" s="3"/>
      <c r="C19" s="3"/>
      <c r="D19" s="3"/>
      <c r="E19" s="3"/>
      <c r="F19" s="3"/>
      <c r="G19" s="3"/>
      <c r="H19" s="3"/>
      <c r="I19" s="3"/>
      <c r="J19" s="3"/>
      <c r="K19" s="53" t="s">
        <v>72</v>
      </c>
      <c r="L19" s="53"/>
      <c r="M19" s="5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24">
    <mergeCell ref="K19:M19"/>
    <mergeCell ref="A13:M13"/>
    <mergeCell ref="A14:M14"/>
    <mergeCell ref="A15:M15"/>
    <mergeCell ref="A16:M16"/>
    <mergeCell ref="K17:M17"/>
    <mergeCell ref="K18:M18"/>
    <mergeCell ref="K9:M9"/>
    <mergeCell ref="K10:M10"/>
    <mergeCell ref="K11:M11"/>
    <mergeCell ref="A12:M12"/>
    <mergeCell ref="J4:K4"/>
    <mergeCell ref="L4:M5"/>
    <mergeCell ref="L6:M6"/>
    <mergeCell ref="A1:M1"/>
    <mergeCell ref="A2:M2"/>
    <mergeCell ref="A3:M3"/>
    <mergeCell ref="B4:B5"/>
    <mergeCell ref="A4:A5"/>
    <mergeCell ref="C4:C5"/>
    <mergeCell ref="D4:E4"/>
    <mergeCell ref="F4:F5"/>
    <mergeCell ref="G4:G5"/>
    <mergeCell ref="H4:I4"/>
  </mergeCells>
  <printOptions horizontalCentered="1"/>
  <pageMargins left="0.49" right="0.4" top="0.28000000000000003" bottom="0.75" header="0.19" footer="0.3"/>
  <pageSetup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1"/>
  <sheetViews>
    <sheetView tabSelected="1" view="pageBreakPreview" topLeftCell="A12" zoomScaleSheetLayoutView="100" workbookViewId="0">
      <selection activeCell="J25" sqref="J25"/>
    </sheetView>
  </sheetViews>
  <sheetFormatPr defaultColWidth="9.1796875" defaultRowHeight="14.5"/>
  <cols>
    <col min="1" max="1" width="3.7265625" style="8" customWidth="1"/>
    <col min="2" max="2" width="10.81640625" style="8" customWidth="1"/>
    <col min="3" max="3" width="7.54296875" style="8" customWidth="1"/>
    <col min="4" max="4" width="6.453125" style="8" customWidth="1"/>
    <col min="5" max="5" width="6.26953125" style="8" customWidth="1"/>
    <col min="6" max="6" width="9" style="8" customWidth="1"/>
    <col min="7" max="7" width="6.81640625" style="8" customWidth="1"/>
    <col min="8" max="8" width="6.54296875" style="8" customWidth="1"/>
    <col min="9" max="9" width="6.81640625" style="8" customWidth="1"/>
    <col min="10" max="10" width="8" style="8" customWidth="1"/>
    <col min="11" max="12" width="6.7265625" style="8" customWidth="1"/>
    <col min="13" max="13" width="5.7265625" style="8" customWidth="1"/>
    <col min="14" max="14" width="7.6328125" style="8" customWidth="1"/>
    <col min="15" max="15" width="6" style="8" customWidth="1"/>
    <col min="16" max="16" width="6.54296875" style="8" customWidth="1"/>
    <col min="17" max="17" width="7" style="8" customWidth="1"/>
    <col min="18" max="18" width="9.26953125" style="8" customWidth="1"/>
    <col min="19" max="19" width="7.453125" style="8" customWidth="1"/>
    <col min="20" max="20" width="7.7265625" style="8" customWidth="1"/>
    <col min="21" max="21" width="9.1796875" style="8"/>
    <col min="22" max="23" width="9.1796875" style="8" hidden="1" customWidth="1"/>
    <col min="24" max="25" width="9.1796875" style="8" customWidth="1"/>
    <col min="26" max="31" width="9.1796875" style="8"/>
    <col min="32" max="32" width="22.54296875" style="8" customWidth="1"/>
    <col min="33" max="33" width="56.81640625" style="8" customWidth="1"/>
    <col min="34" max="34" width="44.26953125" style="8" customWidth="1"/>
    <col min="35" max="16384" width="9.1796875" style="8"/>
  </cols>
  <sheetData>
    <row r="1" spans="1:34" ht="18" customHeight="1">
      <c r="B1" s="9"/>
      <c r="C1" s="58" t="s">
        <v>74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10"/>
      <c r="S1" s="10"/>
      <c r="T1" s="10"/>
    </row>
    <row r="2" spans="1:34" ht="19.5" customHeight="1">
      <c r="B2" s="10"/>
      <c r="C2" s="10"/>
      <c r="D2" s="10"/>
      <c r="E2" s="10"/>
      <c r="F2" s="59"/>
      <c r="G2" s="59"/>
      <c r="H2" s="59"/>
      <c r="I2" s="59"/>
      <c r="J2" s="59"/>
      <c r="K2" s="59"/>
      <c r="L2" s="59"/>
      <c r="M2" s="59"/>
      <c r="N2" s="59"/>
      <c r="O2" s="10"/>
      <c r="P2" s="10"/>
      <c r="Q2" s="10"/>
      <c r="R2" s="10"/>
      <c r="S2" s="10"/>
      <c r="T2" s="10"/>
    </row>
    <row r="3" spans="1:34" ht="21" customHeight="1">
      <c r="B3" s="60" t="s">
        <v>26</v>
      </c>
      <c r="C3" s="60"/>
      <c r="D3" s="60"/>
      <c r="E3" s="61" t="s">
        <v>63</v>
      </c>
      <c r="F3" s="61"/>
      <c r="G3" s="61"/>
      <c r="H3" s="11" t="s">
        <v>27</v>
      </c>
      <c r="I3" s="62" t="s">
        <v>28</v>
      </c>
      <c r="J3" s="62"/>
      <c r="K3" s="60" t="s">
        <v>29</v>
      </c>
      <c r="L3" s="60"/>
      <c r="M3" s="60"/>
      <c r="N3" s="62" t="s">
        <v>69</v>
      </c>
      <c r="O3" s="62"/>
      <c r="P3" s="62"/>
      <c r="Q3" s="62"/>
      <c r="R3" s="62"/>
      <c r="S3" s="62"/>
      <c r="T3" s="62"/>
    </row>
    <row r="4" spans="1:34" ht="12.75" customHeight="1">
      <c r="B4" s="63" t="s">
        <v>62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AA4" s="45"/>
      <c r="AB4" s="45"/>
      <c r="AC4" s="45"/>
    </row>
    <row r="5" spans="1:34" ht="13.5" customHeigh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AA5" s="45"/>
      <c r="AB5" s="45"/>
      <c r="AC5" s="45"/>
    </row>
    <row r="6" spans="1:34" ht="7.5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AA6" s="45"/>
      <c r="AB6" s="45"/>
      <c r="AC6" s="45"/>
    </row>
    <row r="7" spans="1:34" ht="32.25" customHeight="1" thickBot="1">
      <c r="A7" s="64" t="s">
        <v>31</v>
      </c>
      <c r="B7" s="64" t="s">
        <v>32</v>
      </c>
      <c r="C7" s="65" t="s">
        <v>33</v>
      </c>
      <c r="D7" s="65"/>
      <c r="E7" s="65"/>
      <c r="F7" s="65"/>
      <c r="G7" s="65" t="s">
        <v>34</v>
      </c>
      <c r="H7" s="65"/>
      <c r="I7" s="65"/>
      <c r="J7" s="65"/>
      <c r="K7" s="65" t="s">
        <v>35</v>
      </c>
      <c r="L7" s="65"/>
      <c r="M7" s="65"/>
      <c r="N7" s="65"/>
      <c r="O7" s="66" t="s">
        <v>36</v>
      </c>
      <c r="P7" s="67" t="s">
        <v>37</v>
      </c>
      <c r="Q7" s="68" t="s">
        <v>38</v>
      </c>
      <c r="R7" s="68" t="s">
        <v>39</v>
      </c>
      <c r="S7" s="69" t="s">
        <v>40</v>
      </c>
      <c r="T7" s="69" t="s">
        <v>41</v>
      </c>
      <c r="AA7" s="45"/>
      <c r="AB7" s="45"/>
      <c r="AC7" s="45"/>
    </row>
    <row r="8" spans="1:34" ht="37.5" customHeight="1">
      <c r="A8" s="64"/>
      <c r="B8" s="64"/>
      <c r="C8" s="14" t="s">
        <v>42</v>
      </c>
      <c r="D8" s="14" t="s">
        <v>43</v>
      </c>
      <c r="E8" s="14" t="s">
        <v>44</v>
      </c>
      <c r="F8" s="14" t="s">
        <v>45</v>
      </c>
      <c r="G8" s="14" t="s">
        <v>42</v>
      </c>
      <c r="H8" s="14" t="s">
        <v>43</v>
      </c>
      <c r="I8" s="14" t="s">
        <v>44</v>
      </c>
      <c r="J8" s="14" t="s">
        <v>45</v>
      </c>
      <c r="K8" s="14" t="s">
        <v>42</v>
      </c>
      <c r="L8" s="14" t="s">
        <v>43</v>
      </c>
      <c r="M8" s="14" t="s">
        <v>44</v>
      </c>
      <c r="N8" s="14" t="s">
        <v>45</v>
      </c>
      <c r="O8" s="66"/>
      <c r="P8" s="67"/>
      <c r="Q8" s="68"/>
      <c r="R8" s="68"/>
      <c r="S8" s="69"/>
      <c r="T8" s="69"/>
      <c r="AG8" s="70" t="s">
        <v>46</v>
      </c>
      <c r="AH8" s="71"/>
    </row>
    <row r="9" spans="1:34" ht="27" customHeight="1">
      <c r="A9" s="93">
        <v>1</v>
      </c>
      <c r="B9" s="48" t="s">
        <v>64</v>
      </c>
      <c r="C9" s="17">
        <f>ROUND(Order!I6/31*11,0)</f>
        <v>21113</v>
      </c>
      <c r="D9" s="18">
        <f>ROUND((C9*9%),0)</f>
        <v>1900</v>
      </c>
      <c r="E9" s="18">
        <f>ROUND((C9*8%),0)</f>
        <v>1689</v>
      </c>
      <c r="F9" s="18">
        <f>SUM(C9:E9)</f>
        <v>24702</v>
      </c>
      <c r="G9" s="18">
        <f>ROUND(Order!I6/31*11,0)</f>
        <v>21113</v>
      </c>
      <c r="H9" s="18">
        <f>ROUND((G9*9%),0)</f>
        <v>1900</v>
      </c>
      <c r="I9" s="18">
        <f>ROUND((G9*8%),0)</f>
        <v>1689</v>
      </c>
      <c r="J9" s="19">
        <f>SUM(G9:I9)</f>
        <v>24702</v>
      </c>
      <c r="K9" s="20">
        <f>IF(AND(C9="",G9=""),"",C9-G9)</f>
        <v>0</v>
      </c>
      <c r="L9" s="20">
        <f t="shared" ref="L9:M12" si="0">IF(AND(D9=""),"",IF(AND(H9=""),"",D9-H9))</f>
        <v>0</v>
      </c>
      <c r="M9" s="20">
        <f t="shared" si="0"/>
        <v>0</v>
      </c>
      <c r="N9" s="20">
        <f>IF(AND(F9="",J9=""),"",SUM(F9-J9))</f>
        <v>0</v>
      </c>
      <c r="O9" s="20">
        <f>IF(AND(C9=""),"",IF(AND(N9=""),"",ROUND((K9+L9)*10%,0)))</f>
        <v>0</v>
      </c>
      <c r="P9" s="20">
        <f>IF(AND(N9=""),"",ROUND((N9*10%),0))</f>
        <v>0</v>
      </c>
      <c r="Q9" s="19">
        <f>IF(AND(N9=""),"",SUM(O9,P9))</f>
        <v>0</v>
      </c>
      <c r="R9" s="19">
        <f>IF(AND(N9=""),"",IF(AND(C9=""),"",IF(AND(Q9=""),N9,N9-Q9)))</f>
        <v>0</v>
      </c>
      <c r="S9" s="19"/>
      <c r="T9" s="19"/>
      <c r="V9" s="8" t="e">
        <f>#REF!-#REF!</f>
        <v>#REF!</v>
      </c>
      <c r="AC9" s="74" t="s">
        <v>30</v>
      </c>
      <c r="AD9" s="74"/>
      <c r="AE9" s="74"/>
      <c r="AG9" s="72" t="s">
        <v>47</v>
      </c>
      <c r="AH9" s="73"/>
    </row>
    <row r="10" spans="1:34" ht="27" customHeight="1">
      <c r="A10" s="94"/>
      <c r="B10" s="48" t="s">
        <v>65</v>
      </c>
      <c r="C10" s="17">
        <f>ROUND(Order!K6/31*20,0)</f>
        <v>39677</v>
      </c>
      <c r="D10" s="18">
        <f>ROUND((C10*9%),0)</f>
        <v>3571</v>
      </c>
      <c r="E10" s="18">
        <f>ROUND((C10*8%),0)</f>
        <v>3174</v>
      </c>
      <c r="F10" s="18">
        <f>SUM(C10:E10)</f>
        <v>46422</v>
      </c>
      <c r="G10" s="18">
        <f>ROUND(Order!I6/31*20,0)</f>
        <v>38387</v>
      </c>
      <c r="H10" s="18">
        <f>ROUND((G10*9%),0)</f>
        <v>3455</v>
      </c>
      <c r="I10" s="18">
        <f>ROUND((G10*8%),0)</f>
        <v>3071</v>
      </c>
      <c r="J10" s="19">
        <f>SUM(G10:I10)</f>
        <v>44913</v>
      </c>
      <c r="K10" s="20">
        <f>IF(AND(C10="",G10=""),"",C10-G10)</f>
        <v>1290</v>
      </c>
      <c r="L10" s="20">
        <f t="shared" si="0"/>
        <v>116</v>
      </c>
      <c r="M10" s="20">
        <f t="shared" si="0"/>
        <v>103</v>
      </c>
      <c r="N10" s="20">
        <f>IF(AND(F10="",J10=""),"",SUM(F10-J10))</f>
        <v>1509</v>
      </c>
      <c r="O10" s="20">
        <f>IF(AND(C10=""),"",IF(AND(N10=""),"",ROUND((K10+L10)*10%,0)))</f>
        <v>141</v>
      </c>
      <c r="P10" s="20">
        <f>IF(AND(N10=""),"",ROUND((N10*10%),0))</f>
        <v>151</v>
      </c>
      <c r="Q10" s="19">
        <f>IF(AND(N10=""),"",SUM(O10,P10))</f>
        <v>292</v>
      </c>
      <c r="R10" s="19">
        <f>IF(AND(N10=""),"",IF(AND(C10=""),"",IF(AND(Q10=""),N10,N10-Q10)))</f>
        <v>1217</v>
      </c>
      <c r="S10" s="19"/>
      <c r="T10" s="19"/>
      <c r="AC10" s="74"/>
      <c r="AD10" s="74"/>
      <c r="AE10" s="74"/>
      <c r="AG10" s="46"/>
      <c r="AH10" s="47"/>
    </row>
    <row r="11" spans="1:34" ht="22.5" customHeight="1">
      <c r="A11" s="15">
        <v>2</v>
      </c>
      <c r="B11" s="16">
        <v>43466</v>
      </c>
      <c r="C11" s="21">
        <f>Order!K6</f>
        <v>61500</v>
      </c>
      <c r="D11" s="18">
        <f>ROUND((C11*12%),0)</f>
        <v>7380</v>
      </c>
      <c r="E11" s="18">
        <f>ROUND((C11*8%),0)</f>
        <v>4920</v>
      </c>
      <c r="F11" s="19">
        <f>IF(AND($E$3=""),"",IF(AND(C11=""),"",SUM(C11:E11)))</f>
        <v>73800</v>
      </c>
      <c r="G11" s="20">
        <f>Order!I6</f>
        <v>59500</v>
      </c>
      <c r="H11" s="18">
        <f>ROUND((G11*12%),0)</f>
        <v>7140</v>
      </c>
      <c r="I11" s="18">
        <f>ROUND((G11*8%),0)</f>
        <v>4760</v>
      </c>
      <c r="J11" s="19">
        <f>IF(AND($E$3=""),"",IF(AND(G11=""),"",SUM(G11:I11)))</f>
        <v>71400</v>
      </c>
      <c r="K11" s="20">
        <f>IF(AND(C11="",G11=""),"",C11-G11)</f>
        <v>2000</v>
      </c>
      <c r="L11" s="20">
        <f t="shared" si="0"/>
        <v>240</v>
      </c>
      <c r="M11" s="20">
        <f t="shared" si="0"/>
        <v>160</v>
      </c>
      <c r="N11" s="20">
        <f>IF(AND(F11="",J11=""),"",SUM(F11-J11))</f>
        <v>2400</v>
      </c>
      <c r="O11" s="20">
        <f>IF(AND(C11=""),"",IF(AND(N11=""),"",ROUND((K11+L11)*10%,0)))</f>
        <v>224</v>
      </c>
      <c r="P11" s="20">
        <f>IF(AND(N11=""),"",ROUND((N11*10%),0))</f>
        <v>240</v>
      </c>
      <c r="Q11" s="19">
        <f>IF(AND(N11=""),"",SUM(O11,P11))</f>
        <v>464</v>
      </c>
      <c r="R11" s="19">
        <f>IF(AND(N11=""),"",IF(AND(C11=""),"",IF(AND(Q11=""),N11,N11-Q11)))</f>
        <v>1936</v>
      </c>
      <c r="S11" s="19"/>
      <c r="T11" s="19"/>
      <c r="V11" s="8" t="e">
        <f>ROUND(#REF!*#REF!/#REF!,0)</f>
        <v>#REF!</v>
      </c>
      <c r="W11" s="8" t="s">
        <v>48</v>
      </c>
      <c r="AC11" s="74"/>
      <c r="AD11" s="74"/>
      <c r="AE11" s="74"/>
      <c r="AG11" s="75" t="s">
        <v>49</v>
      </c>
      <c r="AH11" s="76"/>
    </row>
    <row r="12" spans="1:34" ht="21" customHeight="1">
      <c r="A12" s="15">
        <v>3</v>
      </c>
      <c r="B12" s="16">
        <v>43497</v>
      </c>
      <c r="C12" s="21">
        <f>C11</f>
        <v>61500</v>
      </c>
      <c r="D12" s="18">
        <f t="shared" ref="D12:D16" si="1">ROUND((C12*12%),0)</f>
        <v>7380</v>
      </c>
      <c r="E12" s="18">
        <f>ROUND((C12*8%),0)</f>
        <v>4920</v>
      </c>
      <c r="F12" s="19">
        <f>IF(AND($E$3=""),"",IF(AND(C12=""),"",SUM(C12:E12)))</f>
        <v>73800</v>
      </c>
      <c r="G12" s="20">
        <f>G11</f>
        <v>59500</v>
      </c>
      <c r="H12" s="18">
        <f t="shared" ref="H12:H16" si="2">ROUND((G12*12%),0)</f>
        <v>7140</v>
      </c>
      <c r="I12" s="18">
        <f>ROUND((G12*8%),0)</f>
        <v>4760</v>
      </c>
      <c r="J12" s="19">
        <f>IF(AND($E$3=""),"",IF(AND(G12=""),"",SUM(G12:I12)))</f>
        <v>71400</v>
      </c>
      <c r="K12" s="20">
        <f>IF(AND(C12="",G12=""),"",C12-G12)</f>
        <v>2000</v>
      </c>
      <c r="L12" s="20">
        <f t="shared" si="0"/>
        <v>240</v>
      </c>
      <c r="M12" s="20">
        <f t="shared" si="0"/>
        <v>160</v>
      </c>
      <c r="N12" s="20">
        <f>IF(AND(F12="",J12=""),"",SUM(F12-J12))</f>
        <v>2400</v>
      </c>
      <c r="O12" s="20">
        <f>IF(AND(C12=""),"",IF(AND(N12=""),"",ROUND((K12+L12)*10%,0)))</f>
        <v>224</v>
      </c>
      <c r="P12" s="20">
        <f>IF(AND(N12=""),"",ROUND((N12*10%),0))</f>
        <v>240</v>
      </c>
      <c r="Q12" s="19">
        <f>IF(AND(N12=""),"",SUM(O12,P12))</f>
        <v>464</v>
      </c>
      <c r="R12" s="19">
        <f>IF(AND(N12=""),"",IF(AND(C12=""),"",IF(AND(Q12=""),N12,N12-Q12)))</f>
        <v>1936</v>
      </c>
      <c r="S12" s="19"/>
      <c r="T12" s="19"/>
      <c r="V12" s="8" t="e">
        <f>ROUND(#REF!*V9/#REF!,0)</f>
        <v>#REF!</v>
      </c>
      <c r="AC12" s="74"/>
      <c r="AD12" s="74"/>
      <c r="AE12" s="74"/>
      <c r="AG12" s="75" t="s">
        <v>50</v>
      </c>
      <c r="AH12" s="76"/>
    </row>
    <row r="13" spans="1:34" ht="21" customHeight="1">
      <c r="A13" s="15">
        <v>4</v>
      </c>
      <c r="B13" s="16">
        <v>43525</v>
      </c>
      <c r="C13" s="21">
        <f t="shared" ref="C13:C20" si="3">C12</f>
        <v>61500</v>
      </c>
      <c r="D13" s="18">
        <f t="shared" si="1"/>
        <v>7380</v>
      </c>
      <c r="E13" s="18">
        <f t="shared" ref="E13:E20" si="4">ROUND((C13*8%),0)</f>
        <v>4920</v>
      </c>
      <c r="F13" s="19">
        <f t="shared" ref="F13:F20" si="5">IF(AND($E$3=""),"",IF(AND(C13=""),"",SUM(C13:E13)))</f>
        <v>73800</v>
      </c>
      <c r="G13" s="20">
        <f t="shared" ref="G13:G20" si="6">G12</f>
        <v>59500</v>
      </c>
      <c r="H13" s="18">
        <f t="shared" si="2"/>
        <v>7140</v>
      </c>
      <c r="I13" s="18">
        <f t="shared" ref="I13:I20" si="7">ROUND((G13*8%),0)</f>
        <v>4760</v>
      </c>
      <c r="J13" s="19">
        <f t="shared" ref="J13:J20" si="8">IF(AND($E$3=""),"",IF(AND(G13=""),"",SUM(G13:I13)))</f>
        <v>71400</v>
      </c>
      <c r="K13" s="20">
        <f t="shared" ref="K13:K20" si="9">IF(AND(C13="",G13=""),"",C13-G13)</f>
        <v>2000</v>
      </c>
      <c r="L13" s="20">
        <f t="shared" ref="L13:L20" si="10">IF(AND(D13=""),"",IF(AND(H13=""),"",D13-H13))</f>
        <v>240</v>
      </c>
      <c r="M13" s="20">
        <f t="shared" ref="M13:M20" si="11">IF(AND(E13=""),"",IF(AND(I13=""),"",E13-I13))</f>
        <v>160</v>
      </c>
      <c r="N13" s="20">
        <f t="shared" ref="N13:N20" si="12">IF(AND(F13="",J13=""),"",SUM(F13-J13))</f>
        <v>2400</v>
      </c>
      <c r="O13" s="20">
        <f t="shared" ref="O13:O20" si="13">IF(AND(C13=""),"",IF(AND(N13=""),"",ROUND((K13+L13)*10%,0)))</f>
        <v>224</v>
      </c>
      <c r="P13" s="20">
        <f t="shared" ref="P13:P20" si="14">IF(AND(N13=""),"",ROUND((N13*10%),0))</f>
        <v>240</v>
      </c>
      <c r="Q13" s="19">
        <f t="shared" ref="Q13:Q20" si="15">IF(AND(N13=""),"",SUM(O13,P13))</f>
        <v>464</v>
      </c>
      <c r="R13" s="19">
        <f t="shared" ref="R13:R20" si="16">IF(AND(N13=""),"",IF(AND(C13=""),"",IF(AND(Q13=""),N13,N13-Q13)))</f>
        <v>1936</v>
      </c>
      <c r="S13" s="19"/>
      <c r="T13" s="19"/>
      <c r="V13" s="8" t="e">
        <f>SUM(V11:V12)</f>
        <v>#REF!</v>
      </c>
      <c r="AC13" s="74"/>
      <c r="AD13" s="74"/>
      <c r="AE13" s="74"/>
      <c r="AG13" s="77" t="s">
        <v>51</v>
      </c>
      <c r="AH13" s="76"/>
    </row>
    <row r="14" spans="1:34" ht="21" customHeight="1">
      <c r="A14" s="15">
        <v>5</v>
      </c>
      <c r="B14" s="16">
        <v>43556</v>
      </c>
      <c r="C14" s="21">
        <f t="shared" si="3"/>
        <v>61500</v>
      </c>
      <c r="D14" s="18">
        <f t="shared" si="1"/>
        <v>7380</v>
      </c>
      <c r="E14" s="18">
        <f t="shared" si="4"/>
        <v>4920</v>
      </c>
      <c r="F14" s="19">
        <f t="shared" si="5"/>
        <v>73800</v>
      </c>
      <c r="G14" s="20">
        <f t="shared" si="6"/>
        <v>59500</v>
      </c>
      <c r="H14" s="18">
        <f t="shared" si="2"/>
        <v>7140</v>
      </c>
      <c r="I14" s="18">
        <f t="shared" si="7"/>
        <v>4760</v>
      </c>
      <c r="J14" s="19">
        <f t="shared" si="8"/>
        <v>71400</v>
      </c>
      <c r="K14" s="20">
        <f t="shared" si="9"/>
        <v>2000</v>
      </c>
      <c r="L14" s="20">
        <f t="shared" si="10"/>
        <v>240</v>
      </c>
      <c r="M14" s="20">
        <f t="shared" si="11"/>
        <v>160</v>
      </c>
      <c r="N14" s="20">
        <f t="shared" si="12"/>
        <v>2400</v>
      </c>
      <c r="O14" s="20">
        <f t="shared" si="13"/>
        <v>224</v>
      </c>
      <c r="P14" s="20">
        <f t="shared" si="14"/>
        <v>240</v>
      </c>
      <c r="Q14" s="19">
        <f t="shared" si="15"/>
        <v>464</v>
      </c>
      <c r="R14" s="19">
        <f t="shared" si="16"/>
        <v>1936</v>
      </c>
      <c r="S14" s="19"/>
      <c r="T14" s="19"/>
      <c r="AG14" s="78" t="s">
        <v>61</v>
      </c>
      <c r="AH14" s="79"/>
    </row>
    <row r="15" spans="1:34" ht="21" customHeight="1" thickBot="1">
      <c r="A15" s="15">
        <v>6</v>
      </c>
      <c r="B15" s="16">
        <v>43586</v>
      </c>
      <c r="C15" s="21">
        <f t="shared" si="3"/>
        <v>61500</v>
      </c>
      <c r="D15" s="18">
        <f t="shared" si="1"/>
        <v>7380</v>
      </c>
      <c r="E15" s="18">
        <f t="shared" si="4"/>
        <v>4920</v>
      </c>
      <c r="F15" s="19">
        <f t="shared" si="5"/>
        <v>73800</v>
      </c>
      <c r="G15" s="20">
        <f t="shared" si="6"/>
        <v>59500</v>
      </c>
      <c r="H15" s="18">
        <f t="shared" si="2"/>
        <v>7140</v>
      </c>
      <c r="I15" s="18">
        <f t="shared" si="7"/>
        <v>4760</v>
      </c>
      <c r="J15" s="19">
        <f t="shared" si="8"/>
        <v>71400</v>
      </c>
      <c r="K15" s="20">
        <f t="shared" si="9"/>
        <v>2000</v>
      </c>
      <c r="L15" s="20">
        <f t="shared" si="10"/>
        <v>240</v>
      </c>
      <c r="M15" s="20">
        <f t="shared" si="11"/>
        <v>160</v>
      </c>
      <c r="N15" s="20">
        <f t="shared" si="12"/>
        <v>2400</v>
      </c>
      <c r="O15" s="20">
        <f t="shared" si="13"/>
        <v>224</v>
      </c>
      <c r="P15" s="20">
        <f t="shared" si="14"/>
        <v>240</v>
      </c>
      <c r="Q15" s="19">
        <f t="shared" si="15"/>
        <v>464</v>
      </c>
      <c r="R15" s="19">
        <f t="shared" si="16"/>
        <v>1936</v>
      </c>
      <c r="S15" s="19"/>
      <c r="T15" s="19"/>
      <c r="AG15" s="80"/>
      <c r="AH15" s="81"/>
    </row>
    <row r="16" spans="1:34" ht="21" customHeight="1">
      <c r="A16" s="15">
        <v>7</v>
      </c>
      <c r="B16" s="16">
        <v>43617</v>
      </c>
      <c r="C16" s="21">
        <f t="shared" si="3"/>
        <v>61500</v>
      </c>
      <c r="D16" s="18">
        <f t="shared" si="1"/>
        <v>7380</v>
      </c>
      <c r="E16" s="18">
        <f t="shared" si="4"/>
        <v>4920</v>
      </c>
      <c r="F16" s="19">
        <f t="shared" si="5"/>
        <v>73800</v>
      </c>
      <c r="G16" s="20">
        <f t="shared" si="6"/>
        <v>59500</v>
      </c>
      <c r="H16" s="18">
        <f t="shared" si="2"/>
        <v>7140</v>
      </c>
      <c r="I16" s="18">
        <f t="shared" si="7"/>
        <v>4760</v>
      </c>
      <c r="J16" s="19">
        <f t="shared" si="8"/>
        <v>71400</v>
      </c>
      <c r="K16" s="20">
        <f t="shared" si="9"/>
        <v>2000</v>
      </c>
      <c r="L16" s="20">
        <f t="shared" si="10"/>
        <v>240</v>
      </c>
      <c r="M16" s="20">
        <f t="shared" si="11"/>
        <v>160</v>
      </c>
      <c r="N16" s="20">
        <f t="shared" si="12"/>
        <v>2400</v>
      </c>
      <c r="O16" s="20">
        <f t="shared" si="13"/>
        <v>224</v>
      </c>
      <c r="P16" s="20">
        <f t="shared" si="14"/>
        <v>240</v>
      </c>
      <c r="Q16" s="19">
        <f t="shared" si="15"/>
        <v>464</v>
      </c>
      <c r="R16" s="19">
        <f t="shared" si="16"/>
        <v>1936</v>
      </c>
      <c r="S16" s="19"/>
      <c r="T16" s="19"/>
      <c r="AG16" s="22"/>
      <c r="AH16" s="22"/>
    </row>
    <row r="17" spans="1:34" ht="21" customHeight="1">
      <c r="A17" s="15">
        <v>8</v>
      </c>
      <c r="B17" s="16">
        <v>43647</v>
      </c>
      <c r="C17" s="21">
        <f>MROUND(C16*1.03,100)</f>
        <v>63300</v>
      </c>
      <c r="D17" s="18">
        <f>ROUND((C17*17%),0)</f>
        <v>10761</v>
      </c>
      <c r="E17" s="18">
        <f t="shared" si="4"/>
        <v>5064</v>
      </c>
      <c r="F17" s="19">
        <f t="shared" si="5"/>
        <v>79125</v>
      </c>
      <c r="G17" s="21">
        <f>MROUND(G16*1.03,100)</f>
        <v>61300</v>
      </c>
      <c r="H17" s="18">
        <f>ROUND((G17*17%),0)</f>
        <v>10421</v>
      </c>
      <c r="I17" s="18">
        <f t="shared" si="7"/>
        <v>4904</v>
      </c>
      <c r="J17" s="19">
        <f t="shared" si="8"/>
        <v>76625</v>
      </c>
      <c r="K17" s="20">
        <f t="shared" si="9"/>
        <v>2000</v>
      </c>
      <c r="L17" s="20">
        <f t="shared" si="10"/>
        <v>340</v>
      </c>
      <c r="M17" s="20">
        <f t="shared" si="11"/>
        <v>160</v>
      </c>
      <c r="N17" s="20">
        <f t="shared" si="12"/>
        <v>2500</v>
      </c>
      <c r="O17" s="20">
        <f t="shared" si="13"/>
        <v>234</v>
      </c>
      <c r="P17" s="20">
        <f t="shared" si="14"/>
        <v>250</v>
      </c>
      <c r="Q17" s="19">
        <f t="shared" si="15"/>
        <v>484</v>
      </c>
      <c r="R17" s="19">
        <f t="shared" si="16"/>
        <v>2016</v>
      </c>
      <c r="S17" s="19"/>
      <c r="T17" s="19"/>
      <c r="AG17" s="22"/>
      <c r="AH17" s="22"/>
    </row>
    <row r="18" spans="1:34" ht="21" customHeight="1">
      <c r="A18" s="15">
        <v>9</v>
      </c>
      <c r="B18" s="16">
        <v>43678</v>
      </c>
      <c r="C18" s="21">
        <f t="shared" si="3"/>
        <v>63300</v>
      </c>
      <c r="D18" s="18">
        <f t="shared" ref="D18:D20" si="17">ROUND((C18*17%),0)</f>
        <v>10761</v>
      </c>
      <c r="E18" s="18">
        <f t="shared" si="4"/>
        <v>5064</v>
      </c>
      <c r="F18" s="19">
        <f t="shared" si="5"/>
        <v>79125</v>
      </c>
      <c r="G18" s="20">
        <f t="shared" si="6"/>
        <v>61300</v>
      </c>
      <c r="H18" s="18">
        <f t="shared" ref="H18:H20" si="18">ROUND((G18*17%),0)</f>
        <v>10421</v>
      </c>
      <c r="I18" s="18">
        <f t="shared" si="7"/>
        <v>4904</v>
      </c>
      <c r="J18" s="19">
        <f t="shared" si="8"/>
        <v>76625</v>
      </c>
      <c r="K18" s="20">
        <f t="shared" si="9"/>
        <v>2000</v>
      </c>
      <c r="L18" s="20">
        <f t="shared" si="10"/>
        <v>340</v>
      </c>
      <c r="M18" s="20">
        <f t="shared" si="11"/>
        <v>160</v>
      </c>
      <c r="N18" s="20">
        <f t="shared" si="12"/>
        <v>2500</v>
      </c>
      <c r="O18" s="20">
        <f t="shared" si="13"/>
        <v>234</v>
      </c>
      <c r="P18" s="20">
        <f t="shared" si="14"/>
        <v>250</v>
      </c>
      <c r="Q18" s="19">
        <f t="shared" si="15"/>
        <v>484</v>
      </c>
      <c r="R18" s="19">
        <f t="shared" si="16"/>
        <v>2016</v>
      </c>
      <c r="S18" s="19"/>
      <c r="T18" s="19"/>
      <c r="AG18" s="22"/>
      <c r="AH18" s="22"/>
    </row>
    <row r="19" spans="1:34" ht="21" customHeight="1">
      <c r="A19" s="15">
        <v>10</v>
      </c>
      <c r="B19" s="16">
        <v>43709</v>
      </c>
      <c r="C19" s="21">
        <f t="shared" si="3"/>
        <v>63300</v>
      </c>
      <c r="D19" s="18">
        <f t="shared" si="17"/>
        <v>10761</v>
      </c>
      <c r="E19" s="18">
        <f t="shared" si="4"/>
        <v>5064</v>
      </c>
      <c r="F19" s="19">
        <f t="shared" si="5"/>
        <v>79125</v>
      </c>
      <c r="G19" s="20">
        <f t="shared" si="6"/>
        <v>61300</v>
      </c>
      <c r="H19" s="18">
        <f t="shared" si="18"/>
        <v>10421</v>
      </c>
      <c r="I19" s="18">
        <f t="shared" si="7"/>
        <v>4904</v>
      </c>
      <c r="J19" s="19">
        <f t="shared" si="8"/>
        <v>76625</v>
      </c>
      <c r="K19" s="20">
        <f t="shared" si="9"/>
        <v>2000</v>
      </c>
      <c r="L19" s="20">
        <f t="shared" si="10"/>
        <v>340</v>
      </c>
      <c r="M19" s="20">
        <f t="shared" si="11"/>
        <v>160</v>
      </c>
      <c r="N19" s="20">
        <f t="shared" si="12"/>
        <v>2500</v>
      </c>
      <c r="O19" s="20">
        <f t="shared" si="13"/>
        <v>234</v>
      </c>
      <c r="P19" s="20">
        <f t="shared" si="14"/>
        <v>250</v>
      </c>
      <c r="Q19" s="19">
        <f t="shared" si="15"/>
        <v>484</v>
      </c>
      <c r="R19" s="19">
        <f t="shared" si="16"/>
        <v>2016</v>
      </c>
      <c r="S19" s="19"/>
      <c r="T19" s="19"/>
      <c r="AG19" s="22"/>
      <c r="AH19" s="22"/>
    </row>
    <row r="20" spans="1:34" ht="21" customHeight="1">
      <c r="A20" s="15">
        <v>11</v>
      </c>
      <c r="B20" s="16">
        <v>43739</v>
      </c>
      <c r="C20" s="21">
        <f t="shared" si="3"/>
        <v>63300</v>
      </c>
      <c r="D20" s="18">
        <f t="shared" si="17"/>
        <v>10761</v>
      </c>
      <c r="E20" s="18">
        <f t="shared" si="4"/>
        <v>5064</v>
      </c>
      <c r="F20" s="19">
        <f t="shared" si="5"/>
        <v>79125</v>
      </c>
      <c r="G20" s="20">
        <f t="shared" si="6"/>
        <v>61300</v>
      </c>
      <c r="H20" s="18">
        <f t="shared" si="18"/>
        <v>10421</v>
      </c>
      <c r="I20" s="18">
        <f t="shared" si="7"/>
        <v>4904</v>
      </c>
      <c r="J20" s="19">
        <f t="shared" si="8"/>
        <v>76625</v>
      </c>
      <c r="K20" s="20">
        <f t="shared" si="9"/>
        <v>2000</v>
      </c>
      <c r="L20" s="20">
        <f t="shared" si="10"/>
        <v>340</v>
      </c>
      <c r="M20" s="20">
        <f t="shared" si="11"/>
        <v>160</v>
      </c>
      <c r="N20" s="20">
        <f t="shared" si="12"/>
        <v>2500</v>
      </c>
      <c r="O20" s="20">
        <f t="shared" si="13"/>
        <v>234</v>
      </c>
      <c r="P20" s="20">
        <f t="shared" si="14"/>
        <v>250</v>
      </c>
      <c r="Q20" s="19">
        <f t="shared" si="15"/>
        <v>484</v>
      </c>
      <c r="R20" s="19">
        <f t="shared" si="16"/>
        <v>2016</v>
      </c>
      <c r="S20" s="19"/>
      <c r="T20" s="19"/>
      <c r="AG20" s="22"/>
      <c r="AH20" s="22"/>
    </row>
    <row r="21" spans="1:34" ht="36" customHeight="1">
      <c r="A21" s="84" t="s">
        <v>52</v>
      </c>
      <c r="B21" s="85"/>
      <c r="C21" s="23">
        <f>SUM(C9:C20)</f>
        <v>682990</v>
      </c>
      <c r="D21" s="23">
        <f t="shared" ref="D21:Q21" si="19">SUM(D9:D20)</f>
        <v>92795</v>
      </c>
      <c r="E21" s="23">
        <f t="shared" si="19"/>
        <v>54639</v>
      </c>
      <c r="F21" s="23">
        <f t="shared" si="19"/>
        <v>830424</v>
      </c>
      <c r="G21" s="23">
        <f t="shared" si="19"/>
        <v>661700</v>
      </c>
      <c r="H21" s="23">
        <f t="shared" si="19"/>
        <v>89879</v>
      </c>
      <c r="I21" s="23">
        <f t="shared" si="19"/>
        <v>52936</v>
      </c>
      <c r="J21" s="23">
        <f t="shared" si="19"/>
        <v>804515</v>
      </c>
      <c r="K21" s="23">
        <f t="shared" si="19"/>
        <v>21290</v>
      </c>
      <c r="L21" s="23">
        <f t="shared" si="19"/>
        <v>2916</v>
      </c>
      <c r="M21" s="23">
        <f t="shared" si="19"/>
        <v>1703</v>
      </c>
      <c r="N21" s="23">
        <f t="shared" si="19"/>
        <v>25909</v>
      </c>
      <c r="O21" s="23">
        <f t="shared" si="19"/>
        <v>2421</v>
      </c>
      <c r="P21" s="23">
        <f t="shared" si="19"/>
        <v>2591</v>
      </c>
      <c r="Q21" s="23">
        <f t="shared" si="19"/>
        <v>5012</v>
      </c>
      <c r="R21" s="24">
        <f>SUM(R9:R20)</f>
        <v>20897</v>
      </c>
      <c r="S21" s="86"/>
      <c r="T21" s="87"/>
    </row>
    <row r="22" spans="1:34" ht="8.5" customHeight="1">
      <c r="A22" s="25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29"/>
      <c r="T22" s="29"/>
      <c r="V22" s="8">
        <f>ROUND((G9+H9)*10%,0)</f>
        <v>2301</v>
      </c>
    </row>
    <row r="23" spans="1:34" ht="18" customHeight="1">
      <c r="A23" s="30"/>
      <c r="B23" s="31"/>
      <c r="C23" s="31"/>
      <c r="D23" s="31"/>
      <c r="E23" s="31"/>
      <c r="F23" s="31"/>
      <c r="G23" s="31"/>
      <c r="H23" s="95" t="s">
        <v>66</v>
      </c>
      <c r="I23" s="95"/>
      <c r="J23" s="95"/>
      <c r="K23" s="88" t="s">
        <v>67</v>
      </c>
      <c r="L23" s="88"/>
      <c r="M23" s="88"/>
      <c r="N23" s="88"/>
      <c r="O23" s="88"/>
      <c r="P23" s="88"/>
      <c r="Q23" s="88"/>
      <c r="R23" s="88"/>
      <c r="S23" s="88"/>
      <c r="T23" s="88"/>
      <c r="V23" s="8">
        <f>ROUND((G11+H11)*10%,0)</f>
        <v>6664</v>
      </c>
    </row>
    <row r="24" spans="1:34" ht="18.5">
      <c r="A24" s="32"/>
      <c r="B24" s="33" t="s">
        <v>53</v>
      </c>
      <c r="C24" s="89"/>
      <c r="D24" s="89"/>
      <c r="E24" s="89"/>
      <c r="F24" s="89"/>
      <c r="G24" s="89"/>
      <c r="H24" s="34"/>
      <c r="I24" s="38" t="s">
        <v>54</v>
      </c>
      <c r="J24" s="90"/>
      <c r="K24" s="90"/>
      <c r="Q24" s="35"/>
      <c r="R24" s="35"/>
      <c r="S24" s="35"/>
      <c r="T24" s="35"/>
    </row>
    <row r="25" spans="1:34" ht="17.5">
      <c r="A25" s="32"/>
      <c r="B25" s="96" t="s">
        <v>55</v>
      </c>
      <c r="C25" s="96"/>
      <c r="D25" s="96"/>
      <c r="E25" s="96"/>
      <c r="F25" s="96"/>
      <c r="G25" s="96"/>
      <c r="H25" s="96"/>
      <c r="I25" s="36"/>
      <c r="J25" s="36"/>
      <c r="K25" s="36"/>
      <c r="Q25" s="97" t="s">
        <v>56</v>
      </c>
      <c r="R25" s="97"/>
      <c r="S25" s="97"/>
      <c r="T25" s="97"/>
    </row>
    <row r="26" spans="1:34" ht="18.5">
      <c r="A26" s="37">
        <v>1</v>
      </c>
      <c r="B26" s="91" t="s">
        <v>57</v>
      </c>
      <c r="C26" s="91"/>
      <c r="D26" s="91"/>
      <c r="E26" s="91"/>
      <c r="F26" s="91"/>
      <c r="G26" s="91"/>
      <c r="H26" s="34"/>
      <c r="I26" s="32"/>
      <c r="J26" s="32"/>
      <c r="K26" s="32"/>
      <c r="Q26" s="98" t="s">
        <v>58</v>
      </c>
      <c r="R26" s="98"/>
      <c r="S26" s="98"/>
      <c r="T26" s="98"/>
    </row>
    <row r="27" spans="1:34" ht="18.75" customHeight="1">
      <c r="A27" s="38">
        <v>2</v>
      </c>
      <c r="B27" s="82" t="s">
        <v>59</v>
      </c>
      <c r="C27" s="82"/>
      <c r="D27" s="82"/>
      <c r="E27" s="82"/>
      <c r="F27" s="92" t="str">
        <f>E3&amp;",  "&amp;I3</f>
        <v>Chanchal Choudhary,  Sr. Teacher</v>
      </c>
      <c r="G27" s="92"/>
      <c r="H27" s="92"/>
      <c r="I27" s="92"/>
      <c r="J27" s="92"/>
      <c r="K27" s="32"/>
      <c r="Q27" s="83" t="s">
        <v>68</v>
      </c>
      <c r="R27" s="83"/>
      <c r="S27" s="83"/>
      <c r="T27" s="83"/>
    </row>
    <row r="28" spans="1:34" ht="18.5" customHeight="1">
      <c r="A28" s="39">
        <v>3</v>
      </c>
      <c r="B28" s="82" t="s">
        <v>60</v>
      </c>
      <c r="C28" s="82"/>
      <c r="D28" s="40"/>
      <c r="E28" s="40"/>
      <c r="F28" s="32"/>
      <c r="G28" s="32"/>
      <c r="H28" s="41"/>
      <c r="I28" s="42"/>
      <c r="J28" s="42"/>
      <c r="K28" s="42"/>
      <c r="O28" s="42"/>
      <c r="P28" s="42"/>
      <c r="Q28" s="83"/>
      <c r="R28" s="83"/>
      <c r="S28" s="83"/>
      <c r="T28" s="83"/>
    </row>
    <row r="29" spans="1:34" ht="18">
      <c r="A29" s="40"/>
      <c r="B29" s="40"/>
      <c r="C29" s="40"/>
      <c r="D29" s="40"/>
      <c r="E29" s="40"/>
      <c r="F29" s="32"/>
      <c r="G29" s="32"/>
      <c r="H29" s="41"/>
      <c r="I29" s="43"/>
      <c r="J29" s="43"/>
      <c r="K29" s="43"/>
      <c r="O29" s="43"/>
      <c r="P29" s="43"/>
      <c r="Q29" s="35"/>
      <c r="R29" s="35"/>
      <c r="S29" s="35"/>
      <c r="T29" s="35"/>
    </row>
    <row r="30" spans="1:34" ht="18">
      <c r="A30" s="32"/>
      <c r="B30" s="32"/>
      <c r="C30" s="32"/>
      <c r="D30" s="32"/>
      <c r="E30" s="32"/>
      <c r="F30" s="32"/>
      <c r="G30" s="32"/>
      <c r="H30" s="41"/>
      <c r="I30" s="44"/>
      <c r="J30" s="44"/>
      <c r="K30" s="44"/>
      <c r="O30" s="44"/>
      <c r="P30" s="44"/>
      <c r="Q30" s="35"/>
      <c r="R30" s="35"/>
      <c r="S30" s="35"/>
      <c r="T30" s="35"/>
    </row>
    <row r="31" spans="1:34" ht="17.5">
      <c r="A31" s="32"/>
      <c r="B31" s="32"/>
      <c r="C31" s="32"/>
      <c r="D31" s="32"/>
      <c r="E31" s="32"/>
      <c r="F31" s="32"/>
      <c r="G31" s="32"/>
      <c r="H31" s="32"/>
      <c r="I31" s="44"/>
      <c r="J31" s="44"/>
      <c r="K31" s="44"/>
      <c r="O31" s="44"/>
      <c r="P31" s="44"/>
      <c r="Q31" s="44"/>
    </row>
  </sheetData>
  <mergeCells count="42">
    <mergeCell ref="A9:A10"/>
    <mergeCell ref="H23:J23"/>
    <mergeCell ref="B25:H25"/>
    <mergeCell ref="Q25:T25"/>
    <mergeCell ref="Q26:T26"/>
    <mergeCell ref="AG14:AH14"/>
    <mergeCell ref="AG15:AH15"/>
    <mergeCell ref="B27:E27"/>
    <mergeCell ref="Q27:T28"/>
    <mergeCell ref="B28:C28"/>
    <mergeCell ref="A21:B21"/>
    <mergeCell ref="S21:T21"/>
    <mergeCell ref="K23:T23"/>
    <mergeCell ref="C24:G24"/>
    <mergeCell ref="J24:K24"/>
    <mergeCell ref="B26:G26"/>
    <mergeCell ref="F27:J27"/>
    <mergeCell ref="T7:T8"/>
    <mergeCell ref="AG8:AH8"/>
    <mergeCell ref="AG9:AH9"/>
    <mergeCell ref="AC9:AE13"/>
    <mergeCell ref="AG11:AH11"/>
    <mergeCell ref="AG12:AH12"/>
    <mergeCell ref="AG13:AH13"/>
    <mergeCell ref="B4:S5"/>
    <mergeCell ref="A7:A8"/>
    <mergeCell ref="B7:B8"/>
    <mergeCell ref="C7:F7"/>
    <mergeCell ref="G7:J7"/>
    <mergeCell ref="K7:N7"/>
    <mergeCell ref="O7:O8"/>
    <mergeCell ref="P7:P8"/>
    <mergeCell ref="Q7:Q8"/>
    <mergeCell ref="R7:R8"/>
    <mergeCell ref="S7:S8"/>
    <mergeCell ref="C1:Q1"/>
    <mergeCell ref="F2:N2"/>
    <mergeCell ref="B3:D3"/>
    <mergeCell ref="E3:G3"/>
    <mergeCell ref="I3:J3"/>
    <mergeCell ref="K3:M3"/>
    <mergeCell ref="N3:T3"/>
  </mergeCells>
  <hyperlinks>
    <hyperlink ref="AG13" r:id="rId1"/>
  </hyperlinks>
  <pageMargins left="0.9" right="0.45" top="0.5" bottom="0.5" header="0.3" footer="0.3"/>
  <pageSetup paperSize="9" scale="8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</vt:lpstr>
      <vt:lpstr>Arrear Sheet</vt:lpstr>
      <vt:lpstr>'Arrear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2020-06-22T17:15:44Z</dcterms:modified>
</cp:coreProperties>
</file>