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 tabRatio="741"/>
  </bookViews>
  <sheets>
    <sheet name="Basic Data Entry" sheetId="9" r:id="rId1"/>
    <sheet name="Arear Table Protected" sheetId="1" r:id="rId2"/>
    <sheet name="Arear Table Unprotected)" sheetId="10" r:id="rId3"/>
    <sheet name="Fixation Fitting" sheetId="2" r:id="rId4"/>
    <sheet name="ACP Fitting Order" sheetId="6" r:id="rId5"/>
    <sheet name="Pramotion Fitting" sheetId="7" r:id="rId6"/>
    <sheet name="HRA Sanction" sheetId="4" r:id="rId7"/>
  </sheets>
  <definedNames>
    <definedName name="_xlnm.Print_Area" localSheetId="4">'ACP Fitting Order'!#REF!</definedName>
    <definedName name="_xlnm.Print_Area" localSheetId="1">'Arear Table Protected'!$N$4:$AZ$74</definedName>
    <definedName name="_xlnm.Print_Area" localSheetId="2">'Arear Table Unprotected)'!$N$4:$AZ$74</definedName>
    <definedName name="_xlnm.Print_Area" localSheetId="0">'Basic Data Entry'!$D$13:$G$13</definedName>
    <definedName name="_xlnm.Print_Area" localSheetId="3">'Fixation Fitting'!$A$1:$H$17</definedName>
    <definedName name="_xlnm.Print_Area" localSheetId="6">'HRA Sanction'!$A$1:$G$17</definedName>
    <definedName name="_xlnm.Print_Area" localSheetId="5">'Pramotion Fitting'!$A$1:$I$18</definedName>
    <definedName name="_xlnm.Print_Titles" localSheetId="1">'Arear Table Protected'!$9:$10</definedName>
    <definedName name="_xlnm.Print_Titles" localSheetId="2">'Arear Table Unprotected)'!$9:$10</definedName>
  </definedNames>
  <calcPr calcId="124519" concurrentCalc="0"/>
</workbook>
</file>

<file path=xl/calcChain.xml><?xml version="1.0" encoding="utf-8"?>
<calcChain xmlns="http://schemas.openxmlformats.org/spreadsheetml/2006/main">
  <c r="BL75" i="10"/>
  <c r="BO75"/>
  <c r="BP75"/>
  <c r="BQ75"/>
  <c r="BK75"/>
  <c r="BM75"/>
  <c r="BN75"/>
  <c r="AE2"/>
  <c r="AH8"/>
  <c r="O11"/>
  <c r="O13"/>
  <c r="B7"/>
  <c r="BC11"/>
  <c r="BE11"/>
  <c r="BG11"/>
  <c r="BF10"/>
  <c r="BF11"/>
  <c r="BH11"/>
  <c r="V12"/>
  <c r="T11"/>
  <c r="T12"/>
  <c r="T13"/>
  <c r="S11"/>
  <c r="S12"/>
  <c r="S13"/>
  <c r="H13"/>
  <c r="W12" a="1"/>
  <c r="W12"/>
  <c r="J13"/>
  <c r="Y12" a="1"/>
  <c r="Y12"/>
  <c r="Z12" a="1"/>
  <c r="Z12"/>
  <c r="B5"/>
  <c r="V11"/>
  <c r="E2"/>
  <c r="W11" a="1"/>
  <c r="W11"/>
  <c r="Y11" a="1"/>
  <c r="Y11"/>
  <c r="Z11" a="1"/>
  <c r="Z11"/>
  <c r="Z13" a="1"/>
  <c r="Z13"/>
  <c r="AA13" a="1"/>
  <c r="AA13"/>
  <c r="G13"/>
  <c r="AB13" a="1"/>
  <c r="AB13"/>
  <c r="I13"/>
  <c r="AD13" a="1"/>
  <c r="AD13"/>
  <c r="AE13" a="1"/>
  <c r="AE13"/>
  <c r="AJ13" a="1"/>
  <c r="AJ13"/>
  <c r="K13"/>
  <c r="BW13"/>
  <c r="BX13"/>
  <c r="V13" a="1"/>
  <c r="V13"/>
  <c r="L13"/>
  <c r="M13"/>
  <c r="AZ2"/>
  <c r="AK13" a="1"/>
  <c r="AK13"/>
  <c r="AQ2"/>
  <c r="AL13" a="1"/>
  <c r="AL13"/>
  <c r="AM13" a="1"/>
  <c r="AM13"/>
  <c r="AO13"/>
  <c r="AP13" a="1"/>
  <c r="AP13"/>
  <c r="AQ13" a="1"/>
  <c r="AQ13"/>
  <c r="AR13" a="1"/>
  <c r="AR13"/>
  <c r="AS13" a="1"/>
  <c r="AV13" a="1"/>
  <c r="E3"/>
  <c r="AW13" a="1"/>
  <c r="AS13"/>
  <c r="AV13"/>
  <c r="AW13"/>
  <c r="AX13" a="1"/>
  <c r="AX13"/>
  <c r="AY13" a="1"/>
  <c r="AY13"/>
  <c r="U13"/>
  <c r="AJ2"/>
  <c r="AL8"/>
  <c r="AQ8"/>
  <c r="AR8"/>
  <c r="AW8"/>
  <c r="BI13"/>
  <c r="BI11"/>
  <c r="BJ11"/>
  <c r="BI14"/>
  <c r="O14"/>
  <c r="BC14"/>
  <c r="BD14"/>
  <c r="BE14"/>
  <c r="V14" a="1"/>
  <c r="V14"/>
  <c r="T14" a="1"/>
  <c r="T14"/>
  <c r="S14" a="1"/>
  <c r="S14"/>
  <c r="H14"/>
  <c r="W14" a="1"/>
  <c r="W14"/>
  <c r="X14"/>
  <c r="J14"/>
  <c r="Y14" a="1"/>
  <c r="Y14"/>
  <c r="Z14" a="1"/>
  <c r="Z14"/>
  <c r="AA14" a="1"/>
  <c r="AA14"/>
  <c r="G14"/>
  <c r="AB14" a="1"/>
  <c r="AB14"/>
  <c r="AC14" a="1"/>
  <c r="I14"/>
  <c r="AD14" a="1"/>
  <c r="AC14"/>
  <c r="AD14"/>
  <c r="AE14" a="1"/>
  <c r="AE14"/>
  <c r="AJ14" a="1"/>
  <c r="AJ14"/>
  <c r="K14"/>
  <c r="BW14"/>
  <c r="BX14"/>
  <c r="L14"/>
  <c r="M14"/>
  <c r="AK14" a="1"/>
  <c r="AK14"/>
  <c r="AL14" a="1"/>
  <c r="AL14"/>
  <c r="AM14" a="1"/>
  <c r="AM14"/>
  <c r="AN14" a="1"/>
  <c r="AN14"/>
  <c r="AO14" a="1"/>
  <c r="AO14"/>
  <c r="AP14" a="1"/>
  <c r="AP14"/>
  <c r="AQ14" a="1"/>
  <c r="AQ14"/>
  <c r="AR14" a="1"/>
  <c r="AR14"/>
  <c r="AS14" a="1"/>
  <c r="AT14" a="1"/>
  <c r="AT14"/>
  <c r="AU14" a="1"/>
  <c r="AU14"/>
  <c r="AV14" a="1"/>
  <c r="AW14" a="1"/>
  <c r="AS14"/>
  <c r="AV14"/>
  <c r="AW14"/>
  <c r="AX14" a="1"/>
  <c r="AX14"/>
  <c r="AY14" a="1"/>
  <c r="AY14"/>
  <c r="U14"/>
  <c r="BI15"/>
  <c r="O15"/>
  <c r="BC15"/>
  <c r="BD15"/>
  <c r="BE15"/>
  <c r="V15" a="1"/>
  <c r="V15"/>
  <c r="T15" a="1"/>
  <c r="T15"/>
  <c r="S15" a="1"/>
  <c r="S15"/>
  <c r="H15"/>
  <c r="W15" a="1"/>
  <c r="W15"/>
  <c r="X15"/>
  <c r="J15"/>
  <c r="Y15" a="1"/>
  <c r="Y15"/>
  <c r="Z15" a="1"/>
  <c r="Z15"/>
  <c r="AA15" a="1"/>
  <c r="AA15"/>
  <c r="G15"/>
  <c r="AB15" a="1"/>
  <c r="AB15"/>
  <c r="AC15" a="1"/>
  <c r="I15"/>
  <c r="AD15" a="1"/>
  <c r="AC15"/>
  <c r="AD15"/>
  <c r="AE15" a="1"/>
  <c r="AE15"/>
  <c r="AJ15" a="1"/>
  <c r="AJ15"/>
  <c r="K15"/>
  <c r="M15"/>
  <c r="AK15" a="1"/>
  <c r="AK15"/>
  <c r="AL15" a="1"/>
  <c r="AL15"/>
  <c r="AM15" a="1"/>
  <c r="AM15"/>
  <c r="AN15" a="1"/>
  <c r="AN15"/>
  <c r="AO15" a="1"/>
  <c r="AO15"/>
  <c r="AP15" a="1"/>
  <c r="AP15"/>
  <c r="AQ15" a="1"/>
  <c r="AQ15"/>
  <c r="AR15" a="1"/>
  <c r="AR15"/>
  <c r="AS15" a="1"/>
  <c r="AT15" a="1"/>
  <c r="AT15"/>
  <c r="AU15" a="1"/>
  <c r="AU15"/>
  <c r="AV15" a="1"/>
  <c r="AW15" a="1"/>
  <c r="AS15"/>
  <c r="AV15"/>
  <c r="AW15"/>
  <c r="AX15" a="1"/>
  <c r="AX15"/>
  <c r="AY15" a="1"/>
  <c r="U15"/>
  <c r="BI16"/>
  <c r="O16"/>
  <c r="BC16"/>
  <c r="BD16"/>
  <c r="BE16"/>
  <c r="V16" a="1"/>
  <c r="V16"/>
  <c r="T16" a="1"/>
  <c r="T16"/>
  <c r="S16" a="1"/>
  <c r="S16"/>
  <c r="H16"/>
  <c r="W16" a="1"/>
  <c r="W16"/>
  <c r="X16"/>
  <c r="J16"/>
  <c r="Y16" a="1"/>
  <c r="Y16"/>
  <c r="Z16" a="1"/>
  <c r="Z16"/>
  <c r="AA16" a="1"/>
  <c r="AA16"/>
  <c r="G16"/>
  <c r="AB16" a="1"/>
  <c r="AB16"/>
  <c r="AC16" a="1"/>
  <c r="I16"/>
  <c r="AD16" a="1"/>
  <c r="AC16"/>
  <c r="AD16"/>
  <c r="AE16" a="1"/>
  <c r="AE16"/>
  <c r="AJ16" a="1"/>
  <c r="AJ16"/>
  <c r="K16"/>
  <c r="M16"/>
  <c r="AK16" a="1"/>
  <c r="AK16"/>
  <c r="AL16" a="1"/>
  <c r="AL16"/>
  <c r="AM16" a="1"/>
  <c r="AM16"/>
  <c r="AN16" a="1"/>
  <c r="AN16"/>
  <c r="AO16" a="1"/>
  <c r="AO16"/>
  <c r="AP16" a="1"/>
  <c r="AP16"/>
  <c r="AQ16" a="1"/>
  <c r="AQ16"/>
  <c r="AR16" a="1"/>
  <c r="AR16"/>
  <c r="AS16" a="1"/>
  <c r="AT16" a="1"/>
  <c r="AT16"/>
  <c r="AU16" a="1"/>
  <c r="AU16"/>
  <c r="AV16" a="1"/>
  <c r="AW16" a="1"/>
  <c r="AS16"/>
  <c r="AV16"/>
  <c r="AW16"/>
  <c r="AX16" a="1"/>
  <c r="AX16"/>
  <c r="AY16" a="1"/>
  <c r="U16"/>
  <c r="BI17"/>
  <c r="O17"/>
  <c r="BC17"/>
  <c r="BD17"/>
  <c r="BE17"/>
  <c r="V17" a="1"/>
  <c r="V17"/>
  <c r="T17" a="1"/>
  <c r="T17"/>
  <c r="S17" a="1"/>
  <c r="S17"/>
  <c r="H17"/>
  <c r="W17" a="1"/>
  <c r="W17"/>
  <c r="X17"/>
  <c r="J17"/>
  <c r="Y17" a="1"/>
  <c r="Y17"/>
  <c r="Z17" a="1"/>
  <c r="Z17"/>
  <c r="AA17" a="1"/>
  <c r="AA17"/>
  <c r="G17"/>
  <c r="AB17" a="1"/>
  <c r="AB17"/>
  <c r="AC17" a="1"/>
  <c r="I17"/>
  <c r="AD17" a="1"/>
  <c r="AC17"/>
  <c r="AD17"/>
  <c r="AE17" a="1"/>
  <c r="AE17"/>
  <c r="AJ17" a="1"/>
  <c r="AJ17"/>
  <c r="K17"/>
  <c r="M17"/>
  <c r="AK17" a="1"/>
  <c r="AK17"/>
  <c r="AL17" a="1"/>
  <c r="AL17"/>
  <c r="AM17" a="1"/>
  <c r="AM17"/>
  <c r="AN17" a="1"/>
  <c r="AN17"/>
  <c r="AO17" a="1"/>
  <c r="AO17"/>
  <c r="AP17" a="1"/>
  <c r="AP17"/>
  <c r="AQ17" a="1"/>
  <c r="AQ17"/>
  <c r="AR17" a="1"/>
  <c r="AR17"/>
  <c r="AS17" a="1"/>
  <c r="AT17" a="1"/>
  <c r="AT17"/>
  <c r="AU17" a="1"/>
  <c r="AU17"/>
  <c r="AV17" a="1"/>
  <c r="AW17" a="1"/>
  <c r="AS17"/>
  <c r="AV17"/>
  <c r="AW17"/>
  <c r="AX17" a="1"/>
  <c r="AX17"/>
  <c r="AY17" a="1"/>
  <c r="U17"/>
  <c r="BI18"/>
  <c r="O18"/>
  <c r="BC18"/>
  <c r="BD18"/>
  <c r="BE18"/>
  <c r="V18" a="1"/>
  <c r="V18"/>
  <c r="T18" a="1"/>
  <c r="T18"/>
  <c r="S18" a="1"/>
  <c r="S18"/>
  <c r="H18"/>
  <c r="W18" a="1"/>
  <c r="W18"/>
  <c r="X18"/>
  <c r="J18"/>
  <c r="Y18" a="1"/>
  <c r="Y18"/>
  <c r="Z18" a="1"/>
  <c r="Z18"/>
  <c r="AA18" a="1"/>
  <c r="AA18"/>
  <c r="G18"/>
  <c r="AB18" a="1"/>
  <c r="AB18"/>
  <c r="AC18" a="1"/>
  <c r="I18"/>
  <c r="AD18" a="1"/>
  <c r="AC18"/>
  <c r="AD18"/>
  <c r="AE18" a="1"/>
  <c r="AE18"/>
  <c r="AJ18" a="1"/>
  <c r="AJ18"/>
  <c r="K18"/>
  <c r="M18"/>
  <c r="AK18" a="1"/>
  <c r="AK18"/>
  <c r="AL18" a="1"/>
  <c r="AL18"/>
  <c r="AM18" a="1"/>
  <c r="AM18"/>
  <c r="AN18" a="1"/>
  <c r="AN18"/>
  <c r="AO18" a="1"/>
  <c r="AO18"/>
  <c r="AP18" a="1"/>
  <c r="AP18"/>
  <c r="AQ18" a="1"/>
  <c r="AQ18"/>
  <c r="AR18" a="1"/>
  <c r="AR18"/>
  <c r="AS18" a="1"/>
  <c r="AT18" a="1"/>
  <c r="AT18"/>
  <c r="AU18" a="1"/>
  <c r="AU18"/>
  <c r="AV18" a="1"/>
  <c r="AW18" a="1"/>
  <c r="AS18"/>
  <c r="AV18"/>
  <c r="AW18"/>
  <c r="AX18" a="1"/>
  <c r="AX18"/>
  <c r="AY18" a="1"/>
  <c r="U18"/>
  <c r="BI19"/>
  <c r="O19"/>
  <c r="BC19"/>
  <c r="BD19"/>
  <c r="BE19"/>
  <c r="V19" a="1"/>
  <c r="V19"/>
  <c r="T19" a="1"/>
  <c r="T19"/>
  <c r="S19" a="1"/>
  <c r="S19"/>
  <c r="H19"/>
  <c r="W19" a="1"/>
  <c r="W19"/>
  <c r="X19"/>
  <c r="J19"/>
  <c r="Y19" a="1"/>
  <c r="Y19"/>
  <c r="Z19" a="1"/>
  <c r="Z19"/>
  <c r="AA19" a="1"/>
  <c r="AA19"/>
  <c r="G19"/>
  <c r="AB19" a="1"/>
  <c r="AB19"/>
  <c r="AC19" a="1"/>
  <c r="I19"/>
  <c r="AD19" a="1"/>
  <c r="AC19"/>
  <c r="AD19"/>
  <c r="AE19" a="1"/>
  <c r="AE19"/>
  <c r="AJ19" a="1"/>
  <c r="AJ19"/>
  <c r="K19"/>
  <c r="BW19"/>
  <c r="BX19"/>
  <c r="L19"/>
  <c r="M19"/>
  <c r="AK19" a="1"/>
  <c r="AK19"/>
  <c r="AL19" a="1"/>
  <c r="AL19"/>
  <c r="AM19" a="1"/>
  <c r="AM19"/>
  <c r="AN19" a="1"/>
  <c r="AN19"/>
  <c r="AO19" a="1"/>
  <c r="AO19"/>
  <c r="AP19" a="1"/>
  <c r="AP19"/>
  <c r="AQ19" a="1"/>
  <c r="AQ19"/>
  <c r="AR19" a="1"/>
  <c r="AR19"/>
  <c r="AS19" a="1"/>
  <c r="AT19" a="1"/>
  <c r="AT19"/>
  <c r="AU19" a="1"/>
  <c r="AU19"/>
  <c r="AV19" a="1"/>
  <c r="AW19" a="1"/>
  <c r="AS19"/>
  <c r="AV19"/>
  <c r="AW19"/>
  <c r="AX19" a="1"/>
  <c r="AX19"/>
  <c r="AY19" a="1"/>
  <c r="U19"/>
  <c r="BI20"/>
  <c r="O20"/>
  <c r="BC20"/>
  <c r="BD20"/>
  <c r="BE20"/>
  <c r="V20" a="1"/>
  <c r="V20"/>
  <c r="T20" a="1"/>
  <c r="T20"/>
  <c r="S20" a="1"/>
  <c r="S20"/>
  <c r="H20"/>
  <c r="W20" a="1"/>
  <c r="W20"/>
  <c r="X20"/>
  <c r="J20"/>
  <c r="Y20" a="1"/>
  <c r="Y20"/>
  <c r="Z20" a="1"/>
  <c r="Z20"/>
  <c r="AA20" a="1"/>
  <c r="AA20"/>
  <c r="G20"/>
  <c r="AB20" a="1"/>
  <c r="AB20"/>
  <c r="AC20" a="1"/>
  <c r="I20"/>
  <c r="AD20" a="1"/>
  <c r="AC20"/>
  <c r="AD20"/>
  <c r="AE20" a="1"/>
  <c r="AE20"/>
  <c r="AJ20" a="1"/>
  <c r="AJ20"/>
  <c r="K20"/>
  <c r="BW20"/>
  <c r="BX20"/>
  <c r="L20"/>
  <c r="M20"/>
  <c r="AK20" a="1"/>
  <c r="AK20"/>
  <c r="AL20" a="1"/>
  <c r="AL20"/>
  <c r="AM20" a="1"/>
  <c r="AM20"/>
  <c r="AN20" a="1"/>
  <c r="AN20"/>
  <c r="AO20" a="1"/>
  <c r="AO20"/>
  <c r="AP20" a="1"/>
  <c r="AP20"/>
  <c r="AQ20" a="1"/>
  <c r="AQ20"/>
  <c r="AR20" a="1"/>
  <c r="AR20"/>
  <c r="AS20" a="1"/>
  <c r="AT20" a="1"/>
  <c r="AT20"/>
  <c r="AU20" a="1"/>
  <c r="AU20"/>
  <c r="AV20" a="1"/>
  <c r="AW20" a="1"/>
  <c r="AS20"/>
  <c r="AV20"/>
  <c r="AW20"/>
  <c r="AX20" a="1"/>
  <c r="AX20"/>
  <c r="AY20" a="1"/>
  <c r="U20"/>
  <c r="BI21"/>
  <c r="O21"/>
  <c r="BC21"/>
  <c r="BD21"/>
  <c r="BE21"/>
  <c r="V21" a="1"/>
  <c r="V21"/>
  <c r="T21" a="1"/>
  <c r="T21"/>
  <c r="S21" a="1"/>
  <c r="S21"/>
  <c r="H21"/>
  <c r="W21" a="1"/>
  <c r="W21"/>
  <c r="X21"/>
  <c r="J21"/>
  <c r="Y21" a="1"/>
  <c r="Y21"/>
  <c r="Z21" a="1"/>
  <c r="Z21"/>
  <c r="AA21" a="1"/>
  <c r="AA21"/>
  <c r="G21"/>
  <c r="AB21" a="1"/>
  <c r="AB21"/>
  <c r="AC21" a="1"/>
  <c r="I21"/>
  <c r="AD21" a="1"/>
  <c r="AC21"/>
  <c r="AD21"/>
  <c r="AE21" a="1"/>
  <c r="AE21"/>
  <c r="AJ21" a="1"/>
  <c r="AJ21"/>
  <c r="K21"/>
  <c r="BW21"/>
  <c r="BX21"/>
  <c r="L21"/>
  <c r="M21"/>
  <c r="AK21" a="1"/>
  <c r="AK21"/>
  <c r="AL21" a="1"/>
  <c r="AL21"/>
  <c r="AM21" a="1"/>
  <c r="AM21"/>
  <c r="AN21" a="1"/>
  <c r="AN21"/>
  <c r="AO21" a="1"/>
  <c r="AO21"/>
  <c r="AP21" a="1"/>
  <c r="AP21"/>
  <c r="AQ21" a="1"/>
  <c r="AQ21"/>
  <c r="AR21" a="1"/>
  <c r="AR21"/>
  <c r="AS21" a="1"/>
  <c r="AT21" a="1"/>
  <c r="AT21"/>
  <c r="AU21" a="1"/>
  <c r="AU21"/>
  <c r="AV21" a="1"/>
  <c r="AW21" a="1"/>
  <c r="AS21"/>
  <c r="AV21"/>
  <c r="AW21"/>
  <c r="AX21" a="1"/>
  <c r="AX21"/>
  <c r="AY21" a="1"/>
  <c r="U21"/>
  <c r="BI22"/>
  <c r="O22"/>
  <c r="BC22"/>
  <c r="BD22"/>
  <c r="BE22"/>
  <c r="V22" a="1"/>
  <c r="V22"/>
  <c r="T22" a="1"/>
  <c r="T22"/>
  <c r="S22" a="1"/>
  <c r="S22"/>
  <c r="H22"/>
  <c r="W22" a="1"/>
  <c r="W22"/>
  <c r="X22"/>
  <c r="J22"/>
  <c r="Y22" a="1"/>
  <c r="Y22"/>
  <c r="Z22" a="1"/>
  <c r="Z22"/>
  <c r="AA22" a="1"/>
  <c r="AA22"/>
  <c r="G22"/>
  <c r="AB22" a="1"/>
  <c r="AB22"/>
  <c r="AC22" a="1"/>
  <c r="I22"/>
  <c r="AD22" a="1"/>
  <c r="AC22"/>
  <c r="AD22"/>
  <c r="AE22" a="1"/>
  <c r="AE22"/>
  <c r="AJ22" a="1"/>
  <c r="AJ22"/>
  <c r="K22"/>
  <c r="BW22"/>
  <c r="BX22"/>
  <c r="L22"/>
  <c r="M22"/>
  <c r="AK22" a="1"/>
  <c r="AK22"/>
  <c r="AL22" a="1"/>
  <c r="AL22"/>
  <c r="AM22" a="1"/>
  <c r="AM22"/>
  <c r="AN22" a="1"/>
  <c r="AN22"/>
  <c r="AO22" a="1"/>
  <c r="AO22"/>
  <c r="AP22" a="1"/>
  <c r="AP22"/>
  <c r="AQ22" a="1"/>
  <c r="AQ22"/>
  <c r="AR22" a="1"/>
  <c r="AR22"/>
  <c r="AS22" a="1"/>
  <c r="AT22" a="1"/>
  <c r="AT22"/>
  <c r="AU22" a="1"/>
  <c r="AU22"/>
  <c r="AV22" a="1"/>
  <c r="AW22" a="1"/>
  <c r="AS22"/>
  <c r="AV22"/>
  <c r="AW22"/>
  <c r="AX22" a="1"/>
  <c r="AX22"/>
  <c r="AY22" a="1"/>
  <c r="U22"/>
  <c r="BI23"/>
  <c r="O23"/>
  <c r="BC23"/>
  <c r="BD23"/>
  <c r="BE23"/>
  <c r="V23" a="1"/>
  <c r="V23"/>
  <c r="T23" a="1"/>
  <c r="T23"/>
  <c r="S23" a="1"/>
  <c r="S23"/>
  <c r="H23"/>
  <c r="W23" a="1"/>
  <c r="W23"/>
  <c r="X23"/>
  <c r="J23"/>
  <c r="Y23" a="1"/>
  <c r="Y23"/>
  <c r="Z23" a="1"/>
  <c r="Z23"/>
  <c r="AA23" a="1"/>
  <c r="AA23"/>
  <c r="G23"/>
  <c r="AB23" a="1"/>
  <c r="AB23"/>
  <c r="AC23" a="1"/>
  <c r="I23"/>
  <c r="AD23" a="1"/>
  <c r="AC23"/>
  <c r="AD23"/>
  <c r="AE23" a="1"/>
  <c r="AE23"/>
  <c r="AJ23" a="1"/>
  <c r="AJ23"/>
  <c r="K23"/>
  <c r="BW23"/>
  <c r="BX23"/>
  <c r="L23"/>
  <c r="M23"/>
  <c r="AK23" a="1"/>
  <c r="AK23"/>
  <c r="AL23" a="1"/>
  <c r="AL23"/>
  <c r="AM23" a="1"/>
  <c r="AM23"/>
  <c r="AN23" a="1"/>
  <c r="AN23"/>
  <c r="AO23" a="1"/>
  <c r="AO23"/>
  <c r="AP23" a="1"/>
  <c r="AP23"/>
  <c r="AQ23" a="1"/>
  <c r="AQ23"/>
  <c r="AR23" a="1"/>
  <c r="AR23"/>
  <c r="AS23" a="1"/>
  <c r="AT23" a="1"/>
  <c r="AT23"/>
  <c r="AU23" a="1"/>
  <c r="AU23"/>
  <c r="AV23" a="1"/>
  <c r="AW23" a="1"/>
  <c r="AS23"/>
  <c r="AV23"/>
  <c r="AW23"/>
  <c r="AX23" a="1"/>
  <c r="AX23"/>
  <c r="AY23" a="1"/>
  <c r="U23"/>
  <c r="BI24"/>
  <c r="O24"/>
  <c r="BC24"/>
  <c r="BD24"/>
  <c r="BE24"/>
  <c r="V24" a="1"/>
  <c r="V24"/>
  <c r="T24" a="1"/>
  <c r="T24"/>
  <c r="S24" a="1"/>
  <c r="S24"/>
  <c r="H24"/>
  <c r="W24" a="1"/>
  <c r="W24"/>
  <c r="X24"/>
  <c r="J24"/>
  <c r="Y24" a="1"/>
  <c r="Y24"/>
  <c r="Z24" a="1"/>
  <c r="Z24"/>
  <c r="AA24" a="1"/>
  <c r="AA24"/>
  <c r="G24"/>
  <c r="AB24" a="1"/>
  <c r="AB24"/>
  <c r="AC24" a="1"/>
  <c r="I24"/>
  <c r="AD24" a="1"/>
  <c r="AC24"/>
  <c r="AD24"/>
  <c r="AE24" a="1"/>
  <c r="AE24"/>
  <c r="AJ24" a="1"/>
  <c r="AJ24"/>
  <c r="K24"/>
  <c r="BW24"/>
  <c r="BX24"/>
  <c r="L24"/>
  <c r="M24"/>
  <c r="AK24" a="1"/>
  <c r="AK24"/>
  <c r="AL24" a="1"/>
  <c r="AL24"/>
  <c r="AM24" a="1"/>
  <c r="AM24"/>
  <c r="AN24" a="1"/>
  <c r="AN24"/>
  <c r="AO24" a="1"/>
  <c r="AO24"/>
  <c r="AP24" a="1"/>
  <c r="AP24"/>
  <c r="AQ24" a="1"/>
  <c r="AQ24"/>
  <c r="AR24" a="1"/>
  <c r="AR24"/>
  <c r="AS24" a="1"/>
  <c r="AT24" a="1"/>
  <c r="AT24"/>
  <c r="AU24" a="1"/>
  <c r="AU24"/>
  <c r="AV24" a="1"/>
  <c r="AW24" a="1"/>
  <c r="AS24"/>
  <c r="AV24"/>
  <c r="AW24"/>
  <c r="AX24" a="1"/>
  <c r="AX24"/>
  <c r="AY24" a="1"/>
  <c r="U24"/>
  <c r="BI25"/>
  <c r="O25"/>
  <c r="BC25"/>
  <c r="BD25"/>
  <c r="BE25"/>
  <c r="V25" a="1"/>
  <c r="V25"/>
  <c r="T25" a="1"/>
  <c r="T25"/>
  <c r="S25" a="1"/>
  <c r="S25"/>
  <c r="H25"/>
  <c r="W25" a="1"/>
  <c r="W25"/>
  <c r="X25"/>
  <c r="J25"/>
  <c r="Y25" a="1"/>
  <c r="Y25"/>
  <c r="Z25" a="1"/>
  <c r="Z25"/>
  <c r="AA25" a="1"/>
  <c r="AA25"/>
  <c r="G25"/>
  <c r="AB25" a="1"/>
  <c r="AB25"/>
  <c r="AC25" a="1"/>
  <c r="I25"/>
  <c r="AD25" a="1"/>
  <c r="AC25"/>
  <c r="AD25"/>
  <c r="AE25" a="1"/>
  <c r="AE25"/>
  <c r="AJ25" a="1"/>
  <c r="AJ25"/>
  <c r="K25"/>
  <c r="BW25"/>
  <c r="BX25"/>
  <c r="L25"/>
  <c r="M25"/>
  <c r="AK25" a="1"/>
  <c r="AK25"/>
  <c r="AL25" a="1"/>
  <c r="AL25"/>
  <c r="AM25" a="1"/>
  <c r="AM25"/>
  <c r="AN25" a="1"/>
  <c r="AN25"/>
  <c r="AO25" a="1"/>
  <c r="AO25"/>
  <c r="AP25" a="1"/>
  <c r="AP25"/>
  <c r="AQ25" a="1"/>
  <c r="AQ25"/>
  <c r="AR25" a="1"/>
  <c r="AR25"/>
  <c r="AS25" a="1"/>
  <c r="AT25" a="1"/>
  <c r="AT25"/>
  <c r="AU25" a="1"/>
  <c r="AU25"/>
  <c r="AV25" a="1"/>
  <c r="AW25" a="1"/>
  <c r="AS25"/>
  <c r="AV25"/>
  <c r="AW25"/>
  <c r="AX25" a="1"/>
  <c r="AX25"/>
  <c r="AY25" a="1"/>
  <c r="U25"/>
  <c r="BI26"/>
  <c r="O26"/>
  <c r="BC26"/>
  <c r="BD26"/>
  <c r="BE26"/>
  <c r="V26" a="1"/>
  <c r="V26"/>
  <c r="T26" a="1"/>
  <c r="T26"/>
  <c r="S26" a="1"/>
  <c r="S26"/>
  <c r="H26"/>
  <c r="W26" a="1"/>
  <c r="W26"/>
  <c r="X26"/>
  <c r="J26"/>
  <c r="Y26" a="1"/>
  <c r="Y26"/>
  <c r="Z26" a="1"/>
  <c r="Z26"/>
  <c r="AA26" a="1"/>
  <c r="AA26"/>
  <c r="G26"/>
  <c r="AB26" a="1"/>
  <c r="AB26"/>
  <c r="AC26" a="1"/>
  <c r="I26"/>
  <c r="AD26" a="1"/>
  <c r="AC26"/>
  <c r="AD26"/>
  <c r="AE26" a="1"/>
  <c r="AE26"/>
  <c r="AJ26" a="1"/>
  <c r="AJ26"/>
  <c r="K26"/>
  <c r="BW26"/>
  <c r="BX26"/>
  <c r="L26"/>
  <c r="M26"/>
  <c r="AK26" a="1"/>
  <c r="AK26"/>
  <c r="AL26" a="1"/>
  <c r="AL26"/>
  <c r="AM26" a="1"/>
  <c r="AM26"/>
  <c r="AN26" a="1"/>
  <c r="AN26"/>
  <c r="AO26" a="1"/>
  <c r="AO26"/>
  <c r="AP26" a="1"/>
  <c r="AP26"/>
  <c r="AQ26" a="1"/>
  <c r="AQ26"/>
  <c r="AR26" a="1"/>
  <c r="AR26"/>
  <c r="AS26" a="1"/>
  <c r="AT26" a="1"/>
  <c r="AT26"/>
  <c r="AU26" a="1"/>
  <c r="AU26"/>
  <c r="AV26" a="1"/>
  <c r="AW26" a="1"/>
  <c r="AS26"/>
  <c r="AV26"/>
  <c r="AW26"/>
  <c r="AX26" a="1"/>
  <c r="AX26"/>
  <c r="AY26" a="1"/>
  <c r="U26"/>
  <c r="BI27"/>
  <c r="O27"/>
  <c r="BC27"/>
  <c r="BD27"/>
  <c r="BE27"/>
  <c r="V27" a="1"/>
  <c r="V27"/>
  <c r="T27" a="1"/>
  <c r="T27"/>
  <c r="S27" a="1"/>
  <c r="S27"/>
  <c r="H27"/>
  <c r="W27" a="1"/>
  <c r="W27"/>
  <c r="X27"/>
  <c r="J27"/>
  <c r="Y27" a="1"/>
  <c r="Y27"/>
  <c r="Z27" a="1"/>
  <c r="Z27"/>
  <c r="AA27" a="1"/>
  <c r="AA27"/>
  <c r="G27"/>
  <c r="AB27" a="1"/>
  <c r="AB27"/>
  <c r="AC27" a="1"/>
  <c r="I27"/>
  <c r="AD27" a="1"/>
  <c r="AC27"/>
  <c r="AD27"/>
  <c r="AE27" a="1"/>
  <c r="AE27"/>
  <c r="AJ27" a="1"/>
  <c r="AJ27"/>
  <c r="K27"/>
  <c r="M27"/>
  <c r="AK27" a="1"/>
  <c r="AK27"/>
  <c r="AL27" a="1"/>
  <c r="AL27"/>
  <c r="AM27" a="1"/>
  <c r="AM27"/>
  <c r="AN27" a="1"/>
  <c r="AN27"/>
  <c r="AO27" a="1"/>
  <c r="AO27"/>
  <c r="AP27" a="1"/>
  <c r="AP27"/>
  <c r="AQ27" a="1"/>
  <c r="AQ27"/>
  <c r="AR27" a="1"/>
  <c r="AR27"/>
  <c r="AS27" a="1"/>
  <c r="AT27" a="1"/>
  <c r="AT27"/>
  <c r="AU27" a="1"/>
  <c r="AU27"/>
  <c r="AV27" a="1"/>
  <c r="AW27" a="1"/>
  <c r="AS27"/>
  <c r="AV27"/>
  <c r="AW27"/>
  <c r="AX27" a="1"/>
  <c r="AX27"/>
  <c r="AY27" a="1"/>
  <c r="U27"/>
  <c r="BI28"/>
  <c r="O28"/>
  <c r="BC28"/>
  <c r="BD28"/>
  <c r="BE28"/>
  <c r="V28" a="1"/>
  <c r="V28"/>
  <c r="T28" a="1"/>
  <c r="T28"/>
  <c r="S28" a="1"/>
  <c r="S28"/>
  <c r="H28"/>
  <c r="W28" a="1"/>
  <c r="W28"/>
  <c r="X28"/>
  <c r="J28"/>
  <c r="Y28" a="1"/>
  <c r="Y28"/>
  <c r="Z28" a="1"/>
  <c r="Z28"/>
  <c r="AA28" a="1"/>
  <c r="AA28"/>
  <c r="G28"/>
  <c r="AB28" a="1"/>
  <c r="AB28"/>
  <c r="AC28" a="1"/>
  <c r="I28"/>
  <c r="AD28" a="1"/>
  <c r="AC28"/>
  <c r="AD28"/>
  <c r="AE28" a="1"/>
  <c r="AE28"/>
  <c r="AJ28" a="1"/>
  <c r="AJ28"/>
  <c r="K28"/>
  <c r="M28"/>
  <c r="AK28" a="1"/>
  <c r="AK28"/>
  <c r="AL28" a="1"/>
  <c r="AL28"/>
  <c r="AM28" a="1"/>
  <c r="AM28"/>
  <c r="AN28" a="1"/>
  <c r="AN28"/>
  <c r="AO28" a="1"/>
  <c r="AO28"/>
  <c r="AP28" a="1"/>
  <c r="AP28"/>
  <c r="AQ28" a="1"/>
  <c r="AQ28"/>
  <c r="AR28" a="1"/>
  <c r="AR28"/>
  <c r="AS28" a="1"/>
  <c r="AT28" a="1"/>
  <c r="AT28"/>
  <c r="AU28" a="1"/>
  <c r="AU28"/>
  <c r="AV28" a="1"/>
  <c r="AW28" a="1"/>
  <c r="AS28"/>
  <c r="AV28"/>
  <c r="AW28"/>
  <c r="AX28" a="1"/>
  <c r="AX28"/>
  <c r="AY28" a="1"/>
  <c r="U28"/>
  <c r="BI29"/>
  <c r="O29"/>
  <c r="BC29"/>
  <c r="BD29"/>
  <c r="BE29"/>
  <c r="V29" a="1"/>
  <c r="V29"/>
  <c r="T29" a="1"/>
  <c r="T29"/>
  <c r="S29" a="1"/>
  <c r="S29"/>
  <c r="H29"/>
  <c r="W29" a="1"/>
  <c r="W29"/>
  <c r="X29"/>
  <c r="J29"/>
  <c r="Y29" a="1"/>
  <c r="Y29"/>
  <c r="Z29" a="1"/>
  <c r="Z29"/>
  <c r="AA29" a="1"/>
  <c r="AA29"/>
  <c r="G29"/>
  <c r="AB29" a="1"/>
  <c r="AB29"/>
  <c r="AC29" a="1"/>
  <c r="I29"/>
  <c r="AD29" a="1"/>
  <c r="AC29"/>
  <c r="AD29"/>
  <c r="AE29" a="1"/>
  <c r="AE29"/>
  <c r="AJ29" a="1"/>
  <c r="AJ29"/>
  <c r="K29"/>
  <c r="M29"/>
  <c r="AK29" a="1"/>
  <c r="AK29"/>
  <c r="AL29" a="1"/>
  <c r="AL29"/>
  <c r="AM29" a="1"/>
  <c r="AM29"/>
  <c r="AN29" a="1"/>
  <c r="AN29"/>
  <c r="AO29" a="1"/>
  <c r="AO29"/>
  <c r="AP29" a="1"/>
  <c r="AP29"/>
  <c r="AQ29" a="1"/>
  <c r="AQ29"/>
  <c r="AR29" a="1"/>
  <c r="AR29"/>
  <c r="AS29" a="1"/>
  <c r="AT29" a="1"/>
  <c r="AT29"/>
  <c r="AU29" a="1"/>
  <c r="AU29"/>
  <c r="AV29" a="1"/>
  <c r="AW29" a="1"/>
  <c r="AS29"/>
  <c r="AV29"/>
  <c r="AW29"/>
  <c r="AX29" a="1"/>
  <c r="AX29"/>
  <c r="AY29" a="1"/>
  <c r="U29"/>
  <c r="BI30"/>
  <c r="O30"/>
  <c r="BC30"/>
  <c r="BD30"/>
  <c r="BE30"/>
  <c r="V30" a="1"/>
  <c r="V30"/>
  <c r="T30" a="1"/>
  <c r="T30"/>
  <c r="S30" a="1"/>
  <c r="S30"/>
  <c r="H30"/>
  <c r="W30" a="1"/>
  <c r="W30"/>
  <c r="X30"/>
  <c r="J30"/>
  <c r="Y30" a="1"/>
  <c r="Y30"/>
  <c r="Z30" a="1"/>
  <c r="Z30"/>
  <c r="AA30" a="1"/>
  <c r="AA30"/>
  <c r="G30"/>
  <c r="AB30" a="1"/>
  <c r="AB30"/>
  <c r="AC30" a="1"/>
  <c r="I30"/>
  <c r="AD30" a="1"/>
  <c r="AC30"/>
  <c r="AD30"/>
  <c r="AE30" a="1"/>
  <c r="AE30"/>
  <c r="AJ30" a="1"/>
  <c r="AJ30"/>
  <c r="K30"/>
  <c r="M30"/>
  <c r="AK30" a="1"/>
  <c r="AK30"/>
  <c r="AL30" a="1"/>
  <c r="AL30"/>
  <c r="AM30" a="1"/>
  <c r="AM30"/>
  <c r="AN30" a="1"/>
  <c r="AN30"/>
  <c r="AO30" a="1"/>
  <c r="AO30"/>
  <c r="AP30" a="1"/>
  <c r="AP30"/>
  <c r="AQ30" a="1"/>
  <c r="AQ30"/>
  <c r="AR30" a="1"/>
  <c r="AR30"/>
  <c r="AS30" a="1"/>
  <c r="AT30" a="1"/>
  <c r="AT30"/>
  <c r="AU30" a="1"/>
  <c r="AU30"/>
  <c r="AV30" a="1"/>
  <c r="AW30" a="1"/>
  <c r="AS30"/>
  <c r="AV30"/>
  <c r="AW30"/>
  <c r="AX30" a="1"/>
  <c r="AX30"/>
  <c r="AY30" a="1"/>
  <c r="U30"/>
  <c r="BI31"/>
  <c r="O31"/>
  <c r="BC31"/>
  <c r="BD31"/>
  <c r="BE31"/>
  <c r="V31" a="1"/>
  <c r="V31"/>
  <c r="T31" a="1"/>
  <c r="T31"/>
  <c r="S31" a="1"/>
  <c r="S31"/>
  <c r="H31"/>
  <c r="W31" a="1"/>
  <c r="W31"/>
  <c r="X31"/>
  <c r="J31"/>
  <c r="Y31" a="1"/>
  <c r="Y31"/>
  <c r="Z31" a="1"/>
  <c r="Z31"/>
  <c r="AA31" a="1"/>
  <c r="AA31"/>
  <c r="G31"/>
  <c r="AB31" a="1"/>
  <c r="AB31"/>
  <c r="AC31" a="1"/>
  <c r="I31"/>
  <c r="AD31" a="1"/>
  <c r="AC31"/>
  <c r="AD31"/>
  <c r="AE31" a="1"/>
  <c r="AE31"/>
  <c r="AJ31" a="1"/>
  <c r="AJ31"/>
  <c r="K31"/>
  <c r="BW31"/>
  <c r="BX31"/>
  <c r="L31"/>
  <c r="M31"/>
  <c r="AK31" a="1"/>
  <c r="AK31"/>
  <c r="AL31" a="1"/>
  <c r="AL31"/>
  <c r="AM31" a="1"/>
  <c r="AM31"/>
  <c r="AN31" a="1"/>
  <c r="AN31"/>
  <c r="AO31" a="1"/>
  <c r="AO31"/>
  <c r="AP31" a="1"/>
  <c r="AP31"/>
  <c r="AQ31" a="1"/>
  <c r="AQ31"/>
  <c r="AR31" a="1"/>
  <c r="AR31"/>
  <c r="AS31" a="1"/>
  <c r="AT31" a="1"/>
  <c r="AT31"/>
  <c r="AU31" a="1"/>
  <c r="AU31"/>
  <c r="AV31" a="1"/>
  <c r="AW31" a="1"/>
  <c r="AS31"/>
  <c r="AV31"/>
  <c r="AW31"/>
  <c r="AX31" a="1"/>
  <c r="AX31"/>
  <c r="AY31" a="1"/>
  <c r="U31"/>
  <c r="BI32"/>
  <c r="O32"/>
  <c r="BC32"/>
  <c r="BD32"/>
  <c r="BE32"/>
  <c r="V32" a="1"/>
  <c r="V32"/>
  <c r="T32" a="1"/>
  <c r="T32"/>
  <c r="S32" a="1"/>
  <c r="S32"/>
  <c r="H32"/>
  <c r="W32" a="1"/>
  <c r="W32"/>
  <c r="X32"/>
  <c r="J32"/>
  <c r="Y32" a="1"/>
  <c r="Y32"/>
  <c r="Z32" a="1"/>
  <c r="Z32"/>
  <c r="AA32" a="1"/>
  <c r="AA32"/>
  <c r="G32"/>
  <c r="AB32" a="1"/>
  <c r="AB32"/>
  <c r="AC32" a="1"/>
  <c r="I32"/>
  <c r="AD32" a="1"/>
  <c r="AC32"/>
  <c r="AD32"/>
  <c r="AE32" a="1"/>
  <c r="AE32"/>
  <c r="AJ32" a="1"/>
  <c r="AJ32"/>
  <c r="K32"/>
  <c r="BW32"/>
  <c r="BX32"/>
  <c r="L32"/>
  <c r="M32"/>
  <c r="AK32" a="1"/>
  <c r="AK32"/>
  <c r="AL32" a="1"/>
  <c r="AL32"/>
  <c r="AM32" a="1"/>
  <c r="AM32"/>
  <c r="AN32" a="1"/>
  <c r="AN32"/>
  <c r="AO32" a="1"/>
  <c r="AO32"/>
  <c r="AP32" a="1"/>
  <c r="AP32"/>
  <c r="AQ32" a="1"/>
  <c r="AQ32"/>
  <c r="AR32" a="1"/>
  <c r="AR32"/>
  <c r="AS32" a="1"/>
  <c r="AT32" a="1"/>
  <c r="AT32"/>
  <c r="AU32" a="1"/>
  <c r="AU32"/>
  <c r="AV32" a="1"/>
  <c r="AW32" a="1"/>
  <c r="AS32"/>
  <c r="AV32"/>
  <c r="AW32"/>
  <c r="AX32" a="1"/>
  <c r="AX32"/>
  <c r="AY32" a="1"/>
  <c r="U32"/>
  <c r="BI33"/>
  <c r="O33"/>
  <c r="BC33"/>
  <c r="BD33"/>
  <c r="BE33"/>
  <c r="V33" a="1"/>
  <c r="V33"/>
  <c r="T33" a="1"/>
  <c r="T33"/>
  <c r="S33" a="1"/>
  <c r="S33"/>
  <c r="H33"/>
  <c r="W33" a="1"/>
  <c r="W33"/>
  <c r="X33"/>
  <c r="J33"/>
  <c r="Y33" a="1"/>
  <c r="Y33"/>
  <c r="Z33" a="1"/>
  <c r="Z33"/>
  <c r="AA33" a="1"/>
  <c r="AA33"/>
  <c r="G33"/>
  <c r="AB33" a="1"/>
  <c r="AB33"/>
  <c r="AC33" a="1"/>
  <c r="I33"/>
  <c r="AD33" a="1"/>
  <c r="AC33"/>
  <c r="AD33"/>
  <c r="AE33" a="1"/>
  <c r="AE33"/>
  <c r="AJ33" a="1"/>
  <c r="AJ33"/>
  <c r="K33"/>
  <c r="BW33"/>
  <c r="BX33"/>
  <c r="L33"/>
  <c r="M33"/>
  <c r="AK33" a="1"/>
  <c r="AK33"/>
  <c r="AL33" a="1"/>
  <c r="AL33"/>
  <c r="AM33" a="1"/>
  <c r="AM33"/>
  <c r="AN33" a="1"/>
  <c r="AN33"/>
  <c r="AO33" a="1"/>
  <c r="AO33"/>
  <c r="AP33" a="1"/>
  <c r="AP33"/>
  <c r="AQ33" a="1"/>
  <c r="AQ33"/>
  <c r="AR33" a="1"/>
  <c r="AR33"/>
  <c r="AS33" a="1"/>
  <c r="AT33" a="1"/>
  <c r="AT33"/>
  <c r="AU33" a="1"/>
  <c r="AU33"/>
  <c r="AV33" a="1"/>
  <c r="AW33" a="1"/>
  <c r="AS33"/>
  <c r="AV33"/>
  <c r="AW33"/>
  <c r="AX33" a="1"/>
  <c r="AX33"/>
  <c r="AY33" a="1"/>
  <c r="U33"/>
  <c r="BI34"/>
  <c r="O34"/>
  <c r="BC34"/>
  <c r="BD34"/>
  <c r="BE34"/>
  <c r="V34" a="1"/>
  <c r="V34"/>
  <c r="T34" a="1"/>
  <c r="T34"/>
  <c r="S34" a="1"/>
  <c r="S34"/>
  <c r="H34"/>
  <c r="W34" a="1"/>
  <c r="W34"/>
  <c r="X34"/>
  <c r="J34"/>
  <c r="Y34" a="1"/>
  <c r="Y34"/>
  <c r="Z34" a="1"/>
  <c r="Z34"/>
  <c r="AA34" a="1"/>
  <c r="AA34"/>
  <c r="G34"/>
  <c r="AB34" a="1"/>
  <c r="AB34"/>
  <c r="AC34" a="1"/>
  <c r="I34"/>
  <c r="AD34" a="1"/>
  <c r="AC34"/>
  <c r="AD34"/>
  <c r="AE34" a="1"/>
  <c r="AE34"/>
  <c r="AJ34" a="1"/>
  <c r="AJ34"/>
  <c r="K34"/>
  <c r="BW34"/>
  <c r="BX34"/>
  <c r="L34"/>
  <c r="M34"/>
  <c r="AK34" a="1"/>
  <c r="AK34"/>
  <c r="AL34" a="1"/>
  <c r="AL34"/>
  <c r="AM34" a="1"/>
  <c r="AM34"/>
  <c r="AN34" a="1"/>
  <c r="AN34"/>
  <c r="AO34" a="1"/>
  <c r="AO34"/>
  <c r="AP34" a="1"/>
  <c r="AP34"/>
  <c r="AQ34" a="1"/>
  <c r="AQ34"/>
  <c r="AR34" a="1"/>
  <c r="AR34"/>
  <c r="AS34" a="1"/>
  <c r="AT34" a="1"/>
  <c r="AT34"/>
  <c r="AU34" a="1"/>
  <c r="AU34"/>
  <c r="AV34" a="1"/>
  <c r="AW34" a="1"/>
  <c r="AS34"/>
  <c r="AV34"/>
  <c r="AW34"/>
  <c r="AX34" a="1"/>
  <c r="AX34"/>
  <c r="AY34" a="1"/>
  <c r="U34"/>
  <c r="BI35"/>
  <c r="O35"/>
  <c r="BC35"/>
  <c r="BD35"/>
  <c r="BE35"/>
  <c r="V35" a="1"/>
  <c r="V35"/>
  <c r="T35" a="1"/>
  <c r="T35"/>
  <c r="S35" a="1"/>
  <c r="S35"/>
  <c r="H35"/>
  <c r="W35" a="1"/>
  <c r="W35"/>
  <c r="X35"/>
  <c r="J35"/>
  <c r="Y35" a="1"/>
  <c r="Y35"/>
  <c r="Z35" a="1"/>
  <c r="Z35"/>
  <c r="AA35" a="1"/>
  <c r="AA35"/>
  <c r="G35"/>
  <c r="AB35" a="1"/>
  <c r="AB35"/>
  <c r="AC35" a="1"/>
  <c r="I35"/>
  <c r="AD35" a="1"/>
  <c r="AC35"/>
  <c r="AD35"/>
  <c r="AE35" a="1"/>
  <c r="AE35"/>
  <c r="AJ35" a="1"/>
  <c r="AJ35"/>
  <c r="K35"/>
  <c r="BW35"/>
  <c r="BX35"/>
  <c r="L35"/>
  <c r="M35"/>
  <c r="AK35" a="1"/>
  <c r="AK35"/>
  <c r="AL35" a="1"/>
  <c r="AL35"/>
  <c r="AM35" a="1"/>
  <c r="AM35"/>
  <c r="AN35" a="1"/>
  <c r="AN35"/>
  <c r="AO35" a="1"/>
  <c r="AO35"/>
  <c r="AP35" a="1"/>
  <c r="AP35"/>
  <c r="AQ35" a="1"/>
  <c r="AQ35"/>
  <c r="AR35" a="1"/>
  <c r="AR35"/>
  <c r="AS35" a="1"/>
  <c r="AT35" a="1"/>
  <c r="AT35"/>
  <c r="AU35" a="1"/>
  <c r="AU35"/>
  <c r="AV35" a="1"/>
  <c r="AW35" a="1"/>
  <c r="AS35"/>
  <c r="AV35"/>
  <c r="AW35"/>
  <c r="AX35" a="1"/>
  <c r="AX35"/>
  <c r="AY35" a="1"/>
  <c r="U35"/>
  <c r="BI36"/>
  <c r="O36"/>
  <c r="BC36"/>
  <c r="BD36"/>
  <c r="BE36"/>
  <c r="V36" a="1"/>
  <c r="V36"/>
  <c r="T36" a="1"/>
  <c r="T36"/>
  <c r="S36" a="1"/>
  <c r="S36"/>
  <c r="H36"/>
  <c r="W36" a="1"/>
  <c r="W36"/>
  <c r="X36"/>
  <c r="J36"/>
  <c r="Y36" a="1"/>
  <c r="Y36"/>
  <c r="Z36" a="1"/>
  <c r="Z36"/>
  <c r="AA36" a="1"/>
  <c r="AA36"/>
  <c r="G36"/>
  <c r="AB36" a="1"/>
  <c r="AB36"/>
  <c r="AC36" a="1"/>
  <c r="I36"/>
  <c r="AD36" a="1"/>
  <c r="AC36"/>
  <c r="AD36"/>
  <c r="AE36" a="1"/>
  <c r="AE36"/>
  <c r="AJ36" a="1"/>
  <c r="AJ36"/>
  <c r="K36"/>
  <c r="BW36"/>
  <c r="BX36"/>
  <c r="L36"/>
  <c r="M36"/>
  <c r="AK36" a="1"/>
  <c r="AK36"/>
  <c r="AL36" a="1"/>
  <c r="AL36"/>
  <c r="AM36" a="1"/>
  <c r="AM36"/>
  <c r="AN36" a="1"/>
  <c r="AN36"/>
  <c r="AO36" a="1"/>
  <c r="AO36"/>
  <c r="AP36" a="1"/>
  <c r="AP36"/>
  <c r="AQ36" a="1"/>
  <c r="AQ36"/>
  <c r="AR36" a="1"/>
  <c r="AR36"/>
  <c r="AS36" a="1"/>
  <c r="AT36" a="1"/>
  <c r="AT36"/>
  <c r="AU36" a="1"/>
  <c r="AU36"/>
  <c r="AV36" a="1"/>
  <c r="AW36" a="1"/>
  <c r="AS36"/>
  <c r="AV36"/>
  <c r="AW36"/>
  <c r="AX36" a="1"/>
  <c r="AX36"/>
  <c r="AY36" a="1"/>
  <c r="U36"/>
  <c r="BI37"/>
  <c r="O37"/>
  <c r="BC37"/>
  <c r="BD37"/>
  <c r="BE37"/>
  <c r="V37" a="1"/>
  <c r="V37"/>
  <c r="T37" a="1"/>
  <c r="T37"/>
  <c r="S37" a="1"/>
  <c r="S37"/>
  <c r="H37"/>
  <c r="W37" a="1"/>
  <c r="W37"/>
  <c r="X37"/>
  <c r="J37"/>
  <c r="Y37" a="1"/>
  <c r="Y37"/>
  <c r="Z37" a="1"/>
  <c r="Z37"/>
  <c r="AA37" a="1"/>
  <c r="AA37"/>
  <c r="G37"/>
  <c r="AB37" a="1"/>
  <c r="AB37"/>
  <c r="AC37" a="1"/>
  <c r="I37"/>
  <c r="AD37" a="1"/>
  <c r="AC37"/>
  <c r="AD37"/>
  <c r="AE37" a="1"/>
  <c r="AE37"/>
  <c r="AJ37" a="1"/>
  <c r="AJ37"/>
  <c r="K37"/>
  <c r="BW37"/>
  <c r="BX37"/>
  <c r="L37"/>
  <c r="M37"/>
  <c r="AK37" a="1"/>
  <c r="AK37"/>
  <c r="AL37" a="1"/>
  <c r="AL37"/>
  <c r="AM37" a="1"/>
  <c r="AM37"/>
  <c r="AN37" a="1"/>
  <c r="AN37"/>
  <c r="AO37" a="1"/>
  <c r="AO37"/>
  <c r="AP37" a="1"/>
  <c r="AP37"/>
  <c r="AQ37" a="1"/>
  <c r="AQ37"/>
  <c r="AR37" a="1"/>
  <c r="AR37"/>
  <c r="AS37" a="1"/>
  <c r="AT37" a="1"/>
  <c r="AT37"/>
  <c r="AU37" a="1"/>
  <c r="AU37"/>
  <c r="AV37" a="1"/>
  <c r="AW37" a="1"/>
  <c r="AS37"/>
  <c r="AV37"/>
  <c r="AW37"/>
  <c r="AX37" a="1"/>
  <c r="AX37"/>
  <c r="AY37" a="1"/>
  <c r="U37"/>
  <c r="BI38"/>
  <c r="O38"/>
  <c r="BC38"/>
  <c r="BD38"/>
  <c r="BE38"/>
  <c r="V38" a="1"/>
  <c r="V38"/>
  <c r="T38" a="1"/>
  <c r="T38"/>
  <c r="S38" a="1"/>
  <c r="S38"/>
  <c r="H38"/>
  <c r="W38" a="1"/>
  <c r="W38"/>
  <c r="X38"/>
  <c r="J38"/>
  <c r="Y38" a="1"/>
  <c r="Y38"/>
  <c r="Z38" a="1"/>
  <c r="Z38"/>
  <c r="AA38" a="1"/>
  <c r="AA38"/>
  <c r="G38"/>
  <c r="AB38" a="1"/>
  <c r="AB38"/>
  <c r="AC38" a="1"/>
  <c r="I38"/>
  <c r="AD38" a="1"/>
  <c r="AC38"/>
  <c r="AD38"/>
  <c r="AE38" a="1"/>
  <c r="AE38"/>
  <c r="AJ38" a="1"/>
  <c r="AJ38"/>
  <c r="K38"/>
  <c r="BW38"/>
  <c r="BX38"/>
  <c r="L38"/>
  <c r="M38"/>
  <c r="AK38" a="1"/>
  <c r="AK38"/>
  <c r="AL38" a="1"/>
  <c r="AL38"/>
  <c r="AM38" a="1"/>
  <c r="AM38"/>
  <c r="AN38" a="1"/>
  <c r="AN38"/>
  <c r="AO38" a="1"/>
  <c r="AO38"/>
  <c r="AP38" a="1"/>
  <c r="AP38"/>
  <c r="AQ38" a="1"/>
  <c r="AQ38"/>
  <c r="AR38" a="1"/>
  <c r="AR38"/>
  <c r="AS38" a="1"/>
  <c r="AT38" a="1"/>
  <c r="AT38"/>
  <c r="AU38" a="1"/>
  <c r="AU38"/>
  <c r="AV38" a="1"/>
  <c r="AW38" a="1"/>
  <c r="AS38"/>
  <c r="AV38"/>
  <c r="AW38"/>
  <c r="AX38" a="1"/>
  <c r="AX38"/>
  <c r="AY38" a="1"/>
  <c r="U38"/>
  <c r="BI39"/>
  <c r="O39"/>
  <c r="BC39"/>
  <c r="BD39"/>
  <c r="BE39"/>
  <c r="V39" a="1"/>
  <c r="V39"/>
  <c r="T39" a="1"/>
  <c r="T39"/>
  <c r="S39" a="1"/>
  <c r="S39"/>
  <c r="H39"/>
  <c r="W39" a="1"/>
  <c r="W39"/>
  <c r="X39"/>
  <c r="J39"/>
  <c r="Y39" a="1"/>
  <c r="Y39"/>
  <c r="Z39" a="1"/>
  <c r="Z39"/>
  <c r="AA39" a="1"/>
  <c r="AA39"/>
  <c r="G39"/>
  <c r="AB39" a="1"/>
  <c r="AB39"/>
  <c r="AC39" a="1"/>
  <c r="I39"/>
  <c r="AD39" a="1"/>
  <c r="AC39"/>
  <c r="AD39"/>
  <c r="AE39" a="1"/>
  <c r="AE39"/>
  <c r="AJ39" a="1"/>
  <c r="AJ39"/>
  <c r="K39"/>
  <c r="M39"/>
  <c r="AK39" a="1"/>
  <c r="AK39"/>
  <c r="AL39" a="1"/>
  <c r="AL39"/>
  <c r="AM39" a="1"/>
  <c r="AM39"/>
  <c r="AN39" a="1"/>
  <c r="AN39"/>
  <c r="AO39" a="1"/>
  <c r="AO39"/>
  <c r="AP39" a="1"/>
  <c r="AP39"/>
  <c r="AQ39" a="1"/>
  <c r="AQ39"/>
  <c r="AR39" a="1"/>
  <c r="AR39"/>
  <c r="AS39" a="1"/>
  <c r="AT39" a="1"/>
  <c r="AT39"/>
  <c r="AU39" a="1"/>
  <c r="AU39"/>
  <c r="AV39" a="1"/>
  <c r="AW39" a="1"/>
  <c r="AS39"/>
  <c r="AV39"/>
  <c r="AW39"/>
  <c r="AX39" a="1"/>
  <c r="AX39"/>
  <c r="AY39" a="1"/>
  <c r="U39"/>
  <c r="BI40"/>
  <c r="O40"/>
  <c r="BC40"/>
  <c r="BD40"/>
  <c r="BE40"/>
  <c r="V40" a="1"/>
  <c r="V40"/>
  <c r="T40" a="1"/>
  <c r="T40"/>
  <c r="S40" a="1"/>
  <c r="S40"/>
  <c r="H40"/>
  <c r="W40" a="1"/>
  <c r="W40"/>
  <c r="X40"/>
  <c r="J40"/>
  <c r="Y40" a="1"/>
  <c r="Y40"/>
  <c r="Z40" a="1"/>
  <c r="Z40"/>
  <c r="AA40" a="1"/>
  <c r="AA40"/>
  <c r="G40"/>
  <c r="AB40" a="1"/>
  <c r="AB40"/>
  <c r="AC40" a="1"/>
  <c r="I40"/>
  <c r="AD40" a="1"/>
  <c r="AC40"/>
  <c r="AD40"/>
  <c r="AE40" a="1"/>
  <c r="AE40"/>
  <c r="AJ40" a="1"/>
  <c r="AJ40"/>
  <c r="K40"/>
  <c r="M40"/>
  <c r="AK40" a="1"/>
  <c r="AK40"/>
  <c r="AL40" a="1"/>
  <c r="AL40"/>
  <c r="AM40" a="1"/>
  <c r="AM40"/>
  <c r="AN40" a="1"/>
  <c r="AN40"/>
  <c r="AO40" a="1"/>
  <c r="AO40"/>
  <c r="AP40" a="1"/>
  <c r="AP40"/>
  <c r="AQ40" a="1"/>
  <c r="AQ40"/>
  <c r="AR40" a="1"/>
  <c r="AR40"/>
  <c r="AS40" a="1"/>
  <c r="AT40" a="1"/>
  <c r="AT40"/>
  <c r="AU40" a="1"/>
  <c r="AU40"/>
  <c r="AV40" a="1"/>
  <c r="AW40" a="1"/>
  <c r="AS40"/>
  <c r="AV40"/>
  <c r="AW40"/>
  <c r="AX40" a="1"/>
  <c r="AX40"/>
  <c r="AY40" a="1"/>
  <c r="U40"/>
  <c r="BI41"/>
  <c r="O41"/>
  <c r="BC41"/>
  <c r="BD41"/>
  <c r="BE41"/>
  <c r="V41" a="1"/>
  <c r="V41"/>
  <c r="T41" a="1"/>
  <c r="T41"/>
  <c r="S41" a="1"/>
  <c r="S41"/>
  <c r="H41"/>
  <c r="W41" a="1"/>
  <c r="W41"/>
  <c r="X41"/>
  <c r="J41"/>
  <c r="Y41" a="1"/>
  <c r="Y41"/>
  <c r="Z41" a="1"/>
  <c r="Z41"/>
  <c r="AA41" a="1"/>
  <c r="AA41"/>
  <c r="G41"/>
  <c r="AB41" a="1"/>
  <c r="AB41"/>
  <c r="AC41" a="1"/>
  <c r="I41"/>
  <c r="AD41" a="1"/>
  <c r="AC41"/>
  <c r="AD41"/>
  <c r="AE41" a="1"/>
  <c r="AE41"/>
  <c r="AJ41" a="1"/>
  <c r="AJ41"/>
  <c r="K41"/>
  <c r="M41"/>
  <c r="AK41" a="1"/>
  <c r="AK41"/>
  <c r="AL41" a="1"/>
  <c r="AL41"/>
  <c r="AM41" a="1"/>
  <c r="AM41"/>
  <c r="AN41" a="1"/>
  <c r="AN41"/>
  <c r="AO41" a="1"/>
  <c r="AO41"/>
  <c r="AP41" a="1"/>
  <c r="AP41"/>
  <c r="AQ41" a="1"/>
  <c r="AQ41"/>
  <c r="AR41" a="1"/>
  <c r="AR41"/>
  <c r="AS41" a="1"/>
  <c r="AT41" a="1"/>
  <c r="AT41"/>
  <c r="AU41" a="1"/>
  <c r="AU41"/>
  <c r="AV41" a="1"/>
  <c r="AW41" a="1"/>
  <c r="AS41"/>
  <c r="AV41"/>
  <c r="AW41"/>
  <c r="AX41" a="1"/>
  <c r="AX41"/>
  <c r="AY41" a="1"/>
  <c r="U41"/>
  <c r="BI42"/>
  <c r="O42"/>
  <c r="BC42"/>
  <c r="BD42"/>
  <c r="BE42"/>
  <c r="V42" a="1"/>
  <c r="V42"/>
  <c r="T42" a="1"/>
  <c r="T42"/>
  <c r="S42" a="1"/>
  <c r="S42"/>
  <c r="H42"/>
  <c r="W42" a="1"/>
  <c r="W42"/>
  <c r="X42"/>
  <c r="J42"/>
  <c r="Y42" a="1"/>
  <c r="Y42"/>
  <c r="Z42" a="1"/>
  <c r="Z42"/>
  <c r="AA42" a="1"/>
  <c r="AA42"/>
  <c r="G42"/>
  <c r="AB42" a="1"/>
  <c r="AB42"/>
  <c r="AC42" a="1"/>
  <c r="I42"/>
  <c r="AD42" a="1"/>
  <c r="AC42"/>
  <c r="AD42"/>
  <c r="AE42" a="1"/>
  <c r="AE42"/>
  <c r="AJ42" a="1"/>
  <c r="AJ42"/>
  <c r="K42"/>
  <c r="M42"/>
  <c r="AK42" a="1"/>
  <c r="AK42"/>
  <c r="AL42" a="1"/>
  <c r="AL42"/>
  <c r="AM42" a="1"/>
  <c r="AM42"/>
  <c r="AN42" a="1"/>
  <c r="AN42"/>
  <c r="AO42" a="1"/>
  <c r="AO42"/>
  <c r="AP42" a="1"/>
  <c r="AP42"/>
  <c r="AQ42" a="1"/>
  <c r="AQ42"/>
  <c r="AR42" a="1"/>
  <c r="AR42"/>
  <c r="AS42" a="1"/>
  <c r="AT42" a="1"/>
  <c r="AT42"/>
  <c r="AU42" a="1"/>
  <c r="AU42"/>
  <c r="AV42" a="1"/>
  <c r="AW42" a="1"/>
  <c r="AS42"/>
  <c r="AV42"/>
  <c r="AW42"/>
  <c r="AX42" a="1"/>
  <c r="AX42"/>
  <c r="AY42" a="1"/>
  <c r="U42"/>
  <c r="BI43"/>
  <c r="O43"/>
  <c r="BC43"/>
  <c r="BD43"/>
  <c r="BE43"/>
  <c r="V43" a="1"/>
  <c r="V43"/>
  <c r="T43" a="1"/>
  <c r="T43"/>
  <c r="S43" a="1"/>
  <c r="S43"/>
  <c r="H43"/>
  <c r="W43" a="1"/>
  <c r="W43"/>
  <c r="X43"/>
  <c r="J43"/>
  <c r="Y43" a="1"/>
  <c r="Y43"/>
  <c r="Z43" a="1"/>
  <c r="Z43"/>
  <c r="AA43" a="1"/>
  <c r="AA43"/>
  <c r="G43"/>
  <c r="AB43" a="1"/>
  <c r="AB43"/>
  <c r="AC43" a="1"/>
  <c r="I43"/>
  <c r="AD43" a="1"/>
  <c r="AC43"/>
  <c r="AD43"/>
  <c r="AE43" a="1"/>
  <c r="AE43"/>
  <c r="AJ43" a="1"/>
  <c r="AJ43"/>
  <c r="K43"/>
  <c r="M43"/>
  <c r="AK43" a="1"/>
  <c r="AK43"/>
  <c r="AL43" a="1"/>
  <c r="AL43"/>
  <c r="AM43" a="1"/>
  <c r="AM43"/>
  <c r="AN43" a="1"/>
  <c r="AN43"/>
  <c r="AO43" a="1"/>
  <c r="AO43"/>
  <c r="AP43" a="1"/>
  <c r="AP43"/>
  <c r="AQ43" a="1"/>
  <c r="AQ43"/>
  <c r="AR43" a="1"/>
  <c r="AR43"/>
  <c r="AS43" a="1"/>
  <c r="AT43" a="1"/>
  <c r="AT43"/>
  <c r="AU43" a="1"/>
  <c r="AU43"/>
  <c r="AV43" a="1"/>
  <c r="AW43" a="1"/>
  <c r="AS43"/>
  <c r="AV43"/>
  <c r="AW43"/>
  <c r="AX43" a="1"/>
  <c r="AX43"/>
  <c r="AY43" a="1"/>
  <c r="U43"/>
  <c r="BI44"/>
  <c r="O44"/>
  <c r="BC44"/>
  <c r="BD44"/>
  <c r="BE44"/>
  <c r="V44" a="1"/>
  <c r="V44"/>
  <c r="T44" a="1"/>
  <c r="T44"/>
  <c r="S44" a="1"/>
  <c r="S44"/>
  <c r="H44"/>
  <c r="W44" a="1"/>
  <c r="W44"/>
  <c r="X44"/>
  <c r="J44"/>
  <c r="Y44" a="1"/>
  <c r="Y44"/>
  <c r="Z44" a="1"/>
  <c r="Z44"/>
  <c r="AA44" a="1"/>
  <c r="AA44"/>
  <c r="G44"/>
  <c r="AB44" a="1"/>
  <c r="AB44"/>
  <c r="AC44" a="1"/>
  <c r="I44"/>
  <c r="AD44" a="1"/>
  <c r="AC44"/>
  <c r="AD44"/>
  <c r="AE44" a="1"/>
  <c r="AE44"/>
  <c r="AJ44" a="1"/>
  <c r="AJ44"/>
  <c r="K44"/>
  <c r="M44"/>
  <c r="AK44" a="1"/>
  <c r="AK44"/>
  <c r="AL44" a="1"/>
  <c r="AL44"/>
  <c r="AM44" a="1"/>
  <c r="AM44"/>
  <c r="AN44" a="1"/>
  <c r="AN44"/>
  <c r="AO44" a="1"/>
  <c r="AO44"/>
  <c r="AP44" a="1"/>
  <c r="AP44"/>
  <c r="AQ44" a="1"/>
  <c r="AQ44"/>
  <c r="AR44" a="1"/>
  <c r="AR44"/>
  <c r="AS44" a="1"/>
  <c r="AT44" a="1"/>
  <c r="AT44"/>
  <c r="AU44" a="1"/>
  <c r="AU44"/>
  <c r="AV44" a="1"/>
  <c r="AW44" a="1"/>
  <c r="AS44"/>
  <c r="AV44"/>
  <c r="AW44"/>
  <c r="AX44" a="1"/>
  <c r="AX44"/>
  <c r="AY44" a="1"/>
  <c r="U44"/>
  <c r="BI45"/>
  <c r="O45"/>
  <c r="BC45"/>
  <c r="BD45"/>
  <c r="BE45"/>
  <c r="V45" a="1"/>
  <c r="V45"/>
  <c r="T45" a="1"/>
  <c r="T45"/>
  <c r="S45" a="1"/>
  <c r="S45"/>
  <c r="H45"/>
  <c r="W45" a="1"/>
  <c r="W45"/>
  <c r="X45"/>
  <c r="J45"/>
  <c r="Y45" a="1"/>
  <c r="Y45"/>
  <c r="Z45" a="1"/>
  <c r="Z45"/>
  <c r="AA45" a="1"/>
  <c r="AA45"/>
  <c r="G45"/>
  <c r="AB45" a="1"/>
  <c r="AB45"/>
  <c r="AC45" a="1"/>
  <c r="I45"/>
  <c r="AD45" a="1"/>
  <c r="AC45"/>
  <c r="AD45"/>
  <c r="AE45" a="1"/>
  <c r="AE45"/>
  <c r="AJ45" a="1"/>
  <c r="AJ45"/>
  <c r="K45"/>
  <c r="M45"/>
  <c r="AK45" a="1"/>
  <c r="AK45"/>
  <c r="AL45" a="1"/>
  <c r="AL45"/>
  <c r="AM45" a="1"/>
  <c r="AM45"/>
  <c r="AN45" a="1"/>
  <c r="AN45"/>
  <c r="AO45" a="1"/>
  <c r="AO45"/>
  <c r="AP45" a="1"/>
  <c r="AP45"/>
  <c r="AQ45" a="1"/>
  <c r="AQ45"/>
  <c r="AR45" a="1"/>
  <c r="AR45"/>
  <c r="AS45" a="1"/>
  <c r="AT45" a="1"/>
  <c r="AT45"/>
  <c r="AU45" a="1"/>
  <c r="AU45"/>
  <c r="AV45" a="1"/>
  <c r="AW45" a="1"/>
  <c r="AS45"/>
  <c r="AV45"/>
  <c r="AW45"/>
  <c r="AX45" a="1"/>
  <c r="AX45"/>
  <c r="AY45" a="1"/>
  <c r="U45"/>
  <c r="BI46"/>
  <c r="O46"/>
  <c r="BC46"/>
  <c r="BD46"/>
  <c r="BE46"/>
  <c r="V46" a="1"/>
  <c r="V46"/>
  <c r="T46" a="1"/>
  <c r="T46"/>
  <c r="S46" a="1"/>
  <c r="S46"/>
  <c r="H46"/>
  <c r="W46" a="1"/>
  <c r="W46"/>
  <c r="X46"/>
  <c r="J46"/>
  <c r="Y46" a="1"/>
  <c r="Y46"/>
  <c r="Z46" a="1"/>
  <c r="Z46"/>
  <c r="AA46" a="1"/>
  <c r="AA46"/>
  <c r="G46"/>
  <c r="AB46" a="1"/>
  <c r="AB46"/>
  <c r="AC46" a="1"/>
  <c r="I46"/>
  <c r="AD46" a="1"/>
  <c r="AC46"/>
  <c r="AD46"/>
  <c r="AE46" a="1"/>
  <c r="AE46"/>
  <c r="AJ46" a="1"/>
  <c r="AJ46"/>
  <c r="K46"/>
  <c r="M46"/>
  <c r="AK46" a="1"/>
  <c r="AK46"/>
  <c r="AL46" a="1"/>
  <c r="AL46"/>
  <c r="AM46" a="1"/>
  <c r="AM46"/>
  <c r="AN46" a="1"/>
  <c r="AN46"/>
  <c r="AO46" a="1"/>
  <c r="AO46"/>
  <c r="AP46" a="1"/>
  <c r="AP46"/>
  <c r="AQ46" a="1"/>
  <c r="AQ46"/>
  <c r="AR46" a="1"/>
  <c r="AR46"/>
  <c r="AS46" a="1"/>
  <c r="AT46" a="1"/>
  <c r="AT46"/>
  <c r="AU46" a="1"/>
  <c r="AU46"/>
  <c r="AV46" a="1"/>
  <c r="AW46" a="1"/>
  <c r="AS46"/>
  <c r="AV46"/>
  <c r="AW46"/>
  <c r="AX46" a="1"/>
  <c r="AX46"/>
  <c r="AY46" a="1"/>
  <c r="U46"/>
  <c r="O47"/>
  <c r="AY47" a="1"/>
  <c r="U47"/>
  <c r="O48"/>
  <c r="AY48" a="1"/>
  <c r="U48"/>
  <c r="O49"/>
  <c r="AY49" a="1"/>
  <c r="U49"/>
  <c r="O50"/>
  <c r="AY50" a="1"/>
  <c r="U50"/>
  <c r="O51"/>
  <c r="AY51" a="1"/>
  <c r="U51"/>
  <c r="O52"/>
  <c r="AY52" a="1"/>
  <c r="U52"/>
  <c r="O53"/>
  <c r="AY53" a="1"/>
  <c r="U53"/>
  <c r="O54"/>
  <c r="AY54" a="1"/>
  <c r="U54"/>
  <c r="O55"/>
  <c r="AY55" a="1"/>
  <c r="U55"/>
  <c r="O56"/>
  <c r="AY56" a="1"/>
  <c r="U56"/>
  <c r="O57"/>
  <c r="AY57" a="1"/>
  <c r="U57"/>
  <c r="O58"/>
  <c r="AY58" a="1"/>
  <c r="U58"/>
  <c r="O59"/>
  <c r="AY59" a="1"/>
  <c r="U59"/>
  <c r="O60"/>
  <c r="AY60" a="1"/>
  <c r="AY15"/>
  <c r="AY16"/>
  <c r="AY17"/>
  <c r="AY18"/>
  <c r="AY19"/>
  <c r="AY20"/>
  <c r="AY21"/>
  <c r="AY22"/>
  <c r="AY23"/>
  <c r="AY24"/>
  <c r="AY25"/>
  <c r="AY26"/>
  <c r="AY27"/>
  <c r="AY28"/>
  <c r="AY29"/>
  <c r="AY30"/>
  <c r="AY31"/>
  <c r="AY32"/>
  <c r="AY33"/>
  <c r="AY34"/>
  <c r="AY35"/>
  <c r="AY36"/>
  <c r="AY37"/>
  <c r="AY38"/>
  <c r="AY39"/>
  <c r="AY40"/>
  <c r="AY41"/>
  <c r="AY42"/>
  <c r="AY43"/>
  <c r="AY44"/>
  <c r="AY45"/>
  <c r="AY46"/>
  <c r="AY47"/>
  <c r="AY48"/>
  <c r="AY49"/>
  <c r="AY50"/>
  <c r="AY51"/>
  <c r="AY52"/>
  <c r="AY53"/>
  <c r="AY54"/>
  <c r="AY55"/>
  <c r="AY56"/>
  <c r="AY57"/>
  <c r="AY58"/>
  <c r="AY59"/>
  <c r="AY60"/>
  <c r="AY61" a="1"/>
  <c r="AY61"/>
  <c r="AB74"/>
  <c r="AM47" a="1"/>
  <c r="AM47"/>
  <c r="AM48" a="1"/>
  <c r="AM48"/>
  <c r="AM49" a="1"/>
  <c r="AM50" a="1"/>
  <c r="AM51" a="1"/>
  <c r="AM52" a="1"/>
  <c r="AM53" a="1"/>
  <c r="AM54" a="1"/>
  <c r="AM55" a="1"/>
  <c r="AM56" a="1"/>
  <c r="AM57" a="1"/>
  <c r="AM58" a="1"/>
  <c r="AM59" a="1"/>
  <c r="AM60" a="1"/>
  <c r="AM49"/>
  <c r="AM50"/>
  <c r="AM51"/>
  <c r="AM52"/>
  <c r="AM53"/>
  <c r="AM54"/>
  <c r="AM55"/>
  <c r="AM56"/>
  <c r="AM57"/>
  <c r="AM58"/>
  <c r="AM59"/>
  <c r="AM60"/>
  <c r="AM61" a="1"/>
  <c r="AM61"/>
  <c r="AB68"/>
  <c r="AP47" a="1"/>
  <c r="AP47"/>
  <c r="AP48" a="1"/>
  <c r="AP48"/>
  <c r="AP49" a="1"/>
  <c r="AP50" a="1"/>
  <c r="AP51" a="1"/>
  <c r="AP52" a="1"/>
  <c r="AP53" a="1"/>
  <c r="AP54" a="1"/>
  <c r="AP55" a="1"/>
  <c r="AP56" a="1"/>
  <c r="AP57" a="1"/>
  <c r="AP58" a="1"/>
  <c r="AP59" a="1"/>
  <c r="AP60" a="1"/>
  <c r="AP49"/>
  <c r="AP50"/>
  <c r="AP51"/>
  <c r="AP52"/>
  <c r="AP53"/>
  <c r="AP54"/>
  <c r="AP55"/>
  <c r="AP56"/>
  <c r="AP57"/>
  <c r="AP58"/>
  <c r="AP59"/>
  <c r="AP60"/>
  <c r="AP61" a="1"/>
  <c r="AP61"/>
  <c r="AB69"/>
  <c r="AW47" a="1"/>
  <c r="AW47"/>
  <c r="AW48" a="1"/>
  <c r="AW48"/>
  <c r="AW49" a="1"/>
  <c r="AW50" a="1"/>
  <c r="AW51" a="1"/>
  <c r="AW52" a="1"/>
  <c r="AW53" a="1"/>
  <c r="AW54" a="1"/>
  <c r="AW55" a="1"/>
  <c r="AW56" a="1"/>
  <c r="AW57" a="1"/>
  <c r="AW58" a="1"/>
  <c r="AW59" a="1"/>
  <c r="AW60" a="1"/>
  <c r="AW49"/>
  <c r="AW50"/>
  <c r="AW51"/>
  <c r="AW52"/>
  <c r="AW53"/>
  <c r="AW54"/>
  <c r="AW55"/>
  <c r="AW56"/>
  <c r="AW57"/>
  <c r="AW58"/>
  <c r="AW59"/>
  <c r="AW60"/>
  <c r="AW61" a="1"/>
  <c r="AW61"/>
  <c r="AB70"/>
  <c r="AQ47" a="1"/>
  <c r="AQ47"/>
  <c r="AR47" a="1"/>
  <c r="AR47"/>
  <c r="AS47" a="1"/>
  <c r="AS47"/>
  <c r="AQ48" a="1"/>
  <c r="AQ48"/>
  <c r="AR48" a="1"/>
  <c r="AR48"/>
  <c r="AS48" a="1"/>
  <c r="AS48"/>
  <c r="AQ49" a="1"/>
  <c r="AQ49"/>
  <c r="AR49" a="1"/>
  <c r="AR49"/>
  <c r="AS49" a="1"/>
  <c r="AQ50" a="1"/>
  <c r="AQ50"/>
  <c r="AR50" a="1"/>
  <c r="AR50"/>
  <c r="AS50" a="1"/>
  <c r="AQ51" a="1"/>
  <c r="AQ51"/>
  <c r="AR51" a="1"/>
  <c r="AR51"/>
  <c r="AS51" a="1"/>
  <c r="AQ52" a="1"/>
  <c r="AQ52"/>
  <c r="AR52" a="1"/>
  <c r="AR52"/>
  <c r="AS52" a="1"/>
  <c r="AQ53" a="1"/>
  <c r="AQ53"/>
  <c r="AR53" a="1"/>
  <c r="AR53"/>
  <c r="AS53" a="1"/>
  <c r="AQ54" a="1"/>
  <c r="AQ54"/>
  <c r="AR54" a="1"/>
  <c r="AR54"/>
  <c r="AS54" a="1"/>
  <c r="AQ55" a="1"/>
  <c r="AQ55"/>
  <c r="AR55" a="1"/>
  <c r="AR55"/>
  <c r="AS55" a="1"/>
  <c r="AQ56" a="1"/>
  <c r="AQ56"/>
  <c r="AR56" a="1"/>
  <c r="AR56"/>
  <c r="AS56" a="1"/>
  <c r="AQ57" a="1"/>
  <c r="AQ57"/>
  <c r="AR57" a="1"/>
  <c r="AR57"/>
  <c r="AS57" a="1"/>
  <c r="AQ58" a="1"/>
  <c r="AQ58"/>
  <c r="AR58" a="1"/>
  <c r="AR58"/>
  <c r="AS58" a="1"/>
  <c r="AQ59" a="1"/>
  <c r="AQ59"/>
  <c r="AR59" a="1"/>
  <c r="AR59"/>
  <c r="AS59" a="1"/>
  <c r="AQ60" a="1"/>
  <c r="AQ60"/>
  <c r="AR60" a="1"/>
  <c r="AR60"/>
  <c r="AS60" a="1"/>
  <c r="AS49"/>
  <c r="AS50"/>
  <c r="AS51"/>
  <c r="AS52"/>
  <c r="AS53"/>
  <c r="AS54"/>
  <c r="AS55"/>
  <c r="AS56"/>
  <c r="AS57"/>
  <c r="AS58"/>
  <c r="AS59"/>
  <c r="AS60"/>
  <c r="AS61" a="1"/>
  <c r="AS61"/>
  <c r="AB71"/>
  <c r="AV47" a="1"/>
  <c r="AV47"/>
  <c r="AV48" a="1"/>
  <c r="AV48"/>
  <c r="AV49" a="1"/>
  <c r="AV50" a="1"/>
  <c r="AV51" a="1"/>
  <c r="AV52" a="1"/>
  <c r="AV53" a="1"/>
  <c r="AV54" a="1"/>
  <c r="AV55" a="1"/>
  <c r="AV56" a="1"/>
  <c r="AV57" a="1"/>
  <c r="AV58" a="1"/>
  <c r="AV59" a="1"/>
  <c r="AV60" a="1"/>
  <c r="AV49"/>
  <c r="AV50"/>
  <c r="AV51"/>
  <c r="AV52"/>
  <c r="AV53"/>
  <c r="AV54"/>
  <c r="AV55"/>
  <c r="AV56"/>
  <c r="AV57"/>
  <c r="AV58"/>
  <c r="AV59"/>
  <c r="AV60"/>
  <c r="AV61"/>
  <c r="AB72"/>
  <c r="AB73"/>
  <c r="V72"/>
  <c r="V71"/>
  <c r="AF13" a="1"/>
  <c r="AF13"/>
  <c r="AF14" a="1"/>
  <c r="AF14"/>
  <c r="AF15" a="1"/>
  <c r="AF16" a="1"/>
  <c r="AF17" a="1"/>
  <c r="AF18" a="1"/>
  <c r="AF19" a="1"/>
  <c r="AF20" a="1"/>
  <c r="AF21" a="1"/>
  <c r="AF22" a="1"/>
  <c r="AF23" a="1"/>
  <c r="AF24" a="1"/>
  <c r="AF25" a="1"/>
  <c r="AF26" a="1"/>
  <c r="AF27" a="1"/>
  <c r="AF28" a="1"/>
  <c r="AF29" a="1"/>
  <c r="AF30" a="1"/>
  <c r="AF31" a="1"/>
  <c r="AF32" a="1"/>
  <c r="AF33" a="1"/>
  <c r="AF34" a="1"/>
  <c r="AF35" a="1"/>
  <c r="AF36" a="1"/>
  <c r="AF37" a="1"/>
  <c r="AF38" a="1"/>
  <c r="AF39" a="1"/>
  <c r="AF40" a="1"/>
  <c r="AF41" a="1"/>
  <c r="AF42" a="1"/>
  <c r="AF43" a="1"/>
  <c r="AF44" a="1"/>
  <c r="AF45" a="1"/>
  <c r="AF46" a="1"/>
  <c r="AF47" a="1"/>
  <c r="AF48" a="1"/>
  <c r="AF49" a="1"/>
  <c r="AF50" a="1"/>
  <c r="AF51" a="1"/>
  <c r="AF52" a="1"/>
  <c r="AF53" a="1"/>
  <c r="AF54" a="1"/>
  <c r="AF55" a="1"/>
  <c r="AF56" a="1"/>
  <c r="AF57" a="1"/>
  <c r="AF58" a="1"/>
  <c r="AF59" a="1"/>
  <c r="AF60" a="1"/>
  <c r="AF15"/>
  <c r="AF16"/>
  <c r="AF17"/>
  <c r="AF18"/>
  <c r="AF19"/>
  <c r="AF20"/>
  <c r="AF21"/>
  <c r="AF22"/>
  <c r="AF23"/>
  <c r="AF24"/>
  <c r="AF25"/>
  <c r="AF26"/>
  <c r="AF27"/>
  <c r="AF28"/>
  <c r="AF29"/>
  <c r="AF30"/>
  <c r="AF31"/>
  <c r="AF32"/>
  <c r="AF33"/>
  <c r="AF34"/>
  <c r="AF35"/>
  <c r="AF36"/>
  <c r="AF37"/>
  <c r="AF38"/>
  <c r="AF39"/>
  <c r="AF40"/>
  <c r="AF41"/>
  <c r="AF42"/>
  <c r="AF43"/>
  <c r="AF44"/>
  <c r="AF45"/>
  <c r="AF46"/>
  <c r="AF47"/>
  <c r="AF48"/>
  <c r="AF49"/>
  <c r="AF50"/>
  <c r="AF51"/>
  <c r="AF52"/>
  <c r="AF53"/>
  <c r="AF54"/>
  <c r="AF55"/>
  <c r="AF56"/>
  <c r="AF57"/>
  <c r="AF58"/>
  <c r="AF59"/>
  <c r="AF60"/>
  <c r="AF61" a="1"/>
  <c r="AF61"/>
  <c r="AB63"/>
  <c r="W13" a="1"/>
  <c r="W13"/>
  <c r="AG13" a="1"/>
  <c r="AG13"/>
  <c r="AG14" a="1"/>
  <c r="AG14"/>
  <c r="AG15" a="1"/>
  <c r="AG16" a="1"/>
  <c r="AG17" a="1"/>
  <c r="AG18" a="1"/>
  <c r="AG19" a="1"/>
  <c r="AG20" a="1"/>
  <c r="AG21" a="1"/>
  <c r="AG22" a="1"/>
  <c r="AG23" a="1"/>
  <c r="AG24" a="1"/>
  <c r="AG25" a="1"/>
  <c r="AG26" a="1"/>
  <c r="AG27" a="1"/>
  <c r="AG28" a="1"/>
  <c r="AG29" a="1"/>
  <c r="AG30" a="1"/>
  <c r="AG31" a="1"/>
  <c r="AG32" a="1"/>
  <c r="AG33" a="1"/>
  <c r="AG34" a="1"/>
  <c r="AG35" a="1"/>
  <c r="AG36" a="1"/>
  <c r="AG37" a="1"/>
  <c r="AG38" a="1"/>
  <c r="AG39" a="1"/>
  <c r="AG40" a="1"/>
  <c r="AG41" a="1"/>
  <c r="AG42" a="1"/>
  <c r="AG43" a="1"/>
  <c r="AG44" a="1"/>
  <c r="AG45" a="1"/>
  <c r="AG46" a="1"/>
  <c r="AG47" a="1"/>
  <c r="AG48" a="1"/>
  <c r="AG49" a="1"/>
  <c r="AG50" a="1"/>
  <c r="AG51" a="1"/>
  <c r="AG52" a="1"/>
  <c r="AG53" a="1"/>
  <c r="AG54" a="1"/>
  <c r="AG55" a="1"/>
  <c r="AG56" a="1"/>
  <c r="AG57" a="1"/>
  <c r="AG58" a="1"/>
  <c r="AG59" a="1"/>
  <c r="AG60" a="1"/>
  <c r="AG15"/>
  <c r="AG16"/>
  <c r="AG17"/>
  <c r="AG18"/>
  <c r="AG19"/>
  <c r="AG20"/>
  <c r="AG21"/>
  <c r="AG22"/>
  <c r="AG23"/>
  <c r="AG24"/>
  <c r="AG25"/>
  <c r="AG26"/>
  <c r="AG27"/>
  <c r="AG28"/>
  <c r="AG29"/>
  <c r="AG30"/>
  <c r="AG31"/>
  <c r="AG32"/>
  <c r="AG33"/>
  <c r="AG34"/>
  <c r="AG35"/>
  <c r="AG36"/>
  <c r="AG37"/>
  <c r="AG38"/>
  <c r="AG39"/>
  <c r="AG40"/>
  <c r="AG41"/>
  <c r="AG42"/>
  <c r="AG43"/>
  <c r="AG44"/>
  <c r="AG45"/>
  <c r="AG46"/>
  <c r="AG47"/>
  <c r="AG48"/>
  <c r="AG49"/>
  <c r="AG50"/>
  <c r="AG51"/>
  <c r="AG52"/>
  <c r="AG53"/>
  <c r="AG54"/>
  <c r="AG55"/>
  <c r="AG56"/>
  <c r="AG57"/>
  <c r="AG58"/>
  <c r="AG59"/>
  <c r="AG60"/>
  <c r="AG61" a="1"/>
  <c r="AG61"/>
  <c r="AB64"/>
  <c r="Y13" a="1"/>
  <c r="Y13"/>
  <c r="AI13" a="1"/>
  <c r="AI13"/>
  <c r="AI14" a="1"/>
  <c r="AI14"/>
  <c r="AI15" a="1"/>
  <c r="AI16" a="1"/>
  <c r="AI17" a="1"/>
  <c r="AI18" a="1"/>
  <c r="AI19" a="1"/>
  <c r="AI20" a="1"/>
  <c r="AI21" a="1"/>
  <c r="AI22" a="1"/>
  <c r="AI23" a="1"/>
  <c r="AI24" a="1"/>
  <c r="AI25" a="1"/>
  <c r="AI26" a="1"/>
  <c r="AI27" a="1"/>
  <c r="AI28" a="1"/>
  <c r="AI29" a="1"/>
  <c r="AI30" a="1"/>
  <c r="AI31" a="1"/>
  <c r="AI32" a="1"/>
  <c r="AI33" a="1"/>
  <c r="AI34" a="1"/>
  <c r="AI35" a="1"/>
  <c r="AI36" a="1"/>
  <c r="AI37" a="1"/>
  <c r="AI38" a="1"/>
  <c r="AI39" a="1"/>
  <c r="AI40" a="1"/>
  <c r="AI41" a="1"/>
  <c r="AI42" a="1"/>
  <c r="AI43" a="1"/>
  <c r="AI44" a="1"/>
  <c r="AI45" a="1"/>
  <c r="AI46" a="1"/>
  <c r="AI47" a="1"/>
  <c r="AI48" a="1"/>
  <c r="AI49" a="1"/>
  <c r="AI50" a="1"/>
  <c r="AI51" a="1"/>
  <c r="AI52" a="1"/>
  <c r="AI53" a="1"/>
  <c r="AI54" a="1"/>
  <c r="AI55" a="1"/>
  <c r="AI56" a="1"/>
  <c r="AI57" a="1"/>
  <c r="AI58" a="1"/>
  <c r="AI59" a="1"/>
  <c r="AI60" a="1"/>
  <c r="AI15"/>
  <c r="AI16"/>
  <c r="AI17"/>
  <c r="AI18"/>
  <c r="AI19"/>
  <c r="AI20"/>
  <c r="AI21"/>
  <c r="AI22"/>
  <c r="AI23"/>
  <c r="AI24"/>
  <c r="AI25"/>
  <c r="AI26"/>
  <c r="AI27"/>
  <c r="AI28"/>
  <c r="AI29"/>
  <c r="AI30"/>
  <c r="AI31"/>
  <c r="AI32"/>
  <c r="AI33"/>
  <c r="AI34"/>
  <c r="AI35"/>
  <c r="AI36"/>
  <c r="AI37"/>
  <c r="AI38"/>
  <c r="AI39"/>
  <c r="AI40"/>
  <c r="AI41"/>
  <c r="AI42"/>
  <c r="AI43"/>
  <c r="AI44"/>
  <c r="AI45"/>
  <c r="AI46"/>
  <c r="AI47"/>
  <c r="AI48"/>
  <c r="AI49"/>
  <c r="AI50"/>
  <c r="AI51"/>
  <c r="AI52"/>
  <c r="AI53"/>
  <c r="AI54"/>
  <c r="AI55"/>
  <c r="AI56"/>
  <c r="AI57"/>
  <c r="AI58"/>
  <c r="AI59"/>
  <c r="AI60"/>
  <c r="AI61" a="1"/>
  <c r="AI61"/>
  <c r="AB65"/>
  <c r="AB67"/>
  <c r="AH13" a="1"/>
  <c r="AH13"/>
  <c r="AH14" a="1"/>
  <c r="AH14"/>
  <c r="AH15" a="1"/>
  <c r="AH16" a="1"/>
  <c r="AH17" a="1"/>
  <c r="AH18" a="1"/>
  <c r="AH19" a="1"/>
  <c r="AH20" a="1"/>
  <c r="AH21" a="1"/>
  <c r="AH22" a="1"/>
  <c r="AH23" a="1"/>
  <c r="AH24" a="1"/>
  <c r="AH25" a="1"/>
  <c r="AH26" a="1"/>
  <c r="AH27" a="1"/>
  <c r="AH28" a="1"/>
  <c r="AH29" a="1"/>
  <c r="AH30" a="1"/>
  <c r="AH31" a="1"/>
  <c r="AH32" a="1"/>
  <c r="AH33" a="1"/>
  <c r="AH34" a="1"/>
  <c r="AH35" a="1"/>
  <c r="AH36" a="1"/>
  <c r="AH37" a="1"/>
  <c r="AH38" a="1"/>
  <c r="AH39" a="1"/>
  <c r="AH40" a="1"/>
  <c r="AH41" a="1"/>
  <c r="AH42" a="1"/>
  <c r="AH43" a="1"/>
  <c r="AH44" a="1"/>
  <c r="AH45" a="1"/>
  <c r="AH46" a="1"/>
  <c r="AH47" a="1"/>
  <c r="AH48" a="1"/>
  <c r="AH49" a="1"/>
  <c r="AH50" a="1"/>
  <c r="AH51" a="1"/>
  <c r="AH52" a="1"/>
  <c r="AH53" a="1"/>
  <c r="AH54" a="1"/>
  <c r="AH55" a="1"/>
  <c r="AH56" a="1"/>
  <c r="AH57" a="1"/>
  <c r="AH58" a="1"/>
  <c r="AH59" a="1"/>
  <c r="AH60" a="1"/>
  <c r="AH15"/>
  <c r="AH16"/>
  <c r="AH17"/>
  <c r="AH18"/>
  <c r="AH19"/>
  <c r="AH20"/>
  <c r="AH21"/>
  <c r="AH22"/>
  <c r="AH23"/>
  <c r="AH24"/>
  <c r="AH25"/>
  <c r="AH26"/>
  <c r="AH27"/>
  <c r="AH28"/>
  <c r="AH29"/>
  <c r="AH30"/>
  <c r="AH31"/>
  <c r="AH32"/>
  <c r="AH33"/>
  <c r="AH34"/>
  <c r="AH35"/>
  <c r="AH36"/>
  <c r="AH37"/>
  <c r="AH38"/>
  <c r="AH39"/>
  <c r="AH40"/>
  <c r="AH41"/>
  <c r="AH42"/>
  <c r="AH43"/>
  <c r="AH44"/>
  <c r="AH45"/>
  <c r="AH46"/>
  <c r="AH47"/>
  <c r="AH48"/>
  <c r="AH49"/>
  <c r="AH50"/>
  <c r="AH51"/>
  <c r="AH52"/>
  <c r="AH53"/>
  <c r="AH54"/>
  <c r="AH55"/>
  <c r="AH56"/>
  <c r="AH57"/>
  <c r="AH58"/>
  <c r="AH59"/>
  <c r="AH60"/>
  <c r="AH61" a="1"/>
  <c r="AH61"/>
  <c r="AB66"/>
  <c r="AC10"/>
  <c r="AH10"/>
  <c r="V66"/>
  <c r="AX47" a="1"/>
  <c r="AX47"/>
  <c r="AX48" a="1"/>
  <c r="AX48"/>
  <c r="AX49" a="1"/>
  <c r="AX50" a="1"/>
  <c r="AX51" a="1"/>
  <c r="AX52" a="1"/>
  <c r="AX53" a="1"/>
  <c r="AX54" a="1"/>
  <c r="AX55" a="1"/>
  <c r="AX56" a="1"/>
  <c r="AX57" a="1"/>
  <c r="AX58" a="1"/>
  <c r="AX59" a="1"/>
  <c r="AX60" a="1"/>
  <c r="AX49"/>
  <c r="AX50"/>
  <c r="AX51"/>
  <c r="AX52"/>
  <c r="AX53"/>
  <c r="AX54"/>
  <c r="AX55"/>
  <c r="AX56"/>
  <c r="AX57"/>
  <c r="AX58"/>
  <c r="AX59"/>
  <c r="AX60"/>
  <c r="AX61" a="1"/>
  <c r="AX61"/>
  <c r="AU47" a="1"/>
  <c r="AU47"/>
  <c r="AU48" a="1"/>
  <c r="AU48"/>
  <c r="AU49" a="1"/>
  <c r="AU50" a="1"/>
  <c r="AU51" a="1"/>
  <c r="AU52" a="1"/>
  <c r="AU53" a="1"/>
  <c r="AU54" a="1"/>
  <c r="AU55" a="1"/>
  <c r="AU56" a="1"/>
  <c r="AU57" a="1"/>
  <c r="AU58" a="1"/>
  <c r="AU59" a="1"/>
  <c r="AU60" a="1"/>
  <c r="AU49"/>
  <c r="AU50"/>
  <c r="AU51"/>
  <c r="AU52"/>
  <c r="AU53"/>
  <c r="AU54"/>
  <c r="AU55"/>
  <c r="AU56"/>
  <c r="AU57"/>
  <c r="AU58"/>
  <c r="AU59"/>
  <c r="AU60"/>
  <c r="AU61" a="1"/>
  <c r="AU61"/>
  <c r="AT47" a="1"/>
  <c r="AT47"/>
  <c r="AT48" a="1"/>
  <c r="AT48"/>
  <c r="AT49" a="1"/>
  <c r="AT50" a="1"/>
  <c r="AT51" a="1"/>
  <c r="AT52" a="1"/>
  <c r="AT53" a="1"/>
  <c r="AT54" a="1"/>
  <c r="AT55" a="1"/>
  <c r="AT56" a="1"/>
  <c r="AT57" a="1"/>
  <c r="AT58" a="1"/>
  <c r="AT59" a="1"/>
  <c r="AT60" a="1"/>
  <c r="AT49"/>
  <c r="AT50"/>
  <c r="AT51"/>
  <c r="AT52"/>
  <c r="AT53"/>
  <c r="AT54"/>
  <c r="AT55"/>
  <c r="AT56"/>
  <c r="AT57"/>
  <c r="AT58"/>
  <c r="AT59"/>
  <c r="AT60"/>
  <c r="AT61" a="1"/>
  <c r="AT61"/>
  <c r="AR61" a="1"/>
  <c r="AR61"/>
  <c r="AQ61" a="1"/>
  <c r="AQ61"/>
  <c r="AO47" a="1"/>
  <c r="AO47"/>
  <c r="AO48" a="1"/>
  <c r="AO48"/>
  <c r="AO49" a="1"/>
  <c r="AO49"/>
  <c r="AO50" a="1"/>
  <c r="AO50"/>
  <c r="AO51" a="1"/>
  <c r="AO51"/>
  <c r="AO52" a="1"/>
  <c r="AO52"/>
  <c r="AO53" a="1"/>
  <c r="AO53"/>
  <c r="AO54" a="1"/>
  <c r="AO54"/>
  <c r="AO55" a="1"/>
  <c r="AO55"/>
  <c r="AO56" a="1"/>
  <c r="AO56"/>
  <c r="AO57" a="1"/>
  <c r="AO57"/>
  <c r="AO58" a="1"/>
  <c r="AO58"/>
  <c r="AO59" a="1"/>
  <c r="AO59"/>
  <c r="AO60" a="1"/>
  <c r="AO60"/>
  <c r="AO61" a="1"/>
  <c r="AO61"/>
  <c r="AN47" a="1"/>
  <c r="AN47"/>
  <c r="AN48" a="1"/>
  <c r="AN48"/>
  <c r="AN49" a="1"/>
  <c r="AN49"/>
  <c r="AN50" a="1"/>
  <c r="AN50"/>
  <c r="AN51" a="1"/>
  <c r="AN51"/>
  <c r="AN52" a="1"/>
  <c r="AN52"/>
  <c r="AN53" a="1"/>
  <c r="AN53"/>
  <c r="AN54" a="1"/>
  <c r="AN54"/>
  <c r="AN55" a="1"/>
  <c r="AN55"/>
  <c r="AN56" a="1"/>
  <c r="AN56"/>
  <c r="AN57" a="1"/>
  <c r="AN57"/>
  <c r="AN58" a="1"/>
  <c r="AN58"/>
  <c r="AN59" a="1"/>
  <c r="AN59"/>
  <c r="AN60" a="1"/>
  <c r="AN60"/>
  <c r="AN61" a="1"/>
  <c r="AN61"/>
  <c r="AL47" a="1"/>
  <c r="AL47"/>
  <c r="AL48" a="1"/>
  <c r="AL48"/>
  <c r="AL49" a="1"/>
  <c r="AL50" a="1"/>
  <c r="AL51" a="1"/>
  <c r="AL52" a="1"/>
  <c r="AL53" a="1"/>
  <c r="AL54" a="1"/>
  <c r="AL55" a="1"/>
  <c r="AL56" a="1"/>
  <c r="AL57" a="1"/>
  <c r="AL58" a="1"/>
  <c r="AL59" a="1"/>
  <c r="AL60" a="1"/>
  <c r="AL49"/>
  <c r="AL50"/>
  <c r="AL51"/>
  <c r="AL52"/>
  <c r="AL53"/>
  <c r="AL54"/>
  <c r="AL55"/>
  <c r="AL56"/>
  <c r="AL57"/>
  <c r="AL58"/>
  <c r="AL59"/>
  <c r="AL60"/>
  <c r="AL61" a="1"/>
  <c r="AL61"/>
  <c r="AK47" a="1"/>
  <c r="AK47"/>
  <c r="AK48" a="1"/>
  <c r="AK48"/>
  <c r="AK49" a="1"/>
  <c r="AK50" a="1"/>
  <c r="AK51" a="1"/>
  <c r="AK52" a="1"/>
  <c r="AK53" a="1"/>
  <c r="AK54" a="1"/>
  <c r="AK55" a="1"/>
  <c r="AK56" a="1"/>
  <c r="AK57" a="1"/>
  <c r="AK58" a="1"/>
  <c r="AK59" a="1"/>
  <c r="AK60" a="1"/>
  <c r="AK49"/>
  <c r="AK50"/>
  <c r="AK51"/>
  <c r="AK52"/>
  <c r="AK53"/>
  <c r="AK54"/>
  <c r="AK55"/>
  <c r="AK56"/>
  <c r="AK57"/>
  <c r="AK58"/>
  <c r="AK59"/>
  <c r="AK60"/>
  <c r="AK61" a="1"/>
  <c r="AK61"/>
  <c r="AJ47" a="1"/>
  <c r="AJ47"/>
  <c r="AJ48" a="1"/>
  <c r="AJ48"/>
  <c r="AJ49" a="1"/>
  <c r="AJ50" a="1"/>
  <c r="AJ51" a="1"/>
  <c r="AJ52" a="1"/>
  <c r="AJ53" a="1"/>
  <c r="AJ54" a="1"/>
  <c r="AJ55" a="1"/>
  <c r="AJ56" a="1"/>
  <c r="AJ57" a="1"/>
  <c r="AJ58" a="1"/>
  <c r="AJ59" a="1"/>
  <c r="AJ60" a="1"/>
  <c r="AJ49"/>
  <c r="AJ50"/>
  <c r="AJ51"/>
  <c r="AJ52"/>
  <c r="AJ53"/>
  <c r="AJ54"/>
  <c r="AJ55"/>
  <c r="AJ56"/>
  <c r="AJ57"/>
  <c r="AJ58"/>
  <c r="AJ59"/>
  <c r="AJ60"/>
  <c r="AJ61" a="1"/>
  <c r="AJ61"/>
  <c r="AE47" a="1"/>
  <c r="AE47"/>
  <c r="AE48" a="1"/>
  <c r="AE48"/>
  <c r="AE49" a="1"/>
  <c r="AE50" a="1"/>
  <c r="AE51" a="1"/>
  <c r="AE52" a="1"/>
  <c r="AE53" a="1"/>
  <c r="AE54" a="1"/>
  <c r="AE55" a="1"/>
  <c r="AE56" a="1"/>
  <c r="AE57" a="1"/>
  <c r="AE58" a="1"/>
  <c r="AE59" a="1"/>
  <c r="AE60" a="1"/>
  <c r="AE49"/>
  <c r="AE50"/>
  <c r="AE51"/>
  <c r="AE52"/>
  <c r="AE53"/>
  <c r="AE54"/>
  <c r="AE55"/>
  <c r="AE56"/>
  <c r="AE57"/>
  <c r="AE58"/>
  <c r="AE59"/>
  <c r="AE60"/>
  <c r="AE61" a="1"/>
  <c r="AE61"/>
  <c r="AD47" a="1"/>
  <c r="AD47"/>
  <c r="AD48" a="1"/>
  <c r="AD48"/>
  <c r="AD49" a="1"/>
  <c r="AD50" a="1"/>
  <c r="AD51" a="1"/>
  <c r="AD52" a="1"/>
  <c r="AD53" a="1"/>
  <c r="AD54" a="1"/>
  <c r="AD55" a="1"/>
  <c r="AD56" a="1"/>
  <c r="AD57" a="1"/>
  <c r="AD58" a="1"/>
  <c r="AD59" a="1"/>
  <c r="AD60" a="1"/>
  <c r="AD49"/>
  <c r="AD50"/>
  <c r="AD51"/>
  <c r="AD52"/>
  <c r="AD53"/>
  <c r="AD54"/>
  <c r="AD55"/>
  <c r="AD56"/>
  <c r="AD57"/>
  <c r="AD58"/>
  <c r="AD59"/>
  <c r="AD60"/>
  <c r="AD61" a="1"/>
  <c r="AD61"/>
  <c r="AC47" a="1"/>
  <c r="AC47"/>
  <c r="AC48" a="1"/>
  <c r="AC48"/>
  <c r="AC49" a="1"/>
  <c r="AC50" a="1"/>
  <c r="AC51" a="1"/>
  <c r="AC52" a="1"/>
  <c r="AC53" a="1"/>
  <c r="AC54" a="1"/>
  <c r="AC55" a="1"/>
  <c r="AC56" a="1"/>
  <c r="AC57" a="1"/>
  <c r="AC58" a="1"/>
  <c r="AC59" a="1"/>
  <c r="AC60" a="1"/>
  <c r="AC49"/>
  <c r="AC50"/>
  <c r="AC51"/>
  <c r="AC52"/>
  <c r="AC53"/>
  <c r="AC54"/>
  <c r="AC55"/>
  <c r="AC56"/>
  <c r="AC57"/>
  <c r="AC58"/>
  <c r="AC59"/>
  <c r="AC60"/>
  <c r="AC61" a="1"/>
  <c r="AC61"/>
  <c r="AB47" a="1"/>
  <c r="AB47"/>
  <c r="AB48" a="1"/>
  <c r="AB48"/>
  <c r="AB49" a="1"/>
  <c r="AB50" a="1"/>
  <c r="AB51" a="1"/>
  <c r="AB52" a="1"/>
  <c r="AB53" a="1"/>
  <c r="AB54" a="1"/>
  <c r="AB55" a="1"/>
  <c r="AB56" a="1"/>
  <c r="AB57" a="1"/>
  <c r="AB58" a="1"/>
  <c r="AB59" a="1"/>
  <c r="AB60" a="1"/>
  <c r="AB49"/>
  <c r="AB50"/>
  <c r="AB51"/>
  <c r="AB52"/>
  <c r="AB53"/>
  <c r="AB54"/>
  <c r="AB55"/>
  <c r="AB56"/>
  <c r="AB57"/>
  <c r="AB58"/>
  <c r="AB59"/>
  <c r="AB60"/>
  <c r="AB61" a="1"/>
  <c r="AB61"/>
  <c r="AA47" a="1"/>
  <c r="AA47"/>
  <c r="AA48" a="1"/>
  <c r="AA48"/>
  <c r="AA49" a="1"/>
  <c r="AA50" a="1"/>
  <c r="AA51" a="1"/>
  <c r="AA52" a="1"/>
  <c r="AA53" a="1"/>
  <c r="AA54" a="1"/>
  <c r="AA55" a="1"/>
  <c r="AA56" a="1"/>
  <c r="AA57" a="1"/>
  <c r="AA58" a="1"/>
  <c r="AA59" a="1"/>
  <c r="AA60" a="1"/>
  <c r="AA49"/>
  <c r="AA50"/>
  <c r="AA51"/>
  <c r="AA52"/>
  <c r="AA53"/>
  <c r="AA54"/>
  <c r="AA55"/>
  <c r="AA56"/>
  <c r="AA57"/>
  <c r="AA58"/>
  <c r="AA59"/>
  <c r="AA60"/>
  <c r="AA61" a="1"/>
  <c r="AA61"/>
  <c r="Z47" a="1"/>
  <c r="Z47"/>
  <c r="Z48" a="1"/>
  <c r="Z48"/>
  <c r="Z49" a="1"/>
  <c r="Z50" a="1"/>
  <c r="Z51" a="1"/>
  <c r="Z52" a="1"/>
  <c r="Z53" a="1"/>
  <c r="Z54" a="1"/>
  <c r="Z55" a="1"/>
  <c r="Z56" a="1"/>
  <c r="Z57" a="1"/>
  <c r="Z58" a="1"/>
  <c r="Z59" a="1"/>
  <c r="Z60" a="1"/>
  <c r="Z49"/>
  <c r="Z50"/>
  <c r="Z51"/>
  <c r="Z52"/>
  <c r="Z53"/>
  <c r="Z54"/>
  <c r="Z55"/>
  <c r="Z56"/>
  <c r="Z57"/>
  <c r="Z58"/>
  <c r="Z59"/>
  <c r="Z60"/>
  <c r="Z61" a="1"/>
  <c r="Z61"/>
  <c r="Y47" a="1"/>
  <c r="Y47"/>
  <c r="Y48" a="1"/>
  <c r="Y48"/>
  <c r="Y49" a="1"/>
  <c r="Y50" a="1"/>
  <c r="Y51" a="1"/>
  <c r="Y52" a="1"/>
  <c r="Y53" a="1"/>
  <c r="Y54" a="1"/>
  <c r="Y55" a="1"/>
  <c r="Y56" a="1"/>
  <c r="Y57" a="1"/>
  <c r="Y58" a="1"/>
  <c r="Y59" a="1"/>
  <c r="Y60" a="1"/>
  <c r="Y49"/>
  <c r="Y50"/>
  <c r="Y51"/>
  <c r="Y52"/>
  <c r="Y53"/>
  <c r="Y54"/>
  <c r="Y55"/>
  <c r="Y56"/>
  <c r="Y57"/>
  <c r="Y58"/>
  <c r="Y59"/>
  <c r="Y60"/>
  <c r="Y61" a="1"/>
  <c r="Y61"/>
  <c r="X47"/>
  <c r="X48"/>
  <c r="X49"/>
  <c r="X50"/>
  <c r="X51"/>
  <c r="X52"/>
  <c r="X53"/>
  <c r="X54"/>
  <c r="X55"/>
  <c r="X56"/>
  <c r="X57"/>
  <c r="X58"/>
  <c r="X59"/>
  <c r="X60"/>
  <c r="X61" a="1"/>
  <c r="X61"/>
  <c r="W47" a="1"/>
  <c r="W47"/>
  <c r="W48" a="1"/>
  <c r="W48"/>
  <c r="W49" a="1"/>
  <c r="W50" a="1"/>
  <c r="W51" a="1"/>
  <c r="W52" a="1"/>
  <c r="W53" a="1"/>
  <c r="W54" a="1"/>
  <c r="W55" a="1"/>
  <c r="W56" a="1"/>
  <c r="W57" a="1"/>
  <c r="W58" a="1"/>
  <c r="W59" a="1"/>
  <c r="W60" a="1"/>
  <c r="W49"/>
  <c r="W50"/>
  <c r="W51"/>
  <c r="W52"/>
  <c r="W53"/>
  <c r="W54"/>
  <c r="W55"/>
  <c r="W56"/>
  <c r="W57"/>
  <c r="W58"/>
  <c r="W59"/>
  <c r="W60"/>
  <c r="W61" a="1"/>
  <c r="W61"/>
  <c r="V47" a="1"/>
  <c r="V47"/>
  <c r="V48" a="1"/>
  <c r="V48"/>
  <c r="V49" a="1"/>
  <c r="V50" a="1"/>
  <c r="V51" a="1"/>
  <c r="V52" a="1"/>
  <c r="V53" a="1"/>
  <c r="V54" a="1"/>
  <c r="V55" a="1"/>
  <c r="V56" a="1"/>
  <c r="V57" a="1"/>
  <c r="V58" a="1"/>
  <c r="V59" a="1"/>
  <c r="V60" a="1"/>
  <c r="V49"/>
  <c r="V50"/>
  <c r="V51"/>
  <c r="V52"/>
  <c r="V53"/>
  <c r="V54"/>
  <c r="V55"/>
  <c r="V56"/>
  <c r="V57"/>
  <c r="V58"/>
  <c r="V59"/>
  <c r="V60"/>
  <c r="V61" a="1"/>
  <c r="V61"/>
  <c r="BX60"/>
  <c r="BW60"/>
  <c r="BL60" a="1"/>
  <c r="BL60"/>
  <c r="BO60"/>
  <c r="BP60"/>
  <c r="BQ60"/>
  <c r="BM60" a="1"/>
  <c r="BM60"/>
  <c r="BN60"/>
  <c r="BK60"/>
  <c r="BI47"/>
  <c r="BI48"/>
  <c r="BI49"/>
  <c r="BI50"/>
  <c r="BI51"/>
  <c r="BI52"/>
  <c r="BI53"/>
  <c r="BI54"/>
  <c r="BI55"/>
  <c r="BI56"/>
  <c r="BI57"/>
  <c r="BI58"/>
  <c r="BI59"/>
  <c r="BI60"/>
  <c r="BC60"/>
  <c r="BD60"/>
  <c r="BE60"/>
  <c r="U60"/>
  <c r="T60" a="1"/>
  <c r="T60"/>
  <c r="S60" a="1"/>
  <c r="S60"/>
  <c r="K60"/>
  <c r="M60"/>
  <c r="L60"/>
  <c r="J60"/>
  <c r="I60"/>
  <c r="H60"/>
  <c r="G60"/>
  <c r="F60"/>
  <c r="A60"/>
  <c r="BX59"/>
  <c r="BW59"/>
  <c r="BL59" a="1"/>
  <c r="BL59"/>
  <c r="BO59"/>
  <c r="BP59"/>
  <c r="BQ59"/>
  <c r="BM59" a="1"/>
  <c r="BM59"/>
  <c r="BN59"/>
  <c r="BK59"/>
  <c r="BC59"/>
  <c r="BD59"/>
  <c r="BE59"/>
  <c r="T59" a="1"/>
  <c r="T59"/>
  <c r="S59" a="1"/>
  <c r="S59"/>
  <c r="K59"/>
  <c r="M59"/>
  <c r="L59"/>
  <c r="J59"/>
  <c r="I59"/>
  <c r="H59"/>
  <c r="G59"/>
  <c r="F59"/>
  <c r="A59"/>
  <c r="BX58"/>
  <c r="BW58"/>
  <c r="BL58" a="1"/>
  <c r="BL58"/>
  <c r="BO58"/>
  <c r="BP58"/>
  <c r="BQ58"/>
  <c r="BM58" a="1"/>
  <c r="BM58"/>
  <c r="BN58"/>
  <c r="BK58"/>
  <c r="BC58"/>
  <c r="BD58"/>
  <c r="BE58"/>
  <c r="T58" a="1"/>
  <c r="T58"/>
  <c r="S58" a="1"/>
  <c r="S58"/>
  <c r="K58"/>
  <c r="M58"/>
  <c r="L58"/>
  <c r="J58"/>
  <c r="I58"/>
  <c r="H58"/>
  <c r="G58"/>
  <c r="F58"/>
  <c r="A58"/>
  <c r="BX57"/>
  <c r="BW57"/>
  <c r="BL57" a="1"/>
  <c r="BL57"/>
  <c r="BO57"/>
  <c r="BP57"/>
  <c r="BQ57"/>
  <c r="BM57" a="1"/>
  <c r="BM57"/>
  <c r="BN57"/>
  <c r="BK57"/>
  <c r="BC57"/>
  <c r="BD57"/>
  <c r="BE57"/>
  <c r="T57" a="1"/>
  <c r="T57"/>
  <c r="S57" a="1"/>
  <c r="S57"/>
  <c r="K57"/>
  <c r="M57"/>
  <c r="L57"/>
  <c r="J57"/>
  <c r="I57"/>
  <c r="H57"/>
  <c r="G57"/>
  <c r="F57"/>
  <c r="A57"/>
  <c r="BX56"/>
  <c r="BW56"/>
  <c r="BL56" a="1"/>
  <c r="BL56"/>
  <c r="BO56"/>
  <c r="BP56"/>
  <c r="BQ56"/>
  <c r="BM56" a="1"/>
  <c r="BM56"/>
  <c r="BN56"/>
  <c r="BK56"/>
  <c r="BC56"/>
  <c r="BD56"/>
  <c r="BE56"/>
  <c r="T56" a="1"/>
  <c r="T56"/>
  <c r="S56" a="1"/>
  <c r="S56"/>
  <c r="K56"/>
  <c r="M56"/>
  <c r="L56"/>
  <c r="J56"/>
  <c r="I56"/>
  <c r="H56"/>
  <c r="G56"/>
  <c r="F56"/>
  <c r="A56"/>
  <c r="BX55"/>
  <c r="BW55"/>
  <c r="BL55" a="1"/>
  <c r="BL55"/>
  <c r="BO55"/>
  <c r="BP55"/>
  <c r="BQ55"/>
  <c r="BM55" a="1"/>
  <c r="BM55"/>
  <c r="BN55"/>
  <c r="BK55"/>
  <c r="BC55"/>
  <c r="BD55"/>
  <c r="BE55"/>
  <c r="T55" a="1"/>
  <c r="T55"/>
  <c r="S55" a="1"/>
  <c r="S55"/>
  <c r="K55"/>
  <c r="M55"/>
  <c r="L55"/>
  <c r="J55"/>
  <c r="I55"/>
  <c r="H55"/>
  <c r="G55"/>
  <c r="F55"/>
  <c r="A55"/>
  <c r="BX54"/>
  <c r="BW54"/>
  <c r="BL54" a="1"/>
  <c r="BL54"/>
  <c r="BO54"/>
  <c r="BP54"/>
  <c r="BQ54"/>
  <c r="BM54" a="1"/>
  <c r="BM54"/>
  <c r="BN54"/>
  <c r="BK54"/>
  <c r="BC54"/>
  <c r="BD54"/>
  <c r="BE54"/>
  <c r="T54" a="1"/>
  <c r="T54"/>
  <c r="S54" a="1"/>
  <c r="S54"/>
  <c r="K54"/>
  <c r="M54"/>
  <c r="L54"/>
  <c r="J54"/>
  <c r="I54"/>
  <c r="H54"/>
  <c r="G54"/>
  <c r="F54"/>
  <c r="A54"/>
  <c r="BX53"/>
  <c r="BW53"/>
  <c r="BL53" a="1"/>
  <c r="BL53"/>
  <c r="BO53"/>
  <c r="BP53"/>
  <c r="BQ53"/>
  <c r="BM53" a="1"/>
  <c r="BM53"/>
  <c r="BN53"/>
  <c r="BK53"/>
  <c r="BC53"/>
  <c r="BD53"/>
  <c r="BE53"/>
  <c r="T53" a="1"/>
  <c r="T53"/>
  <c r="S53" a="1"/>
  <c r="S53"/>
  <c r="K53"/>
  <c r="M53"/>
  <c r="L53"/>
  <c r="J53"/>
  <c r="I53"/>
  <c r="H53"/>
  <c r="G53"/>
  <c r="F53"/>
  <c r="A53"/>
  <c r="BX52"/>
  <c r="BW52"/>
  <c r="BL52" a="1"/>
  <c r="BL52"/>
  <c r="BO52"/>
  <c r="BP52"/>
  <c r="BQ52"/>
  <c r="BM52" a="1"/>
  <c r="BM52"/>
  <c r="BN52"/>
  <c r="BK52"/>
  <c r="BC52"/>
  <c r="BD52"/>
  <c r="BE52"/>
  <c r="T52" a="1"/>
  <c r="T52"/>
  <c r="S52" a="1"/>
  <c r="S52"/>
  <c r="K52"/>
  <c r="M52"/>
  <c r="L52"/>
  <c r="J52"/>
  <c r="I52"/>
  <c r="H52"/>
  <c r="G52"/>
  <c r="F52"/>
  <c r="A52"/>
  <c r="BX51"/>
  <c r="BW51"/>
  <c r="BL51" a="1"/>
  <c r="BL51"/>
  <c r="BO51"/>
  <c r="BP51"/>
  <c r="BQ51"/>
  <c r="BM51" a="1"/>
  <c r="BM51"/>
  <c r="BN51"/>
  <c r="BK51"/>
  <c r="BC51"/>
  <c r="BD51"/>
  <c r="BE51"/>
  <c r="T51" a="1"/>
  <c r="T51"/>
  <c r="S51" a="1"/>
  <c r="S51"/>
  <c r="K51"/>
  <c r="M51"/>
  <c r="L51"/>
  <c r="J51"/>
  <c r="I51"/>
  <c r="H51"/>
  <c r="G51"/>
  <c r="F51"/>
  <c r="A51"/>
  <c r="BX50"/>
  <c r="BW50"/>
  <c r="BL50" a="1"/>
  <c r="BL50"/>
  <c r="BO50"/>
  <c r="BP50"/>
  <c r="BQ50"/>
  <c r="BM50" a="1"/>
  <c r="BM50"/>
  <c r="BN50"/>
  <c r="BK50"/>
  <c r="BC50"/>
  <c r="BD50"/>
  <c r="BE50"/>
  <c r="T50" a="1"/>
  <c r="T50"/>
  <c r="S50" a="1"/>
  <c r="S50"/>
  <c r="K50"/>
  <c r="M50"/>
  <c r="L50"/>
  <c r="J50"/>
  <c r="I50"/>
  <c r="H50"/>
  <c r="G50"/>
  <c r="F50"/>
  <c r="A50"/>
  <c r="BX49"/>
  <c r="BW49"/>
  <c r="BL49" a="1"/>
  <c r="BL49"/>
  <c r="BO49"/>
  <c r="BP49"/>
  <c r="BQ49"/>
  <c r="BM49" a="1"/>
  <c r="BM49"/>
  <c r="BN49"/>
  <c r="BK49"/>
  <c r="BC49"/>
  <c r="BD49"/>
  <c r="BE49"/>
  <c r="T49" a="1"/>
  <c r="T49"/>
  <c r="S49" a="1"/>
  <c r="S49"/>
  <c r="K49"/>
  <c r="M49"/>
  <c r="L49"/>
  <c r="J49"/>
  <c r="I49"/>
  <c r="H49"/>
  <c r="G49"/>
  <c r="F49"/>
  <c r="A49"/>
  <c r="BX48"/>
  <c r="BW48"/>
  <c r="BL48" a="1"/>
  <c r="BL48"/>
  <c r="BO48"/>
  <c r="BP48"/>
  <c r="BQ48"/>
  <c r="BM48" a="1"/>
  <c r="BM48"/>
  <c r="BN48"/>
  <c r="BK48"/>
  <c r="BC48"/>
  <c r="BD48"/>
  <c r="BE48"/>
  <c r="T48" a="1"/>
  <c r="T48"/>
  <c r="S48" a="1"/>
  <c r="S48"/>
  <c r="K48"/>
  <c r="M48"/>
  <c r="L48"/>
  <c r="J48"/>
  <c r="I48"/>
  <c r="H48"/>
  <c r="G48"/>
  <c r="F48"/>
  <c r="A48"/>
  <c r="BX47"/>
  <c r="BW47"/>
  <c r="BL47" a="1"/>
  <c r="BL47"/>
  <c r="BO47"/>
  <c r="BP47"/>
  <c r="BQ47"/>
  <c r="BM47" a="1"/>
  <c r="BM47"/>
  <c r="BN47"/>
  <c r="BK47"/>
  <c r="BC47"/>
  <c r="BD47"/>
  <c r="BE47"/>
  <c r="T47" a="1"/>
  <c r="T47"/>
  <c r="S47" a="1"/>
  <c r="S47"/>
  <c r="K47"/>
  <c r="M47"/>
  <c r="L47"/>
  <c r="J47"/>
  <c r="I47"/>
  <c r="H47"/>
  <c r="G47"/>
  <c r="F47"/>
  <c r="A47"/>
  <c r="BX46"/>
  <c r="BW46"/>
  <c r="BL46" a="1"/>
  <c r="BL46"/>
  <c r="BO46"/>
  <c r="BP46"/>
  <c r="BQ46"/>
  <c r="BK46"/>
  <c r="BM46" a="1"/>
  <c r="BM46"/>
  <c r="BN46"/>
  <c r="L46"/>
  <c r="F46"/>
  <c r="A46"/>
  <c r="BX45"/>
  <c r="BW45"/>
  <c r="BL45" a="1"/>
  <c r="BL45"/>
  <c r="BO45"/>
  <c r="BP45"/>
  <c r="BQ45"/>
  <c r="BK45"/>
  <c r="BM45" a="1"/>
  <c r="BM45"/>
  <c r="BN45"/>
  <c r="L45"/>
  <c r="F45"/>
  <c r="A45"/>
  <c r="BX44"/>
  <c r="BW44"/>
  <c r="BL44" a="1"/>
  <c r="BL44"/>
  <c r="BO44"/>
  <c r="BP44"/>
  <c r="BQ44"/>
  <c r="BK44"/>
  <c r="BM44" a="1"/>
  <c r="BM44"/>
  <c r="BN44"/>
  <c r="L44"/>
  <c r="F44"/>
  <c r="A44"/>
  <c r="BX43"/>
  <c r="BW43"/>
  <c r="BL43" a="1"/>
  <c r="BL43"/>
  <c r="BO43"/>
  <c r="BP43"/>
  <c r="BQ43"/>
  <c r="BK43"/>
  <c r="BM43" a="1"/>
  <c r="BM43"/>
  <c r="BN43"/>
  <c r="L43"/>
  <c r="F43"/>
  <c r="A43"/>
  <c r="BX42"/>
  <c r="BW42"/>
  <c r="BL42" a="1"/>
  <c r="BL42"/>
  <c r="BO42"/>
  <c r="BP42"/>
  <c r="BQ42"/>
  <c r="BK42"/>
  <c r="BM42" a="1"/>
  <c r="BM42"/>
  <c r="BN42"/>
  <c r="L42"/>
  <c r="F42"/>
  <c r="A42"/>
  <c r="BX41"/>
  <c r="BW41"/>
  <c r="BL41" a="1"/>
  <c r="BL41"/>
  <c r="BO41"/>
  <c r="BP41"/>
  <c r="BQ41"/>
  <c r="BK41"/>
  <c r="BM41" a="1"/>
  <c r="BM41"/>
  <c r="BN41"/>
  <c r="L41"/>
  <c r="F41"/>
  <c r="A41"/>
  <c r="BX40"/>
  <c r="BW40"/>
  <c r="BL40" a="1"/>
  <c r="BL40"/>
  <c r="BO40"/>
  <c r="BP40"/>
  <c r="BQ40"/>
  <c r="BK40"/>
  <c r="BM40" a="1"/>
  <c r="BM40"/>
  <c r="BN40"/>
  <c r="L40"/>
  <c r="F40"/>
  <c r="A40"/>
  <c r="BX39"/>
  <c r="BW39"/>
  <c r="BL39" a="1"/>
  <c r="BL39"/>
  <c r="BO39"/>
  <c r="BP39"/>
  <c r="BQ39"/>
  <c r="BK39"/>
  <c r="BM39" a="1"/>
  <c r="BM39"/>
  <c r="BN39"/>
  <c r="L39"/>
  <c r="F39"/>
  <c r="A39"/>
  <c r="BL38" a="1"/>
  <c r="BL38"/>
  <c r="BO38"/>
  <c r="BP38"/>
  <c r="BQ38"/>
  <c r="BK38"/>
  <c r="BM38" a="1"/>
  <c r="BM38"/>
  <c r="BN38"/>
  <c r="F38"/>
  <c r="A38"/>
  <c r="BL37" a="1"/>
  <c r="BL37"/>
  <c r="BO37"/>
  <c r="BP37"/>
  <c r="BQ37"/>
  <c r="BK37"/>
  <c r="BM37" a="1"/>
  <c r="BM37"/>
  <c r="BN37"/>
  <c r="F37"/>
  <c r="A37"/>
  <c r="BL36" a="1"/>
  <c r="BL36"/>
  <c r="BO36"/>
  <c r="BP36"/>
  <c r="BQ36"/>
  <c r="BK36"/>
  <c r="BM36" a="1"/>
  <c r="BM36"/>
  <c r="BN36"/>
  <c r="F36"/>
  <c r="A36"/>
  <c r="BL35" a="1"/>
  <c r="BL35"/>
  <c r="BO35"/>
  <c r="BP35"/>
  <c r="BQ35"/>
  <c r="BK35"/>
  <c r="BM35" a="1"/>
  <c r="BM35"/>
  <c r="BN35"/>
  <c r="F35"/>
  <c r="A35"/>
  <c r="BL34" a="1"/>
  <c r="BL34"/>
  <c r="BO34"/>
  <c r="BP34"/>
  <c r="BQ34"/>
  <c r="BK34"/>
  <c r="BM34" a="1"/>
  <c r="BM34"/>
  <c r="BN34"/>
  <c r="F34"/>
  <c r="A34"/>
  <c r="BL33" a="1"/>
  <c r="BL33"/>
  <c r="BO33"/>
  <c r="BP33"/>
  <c r="BQ33"/>
  <c r="BK33"/>
  <c r="BM33" a="1"/>
  <c r="BM33"/>
  <c r="BN33"/>
  <c r="F33"/>
  <c r="A33"/>
  <c r="BL32" a="1"/>
  <c r="BL32"/>
  <c r="BO32"/>
  <c r="BP32"/>
  <c r="BQ32"/>
  <c r="BK32"/>
  <c r="BM32" a="1"/>
  <c r="BM32"/>
  <c r="BN32"/>
  <c r="F32"/>
  <c r="A32"/>
  <c r="BL31" a="1"/>
  <c r="BL31"/>
  <c r="BO31"/>
  <c r="BP31"/>
  <c r="BQ31"/>
  <c r="BK31"/>
  <c r="BM31" a="1"/>
  <c r="BM31"/>
  <c r="BN31"/>
  <c r="F31"/>
  <c r="A31"/>
  <c r="BX30"/>
  <c r="BW30"/>
  <c r="BL30" a="1"/>
  <c r="BL30"/>
  <c r="BO30"/>
  <c r="BP30"/>
  <c r="BQ30"/>
  <c r="BK30"/>
  <c r="BM30" a="1"/>
  <c r="BM30"/>
  <c r="BN30"/>
  <c r="L30"/>
  <c r="F30"/>
  <c r="A30"/>
  <c r="BX29"/>
  <c r="BW29"/>
  <c r="BL29" a="1"/>
  <c r="BL29"/>
  <c r="BO29"/>
  <c r="BP29"/>
  <c r="BQ29"/>
  <c r="BK29"/>
  <c r="BM29" a="1"/>
  <c r="BM29"/>
  <c r="BN29"/>
  <c r="L29"/>
  <c r="F29"/>
  <c r="A29"/>
  <c r="BX28"/>
  <c r="BW28"/>
  <c r="BL28" a="1"/>
  <c r="BL28"/>
  <c r="BO28"/>
  <c r="BP28"/>
  <c r="BQ28"/>
  <c r="BK28"/>
  <c r="BM28" a="1"/>
  <c r="BM28"/>
  <c r="BN28"/>
  <c r="L28"/>
  <c r="F28"/>
  <c r="A28"/>
  <c r="BX27"/>
  <c r="BW27"/>
  <c r="BL27" a="1"/>
  <c r="BL27"/>
  <c r="BO27"/>
  <c r="BP27"/>
  <c r="BQ27"/>
  <c r="BK27"/>
  <c r="BM27" a="1"/>
  <c r="BM27"/>
  <c r="BN27"/>
  <c r="L27"/>
  <c r="F27"/>
  <c r="A27"/>
  <c r="BL26" a="1"/>
  <c r="BL26"/>
  <c r="BO26"/>
  <c r="BP26"/>
  <c r="BQ26"/>
  <c r="BK26"/>
  <c r="BM26" a="1"/>
  <c r="BM26"/>
  <c r="BN26"/>
  <c r="F26"/>
  <c r="A26"/>
  <c r="BL25" a="1"/>
  <c r="BL25"/>
  <c r="BO25"/>
  <c r="BP25"/>
  <c r="BQ25"/>
  <c r="BK25"/>
  <c r="BM25" a="1"/>
  <c r="BM25"/>
  <c r="BN25"/>
  <c r="F25"/>
  <c r="A25"/>
  <c r="BL24" a="1"/>
  <c r="BL24"/>
  <c r="BO24"/>
  <c r="BP24"/>
  <c r="BQ24"/>
  <c r="BK24"/>
  <c r="BM24" a="1"/>
  <c r="BM24"/>
  <c r="BN24"/>
  <c r="F24"/>
  <c r="A24"/>
  <c r="BL23" a="1"/>
  <c r="BL23"/>
  <c r="BO23"/>
  <c r="BP23"/>
  <c r="BQ23"/>
  <c r="BK23"/>
  <c r="BM23" a="1"/>
  <c r="BM23"/>
  <c r="BN23"/>
  <c r="F23"/>
  <c r="A23"/>
  <c r="BL22" a="1"/>
  <c r="BL22"/>
  <c r="BO22"/>
  <c r="BP22"/>
  <c r="BQ22"/>
  <c r="BK22"/>
  <c r="BM22" a="1"/>
  <c r="BM22"/>
  <c r="BN22"/>
  <c r="F22"/>
  <c r="A22"/>
  <c r="BL21" a="1"/>
  <c r="BL21"/>
  <c r="BO21"/>
  <c r="BP21"/>
  <c r="BQ21"/>
  <c r="BK21"/>
  <c r="BM21" a="1"/>
  <c r="BM21"/>
  <c r="BN21"/>
  <c r="F21"/>
  <c r="A21"/>
  <c r="BL20" a="1"/>
  <c r="BL20"/>
  <c r="BO20"/>
  <c r="BP20"/>
  <c r="BQ20"/>
  <c r="BK20"/>
  <c r="BM20" a="1"/>
  <c r="BM20"/>
  <c r="BN20"/>
  <c r="F20"/>
  <c r="A20"/>
  <c r="BL19" a="1"/>
  <c r="BL19"/>
  <c r="BO19"/>
  <c r="BP19"/>
  <c r="BQ19"/>
  <c r="BK19"/>
  <c r="BM19" a="1"/>
  <c r="BM19"/>
  <c r="BN19"/>
  <c r="F19"/>
  <c r="A19"/>
  <c r="BX18"/>
  <c r="BW18"/>
  <c r="BL18" a="1"/>
  <c r="BL18"/>
  <c r="BO18"/>
  <c r="BP18"/>
  <c r="BQ18"/>
  <c r="BK18"/>
  <c r="BM18" a="1"/>
  <c r="BM18"/>
  <c r="BN18"/>
  <c r="L18"/>
  <c r="F18"/>
  <c r="A18"/>
  <c r="BX17"/>
  <c r="BW17"/>
  <c r="BL17" a="1"/>
  <c r="BL17"/>
  <c r="BO17"/>
  <c r="BP17"/>
  <c r="BQ17"/>
  <c r="BK17"/>
  <c r="BM17" a="1"/>
  <c r="BM17"/>
  <c r="BN17"/>
  <c r="L17"/>
  <c r="F17"/>
  <c r="A17"/>
  <c r="BX16"/>
  <c r="BW16"/>
  <c r="BL16" a="1"/>
  <c r="BL16"/>
  <c r="BO16"/>
  <c r="BP16"/>
  <c r="BQ16"/>
  <c r="BK16"/>
  <c r="BM16" a="1"/>
  <c r="BM16"/>
  <c r="BN16"/>
  <c r="L16"/>
  <c r="F16"/>
  <c r="A16"/>
  <c r="BX15"/>
  <c r="BW15"/>
  <c r="BL15" a="1"/>
  <c r="BL15"/>
  <c r="BO15"/>
  <c r="BP15"/>
  <c r="BQ15"/>
  <c r="BK15"/>
  <c r="BM15" a="1"/>
  <c r="BM15"/>
  <c r="BN15"/>
  <c r="L15"/>
  <c r="F15"/>
  <c r="A15"/>
  <c r="BL14" a="1"/>
  <c r="BL14"/>
  <c r="BO14"/>
  <c r="BP14"/>
  <c r="BQ14"/>
  <c r="BK14"/>
  <c r="BM14" a="1"/>
  <c r="BM14"/>
  <c r="BN14"/>
  <c r="F14"/>
  <c r="A14"/>
  <c r="BJ13"/>
  <c r="F13"/>
  <c r="BT10"/>
  <c r="BT11"/>
  <c r="BT12"/>
  <c r="U12"/>
  <c r="R12"/>
  <c r="R11"/>
  <c r="P12"/>
  <c r="U11"/>
  <c r="BL11"/>
  <c r="BO11"/>
  <c r="BP11"/>
  <c r="BQ11"/>
  <c r="BK11"/>
  <c r="BM11"/>
  <c r="BN11"/>
  <c r="BD11"/>
  <c r="P11"/>
  <c r="A11"/>
  <c r="BE10"/>
  <c r="AQ7"/>
  <c r="AH7"/>
  <c r="X7"/>
  <c r="N6"/>
  <c r="N4"/>
  <c r="Y2"/>
  <c r="N6" i="1"/>
  <c r="AE2"/>
  <c r="AH8"/>
  <c r="O11"/>
  <c r="S11"/>
  <c r="S12"/>
  <c r="S13"/>
  <c r="T11"/>
  <c r="T12"/>
  <c r="T13"/>
  <c r="U13"/>
  <c r="AJ2"/>
  <c r="AL8"/>
  <c r="AQ8"/>
  <c r="AR8"/>
  <c r="AW8"/>
  <c r="BC11"/>
  <c r="BI13"/>
  <c r="BE11"/>
  <c r="BG11"/>
  <c r="BI11"/>
  <c r="BJ11"/>
  <c r="BI14"/>
  <c r="O14"/>
  <c r="S14" a="1"/>
  <c r="S14"/>
  <c r="T14" a="1"/>
  <c r="T14"/>
  <c r="U14"/>
  <c r="BI15"/>
  <c r="O15"/>
  <c r="S15" a="1"/>
  <c r="S15"/>
  <c r="T15" a="1"/>
  <c r="T15"/>
  <c r="U15"/>
  <c r="BI16"/>
  <c r="O16"/>
  <c r="S16" a="1"/>
  <c r="S16"/>
  <c r="T16" a="1"/>
  <c r="T16"/>
  <c r="U16"/>
  <c r="BI17"/>
  <c r="O17"/>
  <c r="S17" a="1"/>
  <c r="S17"/>
  <c r="T17" a="1"/>
  <c r="T17"/>
  <c r="U17"/>
  <c r="BI18"/>
  <c r="O18"/>
  <c r="S18" a="1"/>
  <c r="S18"/>
  <c r="T18" a="1"/>
  <c r="T18"/>
  <c r="U18"/>
  <c r="BI19"/>
  <c r="O19"/>
  <c r="T19" a="1"/>
  <c r="T19"/>
  <c r="S19" a="1"/>
  <c r="S19"/>
  <c r="K19"/>
  <c r="BW19"/>
  <c r="BX19"/>
  <c r="BC19"/>
  <c r="BD19"/>
  <c r="BC18"/>
  <c r="BD18"/>
  <c r="BC17"/>
  <c r="BD17"/>
  <c r="BC16"/>
  <c r="BD16"/>
  <c r="BC15"/>
  <c r="BD15"/>
  <c r="BC14"/>
  <c r="BD14"/>
  <c r="B7"/>
  <c r="BE14"/>
  <c r="BE15"/>
  <c r="BE16"/>
  <c r="BE17"/>
  <c r="BE18"/>
  <c r="BE19"/>
  <c r="V19" a="1"/>
  <c r="V19"/>
  <c r="L19"/>
  <c r="M19"/>
  <c r="U19"/>
  <c r="BI20"/>
  <c r="O20"/>
  <c r="T20" a="1"/>
  <c r="T20"/>
  <c r="S20" a="1"/>
  <c r="S20"/>
  <c r="K20"/>
  <c r="BW20"/>
  <c r="BX20"/>
  <c r="BC20"/>
  <c r="BD20"/>
  <c r="BE20"/>
  <c r="V20" a="1"/>
  <c r="V20"/>
  <c r="L20"/>
  <c r="M20"/>
  <c r="U20"/>
  <c r="BI21"/>
  <c r="O21"/>
  <c r="T21" a="1"/>
  <c r="T21"/>
  <c r="S21" a="1"/>
  <c r="S21"/>
  <c r="K21"/>
  <c r="BW21"/>
  <c r="BX21"/>
  <c r="BC21"/>
  <c r="BD21"/>
  <c r="BE21"/>
  <c r="V21" a="1"/>
  <c r="V21"/>
  <c r="L21"/>
  <c r="M21"/>
  <c r="U21"/>
  <c r="BI22"/>
  <c r="O22"/>
  <c r="T22" a="1"/>
  <c r="T22"/>
  <c r="S22" a="1"/>
  <c r="S22"/>
  <c r="K22"/>
  <c r="BW22"/>
  <c r="BX22"/>
  <c r="BC22"/>
  <c r="BD22"/>
  <c r="BE22"/>
  <c r="V22" a="1"/>
  <c r="V22"/>
  <c r="L22"/>
  <c r="M22"/>
  <c r="U22"/>
  <c r="BI23"/>
  <c r="O23"/>
  <c r="T23" a="1"/>
  <c r="T23"/>
  <c r="S23" a="1"/>
  <c r="S23"/>
  <c r="K23"/>
  <c r="BW23"/>
  <c r="BX23"/>
  <c r="BC23"/>
  <c r="BD23"/>
  <c r="BE23"/>
  <c r="V23" a="1"/>
  <c r="V23"/>
  <c r="L23"/>
  <c r="M23"/>
  <c r="U23"/>
  <c r="BI24"/>
  <c r="O24"/>
  <c r="T24" a="1"/>
  <c r="T24"/>
  <c r="S24" a="1"/>
  <c r="S24"/>
  <c r="K24"/>
  <c r="BW24"/>
  <c r="BX24"/>
  <c r="BC24"/>
  <c r="BD24"/>
  <c r="BE24"/>
  <c r="V24" a="1"/>
  <c r="V24"/>
  <c r="L24"/>
  <c r="M24"/>
  <c r="U24"/>
  <c r="BI25"/>
  <c r="O25"/>
  <c r="T25" a="1"/>
  <c r="T25"/>
  <c r="S25" a="1"/>
  <c r="S25"/>
  <c r="K25"/>
  <c r="BW25"/>
  <c r="BX25"/>
  <c r="BC25"/>
  <c r="BD25"/>
  <c r="BE25"/>
  <c r="V25" a="1"/>
  <c r="V25"/>
  <c r="L25"/>
  <c r="M25"/>
  <c r="U25"/>
  <c r="BI26"/>
  <c r="O26"/>
  <c r="T26" a="1"/>
  <c r="T26"/>
  <c r="S26" a="1"/>
  <c r="S26"/>
  <c r="K26"/>
  <c r="BW26"/>
  <c r="BX26"/>
  <c r="BC26"/>
  <c r="BD26"/>
  <c r="BE26"/>
  <c r="V26" a="1"/>
  <c r="V26"/>
  <c r="L26"/>
  <c r="M26"/>
  <c r="U26"/>
  <c r="BI27"/>
  <c r="O27"/>
  <c r="T27" a="1"/>
  <c r="T27"/>
  <c r="S27" a="1"/>
  <c r="S27"/>
  <c r="K27"/>
  <c r="M27"/>
  <c r="U27"/>
  <c r="BI28"/>
  <c r="O28"/>
  <c r="T28" a="1"/>
  <c r="T28"/>
  <c r="S28" a="1"/>
  <c r="S28"/>
  <c r="K28"/>
  <c r="M28"/>
  <c r="U28"/>
  <c r="BI29"/>
  <c r="O29"/>
  <c r="T29" a="1"/>
  <c r="T29"/>
  <c r="S29" a="1"/>
  <c r="S29"/>
  <c r="K29"/>
  <c r="M29"/>
  <c r="U29"/>
  <c r="BI30"/>
  <c r="O30"/>
  <c r="T30" a="1"/>
  <c r="T30"/>
  <c r="S30" a="1"/>
  <c r="S30"/>
  <c r="K30"/>
  <c r="M30"/>
  <c r="U30"/>
  <c r="BI31"/>
  <c r="O31"/>
  <c r="T31" a="1"/>
  <c r="T31"/>
  <c r="S31" a="1"/>
  <c r="S31"/>
  <c r="K31"/>
  <c r="BW31"/>
  <c r="BX31"/>
  <c r="BC31"/>
  <c r="BD31"/>
  <c r="BC30"/>
  <c r="BD30"/>
  <c r="BC29"/>
  <c r="BD29"/>
  <c r="BC28"/>
  <c r="BD28"/>
  <c r="BC27"/>
  <c r="BD27"/>
  <c r="BE27"/>
  <c r="BE28"/>
  <c r="BE29"/>
  <c r="BE30"/>
  <c r="BE31"/>
  <c r="V31" a="1"/>
  <c r="V31"/>
  <c r="L31"/>
  <c r="M31"/>
  <c r="U31"/>
  <c r="BI32"/>
  <c r="O32"/>
  <c r="T32" a="1"/>
  <c r="T32"/>
  <c r="S32" a="1"/>
  <c r="S32"/>
  <c r="K32"/>
  <c r="BW32"/>
  <c r="BX32"/>
  <c r="BC32"/>
  <c r="BD32"/>
  <c r="BE32"/>
  <c r="V32" a="1"/>
  <c r="V32"/>
  <c r="L32"/>
  <c r="M32"/>
  <c r="U32"/>
  <c r="BI33"/>
  <c r="O33"/>
  <c r="T33" a="1"/>
  <c r="T33"/>
  <c r="S33" a="1"/>
  <c r="S33"/>
  <c r="K33"/>
  <c r="BW33"/>
  <c r="BX33"/>
  <c r="BC33"/>
  <c r="BD33"/>
  <c r="BE33"/>
  <c r="V33" a="1"/>
  <c r="V33"/>
  <c r="L33"/>
  <c r="M33"/>
  <c r="U33"/>
  <c r="BI34"/>
  <c r="O34"/>
  <c r="T34" a="1"/>
  <c r="T34"/>
  <c r="S34" a="1"/>
  <c r="S34"/>
  <c r="K34"/>
  <c r="BW34"/>
  <c r="BX34"/>
  <c r="BC34"/>
  <c r="BD34"/>
  <c r="BE34"/>
  <c r="V34" a="1"/>
  <c r="V34"/>
  <c r="L34"/>
  <c r="M34"/>
  <c r="U34"/>
  <c r="BI35"/>
  <c r="O35"/>
  <c r="T35" a="1"/>
  <c r="T35"/>
  <c r="S35" a="1"/>
  <c r="S35"/>
  <c r="K35"/>
  <c r="BW35"/>
  <c r="BX35"/>
  <c r="BC35"/>
  <c r="BD35"/>
  <c r="BE35"/>
  <c r="V35" a="1"/>
  <c r="V35"/>
  <c r="L35"/>
  <c r="M35"/>
  <c r="U35"/>
  <c r="BI36"/>
  <c r="O36"/>
  <c r="T36" a="1"/>
  <c r="T36"/>
  <c r="S36" a="1"/>
  <c r="S36"/>
  <c r="K36"/>
  <c r="BW36"/>
  <c r="BX36"/>
  <c r="BC36"/>
  <c r="BD36"/>
  <c r="BE36"/>
  <c r="V36" a="1"/>
  <c r="V36"/>
  <c r="L36"/>
  <c r="M36"/>
  <c r="U36"/>
  <c r="BI37"/>
  <c r="O37"/>
  <c r="T37" a="1"/>
  <c r="T37"/>
  <c r="S37" a="1"/>
  <c r="S37"/>
  <c r="K37"/>
  <c r="BW37"/>
  <c r="BX37"/>
  <c r="BC37"/>
  <c r="BD37"/>
  <c r="BE37"/>
  <c r="V37" a="1"/>
  <c r="V37"/>
  <c r="L37"/>
  <c r="M37"/>
  <c r="U37"/>
  <c r="BI38"/>
  <c r="O38"/>
  <c r="T38" a="1"/>
  <c r="T38"/>
  <c r="S38" a="1"/>
  <c r="S38"/>
  <c r="K38"/>
  <c r="BW38"/>
  <c r="BX38"/>
  <c r="BC38"/>
  <c r="BD38"/>
  <c r="BE38"/>
  <c r="V38" a="1"/>
  <c r="V38"/>
  <c r="L38"/>
  <c r="M38"/>
  <c r="U38"/>
  <c r="BI39"/>
  <c r="O39"/>
  <c r="T39" a="1"/>
  <c r="T39"/>
  <c r="S39" a="1"/>
  <c r="S39"/>
  <c r="K39"/>
  <c r="M39"/>
  <c r="U39"/>
  <c r="BI40"/>
  <c r="O40"/>
  <c r="T40" a="1"/>
  <c r="T40"/>
  <c r="S40" a="1"/>
  <c r="S40"/>
  <c r="K40"/>
  <c r="M40"/>
  <c r="U40"/>
  <c r="BI41"/>
  <c r="O41"/>
  <c r="T41" a="1"/>
  <c r="T41"/>
  <c r="S41" a="1"/>
  <c r="S41"/>
  <c r="K41"/>
  <c r="M41"/>
  <c r="U41"/>
  <c r="BI42"/>
  <c r="O42"/>
  <c r="T42" a="1"/>
  <c r="T42"/>
  <c r="S42" a="1"/>
  <c r="S42"/>
  <c r="K42"/>
  <c r="M42"/>
  <c r="U42"/>
  <c r="BI43"/>
  <c r="O43"/>
  <c r="T43" a="1"/>
  <c r="T43"/>
  <c r="S43" a="1"/>
  <c r="S43"/>
  <c r="K43"/>
  <c r="M43"/>
  <c r="U43"/>
  <c r="BI44"/>
  <c r="O44"/>
  <c r="T44" a="1"/>
  <c r="T44"/>
  <c r="S44" a="1"/>
  <c r="S44"/>
  <c r="K44"/>
  <c r="M44"/>
  <c r="U44"/>
  <c r="BI45"/>
  <c r="O45"/>
  <c r="T45" a="1"/>
  <c r="T45"/>
  <c r="S45" a="1"/>
  <c r="S45"/>
  <c r="K45"/>
  <c r="M45"/>
  <c r="U45"/>
  <c r="BI46"/>
  <c r="O46"/>
  <c r="T46" a="1"/>
  <c r="T46"/>
  <c r="S46" a="1"/>
  <c r="S46"/>
  <c r="K46"/>
  <c r="M46"/>
  <c r="U46"/>
  <c r="O47"/>
  <c r="K47"/>
  <c r="M47"/>
  <c r="U47"/>
  <c r="O48"/>
  <c r="K48"/>
  <c r="M48"/>
  <c r="U48"/>
  <c r="O49"/>
  <c r="K49"/>
  <c r="M49"/>
  <c r="U49"/>
  <c r="O50"/>
  <c r="K50"/>
  <c r="M50"/>
  <c r="U50"/>
  <c r="O51"/>
  <c r="K51"/>
  <c r="M51"/>
  <c r="U51"/>
  <c r="O52"/>
  <c r="K52"/>
  <c r="M52"/>
  <c r="U52"/>
  <c r="O53"/>
  <c r="K53"/>
  <c r="M53"/>
  <c r="U53"/>
  <c r="O54"/>
  <c r="K54"/>
  <c r="M54"/>
  <c r="U54"/>
  <c r="O55"/>
  <c r="K55"/>
  <c r="M55"/>
  <c r="U55"/>
  <c r="O56"/>
  <c r="K56"/>
  <c r="M56"/>
  <c r="U56"/>
  <c r="O57"/>
  <c r="K57"/>
  <c r="M57"/>
  <c r="U57"/>
  <c r="O58"/>
  <c r="K58"/>
  <c r="M58"/>
  <c r="U58"/>
  <c r="O59"/>
  <c r="K59"/>
  <c r="M59"/>
  <c r="U59"/>
  <c r="O60"/>
  <c r="K60"/>
  <c r="M60"/>
  <c r="K15"/>
  <c r="M15"/>
  <c r="K16"/>
  <c r="M16"/>
  <c r="K17"/>
  <c r="M17"/>
  <c r="K18"/>
  <c r="M18"/>
  <c r="K14"/>
  <c r="BW14"/>
  <c r="BX14"/>
  <c r="V14" a="1"/>
  <c r="V14"/>
  <c r="L14"/>
  <c r="M14"/>
  <c r="O13"/>
  <c r="K13"/>
  <c r="BW13"/>
  <c r="BX13"/>
  <c r="BF10"/>
  <c r="BF11"/>
  <c r="BH11"/>
  <c r="V12"/>
  <c r="B5"/>
  <c r="V11"/>
  <c r="V13"/>
  <c r="L13"/>
  <c r="M13"/>
  <c r="BW15"/>
  <c r="BX15"/>
  <c r="BW16"/>
  <c r="BX16"/>
  <c r="BW17"/>
  <c r="BX17"/>
  <c r="BW18"/>
  <c r="BX18"/>
  <c r="BW27"/>
  <c r="BX27"/>
  <c r="BW28"/>
  <c r="BX28"/>
  <c r="BW29"/>
  <c r="BX29"/>
  <c r="BW30"/>
  <c r="BX30"/>
  <c r="BW39"/>
  <c r="BX39"/>
  <c r="BW40"/>
  <c r="BX40"/>
  <c r="BW41"/>
  <c r="BX41"/>
  <c r="BW42"/>
  <c r="BX42"/>
  <c r="BW43"/>
  <c r="BX43"/>
  <c r="BW44"/>
  <c r="BX44"/>
  <c r="BW45"/>
  <c r="BX45"/>
  <c r="BW46"/>
  <c r="BX46"/>
  <c r="BW47"/>
  <c r="BX47"/>
  <c r="BW48"/>
  <c r="BX48"/>
  <c r="BW49"/>
  <c r="BX49"/>
  <c r="BW50"/>
  <c r="BX50"/>
  <c r="BW51"/>
  <c r="BX51"/>
  <c r="BW52"/>
  <c r="BX52"/>
  <c r="BW53"/>
  <c r="BX53"/>
  <c r="BW54"/>
  <c r="BX54"/>
  <c r="BW55"/>
  <c r="BX55"/>
  <c r="BW56"/>
  <c r="BX56"/>
  <c r="BW57"/>
  <c r="BX57"/>
  <c r="BW58"/>
  <c r="BX58"/>
  <c r="BW59"/>
  <c r="BX59"/>
  <c r="BW60"/>
  <c r="BX60"/>
  <c r="BM60" a="1"/>
  <c r="BM60"/>
  <c r="BL60" a="1"/>
  <c r="BL60"/>
  <c r="BM59" a="1"/>
  <c r="BM59"/>
  <c r="BL59" a="1"/>
  <c r="BL59"/>
  <c r="BM58" a="1"/>
  <c r="BM58"/>
  <c r="BL58" a="1"/>
  <c r="BL58"/>
  <c r="BM57" a="1"/>
  <c r="BM57"/>
  <c r="BL57" a="1"/>
  <c r="BL57"/>
  <c r="BM56" a="1"/>
  <c r="BM56"/>
  <c r="BL56" a="1"/>
  <c r="BL56"/>
  <c r="BM55" a="1"/>
  <c r="BM55"/>
  <c r="BL55" a="1"/>
  <c r="BL55"/>
  <c r="BM54" a="1"/>
  <c r="BM54"/>
  <c r="BL54" a="1"/>
  <c r="BL54"/>
  <c r="BM53" a="1"/>
  <c r="BM53"/>
  <c r="BL53" a="1"/>
  <c r="BL53"/>
  <c r="BM52" a="1"/>
  <c r="BM52"/>
  <c r="BL52" a="1"/>
  <c r="BL52"/>
  <c r="BM51" a="1"/>
  <c r="BM51"/>
  <c r="BL51" a="1"/>
  <c r="BL51"/>
  <c r="BM50" a="1"/>
  <c r="BM50"/>
  <c r="BL50" a="1"/>
  <c r="BL50"/>
  <c r="BM49" a="1"/>
  <c r="BM49"/>
  <c r="BL49" a="1"/>
  <c r="BL49"/>
  <c r="BM48" a="1"/>
  <c r="BM48"/>
  <c r="BL48" a="1"/>
  <c r="BL48"/>
  <c r="BM47" a="1"/>
  <c r="BM47"/>
  <c r="BL47" a="1"/>
  <c r="BL47"/>
  <c r="BL46" a="1"/>
  <c r="BL46"/>
  <c r="BM46" a="1"/>
  <c r="BM46"/>
  <c r="BL45" a="1"/>
  <c r="BL45"/>
  <c r="BM45" a="1"/>
  <c r="BM45"/>
  <c r="BL44" a="1"/>
  <c r="BL44"/>
  <c r="BM44" a="1"/>
  <c r="BM44"/>
  <c r="BL43" a="1"/>
  <c r="BL43"/>
  <c r="BM43" a="1"/>
  <c r="BM43"/>
  <c r="BL42" a="1"/>
  <c r="BL42"/>
  <c r="BM42" a="1"/>
  <c r="BM42"/>
  <c r="BL41" a="1"/>
  <c r="BL41"/>
  <c r="BM41" a="1"/>
  <c r="BM41"/>
  <c r="BL40" a="1"/>
  <c r="BL40"/>
  <c r="BM40" a="1"/>
  <c r="BM40"/>
  <c r="BL39" a="1"/>
  <c r="BL39"/>
  <c r="BM39" a="1"/>
  <c r="BM39"/>
  <c r="BL38" a="1"/>
  <c r="BL38"/>
  <c r="BM38" a="1"/>
  <c r="BM38"/>
  <c r="BL37" a="1"/>
  <c r="BL37"/>
  <c r="BM37" a="1"/>
  <c r="BM37"/>
  <c r="BL36" a="1"/>
  <c r="BL36"/>
  <c r="BM36" a="1"/>
  <c r="BM36"/>
  <c r="BL35" a="1"/>
  <c r="BL35"/>
  <c r="BM35" a="1"/>
  <c r="BM35"/>
  <c r="BL34" a="1"/>
  <c r="BL34"/>
  <c r="BM34" a="1"/>
  <c r="BM34"/>
  <c r="BL33" a="1"/>
  <c r="BL33"/>
  <c r="BM33" a="1"/>
  <c r="BM33"/>
  <c r="BL32" a="1"/>
  <c r="BL32"/>
  <c r="BM32" a="1"/>
  <c r="BM32"/>
  <c r="BL31" a="1"/>
  <c r="BL31"/>
  <c r="BM31" a="1"/>
  <c r="BM31"/>
  <c r="BL30" a="1"/>
  <c r="BL30"/>
  <c r="BM30" a="1"/>
  <c r="BM30"/>
  <c r="BL29" a="1"/>
  <c r="BL29"/>
  <c r="BM29" a="1"/>
  <c r="BM29"/>
  <c r="BL28" a="1"/>
  <c r="BL28"/>
  <c r="BM28" a="1"/>
  <c r="BM28"/>
  <c r="BL27" a="1"/>
  <c r="BL27"/>
  <c r="BM27" a="1"/>
  <c r="BM27"/>
  <c r="BL26" a="1"/>
  <c r="BL26"/>
  <c r="BM26" a="1"/>
  <c r="BM26"/>
  <c r="BL25" a="1"/>
  <c r="BL25"/>
  <c r="BM25" a="1"/>
  <c r="BM25"/>
  <c r="BL24" a="1"/>
  <c r="BL24"/>
  <c r="BM24" a="1"/>
  <c r="BM24"/>
  <c r="BL23" a="1"/>
  <c r="BL23"/>
  <c r="BM23" a="1"/>
  <c r="BM23"/>
  <c r="BL22" a="1"/>
  <c r="BL22"/>
  <c r="BM22" a="1"/>
  <c r="BM22"/>
  <c r="BL21" a="1"/>
  <c r="BL21"/>
  <c r="BM21" a="1"/>
  <c r="BM21"/>
  <c r="BL20" a="1"/>
  <c r="BL20"/>
  <c r="BM20" a="1"/>
  <c r="BM20"/>
  <c r="BL19" a="1"/>
  <c r="BL19"/>
  <c r="BM19" a="1"/>
  <c r="BM19"/>
  <c r="BL18" a="1"/>
  <c r="BL18"/>
  <c r="BM18" a="1"/>
  <c r="BM18"/>
  <c r="BL17" a="1"/>
  <c r="BL17"/>
  <c r="BM17" a="1"/>
  <c r="BM17"/>
  <c r="BL16" a="1"/>
  <c r="BL16"/>
  <c r="BM16" a="1"/>
  <c r="BM16"/>
  <c r="BL15" a="1"/>
  <c r="BL15"/>
  <c r="BM15" a="1"/>
  <c r="BM15"/>
  <c r="BL14" a="1"/>
  <c r="BL14"/>
  <c r="BM14" a="1"/>
  <c r="BM14"/>
  <c r="BK15"/>
  <c r="BK16"/>
  <c r="BK17"/>
  <c r="BK18"/>
  <c r="BK19"/>
  <c r="BK20"/>
  <c r="BK21"/>
  <c r="BK22"/>
  <c r="BK23"/>
  <c r="BK24"/>
  <c r="BK25"/>
  <c r="BK26"/>
  <c r="BK27"/>
  <c r="BK28"/>
  <c r="BK29"/>
  <c r="BK30"/>
  <c r="BK31"/>
  <c r="BK32"/>
  <c r="BK33"/>
  <c r="BK34"/>
  <c r="BK35"/>
  <c r="BK36"/>
  <c r="BK37"/>
  <c r="BK38"/>
  <c r="BK39"/>
  <c r="BK40"/>
  <c r="BK41"/>
  <c r="BK42"/>
  <c r="BK43"/>
  <c r="BK44"/>
  <c r="BK45"/>
  <c r="BK46"/>
  <c r="BK14"/>
  <c r="BN47"/>
  <c r="BO47"/>
  <c r="BP47"/>
  <c r="BQ47"/>
  <c r="BN48"/>
  <c r="BO48"/>
  <c r="BP48"/>
  <c r="BQ48"/>
  <c r="BN49"/>
  <c r="BO49"/>
  <c r="BP49"/>
  <c r="BQ49"/>
  <c r="BN50"/>
  <c r="BO50"/>
  <c r="BP50"/>
  <c r="BQ50"/>
  <c r="BN51"/>
  <c r="BO51"/>
  <c r="BP51"/>
  <c r="BQ51"/>
  <c r="BN52"/>
  <c r="BO52"/>
  <c r="BP52"/>
  <c r="BQ52"/>
  <c r="BN53"/>
  <c r="BO53"/>
  <c r="BP53"/>
  <c r="BQ53"/>
  <c r="BN54"/>
  <c r="BO54"/>
  <c r="BP54"/>
  <c r="BQ54"/>
  <c r="BN55"/>
  <c r="BO55"/>
  <c r="BP55"/>
  <c r="BQ55"/>
  <c r="BN56"/>
  <c r="BO56"/>
  <c r="BP56"/>
  <c r="BQ56"/>
  <c r="BN57"/>
  <c r="BO57"/>
  <c r="BP57"/>
  <c r="BQ57"/>
  <c r="BN58"/>
  <c r="BO58"/>
  <c r="BP58"/>
  <c r="BQ58"/>
  <c r="BN59"/>
  <c r="BO59"/>
  <c r="BP59"/>
  <c r="BQ59"/>
  <c r="BN60"/>
  <c r="BO60"/>
  <c r="BP60"/>
  <c r="BQ60"/>
  <c r="AY60" a="1"/>
  <c r="AY60"/>
  <c r="AX60" a="1"/>
  <c r="AX60"/>
  <c r="AW60" a="1"/>
  <c r="AW60"/>
  <c r="AY59" a="1"/>
  <c r="AY59"/>
  <c r="AX59" a="1"/>
  <c r="AX59"/>
  <c r="AW59" a="1"/>
  <c r="AW59"/>
  <c r="AY58" a="1"/>
  <c r="AY58"/>
  <c r="AX58" a="1"/>
  <c r="AX58"/>
  <c r="AW58" a="1"/>
  <c r="AW58"/>
  <c r="AY57" a="1"/>
  <c r="AY57"/>
  <c r="AX57" a="1"/>
  <c r="AX57"/>
  <c r="AW57" a="1"/>
  <c r="AW57"/>
  <c r="AY56" a="1"/>
  <c r="AY56"/>
  <c r="AX56" a="1"/>
  <c r="AX56"/>
  <c r="AW56" a="1"/>
  <c r="AW56"/>
  <c r="AY55" a="1"/>
  <c r="AY55"/>
  <c r="AX55" a="1"/>
  <c r="AX55"/>
  <c r="AW55" a="1"/>
  <c r="AW55"/>
  <c r="AY54" a="1"/>
  <c r="AY54"/>
  <c r="AX54" a="1"/>
  <c r="AX54"/>
  <c r="AW54" a="1"/>
  <c r="AW54"/>
  <c r="AY53" a="1"/>
  <c r="AY53"/>
  <c r="AX53" a="1"/>
  <c r="AX53"/>
  <c r="AW53" a="1"/>
  <c r="AW53"/>
  <c r="AY52" a="1"/>
  <c r="AY52"/>
  <c r="AX52" a="1"/>
  <c r="AX52"/>
  <c r="AW52" a="1"/>
  <c r="AW52"/>
  <c r="AY51" a="1"/>
  <c r="AY51"/>
  <c r="AX51" a="1"/>
  <c r="AX51"/>
  <c r="AW51" a="1"/>
  <c r="AW51"/>
  <c r="AY50" a="1"/>
  <c r="AY50"/>
  <c r="AX50" a="1"/>
  <c r="AX50"/>
  <c r="AW50" a="1"/>
  <c r="AW50"/>
  <c r="AY49" a="1"/>
  <c r="AY49"/>
  <c r="AX49" a="1"/>
  <c r="AX49"/>
  <c r="AW49" a="1"/>
  <c r="AW49"/>
  <c r="AY48" a="1"/>
  <c r="AY48"/>
  <c r="AX48" a="1"/>
  <c r="AX48"/>
  <c r="AW48" a="1"/>
  <c r="AW48"/>
  <c r="AY47" a="1"/>
  <c r="AY47"/>
  <c r="AX47" a="1"/>
  <c r="AX47"/>
  <c r="AW47" a="1"/>
  <c r="AW47"/>
  <c r="BC46"/>
  <c r="BD46"/>
  <c r="BC45"/>
  <c r="BD45"/>
  <c r="BC44"/>
  <c r="BD44"/>
  <c r="BC43"/>
  <c r="BD43"/>
  <c r="BC42"/>
  <c r="BD42"/>
  <c r="BC41"/>
  <c r="BD41"/>
  <c r="BC40"/>
  <c r="BD40"/>
  <c r="BC39"/>
  <c r="BD39"/>
  <c r="BE39"/>
  <c r="BE40"/>
  <c r="BE41"/>
  <c r="BE42"/>
  <c r="BE43"/>
  <c r="BE44"/>
  <c r="BE45"/>
  <c r="BE46"/>
  <c r="V46" a="1"/>
  <c r="V46"/>
  <c r="H46"/>
  <c r="W46" a="1"/>
  <c r="W46"/>
  <c r="J46"/>
  <c r="Y46" a="1"/>
  <c r="Y46"/>
  <c r="X14"/>
  <c r="X15"/>
  <c r="X16"/>
  <c r="X17"/>
  <c r="X18"/>
  <c r="X19"/>
  <c r="X20"/>
  <c r="X21"/>
  <c r="X22"/>
  <c r="X23"/>
  <c r="X24"/>
  <c r="X25"/>
  <c r="X26"/>
  <c r="X27"/>
  <c r="X28"/>
  <c r="X29"/>
  <c r="X30"/>
  <c r="X31"/>
  <c r="X32"/>
  <c r="X33"/>
  <c r="X34"/>
  <c r="X35"/>
  <c r="X36"/>
  <c r="X37"/>
  <c r="X38"/>
  <c r="X39"/>
  <c r="X40"/>
  <c r="X41"/>
  <c r="X42"/>
  <c r="X43"/>
  <c r="X44"/>
  <c r="X45"/>
  <c r="X46"/>
  <c r="Z46" a="1"/>
  <c r="Z46"/>
  <c r="E2"/>
  <c r="V45" a="1"/>
  <c r="V45"/>
  <c r="V44" a="1"/>
  <c r="V44"/>
  <c r="V43" a="1"/>
  <c r="V43"/>
  <c r="V42" a="1"/>
  <c r="V42"/>
  <c r="V41" a="1"/>
  <c r="V41"/>
  <c r="V40" a="1"/>
  <c r="V40"/>
  <c r="V39" a="1"/>
  <c r="V39"/>
  <c r="V30" a="1"/>
  <c r="V30"/>
  <c r="V29" a="1"/>
  <c r="V29"/>
  <c r="V28" a="1"/>
  <c r="V28"/>
  <c r="V27" a="1"/>
  <c r="V27"/>
  <c r="V18" a="1"/>
  <c r="V18"/>
  <c r="V17" a="1"/>
  <c r="V17"/>
  <c r="V16" a="1"/>
  <c r="V16"/>
  <c r="V15" a="1"/>
  <c r="V15"/>
  <c r="AA13" a="1"/>
  <c r="AA13"/>
  <c r="AA14" a="1"/>
  <c r="AA14"/>
  <c r="AA15" a="1"/>
  <c r="AA15"/>
  <c r="AA16" a="1"/>
  <c r="AA16"/>
  <c r="AA17" a="1"/>
  <c r="AA17"/>
  <c r="AA18" a="1"/>
  <c r="AA18"/>
  <c r="AA19" a="1"/>
  <c r="AA19"/>
  <c r="AA20" a="1"/>
  <c r="AA20"/>
  <c r="AA21" a="1"/>
  <c r="AA21"/>
  <c r="AA22" a="1"/>
  <c r="AA22"/>
  <c r="AA23" a="1"/>
  <c r="AA23"/>
  <c r="AA24" a="1"/>
  <c r="AA24"/>
  <c r="AA25" a="1"/>
  <c r="AA25"/>
  <c r="AA26" a="1"/>
  <c r="AA26"/>
  <c r="AA27" a="1"/>
  <c r="AA27"/>
  <c r="AA28" a="1"/>
  <c r="AA28"/>
  <c r="AA29" a="1"/>
  <c r="AA29"/>
  <c r="AA30" a="1"/>
  <c r="AA30"/>
  <c r="AA31" a="1"/>
  <c r="AA31"/>
  <c r="AA32" a="1"/>
  <c r="AA32"/>
  <c r="AA33" a="1"/>
  <c r="AA33"/>
  <c r="AA34" a="1"/>
  <c r="AA34"/>
  <c r="AA35" a="1"/>
  <c r="AA35"/>
  <c r="AA36" a="1"/>
  <c r="AA36"/>
  <c r="AA37" a="1"/>
  <c r="AA37"/>
  <c r="AA38" a="1"/>
  <c r="AA38"/>
  <c r="AA39" a="1"/>
  <c r="AA39"/>
  <c r="AA40" a="1"/>
  <c r="AA40"/>
  <c r="AA41" a="1"/>
  <c r="AA41"/>
  <c r="AA42" a="1"/>
  <c r="AA42"/>
  <c r="AA43" a="1"/>
  <c r="AA43"/>
  <c r="AA44" a="1"/>
  <c r="AA44"/>
  <c r="AA45" a="1"/>
  <c r="AA45"/>
  <c r="AA46" a="1"/>
  <c r="AA46"/>
  <c r="G46"/>
  <c r="AB46" a="1"/>
  <c r="AB46"/>
  <c r="AC14" a="1"/>
  <c r="AC14"/>
  <c r="AC15" a="1"/>
  <c r="AC15"/>
  <c r="AC16" a="1"/>
  <c r="AC16"/>
  <c r="AC17" a="1"/>
  <c r="AC17"/>
  <c r="AC18" a="1"/>
  <c r="AC18"/>
  <c r="AC19" a="1"/>
  <c r="AC19"/>
  <c r="AC20" a="1"/>
  <c r="AC20"/>
  <c r="AC21" a="1"/>
  <c r="AC21"/>
  <c r="AC22" a="1"/>
  <c r="AC22"/>
  <c r="AC23" a="1"/>
  <c r="AC23"/>
  <c r="AC24" a="1"/>
  <c r="AC24"/>
  <c r="AC25" a="1"/>
  <c r="AC25"/>
  <c r="AC26" a="1"/>
  <c r="AC26"/>
  <c r="AC27" a="1"/>
  <c r="AC27"/>
  <c r="AC28" a="1"/>
  <c r="AC28"/>
  <c r="AC29" a="1"/>
  <c r="AC29"/>
  <c r="AC30" a="1"/>
  <c r="AC30"/>
  <c r="AC31" a="1"/>
  <c r="AC31"/>
  <c r="AC32" a="1"/>
  <c r="AC32"/>
  <c r="AC33" a="1"/>
  <c r="AC33"/>
  <c r="AC34" a="1"/>
  <c r="AC34"/>
  <c r="AC35" a="1"/>
  <c r="AC35"/>
  <c r="AC36" a="1"/>
  <c r="AC36"/>
  <c r="AC37" a="1"/>
  <c r="AC37"/>
  <c r="AC38" a="1"/>
  <c r="AC38"/>
  <c r="AC39" a="1"/>
  <c r="AC39"/>
  <c r="AC40" a="1"/>
  <c r="AC40"/>
  <c r="AC41" a="1"/>
  <c r="AC41"/>
  <c r="AC42" a="1"/>
  <c r="AC42"/>
  <c r="AC43" a="1"/>
  <c r="AC43"/>
  <c r="AC44" a="1"/>
  <c r="AC44"/>
  <c r="AC45" a="1"/>
  <c r="AC45"/>
  <c r="AC46" a="1"/>
  <c r="I46"/>
  <c r="AD46" a="1"/>
  <c r="AC46"/>
  <c r="AD46"/>
  <c r="AE46" a="1"/>
  <c r="AE46"/>
  <c r="AJ46" a="1"/>
  <c r="AJ46"/>
  <c r="E3"/>
  <c r="AW46" a="1"/>
  <c r="AW46"/>
  <c r="AZ2"/>
  <c r="AK46" a="1"/>
  <c r="AK46"/>
  <c r="AQ2"/>
  <c r="AL46" a="1"/>
  <c r="AL46"/>
  <c r="AM46" a="1"/>
  <c r="AM46"/>
  <c r="AN14" a="1"/>
  <c r="AN14"/>
  <c r="AN15" a="1"/>
  <c r="AN15"/>
  <c r="AN16" a="1"/>
  <c r="AN16"/>
  <c r="AN17" a="1"/>
  <c r="AN17"/>
  <c r="AN18" a="1"/>
  <c r="AN18"/>
  <c r="AN19" a="1"/>
  <c r="AN19"/>
  <c r="AN20" a="1"/>
  <c r="AN20"/>
  <c r="AN21" a="1"/>
  <c r="AN21"/>
  <c r="AN22" a="1"/>
  <c r="AN22"/>
  <c r="AN23" a="1"/>
  <c r="AN23"/>
  <c r="AN24" a="1"/>
  <c r="AN24"/>
  <c r="AN25" a="1"/>
  <c r="AN25"/>
  <c r="AN26" a="1"/>
  <c r="AN26"/>
  <c r="AN27" a="1"/>
  <c r="AN27"/>
  <c r="AN28" a="1"/>
  <c r="AN28"/>
  <c r="AN29" a="1"/>
  <c r="AN29"/>
  <c r="AN30" a="1"/>
  <c r="AN30"/>
  <c r="AN31" a="1"/>
  <c r="AN31"/>
  <c r="AN32" a="1"/>
  <c r="AN32"/>
  <c r="AN33" a="1"/>
  <c r="AN33"/>
  <c r="AN34" a="1"/>
  <c r="AN34"/>
  <c r="AN35" a="1"/>
  <c r="AN35"/>
  <c r="AN36" a="1"/>
  <c r="AN36"/>
  <c r="AN37" a="1"/>
  <c r="AN37"/>
  <c r="AN38" a="1"/>
  <c r="AN38"/>
  <c r="AN39" a="1"/>
  <c r="AN39"/>
  <c r="AN40" a="1"/>
  <c r="AN40"/>
  <c r="AN41" a="1"/>
  <c r="AN41"/>
  <c r="AN42" a="1"/>
  <c r="AN42"/>
  <c r="AN43" a="1"/>
  <c r="AN43"/>
  <c r="AN44" a="1"/>
  <c r="AN44"/>
  <c r="AN45" a="1"/>
  <c r="AN45"/>
  <c r="AN46" a="1"/>
  <c r="AN46"/>
  <c r="AO13"/>
  <c r="AO14" a="1"/>
  <c r="AO14"/>
  <c r="AO15" a="1"/>
  <c r="AO15"/>
  <c r="AO16" a="1"/>
  <c r="AO16"/>
  <c r="AO17" a="1"/>
  <c r="AO17"/>
  <c r="AO18" a="1"/>
  <c r="AO18"/>
  <c r="AO19" a="1"/>
  <c r="AO19"/>
  <c r="AO20" a="1"/>
  <c r="AO20"/>
  <c r="AO21" a="1"/>
  <c r="AO21"/>
  <c r="AO22" a="1"/>
  <c r="AO22"/>
  <c r="AO23" a="1"/>
  <c r="AO23"/>
  <c r="AO24" a="1"/>
  <c r="AO24"/>
  <c r="AO25" a="1"/>
  <c r="AO25"/>
  <c r="AO26" a="1"/>
  <c r="AO26"/>
  <c r="AO27" a="1"/>
  <c r="AO27"/>
  <c r="AO28" a="1"/>
  <c r="AO28"/>
  <c r="AO29" a="1"/>
  <c r="AO29"/>
  <c r="AO30" a="1"/>
  <c r="AO30"/>
  <c r="AO31" a="1"/>
  <c r="AO31"/>
  <c r="AO32" a="1"/>
  <c r="AO32"/>
  <c r="AO33" a="1"/>
  <c r="AO33"/>
  <c r="AO34" a="1"/>
  <c r="AO34"/>
  <c r="AO35" a="1"/>
  <c r="AO35"/>
  <c r="AO36" a="1"/>
  <c r="AO36"/>
  <c r="AO37" a="1"/>
  <c r="AO37"/>
  <c r="AO38" a="1"/>
  <c r="AO38"/>
  <c r="AO39" a="1"/>
  <c r="AO39"/>
  <c r="AO40" a="1"/>
  <c r="AO40"/>
  <c r="AO41" a="1"/>
  <c r="AO41"/>
  <c r="AO42" a="1"/>
  <c r="AO42"/>
  <c r="AO43" a="1"/>
  <c r="AO43"/>
  <c r="AO44" a="1"/>
  <c r="AO44"/>
  <c r="AO45" a="1"/>
  <c r="AO45"/>
  <c r="AO46" a="1"/>
  <c r="AO46"/>
  <c r="AP46" a="1"/>
  <c r="AP46"/>
  <c r="AQ46" a="1"/>
  <c r="AQ46"/>
  <c r="AR46" a="1"/>
  <c r="AR46"/>
  <c r="AS46" a="1"/>
  <c r="AT14" a="1"/>
  <c r="AT14"/>
  <c r="AT15" a="1"/>
  <c r="AT15"/>
  <c r="AT16" a="1"/>
  <c r="AT16"/>
  <c r="AT17" a="1"/>
  <c r="AT17"/>
  <c r="AT18" a="1"/>
  <c r="AT18"/>
  <c r="AT19" a="1"/>
  <c r="AT19"/>
  <c r="AT20" a="1"/>
  <c r="AT20"/>
  <c r="AT21" a="1"/>
  <c r="AT21"/>
  <c r="AT22" a="1"/>
  <c r="AT22"/>
  <c r="AT23" a="1"/>
  <c r="AT23"/>
  <c r="AT24" a="1"/>
  <c r="AT24"/>
  <c r="AT25" a="1"/>
  <c r="AT25"/>
  <c r="AT26" a="1"/>
  <c r="AT26"/>
  <c r="AT27" a="1"/>
  <c r="AT27"/>
  <c r="AT28" a="1"/>
  <c r="AT28"/>
  <c r="AT29" a="1"/>
  <c r="AT29"/>
  <c r="AT30" a="1"/>
  <c r="AT30"/>
  <c r="AT31" a="1"/>
  <c r="AT31"/>
  <c r="AT32" a="1"/>
  <c r="AT32"/>
  <c r="AT33" a="1"/>
  <c r="AT33"/>
  <c r="AT34" a="1"/>
  <c r="AT34"/>
  <c r="AT35" a="1"/>
  <c r="AT35"/>
  <c r="AT36" a="1"/>
  <c r="AT36"/>
  <c r="AT37" a="1"/>
  <c r="AT37"/>
  <c r="AT38" a="1"/>
  <c r="AT38"/>
  <c r="AT39" a="1"/>
  <c r="AT39"/>
  <c r="AT40" a="1"/>
  <c r="AT40"/>
  <c r="AT41" a="1"/>
  <c r="AT41"/>
  <c r="AT42" a="1"/>
  <c r="AT42"/>
  <c r="AT43" a="1"/>
  <c r="AT43"/>
  <c r="AT44" a="1"/>
  <c r="AT44"/>
  <c r="AT45" a="1"/>
  <c r="AT45"/>
  <c r="AT46" a="1"/>
  <c r="AT46"/>
  <c r="AU14" a="1"/>
  <c r="AU14"/>
  <c r="AU15" a="1"/>
  <c r="AU15"/>
  <c r="AU16" a="1"/>
  <c r="AU16"/>
  <c r="AU17" a="1"/>
  <c r="AU17"/>
  <c r="AU18" a="1"/>
  <c r="AU18"/>
  <c r="AU19" a="1"/>
  <c r="AU19"/>
  <c r="AU20" a="1"/>
  <c r="AU20"/>
  <c r="AU21" a="1"/>
  <c r="AU21"/>
  <c r="AU22" a="1"/>
  <c r="AU22"/>
  <c r="AU23" a="1"/>
  <c r="AU23"/>
  <c r="AU24" a="1"/>
  <c r="AU24"/>
  <c r="AU25" a="1"/>
  <c r="AU25"/>
  <c r="AU26" a="1"/>
  <c r="AU26"/>
  <c r="AU27" a="1"/>
  <c r="AU27"/>
  <c r="AU28" a="1"/>
  <c r="AU28"/>
  <c r="AU29" a="1"/>
  <c r="AU29"/>
  <c r="AU30" a="1"/>
  <c r="AU30"/>
  <c r="AU31" a="1"/>
  <c r="AU31"/>
  <c r="AU32" a="1"/>
  <c r="AU32"/>
  <c r="AU33" a="1"/>
  <c r="AU33"/>
  <c r="AU34" a="1"/>
  <c r="AU34"/>
  <c r="AU35" a="1"/>
  <c r="AU35"/>
  <c r="AU36" a="1"/>
  <c r="AU36"/>
  <c r="AU37" a="1"/>
  <c r="AU37"/>
  <c r="AU38" a="1"/>
  <c r="AU38"/>
  <c r="AU39" a="1"/>
  <c r="AU39"/>
  <c r="AU40" a="1"/>
  <c r="AU40"/>
  <c r="AU41" a="1"/>
  <c r="AU41"/>
  <c r="AU42" a="1"/>
  <c r="AU42"/>
  <c r="AU43" a="1"/>
  <c r="AU43"/>
  <c r="AU44" a="1"/>
  <c r="AU44"/>
  <c r="AU45" a="1"/>
  <c r="AU45"/>
  <c r="AU46" a="1"/>
  <c r="AU46"/>
  <c r="AV46" a="1"/>
  <c r="AS46"/>
  <c r="AV46"/>
  <c r="AX46" a="1"/>
  <c r="AX46"/>
  <c r="AY46" a="1"/>
  <c r="AY46"/>
  <c r="H45"/>
  <c r="W45" a="1"/>
  <c r="W45"/>
  <c r="J45"/>
  <c r="Y45" a="1"/>
  <c r="Y45"/>
  <c r="Z45" a="1"/>
  <c r="Z45"/>
  <c r="G45"/>
  <c r="AB45" a="1"/>
  <c r="AB45"/>
  <c r="I45"/>
  <c r="AD45" a="1"/>
  <c r="AD45"/>
  <c r="AE45" a="1"/>
  <c r="AE45"/>
  <c r="AJ45" a="1"/>
  <c r="AJ45"/>
  <c r="AW45" a="1"/>
  <c r="AW45"/>
  <c r="AK45" a="1"/>
  <c r="AK45"/>
  <c r="AL45" a="1"/>
  <c r="AL45"/>
  <c r="AM45" a="1"/>
  <c r="AM45"/>
  <c r="AP45" a="1"/>
  <c r="AP45"/>
  <c r="AQ45" a="1"/>
  <c r="AQ45"/>
  <c r="AR45" a="1"/>
  <c r="AR45"/>
  <c r="AS45" a="1"/>
  <c r="AV45" a="1"/>
  <c r="AS45"/>
  <c r="AV45"/>
  <c r="AX45" a="1"/>
  <c r="AX45"/>
  <c r="AY45" a="1"/>
  <c r="AY45"/>
  <c r="H44"/>
  <c r="W44" a="1"/>
  <c r="W44"/>
  <c r="J44"/>
  <c r="Y44" a="1"/>
  <c r="Y44"/>
  <c r="Z44" a="1"/>
  <c r="Z44"/>
  <c r="G44"/>
  <c r="AB44" a="1"/>
  <c r="AB44"/>
  <c r="I44"/>
  <c r="AD44" a="1"/>
  <c r="AD44"/>
  <c r="AE44" a="1"/>
  <c r="AE44"/>
  <c r="AJ44" a="1"/>
  <c r="AJ44"/>
  <c r="AW44" a="1"/>
  <c r="AW44"/>
  <c r="AK44" a="1"/>
  <c r="AK44"/>
  <c r="AL44" a="1"/>
  <c r="AL44"/>
  <c r="AM44" a="1"/>
  <c r="AM44"/>
  <c r="AP44" a="1"/>
  <c r="AP44"/>
  <c r="AQ44" a="1"/>
  <c r="AQ44"/>
  <c r="AR44" a="1"/>
  <c r="AR44"/>
  <c r="AS44" a="1"/>
  <c r="AV44" a="1"/>
  <c r="AS44"/>
  <c r="AV44"/>
  <c r="AX44" a="1"/>
  <c r="AX44"/>
  <c r="AY44" a="1"/>
  <c r="AY44"/>
  <c r="H43"/>
  <c r="W43" a="1"/>
  <c r="W43"/>
  <c r="J43"/>
  <c r="Y43" a="1"/>
  <c r="Y43"/>
  <c r="Z43" a="1"/>
  <c r="Z43"/>
  <c r="G43"/>
  <c r="AB43" a="1"/>
  <c r="AB43"/>
  <c r="I43"/>
  <c r="AD43" a="1"/>
  <c r="AD43"/>
  <c r="AE43" a="1"/>
  <c r="AE43"/>
  <c r="AJ43" a="1"/>
  <c r="AJ43"/>
  <c r="AW43" a="1"/>
  <c r="AW43"/>
  <c r="AK43" a="1"/>
  <c r="AK43"/>
  <c r="AL43" a="1"/>
  <c r="AL43"/>
  <c r="AM43" a="1"/>
  <c r="AM43"/>
  <c r="AP43" a="1"/>
  <c r="AP43"/>
  <c r="AQ43" a="1"/>
  <c r="AQ43"/>
  <c r="AR43" a="1"/>
  <c r="AR43"/>
  <c r="AS43" a="1"/>
  <c r="AV43" a="1"/>
  <c r="AS43"/>
  <c r="AV43"/>
  <c r="AX43" a="1"/>
  <c r="AX43"/>
  <c r="AY43" a="1"/>
  <c r="AY43"/>
  <c r="H42"/>
  <c r="W42" a="1"/>
  <c r="W42"/>
  <c r="J42"/>
  <c r="Y42" a="1"/>
  <c r="Y42"/>
  <c r="Z42" a="1"/>
  <c r="Z42"/>
  <c r="G42"/>
  <c r="AB42" a="1"/>
  <c r="AB42"/>
  <c r="I42"/>
  <c r="AD42" a="1"/>
  <c r="AD42"/>
  <c r="AE42" a="1"/>
  <c r="AE42"/>
  <c r="AJ42" a="1"/>
  <c r="AJ42"/>
  <c r="AW42" a="1"/>
  <c r="AW42"/>
  <c r="AK42" a="1"/>
  <c r="AK42"/>
  <c r="AL42" a="1"/>
  <c r="AL42"/>
  <c r="AM42" a="1"/>
  <c r="AM42"/>
  <c r="AP42" a="1"/>
  <c r="AP42"/>
  <c r="AQ42" a="1"/>
  <c r="AQ42"/>
  <c r="AR42" a="1"/>
  <c r="AR42"/>
  <c r="AS42" a="1"/>
  <c r="AV42" a="1"/>
  <c r="AS42"/>
  <c r="AV42"/>
  <c r="AX42" a="1"/>
  <c r="AX42"/>
  <c r="AY42" a="1"/>
  <c r="AY42"/>
  <c r="H41"/>
  <c r="W41" a="1"/>
  <c r="W41"/>
  <c r="J41"/>
  <c r="Y41" a="1"/>
  <c r="Y41"/>
  <c r="Z41" a="1"/>
  <c r="Z41"/>
  <c r="G41"/>
  <c r="AB41" a="1"/>
  <c r="AB41"/>
  <c r="I41"/>
  <c r="AD41" a="1"/>
  <c r="AD41"/>
  <c r="AE41" a="1"/>
  <c r="AE41"/>
  <c r="AJ41" a="1"/>
  <c r="AJ41"/>
  <c r="AW41" a="1"/>
  <c r="AW41"/>
  <c r="AK41" a="1"/>
  <c r="AK41"/>
  <c r="AL41" a="1"/>
  <c r="AL41"/>
  <c r="AM41" a="1"/>
  <c r="AM41"/>
  <c r="AP41" a="1"/>
  <c r="AP41"/>
  <c r="AQ41" a="1"/>
  <c r="AQ41"/>
  <c r="AR41" a="1"/>
  <c r="AR41"/>
  <c r="AS41" a="1"/>
  <c r="AV41" a="1"/>
  <c r="AS41"/>
  <c r="AV41"/>
  <c r="AX41" a="1"/>
  <c r="AX41"/>
  <c r="AY41" a="1"/>
  <c r="AY41"/>
  <c r="H40"/>
  <c r="W40" a="1"/>
  <c r="W40"/>
  <c r="J40"/>
  <c r="Y40" a="1"/>
  <c r="Y40"/>
  <c r="Z40" a="1"/>
  <c r="Z40"/>
  <c r="G40"/>
  <c r="AB40" a="1"/>
  <c r="AB40"/>
  <c r="I40"/>
  <c r="AD40" a="1"/>
  <c r="AD40"/>
  <c r="AE40" a="1"/>
  <c r="AE40"/>
  <c r="AJ40" a="1"/>
  <c r="AJ40"/>
  <c r="AW40" a="1"/>
  <c r="AW40"/>
  <c r="AK40" a="1"/>
  <c r="AK40"/>
  <c r="AL40" a="1"/>
  <c r="AL40"/>
  <c r="AM40" a="1"/>
  <c r="AM40"/>
  <c r="AP40" a="1"/>
  <c r="AP40"/>
  <c r="AQ40" a="1"/>
  <c r="AQ40"/>
  <c r="AR40" a="1"/>
  <c r="AR40"/>
  <c r="AS40" a="1"/>
  <c r="AV40" a="1"/>
  <c r="AS40"/>
  <c r="AV40"/>
  <c r="AX40" a="1"/>
  <c r="AX40"/>
  <c r="AY40" a="1"/>
  <c r="AY40"/>
  <c r="H39"/>
  <c r="W39" a="1"/>
  <c r="W39"/>
  <c r="J39"/>
  <c r="Y39" a="1"/>
  <c r="Y39"/>
  <c r="Z39" a="1"/>
  <c r="Z39"/>
  <c r="G39"/>
  <c r="AB39" a="1"/>
  <c r="AB39"/>
  <c r="I39"/>
  <c r="AD39" a="1"/>
  <c r="AD39"/>
  <c r="AE39" a="1"/>
  <c r="AE39"/>
  <c r="AJ39" a="1"/>
  <c r="AJ39"/>
  <c r="AW39" a="1"/>
  <c r="AW39"/>
  <c r="AK39" a="1"/>
  <c r="AK39"/>
  <c r="AL39" a="1"/>
  <c r="AL39"/>
  <c r="AM39" a="1"/>
  <c r="AM39"/>
  <c r="AP39" a="1"/>
  <c r="AP39"/>
  <c r="AQ39" a="1"/>
  <c r="AQ39"/>
  <c r="AR39" a="1"/>
  <c r="AR39"/>
  <c r="AS39" a="1"/>
  <c r="AV39" a="1"/>
  <c r="AS39"/>
  <c r="AV39"/>
  <c r="AX39" a="1"/>
  <c r="AX39"/>
  <c r="AY39" a="1"/>
  <c r="AY39"/>
  <c r="H38"/>
  <c r="W38" a="1"/>
  <c r="W38"/>
  <c r="J38"/>
  <c r="Y38" a="1"/>
  <c r="Y38"/>
  <c r="Z38" a="1"/>
  <c r="Z38"/>
  <c r="G38"/>
  <c r="AB38" a="1"/>
  <c r="AB38"/>
  <c r="I38"/>
  <c r="AD38" a="1"/>
  <c r="AD38"/>
  <c r="AE38" a="1"/>
  <c r="AE38"/>
  <c r="AJ38" a="1"/>
  <c r="AJ38"/>
  <c r="AW38" a="1"/>
  <c r="AW38"/>
  <c r="AK38" a="1"/>
  <c r="AK38"/>
  <c r="AL38" a="1"/>
  <c r="AL38"/>
  <c r="AM38" a="1"/>
  <c r="AM38"/>
  <c r="AP38" a="1"/>
  <c r="AP38"/>
  <c r="AQ38" a="1"/>
  <c r="AQ38"/>
  <c r="AR38" a="1"/>
  <c r="AR38"/>
  <c r="AS38" a="1"/>
  <c r="AV38" a="1"/>
  <c r="AS38"/>
  <c r="AV38"/>
  <c r="AX38" a="1"/>
  <c r="AX38"/>
  <c r="AY38" a="1"/>
  <c r="AY38"/>
  <c r="H37"/>
  <c r="W37" a="1"/>
  <c r="W37"/>
  <c r="J37"/>
  <c r="Y37" a="1"/>
  <c r="Y37"/>
  <c r="Z37" a="1"/>
  <c r="Z37"/>
  <c r="G37"/>
  <c r="AB37" a="1"/>
  <c r="AB37"/>
  <c r="I37"/>
  <c r="AD37" a="1"/>
  <c r="AD37"/>
  <c r="AE37" a="1"/>
  <c r="AE37"/>
  <c r="AJ37" a="1"/>
  <c r="AJ37"/>
  <c r="AW37" a="1"/>
  <c r="AW37"/>
  <c r="AK37" a="1"/>
  <c r="AK37"/>
  <c r="AL37" a="1"/>
  <c r="AL37"/>
  <c r="AM37" a="1"/>
  <c r="AM37"/>
  <c r="AP37" a="1"/>
  <c r="AP37"/>
  <c r="AQ37" a="1"/>
  <c r="AQ37"/>
  <c r="AR37" a="1"/>
  <c r="AR37"/>
  <c r="AS37" a="1"/>
  <c r="AV37" a="1"/>
  <c r="AS37"/>
  <c r="AV37"/>
  <c r="AX37" a="1"/>
  <c r="AX37"/>
  <c r="AY37" a="1"/>
  <c r="AY37"/>
  <c r="H36"/>
  <c r="W36" a="1"/>
  <c r="W36"/>
  <c r="J36"/>
  <c r="Y36" a="1"/>
  <c r="Y36"/>
  <c r="Z36" a="1"/>
  <c r="Z36"/>
  <c r="G36"/>
  <c r="AB36" a="1"/>
  <c r="AB36"/>
  <c r="I36"/>
  <c r="AD36" a="1"/>
  <c r="AD36"/>
  <c r="AE36" a="1"/>
  <c r="AE36"/>
  <c r="AJ36" a="1"/>
  <c r="AJ36"/>
  <c r="AW36" a="1"/>
  <c r="AW36"/>
  <c r="AK36" a="1"/>
  <c r="AK36"/>
  <c r="AL36" a="1"/>
  <c r="AL36"/>
  <c r="AM36" a="1"/>
  <c r="AM36"/>
  <c r="AP36" a="1"/>
  <c r="AP36"/>
  <c r="AQ36" a="1"/>
  <c r="AQ36"/>
  <c r="AR36" a="1"/>
  <c r="AR36"/>
  <c r="AS36" a="1"/>
  <c r="AV36" a="1"/>
  <c r="AS36"/>
  <c r="AV36"/>
  <c r="AX36" a="1"/>
  <c r="AX36"/>
  <c r="AY36" a="1"/>
  <c r="AY36"/>
  <c r="H35"/>
  <c r="W35" a="1"/>
  <c r="W35"/>
  <c r="J35"/>
  <c r="Y35" a="1"/>
  <c r="Y35"/>
  <c r="Z35" a="1"/>
  <c r="Z35"/>
  <c r="G35"/>
  <c r="AB35" a="1"/>
  <c r="AB35"/>
  <c r="I35"/>
  <c r="AD35" a="1"/>
  <c r="AD35"/>
  <c r="AE35" a="1"/>
  <c r="AE35"/>
  <c r="AJ35" a="1"/>
  <c r="AJ35"/>
  <c r="AW35" a="1"/>
  <c r="AW35"/>
  <c r="AK35" a="1"/>
  <c r="AK35"/>
  <c r="AL35" a="1"/>
  <c r="AL35"/>
  <c r="AM35" a="1"/>
  <c r="AM35"/>
  <c r="AP35" a="1"/>
  <c r="AP35"/>
  <c r="AQ35" a="1"/>
  <c r="AQ35"/>
  <c r="AR35" a="1"/>
  <c r="AR35"/>
  <c r="AS35" a="1"/>
  <c r="AV35" a="1"/>
  <c r="AS35"/>
  <c r="AV35"/>
  <c r="AX35" a="1"/>
  <c r="AX35"/>
  <c r="AY35" a="1"/>
  <c r="AY35"/>
  <c r="H34"/>
  <c r="W34" a="1"/>
  <c r="W34"/>
  <c r="J34"/>
  <c r="Y34" a="1"/>
  <c r="Y34"/>
  <c r="Z34" a="1"/>
  <c r="Z34"/>
  <c r="G34"/>
  <c r="AB34" a="1"/>
  <c r="AB34"/>
  <c r="I34"/>
  <c r="AD34" a="1"/>
  <c r="AD34"/>
  <c r="AE34" a="1"/>
  <c r="AE34"/>
  <c r="AJ34" a="1"/>
  <c r="AJ34"/>
  <c r="AW34" a="1"/>
  <c r="AW34"/>
  <c r="AK34" a="1"/>
  <c r="AK34"/>
  <c r="AL34" a="1"/>
  <c r="AL34"/>
  <c r="AM34" a="1"/>
  <c r="AM34"/>
  <c r="AP34" a="1"/>
  <c r="AP34"/>
  <c r="AQ34" a="1"/>
  <c r="AQ34"/>
  <c r="AR34" a="1"/>
  <c r="AR34"/>
  <c r="AS34" a="1"/>
  <c r="AV34" a="1"/>
  <c r="AS34"/>
  <c r="AV34"/>
  <c r="AX34" a="1"/>
  <c r="AX34"/>
  <c r="AY34" a="1"/>
  <c r="AY34"/>
  <c r="H33"/>
  <c r="W33" a="1"/>
  <c r="W33"/>
  <c r="J33"/>
  <c r="Y33" a="1"/>
  <c r="Y33"/>
  <c r="Z33" a="1"/>
  <c r="Z33"/>
  <c r="G33"/>
  <c r="AB33" a="1"/>
  <c r="AB33"/>
  <c r="I33"/>
  <c r="AD33" a="1"/>
  <c r="AD33"/>
  <c r="AE33" a="1"/>
  <c r="AE33"/>
  <c r="AJ33" a="1"/>
  <c r="AJ33"/>
  <c r="AW33" a="1"/>
  <c r="AW33"/>
  <c r="AK33" a="1"/>
  <c r="AK33"/>
  <c r="AL33" a="1"/>
  <c r="AL33"/>
  <c r="AM33" a="1"/>
  <c r="AM33"/>
  <c r="AP33" a="1"/>
  <c r="AP33"/>
  <c r="AQ33" a="1"/>
  <c r="AQ33"/>
  <c r="AR33" a="1"/>
  <c r="AR33"/>
  <c r="AS33" a="1"/>
  <c r="AV33" a="1"/>
  <c r="AS33"/>
  <c r="AV33"/>
  <c r="AX33" a="1"/>
  <c r="AX33"/>
  <c r="AY33" a="1"/>
  <c r="AY33"/>
  <c r="H32"/>
  <c r="W32" a="1"/>
  <c r="W32"/>
  <c r="J32"/>
  <c r="Y32" a="1"/>
  <c r="Y32"/>
  <c r="Z32" a="1"/>
  <c r="Z32"/>
  <c r="G32"/>
  <c r="AB32" a="1"/>
  <c r="AB32"/>
  <c r="I32"/>
  <c r="AD32" a="1"/>
  <c r="AD32"/>
  <c r="AE32" a="1"/>
  <c r="AE32"/>
  <c r="AJ32" a="1"/>
  <c r="AJ32"/>
  <c r="AW32" a="1"/>
  <c r="AW32"/>
  <c r="AK32" a="1"/>
  <c r="AK32"/>
  <c r="AL32" a="1"/>
  <c r="AL32"/>
  <c r="AM32" a="1"/>
  <c r="AM32"/>
  <c r="AP32" a="1"/>
  <c r="AP32"/>
  <c r="AQ32" a="1"/>
  <c r="AQ32"/>
  <c r="AR32" a="1"/>
  <c r="AR32"/>
  <c r="AS32" a="1"/>
  <c r="AV32" a="1"/>
  <c r="AS32"/>
  <c r="AV32"/>
  <c r="AX32" a="1"/>
  <c r="AX32"/>
  <c r="AY32" a="1"/>
  <c r="AY32"/>
  <c r="H31"/>
  <c r="W31" a="1"/>
  <c r="W31"/>
  <c r="J31"/>
  <c r="Y31" a="1"/>
  <c r="Y31"/>
  <c r="Z31" a="1"/>
  <c r="Z31"/>
  <c r="G31"/>
  <c r="AB31" a="1"/>
  <c r="AB31"/>
  <c r="I31"/>
  <c r="AD31" a="1"/>
  <c r="AD31"/>
  <c r="AE31" a="1"/>
  <c r="AE31"/>
  <c r="AJ31" a="1"/>
  <c r="AJ31"/>
  <c r="AW31" a="1"/>
  <c r="AW31"/>
  <c r="AK31" a="1"/>
  <c r="AK31"/>
  <c r="AL31" a="1"/>
  <c r="AL31"/>
  <c r="AM31" a="1"/>
  <c r="AM31"/>
  <c r="AP31" a="1"/>
  <c r="AP31"/>
  <c r="AQ31" a="1"/>
  <c r="AQ31"/>
  <c r="AR31" a="1"/>
  <c r="AR31"/>
  <c r="AS31" a="1"/>
  <c r="AV31" a="1"/>
  <c r="AS31"/>
  <c r="AV31"/>
  <c r="AX31" a="1"/>
  <c r="AX31"/>
  <c r="AY31" a="1"/>
  <c r="AY31"/>
  <c r="H30"/>
  <c r="W30" a="1"/>
  <c r="W30"/>
  <c r="J30"/>
  <c r="Y30" a="1"/>
  <c r="Y30"/>
  <c r="Z30" a="1"/>
  <c r="Z30"/>
  <c r="G30"/>
  <c r="AB30" a="1"/>
  <c r="AB30"/>
  <c r="I30"/>
  <c r="AD30" a="1"/>
  <c r="AD30"/>
  <c r="AE30" a="1"/>
  <c r="AE30"/>
  <c r="AJ30" a="1"/>
  <c r="AJ30"/>
  <c r="AW30" a="1"/>
  <c r="AW30"/>
  <c r="AK30" a="1"/>
  <c r="AK30"/>
  <c r="AL30" a="1"/>
  <c r="AL30"/>
  <c r="AM30" a="1"/>
  <c r="AM30"/>
  <c r="AP30" a="1"/>
  <c r="AP30"/>
  <c r="AQ30" a="1"/>
  <c r="AQ30"/>
  <c r="AR30" a="1"/>
  <c r="AR30"/>
  <c r="AS30" a="1"/>
  <c r="AV30" a="1"/>
  <c r="AS30"/>
  <c r="AV30"/>
  <c r="AX30" a="1"/>
  <c r="AX30"/>
  <c r="AY30" a="1"/>
  <c r="AY30"/>
  <c r="H29"/>
  <c r="W29" a="1"/>
  <c r="W29"/>
  <c r="J29"/>
  <c r="Y29" a="1"/>
  <c r="Y29"/>
  <c r="Z29" a="1"/>
  <c r="Z29"/>
  <c r="G29"/>
  <c r="AB29" a="1"/>
  <c r="AB29"/>
  <c r="I29"/>
  <c r="AD29" a="1"/>
  <c r="AD29"/>
  <c r="AE29" a="1"/>
  <c r="AE29"/>
  <c r="AJ29" a="1"/>
  <c r="AJ29"/>
  <c r="AW29" a="1"/>
  <c r="AW29"/>
  <c r="AK29" a="1"/>
  <c r="AK29"/>
  <c r="AL29" a="1"/>
  <c r="AL29"/>
  <c r="AM29" a="1"/>
  <c r="AM29"/>
  <c r="AP29" a="1"/>
  <c r="AP29"/>
  <c r="AQ29" a="1"/>
  <c r="AQ29"/>
  <c r="AR29" a="1"/>
  <c r="AR29"/>
  <c r="AS29" a="1"/>
  <c r="AV29" a="1"/>
  <c r="AS29"/>
  <c r="AV29"/>
  <c r="AX29" a="1"/>
  <c r="AX29"/>
  <c r="AY29" a="1"/>
  <c r="AY29"/>
  <c r="H28"/>
  <c r="W28" a="1"/>
  <c r="W28"/>
  <c r="J28"/>
  <c r="Y28" a="1"/>
  <c r="Y28"/>
  <c r="Z28" a="1"/>
  <c r="Z28"/>
  <c r="G28"/>
  <c r="AB28" a="1"/>
  <c r="AB28"/>
  <c r="I28"/>
  <c r="AD28" a="1"/>
  <c r="AD28"/>
  <c r="AE28" a="1"/>
  <c r="AE28"/>
  <c r="AJ28" a="1"/>
  <c r="AJ28"/>
  <c r="AW28" a="1"/>
  <c r="AW28"/>
  <c r="AK28" a="1"/>
  <c r="AK28"/>
  <c r="AL28" a="1"/>
  <c r="AL28"/>
  <c r="AM28" a="1"/>
  <c r="AM28"/>
  <c r="AP28" a="1"/>
  <c r="AP28"/>
  <c r="AQ28" a="1"/>
  <c r="AQ28"/>
  <c r="AR28" a="1"/>
  <c r="AR28"/>
  <c r="AS28" a="1"/>
  <c r="AV28" a="1"/>
  <c r="AS28"/>
  <c r="AV28"/>
  <c r="AX28" a="1"/>
  <c r="AX28"/>
  <c r="AY28" a="1"/>
  <c r="AY28"/>
  <c r="H27"/>
  <c r="W27" a="1"/>
  <c r="W27"/>
  <c r="J27"/>
  <c r="Y27" a="1"/>
  <c r="Y27"/>
  <c r="Z27" a="1"/>
  <c r="Z27"/>
  <c r="G27"/>
  <c r="AB27" a="1"/>
  <c r="AB27"/>
  <c r="I27"/>
  <c r="AD27" a="1"/>
  <c r="AD27"/>
  <c r="AE27" a="1"/>
  <c r="AE27"/>
  <c r="AJ27" a="1"/>
  <c r="AJ27"/>
  <c r="AW27" a="1"/>
  <c r="AW27"/>
  <c r="AK27" a="1"/>
  <c r="AK27"/>
  <c r="AL27" a="1"/>
  <c r="AL27"/>
  <c r="AM27" a="1"/>
  <c r="AM27"/>
  <c r="AP27" a="1"/>
  <c r="AP27"/>
  <c r="AQ27" a="1"/>
  <c r="AQ27"/>
  <c r="AR27" a="1"/>
  <c r="AR27"/>
  <c r="AS27" a="1"/>
  <c r="AV27" a="1"/>
  <c r="AS27"/>
  <c r="AV27"/>
  <c r="AX27" a="1"/>
  <c r="AX27"/>
  <c r="AY27" a="1"/>
  <c r="AY27"/>
  <c r="H26"/>
  <c r="W26" a="1"/>
  <c r="W26"/>
  <c r="J26"/>
  <c r="Y26" a="1"/>
  <c r="Y26"/>
  <c r="Z26" a="1"/>
  <c r="Z26"/>
  <c r="G26"/>
  <c r="AB26" a="1"/>
  <c r="AB26"/>
  <c r="I26"/>
  <c r="AD26" a="1"/>
  <c r="AD26"/>
  <c r="AE26" a="1"/>
  <c r="AE26"/>
  <c r="AJ26" a="1"/>
  <c r="AJ26"/>
  <c r="AW26" a="1"/>
  <c r="AW26"/>
  <c r="AK26" a="1"/>
  <c r="AK26"/>
  <c r="AL26" a="1"/>
  <c r="AL26"/>
  <c r="AM26" a="1"/>
  <c r="AM26"/>
  <c r="AP26" a="1"/>
  <c r="AP26"/>
  <c r="AQ26" a="1"/>
  <c r="AQ26"/>
  <c r="AR26" a="1"/>
  <c r="AR26"/>
  <c r="AS26" a="1"/>
  <c r="AV26" a="1"/>
  <c r="AS26"/>
  <c r="AV26"/>
  <c r="AX26" a="1"/>
  <c r="AX26"/>
  <c r="AY26" a="1"/>
  <c r="AY26"/>
  <c r="H25"/>
  <c r="W25" a="1"/>
  <c r="W25"/>
  <c r="J25"/>
  <c r="Y25" a="1"/>
  <c r="Y25"/>
  <c r="Z25" a="1"/>
  <c r="Z25"/>
  <c r="G25"/>
  <c r="AB25" a="1"/>
  <c r="AB25"/>
  <c r="I25"/>
  <c r="AD25" a="1"/>
  <c r="AD25"/>
  <c r="AE25" a="1"/>
  <c r="AE25"/>
  <c r="AJ25" a="1"/>
  <c r="AJ25"/>
  <c r="AW25" a="1"/>
  <c r="AW25"/>
  <c r="AK25" a="1"/>
  <c r="AK25"/>
  <c r="AL25" a="1"/>
  <c r="AL25"/>
  <c r="AM25" a="1"/>
  <c r="AM25"/>
  <c r="AP25" a="1"/>
  <c r="AP25"/>
  <c r="AQ25" a="1"/>
  <c r="AQ25"/>
  <c r="AR25" a="1"/>
  <c r="AR25"/>
  <c r="AS25" a="1"/>
  <c r="AV25" a="1"/>
  <c r="AS25"/>
  <c r="AV25"/>
  <c r="AX25" a="1"/>
  <c r="AX25"/>
  <c r="AY25" a="1"/>
  <c r="AY25"/>
  <c r="H24"/>
  <c r="W24" a="1"/>
  <c r="W24"/>
  <c r="J24"/>
  <c r="Y24" a="1"/>
  <c r="Y24"/>
  <c r="Z24" a="1"/>
  <c r="Z24"/>
  <c r="G24"/>
  <c r="AB24" a="1"/>
  <c r="AB24"/>
  <c r="I24"/>
  <c r="AD24" a="1"/>
  <c r="AD24"/>
  <c r="AE24" a="1"/>
  <c r="AE24"/>
  <c r="AJ24" a="1"/>
  <c r="AJ24"/>
  <c r="AW24" a="1"/>
  <c r="AW24"/>
  <c r="AK24" a="1"/>
  <c r="AK24"/>
  <c r="AL24" a="1"/>
  <c r="AL24"/>
  <c r="AM24" a="1"/>
  <c r="AM24"/>
  <c r="AP24" a="1"/>
  <c r="AP24"/>
  <c r="AQ24" a="1"/>
  <c r="AQ24"/>
  <c r="AR24" a="1"/>
  <c r="AR24"/>
  <c r="AS24" a="1"/>
  <c r="AV24" a="1"/>
  <c r="AS24"/>
  <c r="AV24"/>
  <c r="AX24" a="1"/>
  <c r="AX24"/>
  <c r="AY24" a="1"/>
  <c r="AY24"/>
  <c r="H23"/>
  <c r="W23" a="1"/>
  <c r="W23"/>
  <c r="J23"/>
  <c r="Y23" a="1"/>
  <c r="Y23"/>
  <c r="Z23" a="1"/>
  <c r="Z23"/>
  <c r="G23"/>
  <c r="AB23" a="1"/>
  <c r="AB23"/>
  <c r="I23"/>
  <c r="AD23" a="1"/>
  <c r="AD23"/>
  <c r="AE23" a="1"/>
  <c r="AE23"/>
  <c r="AJ23" a="1"/>
  <c r="AJ23"/>
  <c r="AW23" a="1"/>
  <c r="AW23"/>
  <c r="AK23" a="1"/>
  <c r="AK23"/>
  <c r="AL23" a="1"/>
  <c r="AL23"/>
  <c r="AM23" a="1"/>
  <c r="AM23"/>
  <c r="AP23" a="1"/>
  <c r="AP23"/>
  <c r="AQ23" a="1"/>
  <c r="AQ23"/>
  <c r="AR23" a="1"/>
  <c r="AR23"/>
  <c r="AS23" a="1"/>
  <c r="AV23" a="1"/>
  <c r="AS23"/>
  <c r="AV23"/>
  <c r="AX23" a="1"/>
  <c r="AX23"/>
  <c r="AY23" a="1"/>
  <c r="AY23"/>
  <c r="H22"/>
  <c r="W22" a="1"/>
  <c r="W22"/>
  <c r="J22"/>
  <c r="Y22" a="1"/>
  <c r="Y22"/>
  <c r="Z22" a="1"/>
  <c r="Z22"/>
  <c r="G22"/>
  <c r="AB22" a="1"/>
  <c r="AB22"/>
  <c r="I22"/>
  <c r="AD22" a="1"/>
  <c r="AD22"/>
  <c r="AE22" a="1"/>
  <c r="AE22"/>
  <c r="AJ22" a="1"/>
  <c r="AJ22"/>
  <c r="AW22" a="1"/>
  <c r="AW22"/>
  <c r="AK22" a="1"/>
  <c r="AK22"/>
  <c r="AL22" a="1"/>
  <c r="AL22"/>
  <c r="AM22" a="1"/>
  <c r="AM22"/>
  <c r="AP22" a="1"/>
  <c r="AP22"/>
  <c r="AQ22" a="1"/>
  <c r="AQ22"/>
  <c r="AR22" a="1"/>
  <c r="AR22"/>
  <c r="AS22" a="1"/>
  <c r="AV22" a="1"/>
  <c r="AS22"/>
  <c r="AV22"/>
  <c r="AX22" a="1"/>
  <c r="AX22"/>
  <c r="AY22" a="1"/>
  <c r="AY22"/>
  <c r="H21"/>
  <c r="W21" a="1"/>
  <c r="W21"/>
  <c r="J21"/>
  <c r="Y21" a="1"/>
  <c r="Y21"/>
  <c r="Z21" a="1"/>
  <c r="Z21"/>
  <c r="G21"/>
  <c r="AB21" a="1"/>
  <c r="AB21"/>
  <c r="I21"/>
  <c r="AD21" a="1"/>
  <c r="AD21"/>
  <c r="AE21" a="1"/>
  <c r="AE21"/>
  <c r="AJ21" a="1"/>
  <c r="AJ21"/>
  <c r="AW21" a="1"/>
  <c r="AW21"/>
  <c r="AK21" a="1"/>
  <c r="AK21"/>
  <c r="AL21" a="1"/>
  <c r="AL21"/>
  <c r="AM21" a="1"/>
  <c r="AM21"/>
  <c r="AP21" a="1"/>
  <c r="AP21"/>
  <c r="AQ21" a="1"/>
  <c r="AQ21"/>
  <c r="AR21" a="1"/>
  <c r="AR21"/>
  <c r="AS21" a="1"/>
  <c r="AV21" a="1"/>
  <c r="AS21"/>
  <c r="AV21"/>
  <c r="AX21" a="1"/>
  <c r="AX21"/>
  <c r="AY21" a="1"/>
  <c r="AY21"/>
  <c r="H20"/>
  <c r="W20" a="1"/>
  <c r="W20"/>
  <c r="J20"/>
  <c r="Y20" a="1"/>
  <c r="Y20"/>
  <c r="Z20" a="1"/>
  <c r="Z20"/>
  <c r="G20"/>
  <c r="AB20" a="1"/>
  <c r="AB20"/>
  <c r="I20"/>
  <c r="AD20" a="1"/>
  <c r="AD20"/>
  <c r="AE20" a="1"/>
  <c r="AE20"/>
  <c r="AJ20" a="1"/>
  <c r="AJ20"/>
  <c r="AW20" a="1"/>
  <c r="AW20"/>
  <c r="AK20" a="1"/>
  <c r="AK20"/>
  <c r="AL20" a="1"/>
  <c r="AL20"/>
  <c r="AM20" a="1"/>
  <c r="AM20"/>
  <c r="AP20" a="1"/>
  <c r="AP20"/>
  <c r="AQ20" a="1"/>
  <c r="AQ20"/>
  <c r="AR20" a="1"/>
  <c r="AR20"/>
  <c r="AS20" a="1"/>
  <c r="AV20" a="1"/>
  <c r="AS20"/>
  <c r="AV20"/>
  <c r="AX20" a="1"/>
  <c r="AX20"/>
  <c r="AY20" a="1"/>
  <c r="AY20"/>
  <c r="H19"/>
  <c r="W19" a="1"/>
  <c r="W19"/>
  <c r="J19"/>
  <c r="Y19" a="1"/>
  <c r="Y19"/>
  <c r="Z19" a="1"/>
  <c r="Z19"/>
  <c r="G19"/>
  <c r="AB19" a="1"/>
  <c r="AB19"/>
  <c r="I19"/>
  <c r="AD19" a="1"/>
  <c r="AD19"/>
  <c r="AE19" a="1"/>
  <c r="AE19"/>
  <c r="AJ19" a="1"/>
  <c r="AJ19"/>
  <c r="AW19" a="1"/>
  <c r="AW19"/>
  <c r="AK19" a="1"/>
  <c r="AK19"/>
  <c r="AL19" a="1"/>
  <c r="AL19"/>
  <c r="AM19" a="1"/>
  <c r="AM19"/>
  <c r="AP19" a="1"/>
  <c r="AP19"/>
  <c r="AQ19" a="1"/>
  <c r="AQ19"/>
  <c r="AR19" a="1"/>
  <c r="AR19"/>
  <c r="AS19" a="1"/>
  <c r="AV19" a="1"/>
  <c r="AS19"/>
  <c r="AV19"/>
  <c r="AX19" a="1"/>
  <c r="AX19"/>
  <c r="AY19" a="1"/>
  <c r="AY19"/>
  <c r="H18"/>
  <c r="W18" a="1"/>
  <c r="W18"/>
  <c r="J18"/>
  <c r="Y18" a="1"/>
  <c r="Y18"/>
  <c r="Z18" a="1"/>
  <c r="Z18"/>
  <c r="G18"/>
  <c r="AB18" a="1"/>
  <c r="AB18"/>
  <c r="I18"/>
  <c r="AD18" a="1"/>
  <c r="AD18"/>
  <c r="AE18" a="1"/>
  <c r="AE18"/>
  <c r="AJ18" a="1"/>
  <c r="AJ18"/>
  <c r="AW18" a="1"/>
  <c r="AW18"/>
  <c r="AK18" a="1"/>
  <c r="AK18"/>
  <c r="AL18" a="1"/>
  <c r="AL18"/>
  <c r="AM18" a="1"/>
  <c r="AM18"/>
  <c r="AP18" a="1"/>
  <c r="AP18"/>
  <c r="AQ18" a="1"/>
  <c r="AQ18"/>
  <c r="AR18" a="1"/>
  <c r="AR18"/>
  <c r="AS18" a="1"/>
  <c r="AV18" a="1"/>
  <c r="AS18"/>
  <c r="AV18"/>
  <c r="AX18" a="1"/>
  <c r="AX18"/>
  <c r="AY18" a="1"/>
  <c r="AY18"/>
  <c r="H17"/>
  <c r="W17" a="1"/>
  <c r="W17"/>
  <c r="J17"/>
  <c r="Y17" a="1"/>
  <c r="Y17"/>
  <c r="Z17" a="1"/>
  <c r="Z17"/>
  <c r="G17"/>
  <c r="AB17" a="1"/>
  <c r="AB17"/>
  <c r="I17"/>
  <c r="AD17" a="1"/>
  <c r="AD17"/>
  <c r="AE17" a="1"/>
  <c r="AE17"/>
  <c r="AJ17" a="1"/>
  <c r="AJ17"/>
  <c r="AW17" a="1"/>
  <c r="AW17"/>
  <c r="AK17" a="1"/>
  <c r="AK17"/>
  <c r="AL17" a="1"/>
  <c r="AL17"/>
  <c r="AM17" a="1"/>
  <c r="AM17"/>
  <c r="AP17" a="1"/>
  <c r="AP17"/>
  <c r="AQ17" a="1"/>
  <c r="AQ17"/>
  <c r="AR17" a="1"/>
  <c r="AR17"/>
  <c r="AS17" a="1"/>
  <c r="AV17" a="1"/>
  <c r="AS17"/>
  <c r="AV17"/>
  <c r="AX17" a="1"/>
  <c r="AX17"/>
  <c r="AY17" a="1"/>
  <c r="AY17"/>
  <c r="H16"/>
  <c r="W16" a="1"/>
  <c r="W16"/>
  <c r="J16"/>
  <c r="Y16" a="1"/>
  <c r="Y16"/>
  <c r="Z16" a="1"/>
  <c r="Z16"/>
  <c r="G16"/>
  <c r="AB16" a="1"/>
  <c r="AB16"/>
  <c r="I16"/>
  <c r="AD16" a="1"/>
  <c r="AD16"/>
  <c r="AE16" a="1"/>
  <c r="AE16"/>
  <c r="AJ16" a="1"/>
  <c r="AJ16"/>
  <c r="AW16" a="1"/>
  <c r="AW16"/>
  <c r="AK16" a="1"/>
  <c r="AK16"/>
  <c r="AL16" a="1"/>
  <c r="AL16"/>
  <c r="AM16" a="1"/>
  <c r="AM16"/>
  <c r="AP16" a="1"/>
  <c r="AP16"/>
  <c r="AQ16" a="1"/>
  <c r="AQ16"/>
  <c r="AR16" a="1"/>
  <c r="AR16"/>
  <c r="AS16" a="1"/>
  <c r="AV16" a="1"/>
  <c r="AS16"/>
  <c r="AV16"/>
  <c r="AX16" a="1"/>
  <c r="AX16"/>
  <c r="AY16" a="1"/>
  <c r="AY16"/>
  <c r="H15"/>
  <c r="W15" a="1"/>
  <c r="W15"/>
  <c r="J15"/>
  <c r="Y15" a="1"/>
  <c r="Y15"/>
  <c r="Z15" a="1"/>
  <c r="Z15"/>
  <c r="G15"/>
  <c r="AB15" a="1"/>
  <c r="AB15"/>
  <c r="I15"/>
  <c r="AD15" a="1"/>
  <c r="AD15"/>
  <c r="AE15" a="1"/>
  <c r="AE15"/>
  <c r="AJ15" a="1"/>
  <c r="AJ15"/>
  <c r="AW15" a="1"/>
  <c r="AW15"/>
  <c r="AK15" a="1"/>
  <c r="AK15"/>
  <c r="AL15" a="1"/>
  <c r="AL15"/>
  <c r="AM15" a="1"/>
  <c r="AM15"/>
  <c r="AP15" a="1"/>
  <c r="AP15"/>
  <c r="AQ15" a="1"/>
  <c r="AQ15"/>
  <c r="AR15" a="1"/>
  <c r="AR15"/>
  <c r="AS15" a="1"/>
  <c r="AV15" a="1"/>
  <c r="AS15"/>
  <c r="AV15"/>
  <c r="AX15" a="1"/>
  <c r="AX15"/>
  <c r="AY15" a="1"/>
  <c r="AY15"/>
  <c r="H14"/>
  <c r="W14" a="1"/>
  <c r="W14"/>
  <c r="J14"/>
  <c r="Y14" a="1"/>
  <c r="Y14"/>
  <c r="Z14" a="1"/>
  <c r="Z14"/>
  <c r="G14"/>
  <c r="AB14" a="1"/>
  <c r="AB14"/>
  <c r="I14"/>
  <c r="AD14" a="1"/>
  <c r="AD14"/>
  <c r="AE14" a="1"/>
  <c r="AE14"/>
  <c r="AJ14" a="1"/>
  <c r="AJ14"/>
  <c r="AW14" a="1"/>
  <c r="AW14"/>
  <c r="AK14" a="1"/>
  <c r="AK14"/>
  <c r="AL14" a="1"/>
  <c r="AL14"/>
  <c r="AM14" a="1"/>
  <c r="AM14"/>
  <c r="AP14" a="1"/>
  <c r="AP14"/>
  <c r="AQ14" a="1"/>
  <c r="AQ14"/>
  <c r="AR14" a="1"/>
  <c r="AR14"/>
  <c r="AS14" a="1"/>
  <c r="AV14" a="1"/>
  <c r="AS14"/>
  <c r="AV14"/>
  <c r="AX14" a="1"/>
  <c r="AX14"/>
  <c r="AY14" a="1"/>
  <c r="AY14"/>
  <c r="H13"/>
  <c r="J13"/>
  <c r="W11" a="1"/>
  <c r="W11"/>
  <c r="Y11" a="1"/>
  <c r="Y11"/>
  <c r="W12" a="1"/>
  <c r="W12"/>
  <c r="Y12" a="1"/>
  <c r="Y12"/>
  <c r="Z12" a="1"/>
  <c r="Z12"/>
  <c r="Z11" a="1"/>
  <c r="Z11"/>
  <c r="Z13" a="1"/>
  <c r="Z13"/>
  <c r="G13"/>
  <c r="AB13" a="1"/>
  <c r="AB13"/>
  <c r="I13"/>
  <c r="AD13" a="1"/>
  <c r="AD13"/>
  <c r="AE13" a="1"/>
  <c r="AE13"/>
  <c r="AJ13" a="1"/>
  <c r="AJ13"/>
  <c r="V13" a="1"/>
  <c r="AK13" a="1"/>
  <c r="AK13"/>
  <c r="AL13" a="1"/>
  <c r="AL13"/>
  <c r="AM13" a="1"/>
  <c r="AM13"/>
  <c r="AP13" a="1"/>
  <c r="AP13"/>
  <c r="AQ13" a="1"/>
  <c r="AQ13"/>
  <c r="AR13" a="1"/>
  <c r="AR13"/>
  <c r="AS13" a="1"/>
  <c r="AV13" a="1"/>
  <c r="AW13" a="1"/>
  <c r="AS13"/>
  <c r="AV13"/>
  <c r="AW13"/>
  <c r="AX13" a="1"/>
  <c r="AX13"/>
  <c r="AY13" a="1"/>
  <c r="AY13"/>
  <c r="AV60" a="1"/>
  <c r="AV60"/>
  <c r="AU60" a="1"/>
  <c r="AU60"/>
  <c r="AT60" a="1"/>
  <c r="AT60"/>
  <c r="AV59" a="1"/>
  <c r="AV59"/>
  <c r="AU59" a="1"/>
  <c r="AU59"/>
  <c r="AT59" a="1"/>
  <c r="AT59"/>
  <c r="AV58" a="1"/>
  <c r="AV58"/>
  <c r="AU58" a="1"/>
  <c r="AU58"/>
  <c r="AT58" a="1"/>
  <c r="AT58"/>
  <c r="AV57" a="1"/>
  <c r="AV57"/>
  <c r="AU57" a="1"/>
  <c r="AU57"/>
  <c r="AT57" a="1"/>
  <c r="AT57"/>
  <c r="AV56" a="1"/>
  <c r="AV56"/>
  <c r="AU56" a="1"/>
  <c r="AU56"/>
  <c r="AT56" a="1"/>
  <c r="AT56"/>
  <c r="AV55" a="1"/>
  <c r="AV55"/>
  <c r="AU55" a="1"/>
  <c r="AU55"/>
  <c r="AT55" a="1"/>
  <c r="AT55"/>
  <c r="AV54" a="1"/>
  <c r="AV54"/>
  <c r="AU54" a="1"/>
  <c r="AU54"/>
  <c r="AT54" a="1"/>
  <c r="AT54"/>
  <c r="AV53" a="1"/>
  <c r="AV53"/>
  <c r="AU53" a="1"/>
  <c r="AU53"/>
  <c r="AT53" a="1"/>
  <c r="AT53"/>
  <c r="AV52" a="1"/>
  <c r="AV52"/>
  <c r="AU52" a="1"/>
  <c r="AU52"/>
  <c r="AT52" a="1"/>
  <c r="AT52"/>
  <c r="AV51" a="1"/>
  <c r="AV51"/>
  <c r="AU51" a="1"/>
  <c r="AU51"/>
  <c r="AT51" a="1"/>
  <c r="AT51"/>
  <c r="AV50" a="1"/>
  <c r="AV50"/>
  <c r="AU50" a="1"/>
  <c r="AU50"/>
  <c r="AT50" a="1"/>
  <c r="AT50"/>
  <c r="AV49" a="1"/>
  <c r="AV49"/>
  <c r="AU49" a="1"/>
  <c r="AU49"/>
  <c r="AT49" a="1"/>
  <c r="AT49"/>
  <c r="AV48" a="1"/>
  <c r="AV48"/>
  <c r="AU48" a="1"/>
  <c r="AU48"/>
  <c r="AT48" a="1"/>
  <c r="AT48"/>
  <c r="AV47" a="1"/>
  <c r="AV47"/>
  <c r="AU47" a="1"/>
  <c r="AU47"/>
  <c r="AT47" a="1"/>
  <c r="AT47"/>
  <c r="AQ47" a="1"/>
  <c r="AQ47"/>
  <c r="AR47" a="1"/>
  <c r="AR47"/>
  <c r="AS47" a="1"/>
  <c r="AS47"/>
  <c r="AQ48" a="1"/>
  <c r="AQ48"/>
  <c r="AR48" a="1"/>
  <c r="AR48"/>
  <c r="AS48" a="1"/>
  <c r="AS48"/>
  <c r="AQ49" a="1"/>
  <c r="AQ49"/>
  <c r="AR49" a="1"/>
  <c r="AR49"/>
  <c r="AS49" a="1"/>
  <c r="AS49"/>
  <c r="AQ50" a="1"/>
  <c r="AQ50"/>
  <c r="AR50" a="1"/>
  <c r="AR50"/>
  <c r="AS50" a="1"/>
  <c r="AS50"/>
  <c r="AQ51" a="1"/>
  <c r="AQ51"/>
  <c r="AR51" a="1"/>
  <c r="AR51"/>
  <c r="AS51" a="1"/>
  <c r="AS51"/>
  <c r="AQ52" a="1"/>
  <c r="AQ52"/>
  <c r="AR52" a="1"/>
  <c r="AR52"/>
  <c r="AS52" a="1"/>
  <c r="AS52"/>
  <c r="AQ53" a="1"/>
  <c r="AQ53"/>
  <c r="AR53" a="1"/>
  <c r="AR53"/>
  <c r="AS53" a="1"/>
  <c r="AS53"/>
  <c r="AQ54" a="1"/>
  <c r="AQ54"/>
  <c r="AR54" a="1"/>
  <c r="AR54"/>
  <c r="AS54" a="1"/>
  <c r="AS54"/>
  <c r="AQ55" a="1"/>
  <c r="AQ55"/>
  <c r="AR55" a="1"/>
  <c r="AR55"/>
  <c r="AS55" a="1"/>
  <c r="AS55"/>
  <c r="AQ56" a="1"/>
  <c r="AQ56"/>
  <c r="AR56" a="1"/>
  <c r="AR56"/>
  <c r="AS56" a="1"/>
  <c r="AS56"/>
  <c r="AQ57" a="1"/>
  <c r="AQ57"/>
  <c r="AR57" a="1"/>
  <c r="AR57"/>
  <c r="AS57" a="1"/>
  <c r="AS57"/>
  <c r="AQ58" a="1"/>
  <c r="AQ58"/>
  <c r="AR58" a="1"/>
  <c r="AR58"/>
  <c r="AS58" a="1"/>
  <c r="AS58"/>
  <c r="AQ59" a="1"/>
  <c r="AQ59"/>
  <c r="AR59" a="1"/>
  <c r="AR59"/>
  <c r="AS59" a="1"/>
  <c r="AS59"/>
  <c r="AQ60" a="1"/>
  <c r="AQ60"/>
  <c r="AR60" a="1"/>
  <c r="AR60"/>
  <c r="AS60" a="1"/>
  <c r="AS60"/>
  <c r="AP60" a="1"/>
  <c r="AP60"/>
  <c r="AP59" a="1"/>
  <c r="AP59"/>
  <c r="AP58" a="1"/>
  <c r="AP58"/>
  <c r="AP57" a="1"/>
  <c r="AP57"/>
  <c r="AP56" a="1"/>
  <c r="AP56"/>
  <c r="AP55" a="1"/>
  <c r="AP55"/>
  <c r="AP54" a="1"/>
  <c r="AP54"/>
  <c r="AP53" a="1"/>
  <c r="AP53"/>
  <c r="AP52" a="1"/>
  <c r="AP52"/>
  <c r="AP51" a="1"/>
  <c r="AP51"/>
  <c r="AP50" a="1"/>
  <c r="AP50"/>
  <c r="AP49" a="1"/>
  <c r="AP49"/>
  <c r="AP48" a="1"/>
  <c r="AP48"/>
  <c r="AP47" a="1"/>
  <c r="AP47"/>
  <c r="AO47" a="1"/>
  <c r="AO47"/>
  <c r="AO48" a="1"/>
  <c r="AO48"/>
  <c r="AO49" a="1"/>
  <c r="AO49"/>
  <c r="AO50" a="1"/>
  <c r="AO50"/>
  <c r="AO51" a="1"/>
  <c r="AO51"/>
  <c r="AO52" a="1"/>
  <c r="AO52"/>
  <c r="AO53" a="1"/>
  <c r="AO53"/>
  <c r="AO54" a="1"/>
  <c r="AO54"/>
  <c r="AO55" a="1"/>
  <c r="AO55"/>
  <c r="AO56" a="1"/>
  <c r="AO56"/>
  <c r="AO57" a="1"/>
  <c r="AO57"/>
  <c r="AO58" a="1"/>
  <c r="AO58"/>
  <c r="AO59" a="1"/>
  <c r="AO59"/>
  <c r="AO60" a="1"/>
  <c r="AO60"/>
  <c r="AN47" a="1"/>
  <c r="AN47"/>
  <c r="AN48" a="1"/>
  <c r="AN48"/>
  <c r="AN49" a="1"/>
  <c r="AN49"/>
  <c r="AN50" a="1"/>
  <c r="AN50"/>
  <c r="AN51" a="1"/>
  <c r="AN51"/>
  <c r="AN52" a="1"/>
  <c r="AN52"/>
  <c r="AN53" a="1"/>
  <c r="AN53"/>
  <c r="AN54" a="1"/>
  <c r="AN54"/>
  <c r="AN55" a="1"/>
  <c r="AN55"/>
  <c r="AN56" a="1"/>
  <c r="AN56"/>
  <c r="AN57" a="1"/>
  <c r="AN57"/>
  <c r="AN58" a="1"/>
  <c r="AN58"/>
  <c r="AN59" a="1"/>
  <c r="AN59"/>
  <c r="AN60" a="1"/>
  <c r="AN60"/>
  <c r="AK60" a="1"/>
  <c r="AK60"/>
  <c r="AK59" a="1"/>
  <c r="AK59"/>
  <c r="AK58" a="1"/>
  <c r="AK58"/>
  <c r="AK57" a="1"/>
  <c r="AK57"/>
  <c r="AK56" a="1"/>
  <c r="AK56"/>
  <c r="AK55" a="1"/>
  <c r="AK55"/>
  <c r="AK54" a="1"/>
  <c r="AK54"/>
  <c r="AK53" a="1"/>
  <c r="AK53"/>
  <c r="AK52" a="1"/>
  <c r="AK52"/>
  <c r="AK51" a="1"/>
  <c r="AK51"/>
  <c r="AK50" a="1"/>
  <c r="AK50"/>
  <c r="AK49" a="1"/>
  <c r="AK49"/>
  <c r="AK48" a="1"/>
  <c r="AK48"/>
  <c r="AK47" a="1"/>
  <c r="AK47"/>
  <c r="AM60" a="1"/>
  <c r="AM60"/>
  <c r="AL60" a="1"/>
  <c r="AL60"/>
  <c r="AM59" a="1"/>
  <c r="AM59"/>
  <c r="AL59" a="1"/>
  <c r="AL59"/>
  <c r="AM58" a="1"/>
  <c r="AM58"/>
  <c r="AL58" a="1"/>
  <c r="AL58"/>
  <c r="AM57" a="1"/>
  <c r="AM57"/>
  <c r="AL57" a="1"/>
  <c r="AL57"/>
  <c r="AM56" a="1"/>
  <c r="AM56"/>
  <c r="AL56" a="1"/>
  <c r="AL56"/>
  <c r="AM55" a="1"/>
  <c r="AM55"/>
  <c r="AL55" a="1"/>
  <c r="AL55"/>
  <c r="AM54" a="1"/>
  <c r="AM54"/>
  <c r="AL54" a="1"/>
  <c r="AL54"/>
  <c r="AM53" a="1"/>
  <c r="AM53"/>
  <c r="AL53" a="1"/>
  <c r="AL53"/>
  <c r="AM52" a="1"/>
  <c r="AM52"/>
  <c r="AL52" a="1"/>
  <c r="AL52"/>
  <c r="AM51" a="1"/>
  <c r="AM51"/>
  <c r="AL51" a="1"/>
  <c r="AL51"/>
  <c r="AM50" a="1"/>
  <c r="AM50"/>
  <c r="AL50" a="1"/>
  <c r="AL50"/>
  <c r="AM49" a="1"/>
  <c r="AM49"/>
  <c r="AL49" a="1"/>
  <c r="AL49"/>
  <c r="AM48" a="1"/>
  <c r="AM48"/>
  <c r="AL48" a="1"/>
  <c r="AL48"/>
  <c r="AM47" a="1"/>
  <c r="AM47"/>
  <c r="AL47" a="1"/>
  <c r="AL47"/>
  <c r="AJ60" a="1"/>
  <c r="AJ60"/>
  <c r="AI60" a="1"/>
  <c r="AI60"/>
  <c r="AH60" a="1"/>
  <c r="AH60"/>
  <c r="AG60" a="1"/>
  <c r="AG60"/>
  <c r="AF60" a="1"/>
  <c r="AF60"/>
  <c r="AJ59" a="1"/>
  <c r="AJ59"/>
  <c r="AI59" a="1"/>
  <c r="AI59"/>
  <c r="AH59" a="1"/>
  <c r="AH59"/>
  <c r="AG59" a="1"/>
  <c r="AG59"/>
  <c r="AF59" a="1"/>
  <c r="AF59"/>
  <c r="AJ58" a="1"/>
  <c r="AJ58"/>
  <c r="AI58" a="1"/>
  <c r="AI58"/>
  <c r="AH58" a="1"/>
  <c r="AH58"/>
  <c r="AG58" a="1"/>
  <c r="AG58"/>
  <c r="AF58" a="1"/>
  <c r="AF58"/>
  <c r="AJ57" a="1"/>
  <c r="AJ57"/>
  <c r="AI57" a="1"/>
  <c r="AI57"/>
  <c r="AH57" a="1"/>
  <c r="AH57"/>
  <c r="AG57" a="1"/>
  <c r="AG57"/>
  <c r="AF57" a="1"/>
  <c r="AF57"/>
  <c r="AJ56" a="1"/>
  <c r="AJ56"/>
  <c r="AI56" a="1"/>
  <c r="AI56"/>
  <c r="AH56" a="1"/>
  <c r="AH56"/>
  <c r="AG56" a="1"/>
  <c r="AG56"/>
  <c r="AF56" a="1"/>
  <c r="AF56"/>
  <c r="AJ55" a="1"/>
  <c r="AJ55"/>
  <c r="AI55" a="1"/>
  <c r="AI55"/>
  <c r="AH55" a="1"/>
  <c r="AH55"/>
  <c r="AG55" a="1"/>
  <c r="AG55"/>
  <c r="AF55" a="1"/>
  <c r="AF55"/>
  <c r="AJ54" a="1"/>
  <c r="AJ54"/>
  <c r="AI54" a="1"/>
  <c r="AI54"/>
  <c r="AH54" a="1"/>
  <c r="AH54"/>
  <c r="AG54" a="1"/>
  <c r="AG54"/>
  <c r="AF54" a="1"/>
  <c r="AF54"/>
  <c r="AJ53" a="1"/>
  <c r="AJ53"/>
  <c r="AI53" a="1"/>
  <c r="AI53"/>
  <c r="AH53" a="1"/>
  <c r="AH53"/>
  <c r="AG53" a="1"/>
  <c r="AG53"/>
  <c r="AF53" a="1"/>
  <c r="AF53"/>
  <c r="AJ52" a="1"/>
  <c r="AJ52"/>
  <c r="AI52" a="1"/>
  <c r="AI52"/>
  <c r="AH52" a="1"/>
  <c r="AH52"/>
  <c r="AG52" a="1"/>
  <c r="AG52"/>
  <c r="AF52" a="1"/>
  <c r="AF52"/>
  <c r="AJ51" a="1"/>
  <c r="AJ51"/>
  <c r="AI51" a="1"/>
  <c r="AI51"/>
  <c r="AH51" a="1"/>
  <c r="AH51"/>
  <c r="AG51" a="1"/>
  <c r="AG51"/>
  <c r="AF51" a="1"/>
  <c r="AF51"/>
  <c r="AJ50" a="1"/>
  <c r="AJ50"/>
  <c r="AI50" a="1"/>
  <c r="AI50"/>
  <c r="AH50" a="1"/>
  <c r="AH50"/>
  <c r="AG50" a="1"/>
  <c r="AG50"/>
  <c r="AF50" a="1"/>
  <c r="AF50"/>
  <c r="AJ49" a="1"/>
  <c r="AJ49"/>
  <c r="AI49" a="1"/>
  <c r="AI49"/>
  <c r="AH49" a="1"/>
  <c r="AH49"/>
  <c r="AG49" a="1"/>
  <c r="AG49"/>
  <c r="AF49" a="1"/>
  <c r="AF49"/>
  <c r="AJ48" a="1"/>
  <c r="AJ48"/>
  <c r="AI48" a="1"/>
  <c r="AI48"/>
  <c r="AH48" a="1"/>
  <c r="AH48"/>
  <c r="AG48" a="1"/>
  <c r="AG48"/>
  <c r="AF48" a="1"/>
  <c r="AF48"/>
  <c r="AJ47" a="1"/>
  <c r="AJ47"/>
  <c r="AI47" a="1"/>
  <c r="AI47"/>
  <c r="AH47" a="1"/>
  <c r="AH47"/>
  <c r="AG47" a="1"/>
  <c r="AG47"/>
  <c r="AF47" a="1"/>
  <c r="AF47"/>
  <c r="AI46" a="1"/>
  <c r="AI46"/>
  <c r="AH46" a="1"/>
  <c r="AH46"/>
  <c r="AG46" a="1"/>
  <c r="AG46"/>
  <c r="AF46" a="1"/>
  <c r="AF46"/>
  <c r="AI45" a="1"/>
  <c r="AI45"/>
  <c r="AH45" a="1"/>
  <c r="AH45"/>
  <c r="AG45" a="1"/>
  <c r="AG45"/>
  <c r="AF45" a="1"/>
  <c r="AF45"/>
  <c r="AI44" a="1"/>
  <c r="AI44"/>
  <c r="AH44" a="1"/>
  <c r="AH44"/>
  <c r="AG44" a="1"/>
  <c r="AG44"/>
  <c r="AF44" a="1"/>
  <c r="AF44"/>
  <c r="AI43" a="1"/>
  <c r="AI43"/>
  <c r="AH43" a="1"/>
  <c r="AH43"/>
  <c r="AG43" a="1"/>
  <c r="AG43"/>
  <c r="AF43" a="1"/>
  <c r="AF43"/>
  <c r="AI42" a="1"/>
  <c r="AI42"/>
  <c r="AH42" a="1"/>
  <c r="AH42"/>
  <c r="AG42" a="1"/>
  <c r="AG42"/>
  <c r="AF42" a="1"/>
  <c r="AF42"/>
  <c r="AI41" a="1"/>
  <c r="AI41"/>
  <c r="AH41" a="1"/>
  <c r="AH41"/>
  <c r="AG41" a="1"/>
  <c r="AG41"/>
  <c r="AF41" a="1"/>
  <c r="AF41"/>
  <c r="AI40" a="1"/>
  <c r="AI40"/>
  <c r="AH40" a="1"/>
  <c r="AH40"/>
  <c r="AG40" a="1"/>
  <c r="AG40"/>
  <c r="AF40" a="1"/>
  <c r="AF40"/>
  <c r="AI39" a="1"/>
  <c r="AI39"/>
  <c r="AH39" a="1"/>
  <c r="AH39"/>
  <c r="AG39" a="1"/>
  <c r="AG39"/>
  <c r="AF39" a="1"/>
  <c r="AF39"/>
  <c r="AI38" a="1"/>
  <c r="AI38"/>
  <c r="AH38" a="1"/>
  <c r="AH38"/>
  <c r="AG38" a="1"/>
  <c r="AG38"/>
  <c r="AF38" a="1"/>
  <c r="AF38"/>
  <c r="AI37" a="1"/>
  <c r="AI37"/>
  <c r="AH37" a="1"/>
  <c r="AH37"/>
  <c r="AG37" a="1"/>
  <c r="AG37"/>
  <c r="AF37" a="1"/>
  <c r="AF37"/>
  <c r="AI36" a="1"/>
  <c r="AI36"/>
  <c r="AH36" a="1"/>
  <c r="AH36"/>
  <c r="AG36" a="1"/>
  <c r="AG36"/>
  <c r="AF36" a="1"/>
  <c r="AF36"/>
  <c r="AI35" a="1"/>
  <c r="AI35"/>
  <c r="AH35" a="1"/>
  <c r="AH35"/>
  <c r="AG35" a="1"/>
  <c r="AG35"/>
  <c r="AF35" a="1"/>
  <c r="AF35"/>
  <c r="AI34" a="1"/>
  <c r="AI34"/>
  <c r="AH34" a="1"/>
  <c r="AH34"/>
  <c r="AG34" a="1"/>
  <c r="AG34"/>
  <c r="AF34" a="1"/>
  <c r="AF34"/>
  <c r="AI33" a="1"/>
  <c r="AI33"/>
  <c r="AH33" a="1"/>
  <c r="AH33"/>
  <c r="AG33" a="1"/>
  <c r="AG33"/>
  <c r="AF33" a="1"/>
  <c r="AF33"/>
  <c r="AI32" a="1"/>
  <c r="AI32"/>
  <c r="AH32" a="1"/>
  <c r="AH32"/>
  <c r="AG32" a="1"/>
  <c r="AG32"/>
  <c r="AF32" a="1"/>
  <c r="AF32"/>
  <c r="AI31" a="1"/>
  <c r="AI31"/>
  <c r="AH31" a="1"/>
  <c r="AH31"/>
  <c r="AG31" a="1"/>
  <c r="AG31"/>
  <c r="AF31" a="1"/>
  <c r="AF31"/>
  <c r="AI30" a="1"/>
  <c r="AI30"/>
  <c r="AH30" a="1"/>
  <c r="AH30"/>
  <c r="AG30" a="1"/>
  <c r="AG30"/>
  <c r="AF30" a="1"/>
  <c r="AF30"/>
  <c r="AI29" a="1"/>
  <c r="AI29"/>
  <c r="AH29" a="1"/>
  <c r="AH29"/>
  <c r="AG29" a="1"/>
  <c r="AG29"/>
  <c r="AF29" a="1"/>
  <c r="AF29"/>
  <c r="AI28" a="1"/>
  <c r="AI28"/>
  <c r="AH28" a="1"/>
  <c r="AH28"/>
  <c r="AG28" a="1"/>
  <c r="AG28"/>
  <c r="AF28" a="1"/>
  <c r="AF28"/>
  <c r="AI27" a="1"/>
  <c r="AI27"/>
  <c r="AH27" a="1"/>
  <c r="AH27"/>
  <c r="AG27" a="1"/>
  <c r="AG27"/>
  <c r="AF27" a="1"/>
  <c r="AF27"/>
  <c r="AI26" a="1"/>
  <c r="AI26"/>
  <c r="AH26" a="1"/>
  <c r="AH26"/>
  <c r="AG26" a="1"/>
  <c r="AG26"/>
  <c r="AF26" a="1"/>
  <c r="AF26"/>
  <c r="AI25" a="1"/>
  <c r="AI25"/>
  <c r="AH25" a="1"/>
  <c r="AH25"/>
  <c r="AG25" a="1"/>
  <c r="AG25"/>
  <c r="AF25" a="1"/>
  <c r="AF25"/>
  <c r="AI24" a="1"/>
  <c r="AI24"/>
  <c r="AH24" a="1"/>
  <c r="AH24"/>
  <c r="AG24" a="1"/>
  <c r="AG24"/>
  <c r="AF24" a="1"/>
  <c r="AF24"/>
  <c r="AI23" a="1"/>
  <c r="AI23"/>
  <c r="AH23" a="1"/>
  <c r="AH23"/>
  <c r="AG23" a="1"/>
  <c r="AG23"/>
  <c r="AF23" a="1"/>
  <c r="AF23"/>
  <c r="AI22" a="1"/>
  <c r="AI22"/>
  <c r="AH22" a="1"/>
  <c r="AH22"/>
  <c r="AG22" a="1"/>
  <c r="AG22"/>
  <c r="AF22" a="1"/>
  <c r="AF22"/>
  <c r="AI21" a="1"/>
  <c r="AI21"/>
  <c r="AH21" a="1"/>
  <c r="AH21"/>
  <c r="AG21" a="1"/>
  <c r="AG21"/>
  <c r="AF21" a="1"/>
  <c r="AF21"/>
  <c r="AI20" a="1"/>
  <c r="AI20"/>
  <c r="AH20" a="1"/>
  <c r="AH20"/>
  <c r="AG20" a="1"/>
  <c r="AG20"/>
  <c r="AF20" a="1"/>
  <c r="AF20"/>
  <c r="AI19" a="1"/>
  <c r="AI19"/>
  <c r="AH19" a="1"/>
  <c r="AH19"/>
  <c r="AG19" a="1"/>
  <c r="AG19"/>
  <c r="AF19" a="1"/>
  <c r="AF19"/>
  <c r="AI18" a="1"/>
  <c r="AI18"/>
  <c r="AH18" a="1"/>
  <c r="AH18"/>
  <c r="AG18" a="1"/>
  <c r="AG18"/>
  <c r="AF18" a="1"/>
  <c r="AF18"/>
  <c r="AI17" a="1"/>
  <c r="AI17"/>
  <c r="AH17" a="1"/>
  <c r="AH17"/>
  <c r="AG17" a="1"/>
  <c r="AG17"/>
  <c r="AF17" a="1"/>
  <c r="AF17"/>
  <c r="AI16" a="1"/>
  <c r="AI16"/>
  <c r="AH16" a="1"/>
  <c r="AH16"/>
  <c r="AG16" a="1"/>
  <c r="AG16"/>
  <c r="AF16" a="1"/>
  <c r="AF16"/>
  <c r="AI15" a="1"/>
  <c r="AI15"/>
  <c r="AH15" a="1"/>
  <c r="AH15"/>
  <c r="AG15" a="1"/>
  <c r="AG15"/>
  <c r="AF15" a="1"/>
  <c r="AF15"/>
  <c r="AI14" a="1"/>
  <c r="AI14"/>
  <c r="AH14" a="1"/>
  <c r="AH14"/>
  <c r="AG14" a="1"/>
  <c r="AG14"/>
  <c r="AF14" a="1"/>
  <c r="AF14"/>
  <c r="AE60" a="1"/>
  <c r="AE60"/>
  <c r="AE59" a="1"/>
  <c r="AE59"/>
  <c r="AE58" a="1"/>
  <c r="AE58"/>
  <c r="AE57" a="1"/>
  <c r="AE57"/>
  <c r="AE56" a="1"/>
  <c r="AE56"/>
  <c r="AE55" a="1"/>
  <c r="AE55"/>
  <c r="AE54" a="1"/>
  <c r="AE54"/>
  <c r="AE53" a="1"/>
  <c r="AE53"/>
  <c r="AE52" a="1"/>
  <c r="AE52"/>
  <c r="AE51" a="1"/>
  <c r="AE51"/>
  <c r="AE50" a="1"/>
  <c r="AE50"/>
  <c r="AE49" a="1"/>
  <c r="AE49"/>
  <c r="AE48" a="1"/>
  <c r="AE48"/>
  <c r="AE47" a="1"/>
  <c r="AE47"/>
  <c r="Z60" a="1"/>
  <c r="Z60"/>
  <c r="Z59" a="1"/>
  <c r="Z59"/>
  <c r="Z58" a="1"/>
  <c r="Z58"/>
  <c r="Z57" a="1"/>
  <c r="Z57"/>
  <c r="Z56" a="1"/>
  <c r="Z56"/>
  <c r="Z55" a="1"/>
  <c r="Z55"/>
  <c r="Z54" a="1"/>
  <c r="Z54"/>
  <c r="Z53" a="1"/>
  <c r="Z53"/>
  <c r="Z52" a="1"/>
  <c r="Z52"/>
  <c r="Z51" a="1"/>
  <c r="Z51"/>
  <c r="Z50" a="1"/>
  <c r="Z50"/>
  <c r="Z49" a="1"/>
  <c r="Z49"/>
  <c r="Z48" a="1"/>
  <c r="Z48"/>
  <c r="Z47" a="1"/>
  <c r="Z47"/>
  <c r="Y13" a="1"/>
  <c r="Y13"/>
  <c r="AI13" a="1"/>
  <c r="AI13"/>
  <c r="AH13" a="1"/>
  <c r="AH13"/>
  <c r="AH61" a="1"/>
  <c r="AH61"/>
  <c r="W13" a="1"/>
  <c r="W13"/>
  <c r="AG13" a="1"/>
  <c r="AG13"/>
  <c r="AF13" a="1"/>
  <c r="AF13"/>
  <c r="AB60" a="1"/>
  <c r="AB60"/>
  <c r="AC60" a="1"/>
  <c r="AC60"/>
  <c r="AD60" a="1"/>
  <c r="AD60"/>
  <c r="AB59" a="1"/>
  <c r="AB59"/>
  <c r="AC59" a="1"/>
  <c r="AC59"/>
  <c r="AD59" a="1"/>
  <c r="AD59"/>
  <c r="AB58" a="1"/>
  <c r="AB58"/>
  <c r="AC58" a="1"/>
  <c r="AC58"/>
  <c r="AD58" a="1"/>
  <c r="AD58"/>
  <c r="AB57" a="1"/>
  <c r="AB57"/>
  <c r="AC57" a="1"/>
  <c r="AC57"/>
  <c r="AD57" a="1"/>
  <c r="AD57"/>
  <c r="AB56" a="1"/>
  <c r="AB56"/>
  <c r="AC56" a="1"/>
  <c r="AC56"/>
  <c r="AD56" a="1"/>
  <c r="AD56"/>
  <c r="AB55" a="1"/>
  <c r="AB55"/>
  <c r="AC55" a="1"/>
  <c r="AC55"/>
  <c r="AD55" a="1"/>
  <c r="AD55"/>
  <c r="AB54" a="1"/>
  <c r="AB54"/>
  <c r="AC54" a="1"/>
  <c r="AC54"/>
  <c r="AD54" a="1"/>
  <c r="AD54"/>
  <c r="AB53" a="1"/>
  <c r="AB53"/>
  <c r="AC53" a="1"/>
  <c r="AC53"/>
  <c r="AD53" a="1"/>
  <c r="AD53"/>
  <c r="AB52" a="1"/>
  <c r="AB52"/>
  <c r="AC52" a="1"/>
  <c r="AC52"/>
  <c r="AD52" a="1"/>
  <c r="AD52"/>
  <c r="AB51" a="1"/>
  <c r="AB51"/>
  <c r="AC51" a="1"/>
  <c r="AC51"/>
  <c r="AD51" a="1"/>
  <c r="AD51"/>
  <c r="AB50" a="1"/>
  <c r="AB50"/>
  <c r="AC50" a="1"/>
  <c r="AC50"/>
  <c r="AD50" a="1"/>
  <c r="AD50"/>
  <c r="AB49" a="1"/>
  <c r="AB49"/>
  <c r="AC49" a="1"/>
  <c r="AC49"/>
  <c r="AD49" a="1"/>
  <c r="AD49"/>
  <c r="AB48" a="1"/>
  <c r="AB48"/>
  <c r="AC48" a="1"/>
  <c r="AC48"/>
  <c r="AD48" a="1"/>
  <c r="AD48"/>
  <c r="AB47" a="1"/>
  <c r="AB47"/>
  <c r="AC47" a="1"/>
  <c r="AC47"/>
  <c r="AD47" a="1"/>
  <c r="AD47"/>
  <c r="AA60" a="1"/>
  <c r="AA60"/>
  <c r="AA59" a="1"/>
  <c r="AA59"/>
  <c r="AA58" a="1"/>
  <c r="AA58"/>
  <c r="AA57" a="1"/>
  <c r="AA57"/>
  <c r="AA56" a="1"/>
  <c r="AA56"/>
  <c r="AA55" a="1"/>
  <c r="AA55"/>
  <c r="AA54" a="1"/>
  <c r="AA54"/>
  <c r="AA53" a="1"/>
  <c r="AA53"/>
  <c r="AA52" a="1"/>
  <c r="AA52"/>
  <c r="AA51" a="1"/>
  <c r="AA51"/>
  <c r="AA50" a="1"/>
  <c r="AA50"/>
  <c r="AA49" a="1"/>
  <c r="AA49"/>
  <c r="AA48" a="1"/>
  <c r="AA48"/>
  <c r="AA47" a="1"/>
  <c r="AA47"/>
  <c r="U60"/>
  <c r="T60" a="1"/>
  <c r="T60"/>
  <c r="S60" a="1"/>
  <c r="S60"/>
  <c r="T59" a="1"/>
  <c r="T59"/>
  <c r="S59" a="1"/>
  <c r="S59"/>
  <c r="T58" a="1"/>
  <c r="T58"/>
  <c r="S58" a="1"/>
  <c r="S58"/>
  <c r="T57" a="1"/>
  <c r="T57"/>
  <c r="S57" a="1"/>
  <c r="S57"/>
  <c r="T56" a="1"/>
  <c r="T56"/>
  <c r="S56" a="1"/>
  <c r="S56"/>
  <c r="T55" a="1"/>
  <c r="T55"/>
  <c r="S55" a="1"/>
  <c r="S55"/>
  <c r="T54" a="1"/>
  <c r="T54"/>
  <c r="S54" a="1"/>
  <c r="S54"/>
  <c r="T53" a="1"/>
  <c r="T53"/>
  <c r="S53" a="1"/>
  <c r="S53"/>
  <c r="T52" a="1"/>
  <c r="T52"/>
  <c r="S52" a="1"/>
  <c r="S52"/>
  <c r="T51" a="1"/>
  <c r="T51"/>
  <c r="S51" a="1"/>
  <c r="S51"/>
  <c r="T50" a="1"/>
  <c r="T50"/>
  <c r="S50" a="1"/>
  <c r="S50"/>
  <c r="T49" a="1"/>
  <c r="T49"/>
  <c r="S49" a="1"/>
  <c r="S49"/>
  <c r="T48" a="1"/>
  <c r="T48"/>
  <c r="S48" a="1"/>
  <c r="S48"/>
  <c r="T47" a="1"/>
  <c r="T47"/>
  <c r="S47" a="1"/>
  <c r="S47"/>
  <c r="V60" a="1"/>
  <c r="V60"/>
  <c r="V59" a="1"/>
  <c r="V59"/>
  <c r="V58" a="1"/>
  <c r="V58"/>
  <c r="V57" a="1"/>
  <c r="V57"/>
  <c r="V56" a="1"/>
  <c r="V56"/>
  <c r="V55" a="1"/>
  <c r="V55"/>
  <c r="V54" a="1"/>
  <c r="V54"/>
  <c r="V53" a="1"/>
  <c r="V53"/>
  <c r="V52" a="1"/>
  <c r="V52"/>
  <c r="V51" a="1"/>
  <c r="V51"/>
  <c r="V50" a="1"/>
  <c r="V50"/>
  <c r="V49" a="1"/>
  <c r="V49"/>
  <c r="V48" a="1"/>
  <c r="V48"/>
  <c r="V47" a="1"/>
  <c r="V47"/>
  <c r="W60" a="1"/>
  <c r="W60"/>
  <c r="X47"/>
  <c r="X48"/>
  <c r="X49"/>
  <c r="X50"/>
  <c r="X51"/>
  <c r="X52"/>
  <c r="X53"/>
  <c r="X54"/>
  <c r="X55"/>
  <c r="X56"/>
  <c r="X57"/>
  <c r="X58"/>
  <c r="X59"/>
  <c r="X60"/>
  <c r="Y60" a="1"/>
  <c r="Y60"/>
  <c r="W59" a="1"/>
  <c r="W59"/>
  <c r="Y59" a="1"/>
  <c r="Y59"/>
  <c r="W58" a="1"/>
  <c r="W58"/>
  <c r="Y58" a="1"/>
  <c r="Y58"/>
  <c r="W57" a="1"/>
  <c r="W57"/>
  <c r="Y57" a="1"/>
  <c r="Y57"/>
  <c r="W56" a="1"/>
  <c r="W56"/>
  <c r="Y56" a="1"/>
  <c r="Y56"/>
  <c r="W55" a="1"/>
  <c r="W55"/>
  <c r="Y55" a="1"/>
  <c r="Y55"/>
  <c r="W54" a="1"/>
  <c r="W54"/>
  <c r="Y54" a="1"/>
  <c r="Y54"/>
  <c r="W53" a="1"/>
  <c r="W53"/>
  <c r="Y53" a="1"/>
  <c r="Y53"/>
  <c r="W52" a="1"/>
  <c r="W52"/>
  <c r="Y52" a="1"/>
  <c r="Y52"/>
  <c r="W51" a="1"/>
  <c r="W51"/>
  <c r="Y51" a="1"/>
  <c r="Y51"/>
  <c r="W50" a="1"/>
  <c r="W50"/>
  <c r="Y50" a="1"/>
  <c r="Y50"/>
  <c r="W49" a="1"/>
  <c r="W49"/>
  <c r="Y49" a="1"/>
  <c r="Y49"/>
  <c r="W48" a="1"/>
  <c r="W48"/>
  <c r="Y48" a="1"/>
  <c r="Y48"/>
  <c r="W47" a="1"/>
  <c r="W47"/>
  <c r="Y47" a="1"/>
  <c r="Y47"/>
  <c r="G47"/>
  <c r="H47"/>
  <c r="G48"/>
  <c r="H48"/>
  <c r="G49"/>
  <c r="H49"/>
  <c r="G50"/>
  <c r="H50"/>
  <c r="G51"/>
  <c r="H51"/>
  <c r="G52"/>
  <c r="H52"/>
  <c r="G53"/>
  <c r="H53"/>
  <c r="G54"/>
  <c r="H54"/>
  <c r="G55"/>
  <c r="H55"/>
  <c r="G56"/>
  <c r="H56"/>
  <c r="G57"/>
  <c r="H57"/>
  <c r="G58"/>
  <c r="H58"/>
  <c r="G59"/>
  <c r="H59"/>
  <c r="G60"/>
  <c r="H60"/>
  <c r="L15"/>
  <c r="L16"/>
  <c r="L17"/>
  <c r="L18"/>
  <c r="L27"/>
  <c r="L28"/>
  <c r="L29"/>
  <c r="L30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BI47"/>
  <c r="BI48"/>
  <c r="BI49"/>
  <c r="BI50"/>
  <c r="BI51"/>
  <c r="BI52"/>
  <c r="BI53"/>
  <c r="BI54"/>
  <c r="BI55"/>
  <c r="BI56"/>
  <c r="BI57"/>
  <c r="BI58"/>
  <c r="BI59"/>
  <c r="BI60"/>
  <c r="J47"/>
  <c r="J48"/>
  <c r="J49"/>
  <c r="J50"/>
  <c r="J51"/>
  <c r="J52"/>
  <c r="J53"/>
  <c r="J54"/>
  <c r="J55"/>
  <c r="J56"/>
  <c r="J57"/>
  <c r="J58"/>
  <c r="J59"/>
  <c r="J60"/>
  <c r="I47"/>
  <c r="I48"/>
  <c r="I49"/>
  <c r="I50"/>
  <c r="I51"/>
  <c r="I52"/>
  <c r="I53"/>
  <c r="I54"/>
  <c r="I55"/>
  <c r="I56"/>
  <c r="I57"/>
  <c r="I58"/>
  <c r="I59"/>
  <c r="I60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13"/>
  <c r="R11"/>
  <c r="P11"/>
  <c r="N4"/>
  <c r="A1" i="4"/>
  <c r="A1" i="7"/>
  <c r="A1" i="6"/>
  <c r="A1" i="2"/>
  <c r="Y2" i="1"/>
  <c r="AQ7"/>
  <c r="AH7"/>
  <c r="X7"/>
  <c r="M8" i="6"/>
  <c r="N8"/>
  <c r="M9"/>
  <c r="N9"/>
  <c r="J5"/>
  <c r="G5"/>
  <c r="G6" i="4"/>
  <c r="G4" i="6"/>
  <c r="J4"/>
  <c r="N17"/>
  <c r="BL75" i="1"/>
  <c r="BO75"/>
  <c r="BP75"/>
  <c r="BQ75"/>
  <c r="BK75"/>
  <c r="BM75"/>
  <c r="BN75"/>
  <c r="AY61" a="1"/>
  <c r="AY61"/>
  <c r="AB74"/>
  <c r="AM61" a="1"/>
  <c r="AM61"/>
  <c r="AB68"/>
  <c r="AP61" a="1"/>
  <c r="AP61"/>
  <c r="AB69"/>
  <c r="AW61" a="1"/>
  <c r="AW61"/>
  <c r="AB70"/>
  <c r="AS61" a="1"/>
  <c r="AS61"/>
  <c r="AB71"/>
  <c r="AV61"/>
  <c r="AB72"/>
  <c r="AB73"/>
  <c r="BC47"/>
  <c r="BD47"/>
  <c r="BE47"/>
  <c r="BC48"/>
  <c r="BD48"/>
  <c r="BE48"/>
  <c r="BC49"/>
  <c r="BD49"/>
  <c r="BE49"/>
  <c r="BC50"/>
  <c r="BD50"/>
  <c r="BE50"/>
  <c r="BC51"/>
  <c r="BD51"/>
  <c r="BE51"/>
  <c r="BC52"/>
  <c r="BD52"/>
  <c r="BE52"/>
  <c r="BC53"/>
  <c r="BD53"/>
  <c r="BE53"/>
  <c r="BC54"/>
  <c r="BD54"/>
  <c r="BE54"/>
  <c r="BC55"/>
  <c r="BD55"/>
  <c r="BE55"/>
  <c r="BC56"/>
  <c r="BD56"/>
  <c r="BE56"/>
  <c r="BC57"/>
  <c r="BD57"/>
  <c r="BE57"/>
  <c r="BC58"/>
  <c r="BD58"/>
  <c r="BE58"/>
  <c r="BC59"/>
  <c r="BD59"/>
  <c r="BE59"/>
  <c r="BC60"/>
  <c r="BD60"/>
  <c r="BE60"/>
  <c r="AA61" a="1"/>
  <c r="AA61"/>
  <c r="V72"/>
  <c r="BO14"/>
  <c r="BP14"/>
  <c r="BQ14"/>
  <c r="BO15"/>
  <c r="BP15"/>
  <c r="BQ15"/>
  <c r="BO16"/>
  <c r="BP16"/>
  <c r="BQ16"/>
  <c r="BO17"/>
  <c r="BP17"/>
  <c r="BQ17"/>
  <c r="BO18"/>
  <c r="BP18"/>
  <c r="BQ18"/>
  <c r="BO19"/>
  <c r="BP19"/>
  <c r="BQ19"/>
  <c r="BO20"/>
  <c r="BP20"/>
  <c r="BQ20"/>
  <c r="BO21"/>
  <c r="BP21"/>
  <c r="BQ21"/>
  <c r="BO22"/>
  <c r="BP22"/>
  <c r="BQ22"/>
  <c r="BO23"/>
  <c r="BP23"/>
  <c r="BQ23"/>
  <c r="BO24"/>
  <c r="BP24"/>
  <c r="BQ24"/>
  <c r="BO25"/>
  <c r="BP25"/>
  <c r="BQ25"/>
  <c r="BO26"/>
  <c r="BP26"/>
  <c r="BQ26"/>
  <c r="BO27"/>
  <c r="BP27"/>
  <c r="BQ27"/>
  <c r="BO28"/>
  <c r="BP28"/>
  <c r="BQ28"/>
  <c r="BO29"/>
  <c r="BP29"/>
  <c r="BQ29"/>
  <c r="BO30"/>
  <c r="BP30"/>
  <c r="BQ30"/>
  <c r="BO31"/>
  <c r="BP31"/>
  <c r="BQ31"/>
  <c r="BO32"/>
  <c r="BP32"/>
  <c r="BQ32"/>
  <c r="BO33"/>
  <c r="BP33"/>
  <c r="BQ33"/>
  <c r="BO34"/>
  <c r="BP34"/>
  <c r="BQ34"/>
  <c r="BO35"/>
  <c r="BP35"/>
  <c r="BQ35"/>
  <c r="BO36"/>
  <c r="BP36"/>
  <c r="BQ36"/>
  <c r="BO37"/>
  <c r="BP37"/>
  <c r="BQ37"/>
  <c r="BO38"/>
  <c r="BP38"/>
  <c r="BQ38"/>
  <c r="BO39"/>
  <c r="BP39"/>
  <c r="BQ39"/>
  <c r="BO40"/>
  <c r="BP40"/>
  <c r="BQ40"/>
  <c r="BO41"/>
  <c r="BP41"/>
  <c r="BQ41"/>
  <c r="BO42"/>
  <c r="BP42"/>
  <c r="BQ42"/>
  <c r="BO43"/>
  <c r="BP43"/>
  <c r="BQ43"/>
  <c r="BO44"/>
  <c r="BP44"/>
  <c r="BQ44"/>
  <c r="BO45"/>
  <c r="BP45"/>
  <c r="BQ45"/>
  <c r="BO46"/>
  <c r="BP46"/>
  <c r="BQ46"/>
  <c r="V71"/>
  <c r="AF61" a="1"/>
  <c r="AF61"/>
  <c r="AB63"/>
  <c r="AG61" a="1"/>
  <c r="AG61"/>
  <c r="AB64"/>
  <c r="AI61" a="1"/>
  <c r="AI61"/>
  <c r="AB65"/>
  <c r="AB67"/>
  <c r="AB66"/>
  <c r="AC10"/>
  <c r="AH10"/>
  <c r="V66"/>
  <c r="AX61" a="1"/>
  <c r="AX61"/>
  <c r="AU61" a="1"/>
  <c r="AU61"/>
  <c r="AT61" a="1"/>
  <c r="AT61"/>
  <c r="AR61" a="1"/>
  <c r="AR61"/>
  <c r="AQ61" a="1"/>
  <c r="AQ61"/>
  <c r="AO61" a="1"/>
  <c r="AO61"/>
  <c r="AN61" a="1"/>
  <c r="AN61"/>
  <c r="AL61" a="1"/>
  <c r="AL61"/>
  <c r="AK61" a="1"/>
  <c r="AK61"/>
  <c r="AJ61" a="1"/>
  <c r="AJ61"/>
  <c r="AE61" a="1"/>
  <c r="AE61"/>
  <c r="AD61" a="1"/>
  <c r="AD61"/>
  <c r="AC61" a="1"/>
  <c r="AC61"/>
  <c r="AB61" a="1"/>
  <c r="AB61"/>
  <c r="Z61" a="1"/>
  <c r="Z61"/>
  <c r="Y61" a="1"/>
  <c r="Y61"/>
  <c r="X61" a="1"/>
  <c r="X61"/>
  <c r="W61" a="1"/>
  <c r="W61"/>
  <c r="V61" a="1"/>
  <c r="V61"/>
  <c r="BK60"/>
  <c r="A60"/>
  <c r="BK59"/>
  <c r="A59"/>
  <c r="BK58"/>
  <c r="A58"/>
  <c r="BK57"/>
  <c r="A57"/>
  <c r="BK56"/>
  <c r="A56"/>
  <c r="BK55"/>
  <c r="A55"/>
  <c r="BK54"/>
  <c r="A54"/>
  <c r="BK53"/>
  <c r="A53"/>
  <c r="BK52"/>
  <c r="A52"/>
  <c r="BK51"/>
  <c r="A51"/>
  <c r="BK50"/>
  <c r="A50"/>
  <c r="BK49"/>
  <c r="A49"/>
  <c r="BK48"/>
  <c r="A48"/>
  <c r="BK47"/>
  <c r="A47"/>
  <c r="BN46"/>
  <c r="A46"/>
  <c r="BN45"/>
  <c r="A45"/>
  <c r="BN44"/>
  <c r="A44"/>
  <c r="BN43"/>
  <c r="A43"/>
  <c r="BN42"/>
  <c r="A42"/>
  <c r="BN41"/>
  <c r="A41"/>
  <c r="BN40"/>
  <c r="A40"/>
  <c r="BN39"/>
  <c r="A39"/>
  <c r="BN38"/>
  <c r="A38"/>
  <c r="BN37"/>
  <c r="A37"/>
  <c r="BN36"/>
  <c r="A36"/>
  <c r="BN35"/>
  <c r="A35"/>
  <c r="BN34"/>
  <c r="A34"/>
  <c r="BN33"/>
  <c r="A33"/>
  <c r="BN32"/>
  <c r="A32"/>
  <c r="BN31"/>
  <c r="A31"/>
  <c r="BN30"/>
  <c r="A30"/>
  <c r="BN29"/>
  <c r="A29"/>
  <c r="BN28"/>
  <c r="A28"/>
  <c r="BN27"/>
  <c r="A27"/>
  <c r="BN26"/>
  <c r="A26"/>
  <c r="BN25"/>
  <c r="A25"/>
  <c r="BN24"/>
  <c r="A24"/>
  <c r="BN23"/>
  <c r="A23"/>
  <c r="BN22"/>
  <c r="A22"/>
  <c r="BN21"/>
  <c r="A21"/>
  <c r="BN20"/>
  <c r="A20"/>
  <c r="BN19"/>
  <c r="A19"/>
  <c r="BN18"/>
  <c r="A18"/>
  <c r="BN17"/>
  <c r="A17"/>
  <c r="BN16"/>
  <c r="A16"/>
  <c r="BN15"/>
  <c r="A15"/>
  <c r="BN14"/>
  <c r="A14"/>
  <c r="BJ13"/>
  <c r="BT10"/>
  <c r="BT11"/>
  <c r="BT12"/>
  <c r="U12"/>
  <c r="R12"/>
  <c r="P12"/>
  <c r="U11"/>
  <c r="BL11"/>
  <c r="BO11"/>
  <c r="BP11"/>
  <c r="BQ11"/>
  <c r="BK11"/>
  <c r="BM11"/>
  <c r="BN11"/>
  <c r="BD11"/>
  <c r="A11"/>
  <c r="BE10"/>
</calcChain>
</file>

<file path=xl/comments1.xml><?xml version="1.0" encoding="utf-8"?>
<comments xmlns="http://schemas.openxmlformats.org/spreadsheetml/2006/main">
  <authors>
    <author>DELL</author>
  </authors>
  <commentList>
    <comment ref="O9" authorId="0">
      <text>
        <r>
          <rPr>
            <b/>
            <sz val="9"/>
            <color indexed="81"/>
            <rFont val="Tahoma"/>
            <family val="2"/>
          </rPr>
          <t>उम्मेद:
रिक्त Rows को hide करने के लिए किसी अनलॉक खड़ी लाइन को रिक्त सेल से निचे तक सेल तक सलेक्ट करके आगे rows नंबर पर right क्लिक करके hide करें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DELL</author>
  </authors>
  <commentList>
    <comment ref="O9" authorId="0">
      <text>
        <r>
          <rPr>
            <b/>
            <sz val="9"/>
            <color indexed="81"/>
            <rFont val="Tahoma"/>
            <family val="2"/>
          </rPr>
          <t>उम्मेद:
रिक्त Rows को hide करने के लिए किसी अनलॉक खड़ी लाइन को रिक्त सेल से निचे तक सेल तक सलेक्ट करके आगे rows नंबर पर right क्लिक करके hide करें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<sst xmlns="http://schemas.openxmlformats.org/spreadsheetml/2006/main" count="313" uniqueCount="146">
  <si>
    <t>dk;kZy; vkns'k</t>
  </si>
  <si>
    <t>dkfeZd dk uke %&amp;</t>
  </si>
  <si>
    <t>in %&amp;</t>
  </si>
  <si>
    <t>,EIyksbZ vkbZMh %&amp;</t>
  </si>
  <si>
    <t>S. N0.</t>
  </si>
  <si>
    <t>MONTH</t>
  </si>
  <si>
    <t>osru dk vUrj</t>
  </si>
  <si>
    <t>SI</t>
  </si>
  <si>
    <t>INCOME TAX     (TDS)</t>
  </si>
  <si>
    <t>TOTAL DED.</t>
  </si>
  <si>
    <t>NET AMOUNT CASH PAYMENT (ARREAR)</t>
  </si>
  <si>
    <t>Bill Number &amp; Date TV Number &amp; Date</t>
  </si>
  <si>
    <t>BASIC</t>
  </si>
  <si>
    <t>DA</t>
  </si>
  <si>
    <t>HRA</t>
  </si>
  <si>
    <t>TOTAL</t>
  </si>
  <si>
    <t>TO BE  After Fixation</t>
  </si>
  <si>
    <t>Before Fixation</t>
  </si>
  <si>
    <t>DIFF.</t>
  </si>
  <si>
    <t>Total</t>
  </si>
  <si>
    <t>Total Allowances And Deuctions Summry</t>
  </si>
  <si>
    <t>1-</t>
  </si>
  <si>
    <t>Allowances (Difference)</t>
  </si>
  <si>
    <t>Basic</t>
  </si>
  <si>
    <t>3-</t>
  </si>
  <si>
    <t>D.A.</t>
  </si>
  <si>
    <t>H.R.A.</t>
  </si>
  <si>
    <t>gLrk{kj MhMhvks e; eqgj</t>
  </si>
  <si>
    <t>Deductions</t>
  </si>
  <si>
    <t>2-</t>
  </si>
  <si>
    <t>Income Tax</t>
  </si>
  <si>
    <t>NET AMOUNT TO BE PAY</t>
  </si>
  <si>
    <t>osru ,fj;j vUrj rkfydk</t>
  </si>
  <si>
    <r>
      <t xml:space="preserve">&amp;%% </t>
    </r>
    <r>
      <rPr>
        <u/>
        <sz val="16"/>
        <color theme="1"/>
        <rFont val="Kruti Dev 160"/>
      </rPr>
      <t>dk;kZy; vkns'k</t>
    </r>
    <r>
      <rPr>
        <sz val="16"/>
        <color theme="1"/>
        <rFont val="Kruti Dev 160"/>
      </rPr>
      <t xml:space="preserve"> %%&amp;</t>
    </r>
  </si>
  <si>
    <t>Ø-la-</t>
  </si>
  <si>
    <t>dkfeZd dk uke</t>
  </si>
  <si>
    <t>in</t>
  </si>
  <si>
    <t>çFke dk;Zxzg.k frfFk</t>
  </si>
  <si>
    <t>Lohd`r osru</t>
  </si>
  <si>
    <r>
      <t>is&amp;eSfV</t>
    </r>
    <r>
      <rPr>
        <sz val="14"/>
        <color theme="1"/>
        <rFont val="Kruti Dev 010"/>
      </rPr>
      <t>ª</t>
    </r>
    <r>
      <rPr>
        <sz val="14"/>
        <color theme="1"/>
        <rFont val="DevLys 010"/>
      </rPr>
      <t>Dl ysoy</t>
    </r>
  </si>
  <si>
    <t>mDr Lohd`fr dk bUnzkt lacaf/kr dkfeZd dh ewy lsok iqfLrdk esa dj fn;k x;k gSA</t>
  </si>
  <si>
    <t>Øekad%&amp;---------------------------------------------------------------------------------</t>
  </si>
  <si>
    <t>çfrfyfi%&amp;</t>
  </si>
  <si>
    <r>
      <t>2-</t>
    </r>
    <r>
      <rPr>
        <sz val="7"/>
        <color theme="1"/>
        <rFont val="Times New Roman"/>
        <family val="1"/>
      </rPr>
      <t xml:space="preserve">     </t>
    </r>
    <r>
      <rPr>
        <sz val="14"/>
        <color theme="1"/>
        <rFont val="DevLys 010"/>
      </rPr>
      <t>lacaf/kr dkfeZd lsok fooj.kA</t>
    </r>
  </si>
  <si>
    <r>
      <t>3-</t>
    </r>
    <r>
      <rPr>
        <sz val="7"/>
        <color theme="1"/>
        <rFont val="Times New Roman"/>
        <family val="1"/>
      </rPr>
      <t xml:space="preserve">     </t>
    </r>
    <r>
      <rPr>
        <sz val="14"/>
        <color theme="1"/>
        <rFont val="DevLys 010"/>
      </rPr>
      <t>dk;kZy; çfrA</t>
    </r>
  </si>
  <si>
    <t>vkxkeh osru o`f) frfFk</t>
  </si>
  <si>
    <r>
      <t xml:space="preserve">      dk;kZy;%ftyk f’k{kk vf/kdkjh¼eq[;k-½] çkjfEHkd f’k{kk] tks/kiqj ds vkns’k Øekad&amp;------------------------------------------------------------------------------------------------------------------------ fnukad%&amp;------------------------------------- ds vuqlj.k esa dkfeZd Jh---------------------------------------------------dk 2 o"khZ; ijhoh{kkdky lekIr gksus ij fnukad&amp;------------------------------------------- ls okLrfod LFkkbZdj.k ,oa fu;fer osru J`a[kyk çnku fd;s tkus ds QyLo:i jktLFkku f’k{kk v/khuLFk lsok fu;e 1971 ds fu;e 30¼d½ esa vafdr çko/kkukuqlkj ,oa  fo</t>
    </r>
    <r>
      <rPr>
        <sz val="14"/>
        <color theme="1"/>
        <rFont val="Kruti Dev 010"/>
      </rPr>
      <t>Ÿ</t>
    </r>
    <r>
      <rPr>
        <sz val="14"/>
        <color theme="1"/>
        <rFont val="DevLys 010"/>
      </rPr>
      <t xml:space="preserve">k foHkkx jktLFkku dh vf/klwpuk </t>
    </r>
    <r>
      <rPr>
        <sz val="11"/>
        <color theme="1"/>
        <rFont val="Cambria"/>
        <family val="1"/>
      </rPr>
      <t xml:space="preserve">No.F.15(1)FD/Rules/2017 Jaipur Date-30-10-2017 and Revised Pay Notification No.F.15(1)FD/Rules/2017 Jaipur Date-09-12-2017 </t>
    </r>
    <r>
      <rPr>
        <sz val="14"/>
        <color theme="1"/>
        <rFont val="DevLys 010"/>
      </rPr>
      <t>ds vuqlj.k esa 06-10-2019 ls fuEukuqlkj ewy osru-------------------------------- ,oa is&amp;eSfV</t>
    </r>
    <r>
      <rPr>
        <sz val="14"/>
        <color theme="1"/>
        <rFont val="Kruti Dev 010"/>
      </rPr>
      <t>ª</t>
    </r>
    <r>
      <rPr>
        <sz val="14"/>
        <color theme="1"/>
        <rFont val="DevLys 010"/>
      </rPr>
      <t xml:space="preserve">Dl ysoy </t>
    </r>
    <r>
      <rPr>
        <sz val="14"/>
        <color theme="1"/>
        <rFont val="Cambria"/>
        <family val="1"/>
      </rPr>
      <t xml:space="preserve">L-…..  </t>
    </r>
    <r>
      <rPr>
        <sz val="14"/>
        <color theme="1"/>
        <rFont val="DevLys 010"/>
      </rPr>
      <t>fu/kkZj.k fd;k tkdj fu;ekuqlkj vU; Hk</t>
    </r>
    <r>
      <rPr>
        <sz val="14"/>
        <color theme="1"/>
        <rFont val="Kruti Dev 010"/>
      </rPr>
      <t>Ÿ</t>
    </r>
    <r>
      <rPr>
        <sz val="14"/>
        <color theme="1"/>
        <rFont val="DevLys 010"/>
      </rPr>
      <t xml:space="preserve">ks vkgj.k djus dh Lohd`fr ,rn~ }kjk çnku dh tkdj osru fu/kkZj.k fd;k x;kA </t>
    </r>
  </si>
  <si>
    <r>
      <t xml:space="preserve">&amp;%% </t>
    </r>
    <r>
      <rPr>
        <b/>
        <u/>
        <sz val="17"/>
        <color theme="1"/>
        <rFont val="Cambria"/>
        <family val="1"/>
      </rPr>
      <t>H.R.A.</t>
    </r>
    <r>
      <rPr>
        <b/>
        <u/>
        <sz val="22"/>
        <color theme="1"/>
        <rFont val="DevLys 010"/>
      </rPr>
      <t xml:space="preserve"> Lohd`fr vkns'k</t>
    </r>
    <r>
      <rPr>
        <b/>
        <sz val="22"/>
        <color theme="1"/>
        <rFont val="DevLys 010"/>
      </rPr>
      <t xml:space="preserve"> </t>
    </r>
    <r>
      <rPr>
        <b/>
        <sz val="25"/>
        <color theme="1"/>
        <rFont val="DevLys 010"/>
      </rPr>
      <t>%%&amp;</t>
    </r>
  </si>
  <si>
    <t>uke deZpkjh</t>
  </si>
  <si>
    <t>Ikn ,oa inLFkkiu LFkku</t>
  </si>
  <si>
    <t>edku fdjk;k ns; frfFk</t>
  </si>
  <si>
    <r>
      <t xml:space="preserve">          for foHkkx ds vksn'k Øekad&amp;</t>
    </r>
    <r>
      <rPr>
        <sz val="16"/>
        <color theme="1"/>
        <rFont val="Cambria"/>
        <family val="1"/>
      </rPr>
      <t>F.15(1)FD/Rules/2017 Jaipur Date 30-10-2017 &amp; Revised Pay Notification No.15(1)FD Rules/2017 Jaipur Date 09-12-2017</t>
    </r>
    <r>
      <rPr>
        <sz val="18"/>
        <color theme="1"/>
        <rFont val="DevLys 010"/>
      </rPr>
      <t>ds vUrxZr edku fdjk;k fu;e&amp;5 esa fuEu dkfeZdksa dk muds uke ds vkxs vafdr frfFk ls edku fdjk;k HkRrk muds }kjk ewyosru ¼jfuax iS&amp;cS.M½ dk 9 çfr'kr dh nj ls Lohd`r fd;k tkrk gSA</t>
    </r>
  </si>
  <si>
    <t>¼</t>
  </si>
  <si>
    <t>ls</t>
  </si>
  <si>
    <t>½</t>
  </si>
  <si>
    <t>To</t>
  </si>
  <si>
    <t>osru fu;fefrdj.k i'pkr~ u;k osrueku</t>
  </si>
  <si>
    <t>,fj;j dk çdkj</t>
  </si>
  <si>
    <t>fu;ehfrdj.k@,lhih i'pkr~ osru tks feyuk gSa</t>
  </si>
  <si>
    <t>fu;ehfrdj.k@,lhih iwoZ osru tks feyk gSa</t>
  </si>
  <si>
    <t xml:space="preserve">Doveloped By:- UMMED TARAD (Teacher, GSSS Raimalwada) Mob.No.-9166973141 </t>
  </si>
  <si>
    <t>Choose DA Rate</t>
  </si>
  <si>
    <t>osru fu;fefrdj.k iwoZ osrueku</t>
  </si>
  <si>
    <t>After Fixation</t>
  </si>
  <si>
    <t>GPF/GPF- 2004</t>
  </si>
  <si>
    <t>GPF/GPF-2004</t>
  </si>
  <si>
    <t xml:space="preserve">40643301/19-07-2022 </t>
  </si>
  <si>
    <t>Choose HRA Rate</t>
  </si>
  <si>
    <t>CM Corona Relief</t>
  </si>
  <si>
    <t>vof/k</t>
  </si>
  <si>
    <t>dkfeZd dh lsok</t>
  </si>
  <si>
    <t>Subordinate</t>
  </si>
  <si>
    <r>
      <t xml:space="preserve">osru fu;fefrdj.k iwoZ </t>
    </r>
    <r>
      <rPr>
        <b/>
        <sz val="9"/>
        <color theme="0"/>
        <rFont val="Cambria"/>
        <family val="1"/>
        <scheme val="major"/>
      </rPr>
      <t xml:space="preserve">GPF/GPF-2004 </t>
    </r>
    <r>
      <rPr>
        <b/>
        <sz val="12"/>
        <color theme="0"/>
        <rFont val="DevLys 010"/>
      </rPr>
      <t>dVkSfr</t>
    </r>
  </si>
  <si>
    <r>
      <t xml:space="preserve">osru fu;fefrdj.k i'pkr </t>
    </r>
    <r>
      <rPr>
        <b/>
        <sz val="9"/>
        <color theme="0"/>
        <rFont val="Cambria"/>
        <family val="1"/>
        <scheme val="major"/>
      </rPr>
      <t xml:space="preserve">GPF/GPF-2004 </t>
    </r>
    <r>
      <rPr>
        <b/>
        <sz val="12"/>
        <color theme="0"/>
        <rFont val="DevLys 010"/>
      </rPr>
      <t>dVkSfr</t>
    </r>
  </si>
  <si>
    <t>DA Arrear Adjust in GPF/GPF-2004</t>
  </si>
  <si>
    <t>Increased DA</t>
  </si>
  <si>
    <t>DA Increase</t>
  </si>
  <si>
    <t>vk;dj dVkSfr</t>
  </si>
  <si>
    <r>
      <t xml:space="preserve">Net Amount in figure:-  </t>
    </r>
    <r>
      <rPr>
        <b/>
        <sz val="14"/>
        <color rgb="FF002060"/>
        <rFont val="Arial"/>
        <family val="2"/>
      </rPr>
      <t>Rs. -------------------------------------------------------- Only</t>
    </r>
  </si>
  <si>
    <t>4-</t>
  </si>
  <si>
    <t>Amount</t>
  </si>
  <si>
    <t>in ,oa inLFkkiu LFkku</t>
  </si>
  <si>
    <t>tUe frfFk</t>
  </si>
  <si>
    <t>çFke fu;qfDr frfFk</t>
  </si>
  <si>
    <t>fo'ks"k fooj.k</t>
  </si>
  <si>
    <t>xzsM is</t>
  </si>
  <si>
    <r>
      <t>is&amp;cS.M esfV</t>
    </r>
    <r>
      <rPr>
        <b/>
        <sz val="12"/>
        <rFont val="Kruti Dev 010"/>
      </rPr>
      <t>ª</t>
    </r>
    <r>
      <rPr>
        <b/>
        <sz val="12"/>
        <rFont val="DevLys 010"/>
      </rPr>
      <t>Dl ysoy</t>
    </r>
  </si>
  <si>
    <t>osrueku</t>
  </si>
  <si>
    <t>çfrfyfi %&amp;</t>
  </si>
  <si>
    <t>lacaf/kr dkfeZd lsok fooj.kA</t>
  </si>
  <si>
    <t>dk;kZy; jf{kr i=koyhA</t>
  </si>
  <si>
    <t>o"khZ; ,lhih ns; frfFk</t>
  </si>
  <si>
    <t>Øekad%&amp;------------------------------------------------             fnukad%&amp;-------------------------------------------------</t>
  </si>
  <si>
    <r>
      <rPr>
        <b/>
        <sz val="24"/>
        <color indexed="60"/>
        <rFont val="Justus-Versalitas"/>
      </rPr>
      <t xml:space="preserve">UMMED TARAD  </t>
    </r>
    <r>
      <rPr>
        <b/>
        <sz val="14"/>
        <color indexed="60"/>
        <rFont val="Justus-Versalitas"/>
      </rPr>
      <t/>
    </r>
  </si>
  <si>
    <t xml:space="preserve">(Teacher, GSSS Raimalwada) Mob.No.-9166973141 </t>
  </si>
  <si>
    <r>
      <t>1-</t>
    </r>
    <r>
      <rPr>
        <sz val="7"/>
        <color theme="1"/>
        <rFont val="Times New Roman"/>
        <family val="1"/>
      </rPr>
      <t xml:space="preserve">     </t>
    </r>
    <r>
      <rPr>
        <sz val="14"/>
        <color theme="1"/>
        <rFont val="DevLys 010"/>
      </rPr>
      <t>midks"kkf/kdkjh] midks"kky;&amp;-------------------------------------A</t>
    </r>
  </si>
  <si>
    <t>midks"kkf/kdkjh] midks"kky;&amp;---------------------------------------A</t>
  </si>
  <si>
    <r>
      <t>1-</t>
    </r>
    <r>
      <rPr>
        <sz val="7"/>
        <color theme="1"/>
        <rFont val="Times New Roman"/>
        <family val="1"/>
      </rPr>
      <t xml:space="preserve">     </t>
    </r>
    <r>
      <rPr>
        <sz val="14"/>
        <color theme="1"/>
        <rFont val="DevLys 010"/>
      </rPr>
      <t>midks"kkf/kdkjh] midks"kky;&amp;---------------------------------------</t>
    </r>
  </si>
  <si>
    <t>RGHS</t>
  </si>
  <si>
    <t>5-</t>
  </si>
  <si>
    <t>LFkkbZdj.k@osru fu;fefrdj.k@inksUufr frfFk</t>
  </si>
  <si>
    <r>
      <t xml:space="preserve">      dk;kZy;%ftyk f’k{kk vf/kdkjh¼eq[;k-½] çkjfEHkd f’k{kk] tks/kiqj ds vkns’k Øekad&amp;------------------------------------------------------------------------------------------------------------------------ fnukad%&amp;------------------------------------- ds vuqlj.k esa dkfeZd Jh---------------------------------------------------dh fnukad&amp;------------------------------------------- ls inksUufr ykHk fn;s tkus ds QyLo:i jktLFkku f’k{kk v/khuLFk lsok fu;e 1971 ds fu;e 30¼d½ esa vafdr çko/kkukuqlkj ,oa  fo</t>
    </r>
    <r>
      <rPr>
        <sz val="14"/>
        <color theme="1"/>
        <rFont val="Kruti Dev 010"/>
      </rPr>
      <t>Ÿ</t>
    </r>
    <r>
      <rPr>
        <sz val="14"/>
        <color theme="1"/>
        <rFont val="DevLys 010"/>
      </rPr>
      <t xml:space="preserve">k foHkkx jktLFkku dh vf/klwpuk </t>
    </r>
    <r>
      <rPr>
        <sz val="11"/>
        <color theme="1"/>
        <rFont val="Cambria"/>
        <family val="1"/>
      </rPr>
      <t xml:space="preserve">No.F.15(1)FD/Rules/2017 Jaipur Date-30-10-2017 and Revised Pay Notification No.F.15(1)FD/Rules/2017 Jaipur Date-09-12-2017 </t>
    </r>
    <r>
      <rPr>
        <sz val="14"/>
        <color theme="1"/>
        <rFont val="DevLys 010"/>
      </rPr>
      <t>ds vuqlj.k esa 06-10-2019 ls fuEukuqlkj ewy osru-------------------------------- ,oa is&amp;eSfV</t>
    </r>
    <r>
      <rPr>
        <sz val="14"/>
        <color theme="1"/>
        <rFont val="Kruti Dev 010"/>
      </rPr>
      <t>ª</t>
    </r>
    <r>
      <rPr>
        <sz val="14"/>
        <color theme="1"/>
        <rFont val="DevLys 010"/>
      </rPr>
      <t xml:space="preserve">Dl ysoy </t>
    </r>
    <r>
      <rPr>
        <sz val="14"/>
        <color theme="1"/>
        <rFont val="Cambria"/>
        <family val="1"/>
      </rPr>
      <t xml:space="preserve">L-…..  </t>
    </r>
    <r>
      <rPr>
        <sz val="14"/>
        <color theme="1"/>
        <rFont val="DevLys 010"/>
      </rPr>
      <t>fu/kkZj.k fd;k tkdj fu;ekuqlkj vU; Hk</t>
    </r>
    <r>
      <rPr>
        <sz val="14"/>
        <color theme="1"/>
        <rFont val="Kruti Dev 010"/>
      </rPr>
      <t>Ÿ</t>
    </r>
    <r>
      <rPr>
        <sz val="14"/>
        <color theme="1"/>
        <rFont val="DevLys 010"/>
      </rPr>
      <t xml:space="preserve">ks vkgj.k djus dh Lohd`fr ,rn~ }kjk çnku dh tkdj osru fu/kkZj.k fd;k x;kA </t>
    </r>
  </si>
  <si>
    <t>inksUufr frfFk</t>
  </si>
  <si>
    <t>inksUufr iwoZ</t>
  </si>
  <si>
    <t>inksUufr i'pkr~</t>
  </si>
  <si>
    <t>inksUufr iwoZ Lohd`r osru ¼is&amp;eSfVªDl ysoy½</t>
  </si>
  <si>
    <t>Updated On 14-12-2022</t>
  </si>
  <si>
    <t>ls Bhd iwoZ osru</t>
  </si>
  <si>
    <t>dks osru o`f) i'pkr~ osru ,oa is&amp;esfVªDl ysoy</t>
  </si>
  <si>
    <r>
      <t xml:space="preserve">        foŸk foHkkx ds vkns'k Øekad&amp; </t>
    </r>
    <r>
      <rPr>
        <sz val="16"/>
        <color theme="1"/>
        <rFont val="Cambria"/>
        <family val="1"/>
        <scheme val="major"/>
      </rPr>
      <t>F.15(1) FD (Rules) 2017 Jaipur  Date-30-10-2017 And F.1[4] FD (Rules)2017  Date-09-12-2017</t>
    </r>
    <r>
      <rPr>
        <sz val="16"/>
        <color theme="1"/>
        <rFont val="DevLys 010"/>
      </rPr>
      <t xml:space="preserve"> ds vuqlj.k esa dk;</t>
    </r>
    <r>
      <rPr>
        <sz val="16"/>
        <color theme="1"/>
        <rFont val="Kruti Dev 010"/>
      </rPr>
      <t xml:space="preserve">kZy;% --------------------------------------------------------- ds vkns'kkad&amp;----------------------------------------------------------------------- fnukad&amp;----------------------------- dh vuqikyuk esa LFkkuh; dk;kZy; v/khu fuEu dkfeZd dks  9@18@27@30 o"khZ; </t>
    </r>
    <r>
      <rPr>
        <sz val="16"/>
        <color theme="1"/>
        <rFont val="Cambria"/>
        <family val="1"/>
        <scheme val="major"/>
      </rPr>
      <t>ACP (Scheme of Assured career Progression)</t>
    </r>
    <r>
      <rPr>
        <sz val="16"/>
        <color theme="1"/>
        <rFont val="Kruti Dev 010"/>
      </rPr>
      <t xml:space="preserve"> ds rgr ns; ykHk muds uke ds lkeus vafdr fooj.kkuqlkj Lohd`r fd;k tkrk gSA </t>
    </r>
  </si>
  <si>
    <t>fnukad%&amp;------------------------------------</t>
  </si>
  <si>
    <t>dkfeZd dk uke ¼inLFkkiu LFkku½</t>
  </si>
  <si>
    <t xml:space="preserve"> fnukad%&amp;------------------------------------</t>
  </si>
  <si>
    <r>
      <t>HRA</t>
    </r>
    <r>
      <rPr>
        <sz val="14"/>
        <color theme="1"/>
        <rFont val="DevLys 010"/>
      </rPr>
      <t xml:space="preserve"> jkf'k </t>
    </r>
  </si>
  <si>
    <t>is&amp;eSfVªDl ysoy</t>
  </si>
  <si>
    <t>ewy osru</t>
  </si>
  <si>
    <t>ls Bhd i'pkr~ osru</t>
  </si>
  <si>
    <t>Ldwy dk uke</t>
  </si>
  <si>
    <t>Govt. Sr. Sec. School Raimalwada, Bapini (Jodhpur)</t>
  </si>
  <si>
    <t>,EIykWbZ vkbZMh %&amp;</t>
  </si>
  <si>
    <t>,fj;j dk çdkj %&amp;</t>
  </si>
  <si>
    <t>dkfeZd dh lsok %&amp;</t>
  </si>
  <si>
    <t>vk;dj dVkSfr %&amp;</t>
  </si>
  <si>
    <t>osru fu;fefrdj.k i'pkr~ u;k osrueku %&amp;</t>
  </si>
  <si>
    <t>,fj;j vof/k %&amp;</t>
  </si>
  <si>
    <t>Programmer</t>
  </si>
  <si>
    <t>Ummed Tarad</t>
  </si>
  <si>
    <t>(GSSS Raimalwada, Jodhpur)</t>
  </si>
  <si>
    <t>Email id-ummedtrdedu@gmail.com</t>
  </si>
  <si>
    <t>40643301/19-07-2024</t>
  </si>
  <si>
    <t>Month</t>
  </si>
  <si>
    <t>dkfeZd dh Js.kh %&amp;</t>
  </si>
  <si>
    <t>osru fu;fefrdj.k iwoZ osrueku %&amp;</t>
  </si>
  <si>
    <t>Z-Rural</t>
  </si>
  <si>
    <r>
      <rPr>
        <b/>
        <sz val="18"/>
        <color rgb="FFFFFF00"/>
        <rFont val="Cambria"/>
        <family val="1"/>
        <scheme val="major"/>
      </rPr>
      <t xml:space="preserve">  </t>
    </r>
    <r>
      <rPr>
        <b/>
        <sz val="22"/>
        <color rgb="FFFFFF00"/>
        <rFont val="Cambria"/>
        <family val="1"/>
        <scheme val="major"/>
      </rPr>
      <t xml:space="preserve">Youtube Help Video  ☞      </t>
    </r>
    <r>
      <rPr>
        <b/>
        <sz val="18"/>
        <color rgb="FFFFFF00"/>
        <rFont val="Cambria"/>
        <family val="1"/>
        <scheme val="major"/>
      </rPr>
      <t xml:space="preserve">                                       </t>
    </r>
    <r>
      <rPr>
        <b/>
        <sz val="9"/>
        <color rgb="FFFFFF00"/>
        <rFont val="Cambria"/>
        <family val="1"/>
        <scheme val="major"/>
      </rPr>
      <t>(Please subscribe my channel)</t>
    </r>
    <r>
      <rPr>
        <b/>
        <sz val="18"/>
        <color rgb="FFFFFF00"/>
        <rFont val="Cambria"/>
        <family val="1"/>
        <scheme val="major"/>
      </rPr>
      <t/>
    </r>
  </si>
  <si>
    <t>bl vof/k ds nkSjku çHkkfor e¡gxkbZ HkÙks dks D;k Mh-,- ,fj;j ds :Ik esa cuk;k tk pqdk gS %&amp;</t>
  </si>
  <si>
    <t>NO</t>
  </si>
  <si>
    <t>,fj;j vkns'k Hkk"kk %&amp;</t>
  </si>
  <si>
    <t>dk;kZy;%ftyk f’k{kk vf/kdkjh¼eq[;k-½] ek/;fEHkd f’k{kk] --------------------------ds vkns’k Øekad&amp;---------------------------------------------------------------------- fnukad%&amp;-------------------------------------------- ds vuqlj.k esa dkfeZd Jherh ------------------------------ ¼------------------------------½ dk 2 o"khZ; ijhoh{kkdky lekIr gksus ij fnukad&amp;------------------------------------ ls --------------------------------- rd dk cdk;k osru ,fj;j fuEu rkfydkuqlkj fn;k tkrk gSA</t>
  </si>
  <si>
    <t>Teacher</t>
  </si>
  <si>
    <t>RJJO201225012345</t>
  </si>
  <si>
    <t>ACP</t>
  </si>
  <si>
    <t>Updated On : 25-04-2023</t>
  </si>
  <si>
    <t xml:space="preserve">uksV%&amp; gkykafd ;g çksxzke iw.kZ lko/kkuh ls cuk;k x;k gS] fQj Hkh fdlh çdkj dh =qfV dh fLFkfr esa vkids foosd dk bLrseky djsaA bls vafre :i nsus ls igys Hkyh&amp;Hkk¡fr :i ls vo'; tk¡p ysosaA </t>
  </si>
  <si>
    <r>
      <t xml:space="preserve">osru fu;fefrdj.k i'pkr~ </t>
    </r>
    <r>
      <rPr>
        <b/>
        <sz val="14"/>
        <color theme="0"/>
        <rFont val="Cambria"/>
        <family val="1"/>
        <scheme val="major"/>
      </rPr>
      <t>GPF/GPF-</t>
    </r>
    <r>
      <rPr>
        <b/>
        <sz val="14"/>
        <color theme="0"/>
        <rFont val="DevLys 010"/>
      </rPr>
      <t>2004 dVkSfr %&amp;</t>
    </r>
  </si>
  <si>
    <r>
      <t xml:space="preserve">osru fu;fefrdj.k iwoZ </t>
    </r>
    <r>
      <rPr>
        <b/>
        <sz val="14"/>
        <color theme="0"/>
        <rFont val="Cambria"/>
        <family val="1"/>
        <scheme val="major"/>
      </rPr>
      <t>GPF/GPF-</t>
    </r>
    <r>
      <rPr>
        <b/>
        <sz val="14"/>
        <color theme="0"/>
        <rFont val="DevLys 010"/>
      </rPr>
      <t>2004 dVkSfr %&amp;</t>
    </r>
  </si>
</sst>
</file>

<file path=xl/styles.xml><?xml version="1.0" encoding="utf-8"?>
<styleSheet xmlns="http://schemas.openxmlformats.org/spreadsheetml/2006/main">
  <numFmts count="7">
    <numFmt numFmtId="164" formatCode="[$-409]mmm/yy;@"/>
    <numFmt numFmtId="165" formatCode="[$-409]dd/mmm/yy;@"/>
    <numFmt numFmtId="166" formatCode="[$-409]d/mmm/yy;@"/>
    <numFmt numFmtId="167" formatCode="[$-409]d/mmm/yyyy;@"/>
    <numFmt numFmtId="168" formatCode="m/d/yy;@"/>
    <numFmt numFmtId="169" formatCode="&quot;₹&quot;\ #,##0"/>
    <numFmt numFmtId="170" formatCode="&quot;L-&quot;0"/>
  </numFmts>
  <fonts count="114">
    <font>
      <sz val="11"/>
      <color theme="1"/>
      <name val="Calibri"/>
      <family val="2"/>
      <scheme val="minor"/>
    </font>
    <font>
      <b/>
      <sz val="24"/>
      <color indexed="60"/>
      <name val="Justus-Versalitas"/>
    </font>
    <font>
      <b/>
      <sz val="14"/>
      <color indexed="60"/>
      <name val="Justus-Versalitas"/>
    </font>
    <font>
      <b/>
      <i/>
      <u/>
      <sz val="14"/>
      <color theme="1"/>
      <name val="DevLys 010"/>
    </font>
    <font>
      <sz val="14"/>
      <color theme="1"/>
      <name val="DevLys 010"/>
    </font>
    <font>
      <sz val="10"/>
      <name val="DevLys 010"/>
    </font>
    <font>
      <b/>
      <sz val="14"/>
      <name val="DevLys 010"/>
    </font>
    <font>
      <b/>
      <sz val="14"/>
      <name val="Cambria"/>
      <family val="1"/>
      <scheme val="major"/>
    </font>
    <font>
      <b/>
      <sz val="16"/>
      <name val="DevLys 010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DevLys 010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b/>
      <sz val="12"/>
      <name val="Calibri"/>
      <family val="2"/>
      <scheme val="minor"/>
    </font>
    <font>
      <b/>
      <sz val="24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name val="Cambria"/>
      <family val="1"/>
      <scheme val="major"/>
    </font>
    <font>
      <b/>
      <sz val="14"/>
      <name val="Arial"/>
      <family val="2"/>
    </font>
    <font>
      <b/>
      <sz val="14"/>
      <color rgb="FF002060"/>
      <name val="Arial"/>
      <family val="2"/>
    </font>
    <font>
      <b/>
      <sz val="9"/>
      <name val="Cambria"/>
      <family val="1"/>
      <scheme val="major"/>
    </font>
    <font>
      <b/>
      <sz val="10"/>
      <name val="Cambria"/>
      <family val="1"/>
      <scheme val="major"/>
    </font>
    <font>
      <b/>
      <sz val="11"/>
      <name val="Cambria"/>
      <family val="1"/>
      <scheme val="major"/>
    </font>
    <font>
      <b/>
      <sz val="14"/>
      <color theme="0" tint="-0.249977111117893"/>
      <name val="DevLys 010"/>
    </font>
    <font>
      <sz val="9"/>
      <name val="Arial"/>
      <family val="2"/>
    </font>
    <font>
      <sz val="18"/>
      <name val="Arial"/>
      <family val="2"/>
    </font>
    <font>
      <sz val="16"/>
      <color theme="1"/>
      <name val="Kruti Dev 160"/>
    </font>
    <font>
      <u/>
      <sz val="16"/>
      <color theme="1"/>
      <name val="Kruti Dev 160"/>
    </font>
    <font>
      <sz val="14"/>
      <color theme="1"/>
      <name val="Kruti Dev 010"/>
    </font>
    <font>
      <sz val="11"/>
      <color theme="1"/>
      <name val="Cambria"/>
      <family val="1"/>
    </font>
    <font>
      <sz val="14"/>
      <color theme="1"/>
      <name val="Cambria"/>
      <family val="1"/>
    </font>
    <font>
      <sz val="16"/>
      <color theme="1"/>
      <name val="DevLys 010"/>
    </font>
    <font>
      <b/>
      <sz val="16"/>
      <color theme="1"/>
      <name val="DevLys 010"/>
    </font>
    <font>
      <b/>
      <sz val="14"/>
      <color theme="1"/>
      <name val="DevLys 010"/>
    </font>
    <font>
      <sz val="12"/>
      <color theme="1"/>
      <name val="Cambria"/>
      <family val="1"/>
    </font>
    <font>
      <sz val="12"/>
      <color theme="1"/>
      <name val="DevLys 010"/>
    </font>
    <font>
      <sz val="7"/>
      <color theme="1"/>
      <name val="Times New Roman"/>
      <family val="1"/>
    </font>
    <font>
      <u/>
      <sz val="11"/>
      <color theme="10"/>
      <name val="Calibri"/>
      <family val="2"/>
    </font>
    <font>
      <b/>
      <sz val="20"/>
      <color theme="1"/>
      <name val="DevLys 010"/>
    </font>
    <font>
      <b/>
      <sz val="22"/>
      <color theme="1"/>
      <name val="DevLys 010"/>
    </font>
    <font>
      <b/>
      <sz val="25"/>
      <color theme="1"/>
      <name val="DevLys 010"/>
    </font>
    <font>
      <b/>
      <u/>
      <sz val="17"/>
      <color theme="1"/>
      <name val="Cambria"/>
      <family val="1"/>
    </font>
    <font>
      <b/>
      <u/>
      <sz val="22"/>
      <color theme="1"/>
      <name val="DevLys 010"/>
    </font>
    <font>
      <sz val="18"/>
      <color theme="1"/>
      <name val="DevLys 010"/>
    </font>
    <font>
      <sz val="16"/>
      <color theme="1"/>
      <name val="Cambria"/>
      <family val="1"/>
    </font>
    <font>
      <sz val="20"/>
      <color theme="1"/>
      <name val="DevLys 010"/>
    </font>
    <font>
      <sz val="2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DevLys 010"/>
    </font>
    <font>
      <b/>
      <sz val="20"/>
      <name val="DevLys 010"/>
    </font>
    <font>
      <b/>
      <sz val="12"/>
      <color theme="0"/>
      <name val="DevLys 010"/>
    </font>
    <font>
      <b/>
      <sz val="16"/>
      <color theme="0"/>
      <name val="DevLys 010"/>
    </font>
    <font>
      <b/>
      <sz val="22"/>
      <color rgb="FFFFFF00"/>
      <name val="Aldine721 BT"/>
      <family val="1"/>
    </font>
    <font>
      <sz val="11"/>
      <color rgb="FF00206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22"/>
      <color rgb="FF002060"/>
      <name val="DevLys 010"/>
    </font>
    <font>
      <b/>
      <sz val="16"/>
      <color rgb="FF002060"/>
      <name val="Cambria"/>
      <family val="1"/>
      <scheme val="major"/>
    </font>
    <font>
      <b/>
      <sz val="22"/>
      <color rgb="FF002060"/>
      <name val="Cambria"/>
      <family val="1"/>
      <scheme val="major"/>
    </font>
    <font>
      <b/>
      <sz val="18"/>
      <color theme="0"/>
      <name val="DevLys 010"/>
    </font>
    <font>
      <b/>
      <sz val="20"/>
      <color rgb="FF002060"/>
      <name val="Cambria"/>
      <family val="1"/>
      <scheme val="major"/>
    </font>
    <font>
      <sz val="12"/>
      <name val="Arial"/>
      <family val="2"/>
    </font>
    <font>
      <b/>
      <sz val="18"/>
      <color rgb="FF002060"/>
      <name val="Cambria"/>
      <family val="1"/>
      <scheme val="major"/>
    </font>
    <font>
      <b/>
      <sz val="20"/>
      <color theme="0"/>
      <name val="DevLys 010"/>
    </font>
    <font>
      <b/>
      <sz val="9"/>
      <color theme="0"/>
      <name val="Cambria"/>
      <family val="1"/>
      <scheme val="major"/>
    </font>
    <font>
      <b/>
      <sz val="1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4"/>
      <color rgb="FF002060"/>
      <name val="DevLys 010"/>
    </font>
    <font>
      <b/>
      <sz val="11"/>
      <color theme="1"/>
      <name val="Cambria"/>
      <family val="1"/>
      <scheme val="major"/>
    </font>
    <font>
      <b/>
      <sz val="8"/>
      <color theme="0"/>
      <name val="Cambria"/>
      <family val="1"/>
      <scheme val="major"/>
    </font>
    <font>
      <b/>
      <i/>
      <u/>
      <sz val="14"/>
      <color theme="1"/>
      <name val="Kruti Dev 010"/>
    </font>
    <font>
      <sz val="16"/>
      <color theme="1"/>
      <name val="Kruti Dev 010"/>
    </font>
    <font>
      <sz val="16"/>
      <color theme="1"/>
      <name val="Cambria"/>
      <family val="1"/>
      <scheme val="major"/>
    </font>
    <font>
      <b/>
      <sz val="12"/>
      <name val="DevLys 010"/>
    </font>
    <font>
      <b/>
      <sz val="12"/>
      <name val="Kruti Dev 010"/>
    </font>
    <font>
      <sz val="14"/>
      <name val="Calibri"/>
      <family val="2"/>
      <scheme val="minor"/>
    </font>
    <font>
      <sz val="14"/>
      <name val="DevLys 010"/>
    </font>
    <font>
      <sz val="11"/>
      <name val="Arial"/>
      <family val="2"/>
    </font>
    <font>
      <sz val="10"/>
      <color rgb="FFFF0000"/>
      <name val="DevLys 010"/>
    </font>
    <font>
      <sz val="14"/>
      <color theme="1"/>
      <name val="Justus-Versalitas"/>
    </font>
    <font>
      <sz val="14"/>
      <color rgb="FFFF0000"/>
      <name val="DevLys 010"/>
    </font>
    <font>
      <sz val="24"/>
      <color theme="1"/>
      <name val="DevLys 010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20"/>
      <color theme="0"/>
      <name val="Cambria"/>
      <family val="1"/>
      <scheme val="major"/>
    </font>
    <font>
      <b/>
      <sz val="14"/>
      <color theme="0"/>
      <name val="Cambria"/>
      <family val="1"/>
      <scheme val="major"/>
    </font>
    <font>
      <b/>
      <sz val="12"/>
      <name val="Cambria"/>
      <family val="1"/>
      <scheme val="major"/>
    </font>
    <font>
      <b/>
      <sz val="20"/>
      <color theme="1"/>
      <name val="Cambria"/>
      <family val="1"/>
      <scheme val="major"/>
    </font>
    <font>
      <sz val="20"/>
      <color theme="1"/>
      <name val="Cambria"/>
      <family val="1"/>
      <scheme val="major"/>
    </font>
    <font>
      <b/>
      <sz val="14"/>
      <color theme="0"/>
      <name val="DevLys 010"/>
    </font>
    <font>
      <b/>
      <sz val="26"/>
      <color theme="0"/>
      <name val="Cambria"/>
      <family val="1"/>
      <scheme val="major"/>
    </font>
    <font>
      <b/>
      <sz val="22"/>
      <color rgb="FFFFFF00"/>
      <name val="Cambria"/>
      <family val="1"/>
      <scheme val="major"/>
    </font>
    <font>
      <b/>
      <sz val="24"/>
      <color rgb="FFFFFF00"/>
      <name val="Cambria"/>
      <family val="1"/>
      <scheme val="major"/>
    </font>
    <font>
      <b/>
      <sz val="20"/>
      <color rgb="FFFFFF00"/>
      <name val="Algerian"/>
      <family val="5"/>
    </font>
    <font>
      <b/>
      <sz val="9"/>
      <color rgb="FFFFFF00"/>
      <name val="Cambria"/>
      <family val="1"/>
      <scheme val="major"/>
    </font>
    <font>
      <b/>
      <sz val="30"/>
      <color theme="1"/>
      <name val="Cambria"/>
      <family val="1"/>
      <scheme val="major"/>
    </font>
    <font>
      <b/>
      <sz val="22"/>
      <color theme="1"/>
      <name val="Cambria"/>
      <family val="1"/>
      <scheme val="major"/>
    </font>
    <font>
      <b/>
      <sz val="28"/>
      <color theme="1"/>
      <name val="Cambria"/>
      <family val="1"/>
      <scheme val="major"/>
    </font>
    <font>
      <b/>
      <sz val="26"/>
      <color theme="1"/>
      <name val="Cambria"/>
      <family val="1"/>
      <scheme val="major"/>
    </font>
    <font>
      <b/>
      <sz val="24"/>
      <color theme="1"/>
      <name val="Cambria"/>
      <family val="1"/>
      <scheme val="major"/>
    </font>
    <font>
      <b/>
      <sz val="14"/>
      <color rgb="FFFFFF00"/>
      <name val="Cambria"/>
      <family val="1"/>
      <scheme val="major"/>
    </font>
    <font>
      <b/>
      <sz val="18"/>
      <color rgb="FFFFFF00"/>
      <name val="Cambria"/>
      <family val="1"/>
      <scheme val="major"/>
    </font>
    <font>
      <b/>
      <sz val="11"/>
      <color theme="0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11"/>
      <color rgb="FFFFFF00"/>
      <name val="Cambria"/>
      <family val="1"/>
      <scheme val="major"/>
    </font>
    <font>
      <sz val="12"/>
      <name val="Calibri"/>
      <family val="2"/>
      <scheme val="minor"/>
    </font>
    <font>
      <b/>
      <sz val="14"/>
      <color rgb="FFFF0000"/>
      <name val="DevLys 010"/>
    </font>
    <font>
      <b/>
      <sz val="22"/>
      <color rgb="FFFFFF00"/>
      <name val="Algerian"/>
      <family val="5"/>
    </font>
    <font>
      <b/>
      <sz val="26"/>
      <color rgb="FFFFFF00"/>
      <name val="Balloon XBd BT"/>
      <family val="4"/>
    </font>
    <font>
      <b/>
      <sz val="22"/>
      <color theme="0"/>
      <name val="DevLys 010"/>
    </font>
    <font>
      <b/>
      <sz val="12"/>
      <color rgb="FFFFFF00"/>
      <name val="AlgerianBasD"/>
      <family val="5"/>
    </font>
  </fonts>
  <fills count="2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9" tint="-0.25098422193060094"/>
        </stop>
      </gradient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  <fill>
      <gradientFill type="path" left="0.5" right="0.5" top="0.5" bottom="0.5">
        <stop position="0">
          <color rgb="FFFF0000"/>
        </stop>
        <stop position="1">
          <color theme="1"/>
        </stop>
      </gradientFill>
    </fill>
    <fill>
      <patternFill patternType="solid">
        <fgColor theme="5" tint="0.79998168889431442"/>
        <bgColor indexed="64"/>
      </patternFill>
    </fill>
    <fill>
      <gradientFill type="path" left="0.5" right="0.5" top="0.5" bottom="0.5">
        <stop position="0">
          <color rgb="FFC00000"/>
        </stop>
        <stop position="1">
          <color theme="1"/>
        </stop>
      </gradientFill>
    </fill>
    <fill>
      <gradientFill type="path" left="0.5" right="0.5" top="0.5" bottom="0.5">
        <stop position="0">
          <color rgb="FFFFFF00"/>
        </stop>
        <stop position="1">
          <color theme="9" tint="0.59999389629810485"/>
        </stop>
      </gradientFill>
    </fill>
    <fill>
      <patternFill patternType="solid">
        <fgColor rgb="FF0070C0"/>
        <bgColor indexed="64"/>
      </patternFill>
    </fill>
    <fill>
      <gradientFill degree="90">
        <stop position="0">
          <color theme="1"/>
        </stop>
        <stop position="1">
          <color rgb="FF002060"/>
        </stop>
      </gradientFill>
    </fill>
    <fill>
      <gradientFill type="path" left="0.5" right="0.5" top="0.5" bottom="0.5">
        <stop position="0">
          <color rgb="FF7030A0"/>
        </stop>
        <stop position="1">
          <color theme="1"/>
        </stop>
      </gradientFill>
    </fill>
    <fill>
      <gradientFill degree="90">
        <stop position="0">
          <color theme="1"/>
        </stop>
        <stop position="1">
          <color theme="9" tint="-0.49803155613879818"/>
        </stop>
      </gradientFill>
    </fill>
    <fill>
      <gradientFill degree="90">
        <stop position="0">
          <color theme="1"/>
        </stop>
        <stop position="1">
          <color theme="5" tint="-0.49803155613879818"/>
        </stop>
      </gradientFill>
    </fill>
    <fill>
      <patternFill patternType="solid">
        <fgColor rgb="FFFF0000"/>
        <bgColor indexed="64"/>
      </patternFill>
    </fill>
    <fill>
      <gradientFill type="path" left="0.5" right="0.5" top="0.5" bottom="0.5">
        <stop position="0">
          <color theme="1"/>
        </stop>
        <stop position="1">
          <color theme="7" tint="-0.25098422193060094"/>
        </stop>
      </gradientFill>
    </fill>
    <fill>
      <gradientFill type="path" left="0.5" right="0.5" top="0.5" bottom="0.5">
        <stop position="0">
          <color rgb="FF002060"/>
        </stop>
        <stop position="1">
          <color theme="1"/>
        </stop>
      </gradientFill>
    </fill>
  </fills>
  <borders count="18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theme="1"/>
      </bottom>
      <diagonal/>
    </border>
    <border>
      <left style="medium">
        <color theme="1"/>
      </left>
      <right style="thin">
        <color indexed="64"/>
      </right>
      <top/>
      <bottom/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/>
      <diagonal/>
    </border>
    <border>
      <left/>
      <right style="medium">
        <color theme="1"/>
      </right>
      <top style="thin">
        <color indexed="64"/>
      </top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medium">
        <color theme="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 style="thin">
        <color indexed="64"/>
      </left>
      <right style="medium">
        <color theme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theme="1"/>
      </top>
      <bottom style="medium">
        <color indexed="64"/>
      </bottom>
      <diagonal/>
    </border>
    <border>
      <left/>
      <right style="medium">
        <color indexed="64"/>
      </right>
      <top style="medium">
        <color theme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theme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 style="thin">
        <color theme="0"/>
      </left>
      <right/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theme="0"/>
      </right>
      <top style="medium">
        <color theme="0"/>
      </top>
      <bottom/>
      <diagonal/>
    </border>
    <border>
      <left/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 style="medium">
        <color indexed="64"/>
      </left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/>
      <top style="thin">
        <color indexed="64"/>
      </top>
      <bottom style="medium">
        <color theme="1"/>
      </bottom>
      <diagonal/>
    </border>
    <border>
      <left/>
      <right/>
      <top style="thin">
        <color indexed="64"/>
      </top>
      <bottom style="medium">
        <color theme="1"/>
      </bottom>
      <diagonal/>
    </border>
    <border>
      <left/>
      <right style="medium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theme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/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medium">
        <color theme="1"/>
      </bottom>
      <diagonal/>
    </border>
    <border>
      <left/>
      <right style="medium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medium">
        <color theme="1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thin">
        <color indexed="64"/>
      </bottom>
      <diagonal/>
    </border>
    <border>
      <left/>
      <right style="thin">
        <color indexed="64"/>
      </right>
      <top style="medium">
        <color theme="1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 style="medium">
        <color indexed="64"/>
      </left>
      <right style="medium">
        <color theme="1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/>
      <diagonal/>
    </border>
    <border>
      <left style="thin">
        <color indexed="64"/>
      </left>
      <right/>
      <top style="medium">
        <color theme="1"/>
      </top>
      <bottom style="thin">
        <color indexed="64"/>
      </bottom>
      <diagonal/>
    </border>
    <border>
      <left/>
      <right style="medium">
        <color indexed="64"/>
      </right>
      <top style="medium">
        <color theme="1"/>
      </top>
      <bottom style="thin">
        <color indexed="64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 style="thin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1"/>
      </right>
      <top style="medium">
        <color theme="0"/>
      </top>
      <bottom/>
      <diagonal/>
    </border>
    <border>
      <left style="medium">
        <color theme="0"/>
      </left>
      <right style="medium">
        <color theme="1"/>
      </right>
      <top/>
      <bottom/>
      <diagonal/>
    </border>
    <border>
      <left style="medium">
        <color theme="0"/>
      </left>
      <right style="medium">
        <color theme="1"/>
      </right>
      <top/>
      <bottom style="medium">
        <color theme="0"/>
      </bottom>
      <diagonal/>
    </border>
    <border>
      <left style="medium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medium">
        <color indexed="64"/>
      </right>
      <top/>
      <bottom style="thin">
        <color theme="1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medium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medium">
        <color theme="1"/>
      </right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medium">
        <color indexed="64"/>
      </right>
      <top/>
      <bottom style="thin">
        <color theme="1"/>
      </bottom>
      <diagonal/>
    </border>
    <border>
      <left style="medium">
        <color indexed="64"/>
      </left>
      <right style="medium">
        <color theme="1"/>
      </right>
      <top/>
      <bottom style="thin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/>
      <diagonal/>
    </border>
    <border>
      <left style="medium">
        <color theme="1"/>
      </left>
      <right/>
      <top style="medium">
        <color indexed="64"/>
      </top>
      <bottom/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theme="1"/>
      </bottom>
      <diagonal/>
    </border>
    <border>
      <left style="medium">
        <color indexed="64"/>
      </left>
      <right style="medium">
        <color theme="1"/>
      </right>
      <top style="thin">
        <color indexed="64"/>
      </top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/>
      <right style="medium">
        <color indexed="64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/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/>
      <bottom style="medium">
        <color rgb="FFFF0000"/>
      </bottom>
      <diagonal/>
    </border>
    <border>
      <left style="medium">
        <color rgb="FFFF0000"/>
      </left>
      <right/>
      <top/>
      <bottom/>
      <diagonal/>
    </border>
  </borders>
  <cellStyleXfs count="2">
    <xf numFmtId="0" fontId="0" fillId="0" borderId="0"/>
    <xf numFmtId="0" fontId="39" fillId="0" borderId="0" applyNumberFormat="0" applyFill="0" applyBorder="0" applyAlignment="0" applyProtection="0">
      <alignment vertical="top"/>
      <protection locked="0"/>
    </xf>
  </cellStyleXfs>
  <cellXfs count="637">
    <xf numFmtId="0" fontId="0" fillId="0" borderId="0" xfId="0"/>
    <xf numFmtId="1" fontId="13" fillId="4" borderId="13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15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43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52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48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49" xfId="0" applyNumberFormat="1" applyFont="1" applyFill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center"/>
      <protection hidden="1"/>
    </xf>
    <xf numFmtId="0" fontId="0" fillId="0" borderId="0" xfId="0" applyAlignment="1" applyProtection="1">
      <alignment vertical="center"/>
      <protection hidden="1"/>
    </xf>
    <xf numFmtId="165" fontId="0" fillId="0" borderId="0" xfId="0" applyNumberFormat="1" applyAlignment="1" applyProtection="1">
      <alignment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165" fontId="0" fillId="0" borderId="0" xfId="0" applyNumberFormat="1" applyAlignment="1" applyProtection="1">
      <alignment horizontal="center" vertical="center"/>
      <protection hidden="1"/>
    </xf>
    <xf numFmtId="0" fontId="22" fillId="0" borderId="9" xfId="0" applyFont="1" applyBorder="1" applyAlignment="1" applyProtection="1">
      <alignment horizontal="right" vertical="center"/>
      <protection hidden="1"/>
    </xf>
    <xf numFmtId="0" fontId="22" fillId="0" borderId="13" xfId="0" applyFont="1" applyBorder="1" applyAlignment="1" applyProtection="1">
      <alignment horizontal="right" vertical="center"/>
      <protection hidden="1"/>
    </xf>
    <xf numFmtId="0" fontId="22" fillId="0" borderId="25" xfId="0" applyFont="1" applyBorder="1" applyAlignment="1" applyProtection="1">
      <alignment horizontal="right" vertical="center"/>
      <protection hidden="1"/>
    </xf>
    <xf numFmtId="0" fontId="22" fillId="0" borderId="21" xfId="0" applyFont="1" applyBorder="1" applyAlignment="1" applyProtection="1">
      <alignment horizontal="right" vertical="center"/>
      <protection hidden="1"/>
    </xf>
    <xf numFmtId="0" fontId="22" fillId="0" borderId="17" xfId="0" applyFont="1" applyBorder="1" applyAlignment="1" applyProtection="1">
      <alignment horizontal="right" vertical="center"/>
      <protection hidden="1"/>
    </xf>
    <xf numFmtId="0" fontId="26" fillId="0" borderId="21" xfId="0" applyFont="1" applyBorder="1" applyAlignment="1" applyProtection="1">
      <alignment horizontal="center" vertical="center"/>
      <protection hidden="1"/>
    </xf>
    <xf numFmtId="1" fontId="13" fillId="4" borderId="18" xfId="0" applyNumberFormat="1" applyFont="1" applyFill="1" applyBorder="1" applyAlignment="1" applyProtection="1">
      <alignment horizontal="center" vertical="center"/>
      <protection locked="0" hidden="1"/>
    </xf>
    <xf numFmtId="0" fontId="58" fillId="0" borderId="0" xfId="0" applyFont="1" applyAlignment="1" applyProtection="1">
      <alignment horizontal="center"/>
      <protection hidden="1"/>
    </xf>
    <xf numFmtId="0" fontId="58" fillId="0" borderId="0" xfId="0" applyFont="1" applyAlignment="1" applyProtection="1">
      <protection hidden="1"/>
    </xf>
    <xf numFmtId="0" fontId="58" fillId="0" borderId="0" xfId="0" applyFont="1" applyAlignment="1" applyProtection="1">
      <alignment horizontal="center" vertical="center"/>
      <protection hidden="1"/>
    </xf>
    <xf numFmtId="17" fontId="0" fillId="0" borderId="0" xfId="0" applyNumberFormat="1" applyProtection="1">
      <protection hidden="1"/>
    </xf>
    <xf numFmtId="0" fontId="64" fillId="0" borderId="0" xfId="0" applyFont="1" applyAlignment="1" applyProtection="1">
      <alignment horizontal="center" vertical="center"/>
      <protection hidden="1"/>
    </xf>
    <xf numFmtId="0" fontId="0" fillId="4" borderId="0" xfId="0" applyFill="1" applyAlignment="1" applyProtection="1">
      <alignment horizontal="center"/>
      <protection hidden="1"/>
    </xf>
    <xf numFmtId="0" fontId="0" fillId="4" borderId="0" xfId="0" applyFill="1" applyProtection="1">
      <protection hidden="1"/>
    </xf>
    <xf numFmtId="0" fontId="54" fillId="8" borderId="46" xfId="0" applyFont="1" applyFill="1" applyBorder="1" applyAlignment="1" applyProtection="1">
      <alignment horizontal="center" vertical="center"/>
      <protection hidden="1"/>
    </xf>
    <xf numFmtId="0" fontId="48" fillId="0" borderId="0" xfId="0" applyFont="1" applyAlignment="1" applyProtection="1">
      <alignment vertical="center"/>
      <protection hidden="1"/>
    </xf>
    <xf numFmtId="0" fontId="33" fillId="0" borderId="0" xfId="0" applyFont="1" applyAlignment="1" applyProtection="1">
      <alignment horizontal="justify"/>
      <protection hidden="1"/>
    </xf>
    <xf numFmtId="0" fontId="4" fillId="0" borderId="0" xfId="0" applyFont="1" applyProtection="1">
      <protection hidden="1"/>
    </xf>
    <xf numFmtId="0" fontId="4" fillId="0" borderId="0" xfId="0" applyFont="1" applyAlignment="1" applyProtection="1">
      <alignment horizontal="left" indent="5"/>
      <protection hidden="1"/>
    </xf>
    <xf numFmtId="0" fontId="40" fillId="0" borderId="6" xfId="0" applyFont="1" applyBorder="1" applyAlignment="1" applyProtection="1">
      <alignment horizontal="center" vertical="center" wrapText="1"/>
      <protection locked="0"/>
    </xf>
    <xf numFmtId="0" fontId="47" fillId="0" borderId="6" xfId="0" applyFont="1" applyBorder="1" applyAlignment="1" applyProtection="1">
      <alignment horizontal="center" vertical="center" wrapText="1"/>
      <protection locked="0"/>
    </xf>
    <xf numFmtId="0" fontId="34" fillId="0" borderId="6" xfId="0" applyFont="1" applyBorder="1" applyAlignment="1" applyProtection="1">
      <alignment horizontal="center" vertical="center" wrapText="1"/>
      <protection locked="0"/>
    </xf>
    <xf numFmtId="168" fontId="0" fillId="0" borderId="0" xfId="0" applyNumberFormat="1" applyProtection="1">
      <protection hidden="1"/>
    </xf>
    <xf numFmtId="0" fontId="22" fillId="0" borderId="58" xfId="0" applyFont="1" applyBorder="1" applyAlignment="1" applyProtection="1">
      <alignment horizontal="right" vertical="center"/>
      <protection hidden="1"/>
    </xf>
    <xf numFmtId="1" fontId="13" fillId="4" borderId="76" xfId="0" applyNumberFormat="1" applyFont="1" applyFill="1" applyBorder="1" applyAlignment="1" applyProtection="1">
      <alignment horizontal="center" vertical="center"/>
      <protection locked="0" hidden="1"/>
    </xf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1" fontId="10" fillId="4" borderId="44" xfId="0" applyNumberFormat="1" applyFont="1" applyFill="1" applyBorder="1" applyAlignment="1" applyProtection="1">
      <alignment horizontal="center" vertical="center"/>
      <protection locked="0"/>
    </xf>
    <xf numFmtId="0" fontId="0" fillId="13" borderId="0" xfId="0" applyFill="1" applyAlignment="1" applyProtection="1">
      <alignment horizontal="center"/>
      <protection hidden="1"/>
    </xf>
    <xf numFmtId="0" fontId="0" fillId="0" borderId="0" xfId="0" applyProtection="1">
      <protection hidden="1"/>
    </xf>
    <xf numFmtId="1" fontId="15" fillId="4" borderId="58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60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13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15" xfId="0" applyNumberFormat="1" applyFont="1" applyFill="1" applyBorder="1" applyAlignment="1" applyProtection="1">
      <alignment horizontal="center" vertical="center"/>
      <protection locked="0" hidden="1"/>
    </xf>
    <xf numFmtId="1" fontId="10" fillId="4" borderId="42" xfId="0" applyNumberFormat="1" applyFont="1" applyFill="1" applyBorder="1" applyAlignment="1" applyProtection="1">
      <alignment horizontal="center" vertical="center" wrapText="1"/>
      <protection locked="0"/>
    </xf>
    <xf numFmtId="1" fontId="6" fillId="4" borderId="60" xfId="0" applyNumberFormat="1" applyFont="1" applyFill="1" applyBorder="1" applyAlignment="1" applyProtection="1">
      <alignment horizontal="center" vertical="center"/>
      <protection hidden="1"/>
    </xf>
    <xf numFmtId="0" fontId="80" fillId="0" borderId="0" xfId="0" applyFont="1" applyProtection="1">
      <protection hidden="1"/>
    </xf>
    <xf numFmtId="0" fontId="79" fillId="0" borderId="0" xfId="0" applyFont="1" applyAlignment="1" applyProtection="1">
      <alignment horizontal="left"/>
      <protection hidden="1"/>
    </xf>
    <xf numFmtId="0" fontId="27" fillId="0" borderId="0" xfId="0" applyFont="1" applyProtection="1">
      <protection hidden="1"/>
    </xf>
    <xf numFmtId="0" fontId="45" fillId="0" borderId="23" xfId="0" applyFont="1" applyBorder="1" applyAlignment="1" applyProtection="1">
      <alignment horizontal="center" vertical="top" wrapText="1"/>
      <protection hidden="1"/>
    </xf>
    <xf numFmtId="0" fontId="34" fillId="0" borderId="77" xfId="0" applyFont="1" applyBorder="1" applyAlignment="1" applyProtection="1">
      <alignment horizontal="center" vertical="center" wrapText="1"/>
      <protection hidden="1"/>
    </xf>
    <xf numFmtId="0" fontId="34" fillId="0" borderId="78" xfId="0" applyFont="1" applyBorder="1" applyAlignment="1" applyProtection="1">
      <alignment horizontal="center" vertical="center" wrapText="1"/>
      <protection locked="0" hidden="1"/>
    </xf>
    <xf numFmtId="0" fontId="35" fillId="0" borderId="78" xfId="0" applyFont="1" applyBorder="1" applyAlignment="1" applyProtection="1">
      <alignment horizontal="center" vertical="center" wrapText="1"/>
      <protection locked="0" hidden="1"/>
    </xf>
    <xf numFmtId="0" fontId="36" fillId="0" borderId="78" xfId="0" applyFont="1" applyBorder="1" applyAlignment="1" applyProtection="1">
      <alignment horizontal="center" vertical="center" wrapText="1"/>
      <protection locked="0" hidden="1"/>
    </xf>
    <xf numFmtId="0" fontId="4" fillId="0" borderId="78" xfId="0" applyFont="1" applyBorder="1" applyAlignment="1" applyProtection="1">
      <alignment horizontal="center" vertical="center" wrapText="1"/>
      <protection locked="0" hidden="1"/>
    </xf>
    <xf numFmtId="0" fontId="4" fillId="0" borderId="79" xfId="0" applyFont="1" applyBorder="1" applyAlignment="1" applyProtection="1">
      <alignment horizontal="center" vertical="center" wrapText="1"/>
      <protection locked="0" hidden="1"/>
    </xf>
    <xf numFmtId="0" fontId="40" fillId="0" borderId="26" xfId="0" applyFont="1" applyBorder="1" applyAlignment="1" applyProtection="1">
      <alignment horizontal="center" vertical="center" wrapText="1"/>
      <protection hidden="1"/>
    </xf>
    <xf numFmtId="10" fontId="32" fillId="0" borderId="38" xfId="0" applyNumberFormat="1" applyFont="1" applyBorder="1" applyAlignment="1" applyProtection="1">
      <alignment horizontal="center" vertical="center" wrapText="1"/>
      <protection hidden="1"/>
    </xf>
    <xf numFmtId="10" fontId="46" fillId="7" borderId="26" xfId="0" applyNumberFormat="1" applyFont="1" applyFill="1" applyBorder="1" applyAlignment="1" applyProtection="1">
      <alignment horizontal="center" vertical="center" wrapText="1"/>
      <protection locked="0"/>
    </xf>
    <xf numFmtId="169" fontId="90" fillId="0" borderId="6" xfId="0" applyNumberFormat="1" applyFont="1" applyBorder="1" applyAlignment="1" applyProtection="1">
      <alignment horizontal="center" vertical="center" wrapText="1"/>
      <protection locked="0"/>
    </xf>
    <xf numFmtId="170" fontId="90" fillId="0" borderId="6" xfId="0" applyNumberFormat="1" applyFont="1" applyBorder="1" applyAlignment="1" applyProtection="1">
      <alignment horizontal="center" vertical="center" wrapText="1"/>
      <protection locked="0"/>
    </xf>
    <xf numFmtId="169" fontId="91" fillId="0" borderId="6" xfId="0" applyNumberFormat="1" applyFont="1" applyBorder="1" applyAlignment="1" applyProtection="1">
      <alignment horizontal="center" vertical="center" wrapText="1"/>
      <protection locked="0" hidden="1"/>
    </xf>
    <xf numFmtId="1" fontId="76" fillId="4" borderId="60" xfId="0" applyNumberFormat="1" applyFont="1" applyFill="1" applyBorder="1" applyAlignment="1" applyProtection="1">
      <alignment horizontal="center" vertical="center" wrapText="1"/>
      <protection hidden="1"/>
    </xf>
    <xf numFmtId="1" fontId="6" fillId="4" borderId="28" xfId="0" applyNumberFormat="1" applyFont="1" applyFill="1" applyBorder="1" applyAlignment="1" applyProtection="1">
      <alignment horizontal="center" vertical="center"/>
      <protection hidden="1"/>
    </xf>
    <xf numFmtId="1" fontId="7" fillId="4" borderId="37" xfId="0" applyNumberFormat="1" applyFont="1" applyFill="1" applyBorder="1" applyAlignment="1" applyProtection="1">
      <alignment horizontal="center" vertical="top" wrapText="1"/>
      <protection locked="0"/>
    </xf>
    <xf numFmtId="1" fontId="6" fillId="4" borderId="60" xfId="0" applyNumberFormat="1" applyFont="1" applyFill="1" applyBorder="1" applyAlignment="1" applyProtection="1">
      <alignment horizontal="center" vertical="center" wrapText="1"/>
      <protection hidden="1"/>
    </xf>
    <xf numFmtId="169" fontId="89" fillId="4" borderId="36" xfId="0" applyNumberFormat="1" applyFont="1" applyFill="1" applyBorder="1" applyAlignment="1" applyProtection="1">
      <alignment horizontal="center" wrapText="1"/>
      <protection locked="0" hidden="1"/>
    </xf>
    <xf numFmtId="0" fontId="4" fillId="0" borderId="34" xfId="0" applyFont="1" applyBorder="1" applyAlignment="1" applyProtection="1">
      <alignment horizontal="center" vertical="top" wrapText="1"/>
      <protection hidden="1"/>
    </xf>
    <xf numFmtId="0" fontId="4" fillId="0" borderId="8" xfId="0" applyFont="1" applyBorder="1" applyAlignment="1" applyProtection="1">
      <alignment horizontal="center" vertical="top" wrapText="1"/>
      <protection hidden="1"/>
    </xf>
    <xf numFmtId="0" fontId="34" fillId="0" borderId="26" xfId="0" applyFont="1" applyBorder="1" applyAlignment="1" applyProtection="1">
      <alignment horizontal="center" vertical="center" wrapText="1"/>
      <protection hidden="1"/>
    </xf>
    <xf numFmtId="0" fontId="37" fillId="4" borderId="8" xfId="1" applyFont="1" applyFill="1" applyBorder="1" applyAlignment="1" applyProtection="1">
      <alignment horizontal="center" vertical="top" wrapText="1"/>
      <protection hidden="1"/>
    </xf>
    <xf numFmtId="14" fontId="35" fillId="0" borderId="6" xfId="0" applyNumberFormat="1" applyFont="1" applyBorder="1" applyAlignment="1" applyProtection="1">
      <alignment horizontal="center" vertical="center" wrapText="1"/>
      <protection locked="0"/>
    </xf>
    <xf numFmtId="169" fontId="36" fillId="0" borderId="6" xfId="0" applyNumberFormat="1" applyFont="1" applyBorder="1" applyAlignment="1" applyProtection="1">
      <alignment horizontal="center" vertical="center" wrapText="1"/>
      <protection locked="0"/>
    </xf>
    <xf numFmtId="170" fontId="4" fillId="0" borderId="6" xfId="0" applyNumberFormat="1" applyFont="1" applyBorder="1" applyAlignment="1" applyProtection="1">
      <alignment horizontal="center" vertical="center" wrapText="1"/>
      <protection locked="0"/>
    </xf>
    <xf numFmtId="14" fontId="4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66" xfId="0" applyBorder="1" applyProtection="1">
      <protection hidden="1"/>
    </xf>
    <xf numFmtId="0" fontId="93" fillId="18" borderId="0" xfId="0" applyFont="1" applyFill="1" applyBorder="1" applyAlignment="1" applyProtection="1">
      <protection hidden="1"/>
    </xf>
    <xf numFmtId="0" fontId="70" fillId="12" borderId="46" xfId="0" applyFont="1" applyFill="1" applyBorder="1" applyAlignment="1" applyProtection="1">
      <alignment horizontal="center" vertical="center"/>
      <protection hidden="1"/>
    </xf>
    <xf numFmtId="0" fontId="0" fillId="13" borderId="0" xfId="0" applyFill="1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24" fillId="0" borderId="29" xfId="0" applyFont="1" applyBorder="1" applyAlignment="1" applyProtection="1">
      <alignment horizontal="center" vertical="center" textRotation="90"/>
      <protection hidden="1"/>
    </xf>
    <xf numFmtId="0" fontId="24" fillId="0" borderId="31" xfId="0" applyFont="1" applyBorder="1" applyAlignment="1" applyProtection="1">
      <alignment horizontal="center" vertical="center" textRotation="90"/>
      <protection hidden="1"/>
    </xf>
    <xf numFmtId="0" fontId="0" fillId="0" borderId="0" xfId="0" applyAlignment="1" applyProtection="1">
      <alignment horizontal="center" vertical="center"/>
      <protection hidden="1"/>
    </xf>
    <xf numFmtId="0" fontId="23" fillId="0" borderId="36" xfId="0" applyFont="1" applyBorder="1" applyAlignment="1" applyProtection="1">
      <alignment horizontal="center" vertical="center" textRotation="90" wrapText="1"/>
      <protection hidden="1"/>
    </xf>
    <xf numFmtId="0" fontId="23" fillId="0" borderId="29" xfId="0" applyFont="1" applyBorder="1" applyAlignment="1" applyProtection="1">
      <alignment horizontal="center" vertical="center" textRotation="90" wrapText="1"/>
      <protection hidden="1"/>
    </xf>
    <xf numFmtId="0" fontId="23" fillId="0" borderId="37" xfId="0" applyFont="1" applyBorder="1" applyAlignment="1" applyProtection="1">
      <alignment horizontal="center" vertical="center" textRotation="90" wrapText="1"/>
      <protection hidden="1"/>
    </xf>
    <xf numFmtId="1" fontId="13" fillId="4" borderId="107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111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113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105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114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35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51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60" xfId="0" applyNumberFormat="1" applyFont="1" applyFill="1" applyBorder="1" applyAlignment="1" applyProtection="1">
      <alignment horizontal="center" vertical="center"/>
      <protection locked="0" hidden="1"/>
    </xf>
    <xf numFmtId="0" fontId="52" fillId="4" borderId="1" xfId="0" applyFont="1" applyFill="1" applyBorder="1" applyAlignment="1" applyProtection="1">
      <alignment horizontal="right" vertical="center"/>
      <protection hidden="1"/>
    </xf>
    <xf numFmtId="0" fontId="8" fillId="4" borderId="1" xfId="0" applyFont="1" applyFill="1" applyBorder="1" applyAlignment="1" applyProtection="1">
      <alignment horizontal="center" vertical="center"/>
      <protection hidden="1"/>
    </xf>
    <xf numFmtId="0" fontId="52" fillId="4" borderId="1" xfId="0" applyFont="1" applyFill="1" applyBorder="1" applyAlignment="1" applyProtection="1">
      <alignment vertical="center"/>
      <protection hidden="1"/>
    </xf>
    <xf numFmtId="0" fontId="52" fillId="4" borderId="116" xfId="0" applyFont="1" applyFill="1" applyBorder="1" applyAlignment="1" applyProtection="1">
      <alignment vertical="center"/>
      <protection hidden="1"/>
    </xf>
    <xf numFmtId="0" fontId="66" fillId="4" borderId="1" xfId="0" applyFont="1" applyFill="1" applyBorder="1" applyAlignment="1" applyProtection="1">
      <alignment vertical="center"/>
      <protection hidden="1"/>
    </xf>
    <xf numFmtId="0" fontId="72" fillId="4" borderId="1" xfId="0" applyNumberFormat="1" applyFont="1" applyFill="1" applyBorder="1" applyAlignment="1" applyProtection="1">
      <alignment vertical="center"/>
      <protection hidden="1"/>
    </xf>
    <xf numFmtId="1" fontId="13" fillId="4" borderId="95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29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58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131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142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143" xfId="0" applyNumberFormat="1" applyFont="1" applyFill="1" applyBorder="1" applyAlignment="1" applyProtection="1">
      <alignment horizontal="center" vertical="center"/>
      <protection locked="0" hidden="1"/>
    </xf>
    <xf numFmtId="164" fontId="105" fillId="14" borderId="84" xfId="0" applyNumberFormat="1" applyFont="1" applyFill="1" applyBorder="1" applyAlignment="1" applyProtection="1">
      <alignment horizontal="center" vertical="center" wrapText="1"/>
      <protection hidden="1"/>
    </xf>
    <xf numFmtId="1" fontId="10" fillId="4" borderId="130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132" xfId="0" applyFont="1" applyBorder="1" applyAlignment="1" applyProtection="1">
      <alignment horizontal="center" vertical="center"/>
      <protection locked="0" hidden="1"/>
    </xf>
    <xf numFmtId="1" fontId="13" fillId="4" borderId="120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134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27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148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151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152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153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146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147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154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145" xfId="0" applyNumberFormat="1" applyFont="1" applyFill="1" applyBorder="1" applyAlignment="1" applyProtection="1">
      <alignment horizontal="center" vertical="center"/>
      <protection locked="0" hidden="1"/>
    </xf>
    <xf numFmtId="1" fontId="13" fillId="10" borderId="145" xfId="0" applyNumberFormat="1" applyFont="1" applyFill="1" applyBorder="1" applyAlignment="1" applyProtection="1">
      <alignment horizontal="center" vertical="center"/>
      <protection locked="0" hidden="1"/>
    </xf>
    <xf numFmtId="1" fontId="13" fillId="10" borderId="146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155" xfId="0" applyNumberFormat="1" applyFont="1" applyFill="1" applyBorder="1" applyAlignment="1" applyProtection="1">
      <alignment horizontal="center" vertical="center"/>
      <protection locked="0" hidden="1"/>
    </xf>
    <xf numFmtId="1" fontId="15" fillId="10" borderId="153" xfId="0" applyNumberFormat="1" applyFont="1" applyFill="1" applyBorder="1" applyAlignment="1" applyProtection="1">
      <alignment horizontal="center" vertical="center"/>
      <protection locked="0" hidden="1"/>
    </xf>
    <xf numFmtId="1" fontId="15" fillId="10" borderId="146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150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156" xfId="0" applyNumberFormat="1" applyFont="1" applyFill="1" applyBorder="1" applyAlignment="1" applyProtection="1">
      <alignment horizontal="center" vertical="center"/>
      <protection locked="0" hidden="1"/>
    </xf>
    <xf numFmtId="1" fontId="16" fillId="4" borderId="157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45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28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63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3" xfId="0" applyNumberFormat="1" applyFont="1" applyFill="1" applyBorder="1" applyAlignment="1" applyProtection="1">
      <alignment horizontal="center" vertical="center"/>
      <protection locked="0" hidden="1"/>
    </xf>
    <xf numFmtId="1" fontId="16" fillId="4" borderId="106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19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39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53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144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44" xfId="0" applyNumberFormat="1" applyFont="1" applyFill="1" applyBorder="1" applyAlignment="1" applyProtection="1">
      <alignment horizontal="center" vertical="center"/>
      <protection locked="0" hidden="1"/>
    </xf>
    <xf numFmtId="1" fontId="16" fillId="4" borderId="54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112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108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115" xfId="0" applyNumberFormat="1" applyFont="1" applyFill="1" applyBorder="1" applyAlignment="1" applyProtection="1">
      <alignment horizontal="center" vertical="center"/>
      <protection locked="0" hidden="1"/>
    </xf>
    <xf numFmtId="0" fontId="0" fillId="18" borderId="0" xfId="0" applyFill="1" applyAlignment="1" applyProtection="1">
      <alignment horizontal="center"/>
      <protection hidden="1"/>
    </xf>
    <xf numFmtId="0" fontId="87" fillId="18" borderId="0" xfId="0" applyFont="1" applyFill="1" applyBorder="1" applyAlignment="1" applyProtection="1">
      <alignment horizontal="center"/>
      <protection hidden="1"/>
    </xf>
    <xf numFmtId="0" fontId="96" fillId="18" borderId="0" xfId="0" applyFont="1" applyFill="1" applyBorder="1" applyAlignment="1" applyProtection="1">
      <alignment horizontal="center" vertical="top"/>
      <protection hidden="1"/>
    </xf>
    <xf numFmtId="0" fontId="0" fillId="0" borderId="0" xfId="0" applyProtection="1">
      <protection hidden="1"/>
    </xf>
    <xf numFmtId="0" fontId="18" fillId="0" borderId="102" xfId="0" applyFont="1" applyBorder="1" applyAlignment="1" applyProtection="1">
      <alignment horizontal="center" vertical="center" wrapText="1"/>
      <protection hidden="1"/>
    </xf>
    <xf numFmtId="17" fontId="50" fillId="4" borderId="133" xfId="0" applyNumberFormat="1" applyFont="1" applyFill="1" applyBorder="1" applyAlignment="1" applyProtection="1">
      <alignment vertical="center" textRotation="90"/>
      <protection hidden="1"/>
    </xf>
    <xf numFmtId="166" fontId="13" fillId="4" borderId="134" xfId="0" applyNumberFormat="1" applyFont="1" applyFill="1" applyBorder="1" applyAlignment="1" applyProtection="1">
      <alignment horizontal="center" vertical="center"/>
      <protection hidden="1"/>
    </xf>
    <xf numFmtId="17" fontId="13" fillId="4" borderId="124" xfId="0" applyNumberFormat="1" applyFont="1" applyFill="1" applyBorder="1" applyAlignment="1" applyProtection="1">
      <alignment horizontal="center" vertical="center"/>
      <protection hidden="1"/>
    </xf>
    <xf numFmtId="166" fontId="14" fillId="4" borderId="135" xfId="0" applyNumberFormat="1" applyFont="1" applyFill="1" applyBorder="1" applyAlignment="1" applyProtection="1">
      <alignment horizontal="center" vertical="center" wrapText="1"/>
      <protection hidden="1"/>
    </xf>
    <xf numFmtId="0" fontId="14" fillId="4" borderId="124" xfId="0" applyNumberFormat="1" applyFont="1" applyFill="1" applyBorder="1" applyAlignment="1" applyProtection="1">
      <alignment horizontal="center" vertical="center" wrapText="1"/>
      <protection hidden="1"/>
    </xf>
    <xf numFmtId="0" fontId="14" fillId="0" borderId="132" xfId="0" applyFont="1" applyBorder="1" applyAlignment="1" applyProtection="1">
      <alignment horizontal="center" vertical="center"/>
      <protection hidden="1"/>
    </xf>
    <xf numFmtId="1" fontId="13" fillId="4" borderId="120" xfId="0" applyNumberFormat="1" applyFont="1" applyFill="1" applyBorder="1" applyAlignment="1" applyProtection="1">
      <alignment horizontal="center" vertical="center"/>
      <protection hidden="1"/>
    </xf>
    <xf numFmtId="1" fontId="15" fillId="4" borderId="134" xfId="0" applyNumberFormat="1" applyFont="1" applyFill="1" applyBorder="1" applyAlignment="1" applyProtection="1">
      <alignment horizontal="center" vertical="center"/>
      <protection hidden="1"/>
    </xf>
    <xf numFmtId="0" fontId="0" fillId="0" borderId="60" xfId="0" applyFont="1" applyBorder="1" applyAlignment="1" applyProtection="1">
      <protection hidden="1"/>
    </xf>
    <xf numFmtId="166" fontId="13" fillId="4" borderId="27" xfId="0" applyNumberFormat="1" applyFont="1" applyFill="1" applyBorder="1" applyAlignment="1" applyProtection="1">
      <alignment horizontal="center" vertical="center"/>
      <protection hidden="1"/>
    </xf>
    <xf numFmtId="0" fontId="13" fillId="4" borderId="20" xfId="0" applyFont="1" applyFill="1" applyBorder="1" applyAlignment="1" applyProtection="1">
      <alignment horizontal="center" vertical="center"/>
      <protection hidden="1"/>
    </xf>
    <xf numFmtId="166" fontId="14" fillId="4" borderId="41" xfId="0" applyNumberFormat="1" applyFont="1" applyFill="1" applyBorder="1" applyAlignment="1" applyProtection="1">
      <alignment horizontal="center" vertical="center" wrapText="1"/>
      <protection hidden="1"/>
    </xf>
    <xf numFmtId="0" fontId="14" fillId="4" borderId="40" xfId="0" applyNumberFormat="1" applyFont="1" applyFill="1" applyBorder="1" applyAlignment="1" applyProtection="1">
      <alignment horizontal="center" vertical="center" wrapText="1"/>
      <protection hidden="1"/>
    </xf>
    <xf numFmtId="1" fontId="13" fillId="4" borderId="48" xfId="0" applyNumberFormat="1" applyFont="1" applyFill="1" applyBorder="1" applyAlignment="1" applyProtection="1">
      <alignment horizontal="center" vertical="center"/>
      <protection hidden="1"/>
    </xf>
    <xf numFmtId="1" fontId="13" fillId="4" borderId="18" xfId="0" applyNumberFormat="1" applyFont="1" applyFill="1" applyBorder="1" applyAlignment="1" applyProtection="1">
      <alignment horizontal="center" vertical="center"/>
      <protection hidden="1"/>
    </xf>
    <xf numFmtId="1" fontId="15" fillId="4" borderId="27" xfId="0" applyNumberFormat="1" applyFont="1" applyFill="1" applyBorder="1" applyAlignment="1" applyProtection="1">
      <alignment horizontal="center" vertical="center"/>
      <protection hidden="1"/>
    </xf>
    <xf numFmtId="9" fontId="49" fillId="15" borderId="96" xfId="0" applyNumberFormat="1" applyFont="1" applyFill="1" applyBorder="1" applyAlignment="1" applyProtection="1">
      <alignment horizontal="center" vertical="center"/>
      <protection hidden="1"/>
    </xf>
    <xf numFmtId="9" fontId="49" fillId="15" borderId="62" xfId="0" applyNumberFormat="1" applyFont="1" applyFill="1" applyBorder="1" applyAlignment="1" applyProtection="1">
      <alignment horizontal="center" vertical="center"/>
      <protection hidden="1"/>
    </xf>
    <xf numFmtId="9" fontId="49" fillId="15" borderId="83" xfId="0" applyNumberFormat="1" applyFont="1" applyFill="1" applyBorder="1" applyAlignment="1" applyProtection="1">
      <alignment horizontal="center" vertical="center"/>
      <protection hidden="1"/>
    </xf>
    <xf numFmtId="0" fontId="49" fillId="17" borderId="98" xfId="0" applyFont="1" applyFill="1" applyBorder="1" applyAlignment="1" applyProtection="1">
      <alignment horizontal="center" vertical="center"/>
      <protection hidden="1"/>
    </xf>
    <xf numFmtId="9" fontId="68" fillId="17" borderId="99" xfId="0" applyNumberFormat="1" applyFont="1" applyFill="1" applyBorder="1" applyAlignment="1" applyProtection="1">
      <alignment horizontal="center" vertical="center"/>
      <protection hidden="1"/>
    </xf>
    <xf numFmtId="0" fontId="49" fillId="16" borderId="100" xfId="0" applyFont="1" applyFill="1" applyBorder="1" applyAlignment="1" applyProtection="1">
      <alignment horizontal="center" vertical="center"/>
      <protection hidden="1"/>
    </xf>
    <xf numFmtId="0" fontId="14" fillId="4" borderId="128" xfId="0" applyNumberFormat="1" applyFont="1" applyFill="1" applyBorder="1" applyAlignment="1" applyProtection="1">
      <alignment horizontal="center" vertical="center" wrapText="1"/>
      <protection hidden="1"/>
    </xf>
    <xf numFmtId="1" fontId="15" fillId="4" borderId="148" xfId="0" applyNumberFormat="1" applyFont="1" applyFill="1" applyBorder="1" applyAlignment="1" applyProtection="1">
      <alignment horizontal="center" vertical="center"/>
      <protection hidden="1"/>
    </xf>
    <xf numFmtId="1" fontId="15" fillId="4" borderId="151" xfId="0" applyNumberFormat="1" applyFont="1" applyFill="1" applyBorder="1" applyAlignment="1" applyProtection="1">
      <alignment horizontal="center" vertical="center"/>
      <protection hidden="1"/>
    </xf>
    <xf numFmtId="1" fontId="15" fillId="4" borderId="152" xfId="0" applyNumberFormat="1" applyFont="1" applyFill="1" applyBorder="1" applyAlignment="1" applyProtection="1">
      <alignment horizontal="center" vertical="center"/>
      <protection hidden="1"/>
    </xf>
    <xf numFmtId="1" fontId="13" fillId="4" borderId="153" xfId="0" applyNumberFormat="1" applyFont="1" applyFill="1" applyBorder="1" applyAlignment="1" applyProtection="1">
      <alignment horizontal="center" vertical="center"/>
      <protection hidden="1"/>
    </xf>
    <xf numFmtId="1" fontId="13" fillId="4" borderId="146" xfId="0" applyNumberFormat="1" applyFont="1" applyFill="1" applyBorder="1" applyAlignment="1" applyProtection="1">
      <alignment horizontal="center" vertical="center"/>
      <protection hidden="1"/>
    </xf>
    <xf numFmtId="1" fontId="15" fillId="4" borderId="147" xfId="0" applyNumberFormat="1" applyFont="1" applyFill="1" applyBorder="1" applyAlignment="1" applyProtection="1">
      <alignment horizontal="center" vertical="center"/>
      <protection hidden="1"/>
    </xf>
    <xf numFmtId="1" fontId="15" fillId="4" borderId="154" xfId="0" applyNumberFormat="1" applyFont="1" applyFill="1" applyBorder="1" applyAlignment="1" applyProtection="1">
      <alignment horizontal="center" vertical="center"/>
      <protection hidden="1"/>
    </xf>
    <xf numFmtId="1" fontId="13" fillId="4" borderId="145" xfId="0" applyNumberFormat="1" applyFont="1" applyFill="1" applyBorder="1" applyAlignment="1" applyProtection="1">
      <alignment horizontal="center" vertical="center"/>
      <protection hidden="1"/>
    </xf>
    <xf numFmtId="1" fontId="15" fillId="4" borderId="150" xfId="0" applyNumberFormat="1" applyFont="1" applyFill="1" applyBorder="1" applyAlignment="1" applyProtection="1">
      <alignment horizontal="center" vertical="center"/>
      <protection hidden="1"/>
    </xf>
    <xf numFmtId="1" fontId="13" fillId="4" borderId="156" xfId="0" applyNumberFormat="1" applyFont="1" applyFill="1" applyBorder="1" applyAlignment="1" applyProtection="1">
      <alignment horizontal="center" vertical="center"/>
      <protection hidden="1"/>
    </xf>
    <xf numFmtId="1" fontId="16" fillId="4" borderId="157" xfId="0" applyNumberFormat="1" applyFont="1" applyFill="1" applyBorder="1" applyAlignment="1" applyProtection="1">
      <alignment horizontal="center" vertical="center"/>
      <protection hidden="1"/>
    </xf>
    <xf numFmtId="0" fontId="13" fillId="4" borderId="51" xfId="0" applyFont="1" applyFill="1" applyBorder="1" applyAlignment="1" applyProtection="1">
      <alignment horizontal="center" vertical="center"/>
      <protection hidden="1"/>
    </xf>
    <xf numFmtId="1" fontId="13" fillId="4" borderId="51" xfId="0" applyNumberFormat="1" applyFont="1" applyFill="1" applyBorder="1" applyAlignment="1" applyProtection="1">
      <alignment horizontal="center" vertical="center"/>
      <protection hidden="1"/>
    </xf>
    <xf numFmtId="1" fontId="13" fillId="4" borderId="35" xfId="0" applyNumberFormat="1" applyFont="1" applyFill="1" applyBorder="1" applyAlignment="1" applyProtection="1">
      <alignment horizontal="center" vertical="center"/>
      <protection hidden="1"/>
    </xf>
    <xf numFmtId="1" fontId="15" fillId="4" borderId="45" xfId="0" applyNumberFormat="1" applyFont="1" applyFill="1" applyBorder="1" applyAlignment="1" applyProtection="1">
      <alignment horizontal="center" vertical="center"/>
      <protection hidden="1"/>
    </xf>
    <xf numFmtId="1" fontId="13" fillId="4" borderId="58" xfId="0" applyNumberFormat="1" applyFont="1" applyFill="1" applyBorder="1" applyAlignment="1" applyProtection="1">
      <alignment horizontal="center" vertical="center"/>
      <protection hidden="1"/>
    </xf>
    <xf numFmtId="1" fontId="13" fillId="4" borderId="60" xfId="0" applyNumberFormat="1" applyFont="1" applyFill="1" applyBorder="1" applyAlignment="1" applyProtection="1">
      <alignment horizontal="center" vertical="center"/>
      <protection hidden="1"/>
    </xf>
    <xf numFmtId="1" fontId="15" fillId="4" borderId="28" xfId="0" applyNumberFormat="1" applyFont="1" applyFill="1" applyBorder="1" applyAlignment="1" applyProtection="1">
      <alignment horizontal="center" vertical="center"/>
      <protection hidden="1"/>
    </xf>
    <xf numFmtId="1" fontId="13" fillId="4" borderId="131" xfId="0" applyNumberFormat="1" applyFont="1" applyFill="1" applyBorder="1" applyAlignment="1" applyProtection="1">
      <alignment horizontal="center" vertical="center"/>
      <protection hidden="1"/>
    </xf>
    <xf numFmtId="1" fontId="13" fillId="4" borderId="29" xfId="0" applyNumberFormat="1" applyFont="1" applyFill="1" applyBorder="1" applyAlignment="1" applyProtection="1">
      <alignment horizontal="center" vertical="center"/>
      <protection hidden="1"/>
    </xf>
    <xf numFmtId="1" fontId="15" fillId="4" borderId="63" xfId="0" applyNumberFormat="1" applyFont="1" applyFill="1" applyBorder="1" applyAlignment="1" applyProtection="1">
      <alignment horizontal="center" vertical="center"/>
      <protection hidden="1"/>
    </xf>
    <xf numFmtId="1" fontId="15" fillId="4" borderId="3" xfId="0" applyNumberFormat="1" applyFont="1" applyFill="1" applyBorder="1" applyAlignment="1" applyProtection="1">
      <alignment horizontal="center" vertical="center"/>
      <protection hidden="1"/>
    </xf>
    <xf numFmtId="1" fontId="13" fillId="4" borderId="95" xfId="0" applyNumberFormat="1" applyFont="1" applyFill="1" applyBorder="1" applyAlignment="1" applyProtection="1">
      <alignment horizontal="center" vertical="center"/>
      <protection hidden="1"/>
    </xf>
    <xf numFmtId="1" fontId="16" fillId="4" borderId="106" xfId="0" applyNumberFormat="1" applyFont="1" applyFill="1" applyBorder="1" applyAlignment="1" applyProtection="1">
      <alignment horizontal="center" vertical="center"/>
      <protection hidden="1"/>
    </xf>
    <xf numFmtId="0" fontId="13" fillId="4" borderId="49" xfId="0" applyFont="1" applyFill="1" applyBorder="1" applyAlignment="1" applyProtection="1">
      <alignment horizontal="center" vertical="center"/>
      <protection hidden="1"/>
    </xf>
    <xf numFmtId="1" fontId="13" fillId="4" borderId="49" xfId="0" applyNumberFormat="1" applyFont="1" applyFill="1" applyBorder="1" applyAlignment="1" applyProtection="1">
      <alignment horizontal="center" vertical="center"/>
      <protection hidden="1"/>
    </xf>
    <xf numFmtId="1" fontId="15" fillId="4" borderId="19" xfId="0" applyNumberFormat="1" applyFont="1" applyFill="1" applyBorder="1" applyAlignment="1" applyProtection="1">
      <alignment horizontal="center" vertical="center"/>
      <protection hidden="1"/>
    </xf>
    <xf numFmtId="1" fontId="13" fillId="4" borderId="13" xfId="0" applyNumberFormat="1" applyFont="1" applyFill="1" applyBorder="1" applyAlignment="1" applyProtection="1">
      <alignment horizontal="center" vertical="center"/>
      <protection hidden="1"/>
    </xf>
    <xf numFmtId="1" fontId="13" fillId="4" borderId="15" xfId="0" applyNumberFormat="1" applyFont="1" applyFill="1" applyBorder="1" applyAlignment="1" applyProtection="1">
      <alignment horizontal="center" vertical="center"/>
      <protection hidden="1"/>
    </xf>
    <xf numFmtId="1" fontId="15" fillId="4" borderId="39" xfId="0" applyNumberFormat="1" applyFont="1" applyFill="1" applyBorder="1" applyAlignment="1" applyProtection="1">
      <alignment horizontal="center" vertical="center"/>
      <protection hidden="1"/>
    </xf>
    <xf numFmtId="1" fontId="13" fillId="4" borderId="52" xfId="0" applyNumberFormat="1" applyFont="1" applyFill="1" applyBorder="1" applyAlignment="1" applyProtection="1">
      <alignment horizontal="center" vertical="center"/>
      <protection hidden="1"/>
    </xf>
    <xf numFmtId="1" fontId="13" fillId="4" borderId="43" xfId="0" applyNumberFormat="1" applyFont="1" applyFill="1" applyBorder="1" applyAlignment="1" applyProtection="1">
      <alignment horizontal="center" vertical="center"/>
      <protection hidden="1"/>
    </xf>
    <xf numFmtId="1" fontId="15" fillId="4" borderId="53" xfId="0" applyNumberFormat="1" applyFont="1" applyFill="1" applyBorder="1" applyAlignment="1" applyProtection="1">
      <alignment horizontal="center" vertical="center"/>
      <protection hidden="1"/>
    </xf>
    <xf numFmtId="1" fontId="15" fillId="4" borderId="144" xfId="0" applyNumberFormat="1" applyFont="1" applyFill="1" applyBorder="1" applyAlignment="1" applyProtection="1">
      <alignment horizontal="center" vertical="center"/>
      <protection hidden="1"/>
    </xf>
    <xf numFmtId="1" fontId="15" fillId="4" borderId="44" xfId="0" applyNumberFormat="1" applyFont="1" applyFill="1" applyBorder="1" applyAlignment="1" applyProtection="1">
      <alignment horizontal="center" vertical="center"/>
      <protection hidden="1"/>
    </xf>
    <xf numFmtId="1" fontId="13" fillId="4" borderId="76" xfId="0" applyNumberFormat="1" applyFont="1" applyFill="1" applyBorder="1" applyAlignment="1" applyProtection="1">
      <alignment horizontal="center" vertical="center"/>
      <protection hidden="1"/>
    </xf>
    <xf numFmtId="1" fontId="16" fillId="4" borderId="54" xfId="0" applyNumberFormat="1" applyFont="1" applyFill="1" applyBorder="1" applyAlignment="1" applyProtection="1">
      <alignment horizontal="center" vertical="center"/>
      <protection hidden="1"/>
    </xf>
    <xf numFmtId="0" fontId="13" fillId="4" borderId="107" xfId="0" applyFont="1" applyFill="1" applyBorder="1" applyAlignment="1" applyProtection="1">
      <alignment horizontal="center" vertical="center"/>
      <protection hidden="1"/>
    </xf>
    <xf numFmtId="0" fontId="14" fillId="4" borderId="50" xfId="0" applyNumberFormat="1" applyFont="1" applyFill="1" applyBorder="1" applyAlignment="1" applyProtection="1">
      <alignment horizontal="center" vertical="center" wrapText="1"/>
      <protection hidden="1"/>
    </xf>
    <xf numFmtId="1" fontId="13" fillId="4" borderId="107" xfId="0" applyNumberFormat="1" applyFont="1" applyFill="1" applyBorder="1" applyAlignment="1" applyProtection="1">
      <alignment horizontal="center" vertical="center"/>
      <protection hidden="1"/>
    </xf>
    <xf numFmtId="1" fontId="13" fillId="4" borderId="111" xfId="0" applyNumberFormat="1" applyFont="1" applyFill="1" applyBorder="1" applyAlignment="1" applyProtection="1">
      <alignment horizontal="center" vertical="center"/>
      <protection hidden="1"/>
    </xf>
    <xf numFmtId="1" fontId="15" fillId="4" borderId="112" xfId="0" applyNumberFormat="1" applyFont="1" applyFill="1" applyBorder="1" applyAlignment="1" applyProtection="1">
      <alignment horizontal="center" vertical="center"/>
      <protection hidden="1"/>
    </xf>
    <xf numFmtId="1" fontId="13" fillId="4" borderId="113" xfId="0" applyNumberFormat="1" applyFont="1" applyFill="1" applyBorder="1" applyAlignment="1" applyProtection="1">
      <alignment horizontal="center" vertical="center"/>
      <protection hidden="1"/>
    </xf>
    <xf numFmtId="1" fontId="15" fillId="4" borderId="108" xfId="0" applyNumberFormat="1" applyFont="1" applyFill="1" applyBorder="1" applyAlignment="1" applyProtection="1">
      <alignment horizontal="center" vertical="center"/>
      <protection hidden="1"/>
    </xf>
    <xf numFmtId="1" fontId="13" fillId="4" borderId="105" xfId="0" applyNumberFormat="1" applyFont="1" applyFill="1" applyBorder="1" applyAlignment="1" applyProtection="1">
      <alignment horizontal="center" vertical="center"/>
      <protection hidden="1"/>
    </xf>
    <xf numFmtId="1" fontId="13" fillId="4" borderId="114" xfId="0" applyNumberFormat="1" applyFont="1" applyFill="1" applyBorder="1" applyAlignment="1" applyProtection="1">
      <alignment horizontal="center" vertical="center"/>
      <protection hidden="1"/>
    </xf>
    <xf numFmtId="1" fontId="15" fillId="4" borderId="115" xfId="0" applyNumberFormat="1" applyFont="1" applyFill="1" applyBorder="1" applyAlignment="1" applyProtection="1">
      <alignment horizontal="center" vertical="center"/>
      <protection hidden="1"/>
    </xf>
    <xf numFmtId="1" fontId="13" fillId="10" borderId="145" xfId="0" applyNumberFormat="1" applyFont="1" applyFill="1" applyBorder="1" applyAlignment="1" applyProtection="1">
      <alignment horizontal="center" vertical="center"/>
      <protection locked="0"/>
    </xf>
    <xf numFmtId="1" fontId="13" fillId="10" borderId="146" xfId="0" applyNumberFormat="1" applyFont="1" applyFill="1" applyBorder="1" applyAlignment="1" applyProtection="1">
      <alignment horizontal="center" vertical="center"/>
      <protection locked="0"/>
    </xf>
    <xf numFmtId="1" fontId="13" fillId="4" borderId="120" xfId="0" applyNumberFormat="1" applyFont="1" applyFill="1" applyBorder="1" applyAlignment="1" applyProtection="1">
      <alignment horizontal="center" vertical="center"/>
      <protection locked="0"/>
    </xf>
    <xf numFmtId="1" fontId="13" fillId="4" borderId="18" xfId="0" applyNumberFormat="1" applyFont="1" applyFill="1" applyBorder="1" applyAlignment="1" applyProtection="1">
      <alignment horizontal="center" vertical="center"/>
      <protection locked="0"/>
    </xf>
    <xf numFmtId="1" fontId="15" fillId="4" borderId="151" xfId="0" applyNumberFormat="1" applyFont="1" applyFill="1" applyBorder="1" applyAlignment="1" applyProtection="1">
      <alignment horizontal="center" vertical="center"/>
      <protection locked="0"/>
    </xf>
    <xf numFmtId="1" fontId="13" fillId="4" borderId="146" xfId="0" applyNumberFormat="1" applyFont="1" applyFill="1" applyBorder="1" applyAlignment="1" applyProtection="1">
      <alignment horizontal="center" vertical="center"/>
      <protection locked="0"/>
    </xf>
    <xf numFmtId="1" fontId="13" fillId="4" borderId="35" xfId="0" applyNumberFormat="1" applyFont="1" applyFill="1" applyBorder="1" applyAlignment="1" applyProtection="1">
      <alignment horizontal="center" vertical="center"/>
      <protection locked="0"/>
    </xf>
    <xf numFmtId="1" fontId="13" fillId="4" borderId="111" xfId="0" applyNumberFormat="1" applyFont="1" applyFill="1" applyBorder="1" applyAlignment="1" applyProtection="1">
      <alignment horizontal="center" vertical="center"/>
      <protection locked="0"/>
    </xf>
    <xf numFmtId="9" fontId="49" fillId="15" borderId="96" xfId="0" applyNumberFormat="1" applyFont="1" applyFill="1" applyBorder="1" applyAlignment="1" applyProtection="1">
      <alignment horizontal="center" vertical="center"/>
      <protection locked="0"/>
    </xf>
    <xf numFmtId="9" fontId="49" fillId="15" borderId="62" xfId="0" applyNumberFormat="1" applyFont="1" applyFill="1" applyBorder="1" applyAlignment="1" applyProtection="1">
      <alignment horizontal="center" vertical="center"/>
      <protection locked="0"/>
    </xf>
    <xf numFmtId="9" fontId="49" fillId="15" borderId="83" xfId="0" applyNumberFormat="1" applyFont="1" applyFill="1" applyBorder="1" applyAlignment="1" applyProtection="1">
      <alignment horizontal="center" vertical="center"/>
      <protection locked="0"/>
    </xf>
    <xf numFmtId="0" fontId="49" fillId="17" borderId="98" xfId="0" applyFont="1" applyFill="1" applyBorder="1" applyAlignment="1" applyProtection="1">
      <alignment horizontal="center" vertical="center"/>
      <protection locked="0"/>
    </xf>
    <xf numFmtId="9" fontId="68" fillId="17" borderId="99" xfId="0" applyNumberFormat="1" applyFont="1" applyFill="1" applyBorder="1" applyAlignment="1" applyProtection="1">
      <alignment horizontal="center" vertical="center"/>
      <protection locked="0"/>
    </xf>
    <xf numFmtId="0" fontId="49" fillId="16" borderId="100" xfId="0" applyFont="1" applyFill="1" applyBorder="1" applyAlignment="1" applyProtection="1">
      <alignment horizontal="center" vertical="center"/>
      <protection locked="0"/>
    </xf>
    <xf numFmtId="14" fontId="65" fillId="12" borderId="159" xfId="0" quotePrefix="1" applyNumberFormat="1" applyFont="1" applyFill="1" applyBorder="1" applyAlignment="1" applyProtection="1">
      <alignment horizontal="center" vertical="center"/>
      <protection locked="0"/>
    </xf>
    <xf numFmtId="0" fontId="61" fillId="12" borderId="161" xfId="0" applyFont="1" applyFill="1" applyBorder="1" applyAlignment="1" applyProtection="1">
      <alignment horizontal="center" vertical="center" wrapText="1"/>
      <protection locked="0"/>
    </xf>
    <xf numFmtId="0" fontId="61" fillId="12" borderId="161" xfId="0" applyFont="1" applyFill="1" applyBorder="1" applyAlignment="1" applyProtection="1">
      <alignment horizontal="center" vertical="center"/>
      <protection locked="0"/>
    </xf>
    <xf numFmtId="0" fontId="65" fillId="12" borderId="161" xfId="0" applyFont="1" applyFill="1" applyBorder="1" applyAlignment="1" applyProtection="1">
      <alignment horizontal="center" vertical="center"/>
      <protection locked="0"/>
    </xf>
    <xf numFmtId="0" fontId="65" fillId="12" borderId="161" xfId="0" applyFont="1" applyFill="1" applyBorder="1" applyAlignment="1" applyProtection="1">
      <alignment horizontal="center" vertical="center" wrapText="1"/>
      <protection locked="0"/>
    </xf>
    <xf numFmtId="169" fontId="65" fillId="12" borderId="162" xfId="0" applyNumberFormat="1" applyFont="1" applyFill="1" applyBorder="1" applyAlignment="1" applyProtection="1">
      <alignment horizontal="center" vertical="center"/>
      <protection locked="0"/>
    </xf>
    <xf numFmtId="169" fontId="65" fillId="12" borderId="162" xfId="0" quotePrefix="1" applyNumberFormat="1" applyFont="1" applyFill="1" applyBorder="1" applyAlignment="1" applyProtection="1">
      <alignment horizontal="center" vertical="center"/>
      <protection locked="0"/>
    </xf>
    <xf numFmtId="14" fontId="65" fillId="12" borderId="162" xfId="0" quotePrefix="1" applyNumberFormat="1" applyFont="1" applyFill="1" applyBorder="1" applyAlignment="1" applyProtection="1">
      <alignment horizontal="center" vertical="center"/>
      <protection locked="0"/>
    </xf>
    <xf numFmtId="9" fontId="65" fillId="12" borderId="163" xfId="0" applyNumberFormat="1" applyFont="1" applyFill="1" applyBorder="1" applyAlignment="1" applyProtection="1">
      <alignment horizontal="center" vertical="center"/>
      <protection locked="0"/>
    </xf>
    <xf numFmtId="0" fontId="66" fillId="20" borderId="159" xfId="0" applyFont="1" applyFill="1" applyBorder="1" applyAlignment="1" applyProtection="1">
      <alignment horizontal="center" vertical="center" wrapText="1"/>
      <protection hidden="1"/>
    </xf>
    <xf numFmtId="0" fontId="62" fillId="20" borderId="160" xfId="0" applyFont="1" applyFill="1" applyBorder="1" applyAlignment="1" applyProtection="1">
      <alignment horizontal="right" vertical="center" wrapText="1"/>
      <protection hidden="1"/>
    </xf>
    <xf numFmtId="0" fontId="54" fillId="8" borderId="162" xfId="0" applyFont="1" applyFill="1" applyBorder="1" applyAlignment="1" applyProtection="1">
      <alignment horizontal="center" vertical="center"/>
      <protection hidden="1"/>
    </xf>
    <xf numFmtId="0" fontId="18" fillId="0" borderId="50" xfId="0" applyFont="1" applyBorder="1" applyAlignment="1" applyProtection="1">
      <alignment horizontal="center" vertical="center" wrapText="1"/>
      <protection hidden="1"/>
    </xf>
    <xf numFmtId="0" fontId="10" fillId="0" borderId="113" xfId="0" applyFont="1" applyBorder="1" applyAlignment="1" applyProtection="1">
      <alignment horizontal="center" vertical="center" textRotation="90"/>
      <protection hidden="1"/>
    </xf>
    <xf numFmtId="0" fontId="10" fillId="0" borderId="111" xfId="0" applyFont="1" applyBorder="1" applyAlignment="1" applyProtection="1">
      <alignment horizontal="center" vertical="center" textRotation="90"/>
      <protection hidden="1"/>
    </xf>
    <xf numFmtId="0" fontId="10" fillId="10" borderId="111" xfId="0" applyFont="1" applyFill="1" applyBorder="1" applyAlignment="1" applyProtection="1">
      <alignment horizontal="center" vertical="center" textRotation="90"/>
      <protection locked="0"/>
    </xf>
    <xf numFmtId="0" fontId="10" fillId="0" borderId="112" xfId="0" applyFont="1" applyBorder="1" applyAlignment="1" applyProtection="1">
      <alignment horizontal="center" vertical="center" textRotation="90"/>
      <protection hidden="1"/>
    </xf>
    <xf numFmtId="0" fontId="10" fillId="10" borderId="111" xfId="0" applyFont="1" applyFill="1" applyBorder="1" applyAlignment="1" applyProtection="1">
      <alignment horizontal="center" vertical="center" textRotation="90"/>
      <protection hidden="1"/>
    </xf>
    <xf numFmtId="0" fontId="10" fillId="0" borderId="113" xfId="0" applyFont="1" applyBorder="1" applyAlignment="1" applyProtection="1">
      <alignment horizontal="center" vertical="center" textRotation="90" wrapText="1"/>
      <protection hidden="1"/>
    </xf>
    <xf numFmtId="0" fontId="10" fillId="0" borderId="111" xfId="0" applyFont="1" applyBorder="1" applyAlignment="1" applyProtection="1">
      <alignment horizontal="center" vertical="center" textRotation="90" wrapText="1"/>
      <protection hidden="1"/>
    </xf>
    <xf numFmtId="0" fontId="10" fillId="0" borderId="112" xfId="0" applyFont="1" applyBorder="1" applyAlignment="1" applyProtection="1">
      <alignment horizontal="center" vertical="center" textRotation="90" wrapText="1"/>
      <protection hidden="1"/>
    </xf>
    <xf numFmtId="0" fontId="10" fillId="0" borderId="115" xfId="0" applyFont="1" applyBorder="1" applyAlignment="1" applyProtection="1">
      <alignment horizontal="center" vertical="center" textRotation="90" wrapText="1"/>
      <protection hidden="1"/>
    </xf>
    <xf numFmtId="0" fontId="10" fillId="0" borderId="114" xfId="0" applyFont="1" applyBorder="1" applyAlignment="1" applyProtection="1">
      <alignment horizontal="center" vertical="center" textRotation="90" wrapText="1"/>
      <protection hidden="1"/>
    </xf>
    <xf numFmtId="49" fontId="17" fillId="2" borderId="173" xfId="0" applyNumberFormat="1" applyFont="1" applyFill="1" applyBorder="1" applyAlignment="1" applyProtection="1">
      <alignment horizontal="center" vertical="center"/>
      <protection hidden="1"/>
    </xf>
    <xf numFmtId="1" fontId="12" fillId="2" borderId="175" xfId="0" applyNumberFormat="1" applyFont="1" applyFill="1" applyBorder="1" applyAlignment="1" applyProtection="1">
      <alignment horizontal="center" vertical="center" textRotation="90"/>
      <protection hidden="1"/>
    </xf>
    <xf numFmtId="1" fontId="12" fillId="2" borderId="176" xfId="0" applyNumberFormat="1" applyFont="1" applyFill="1" applyBorder="1" applyAlignment="1" applyProtection="1">
      <alignment horizontal="center" vertical="center" textRotation="90"/>
      <protection hidden="1"/>
    </xf>
    <xf numFmtId="1" fontId="16" fillId="2" borderId="177" xfId="0" applyNumberFormat="1" applyFont="1" applyFill="1" applyBorder="1" applyAlignment="1" applyProtection="1">
      <alignment horizontal="center" vertical="center" textRotation="90"/>
      <protection hidden="1"/>
    </xf>
    <xf numFmtId="1" fontId="12" fillId="2" borderId="178" xfId="0" applyNumberFormat="1" applyFont="1" applyFill="1" applyBorder="1" applyAlignment="1" applyProtection="1">
      <alignment horizontal="center" vertical="center" textRotation="90"/>
      <protection hidden="1"/>
    </xf>
    <xf numFmtId="1" fontId="12" fillId="2" borderId="177" xfId="0" applyNumberFormat="1" applyFont="1" applyFill="1" applyBorder="1" applyAlignment="1" applyProtection="1">
      <alignment horizontal="center" vertical="center" textRotation="90"/>
      <protection hidden="1"/>
    </xf>
    <xf numFmtId="1" fontId="12" fillId="2" borderId="179" xfId="0" applyNumberFormat="1" applyFont="1" applyFill="1" applyBorder="1" applyAlignment="1" applyProtection="1">
      <alignment horizontal="center" vertical="center" textRotation="90"/>
      <protection hidden="1"/>
    </xf>
    <xf numFmtId="1" fontId="12" fillId="2" borderId="180" xfId="0" applyNumberFormat="1" applyFont="1" applyFill="1" applyBorder="1" applyAlignment="1" applyProtection="1">
      <alignment horizontal="center" vertical="center" textRotation="90"/>
      <protection hidden="1"/>
    </xf>
    <xf numFmtId="1" fontId="18" fillId="2" borderId="181" xfId="0" applyNumberFormat="1" applyFont="1" applyFill="1" applyBorder="1" applyAlignment="1" applyProtection="1">
      <alignment horizontal="center" vertical="center" textRotation="90"/>
      <protection hidden="1"/>
    </xf>
    <xf numFmtId="1" fontId="18" fillId="5" borderId="182" xfId="0" applyNumberFormat="1" applyFont="1" applyFill="1" applyBorder="1" applyAlignment="1" applyProtection="1">
      <alignment horizontal="center" vertical="center" textRotation="90"/>
      <protection hidden="1"/>
    </xf>
    <xf numFmtId="0" fontId="10" fillId="0" borderId="113" xfId="0" applyFont="1" applyBorder="1" applyAlignment="1" applyProtection="1">
      <alignment horizontal="center" vertical="center" textRotation="90"/>
      <protection locked="0"/>
    </xf>
    <xf numFmtId="0" fontId="10" fillId="0" borderId="111" xfId="0" applyFont="1" applyBorder="1" applyAlignment="1" applyProtection="1">
      <alignment horizontal="center" vertical="center" textRotation="90"/>
      <protection locked="0"/>
    </xf>
    <xf numFmtId="0" fontId="10" fillId="0" borderId="112" xfId="0" applyFont="1" applyBorder="1" applyAlignment="1" applyProtection="1">
      <alignment horizontal="center" vertical="center" textRotation="90"/>
      <protection locked="0"/>
    </xf>
    <xf numFmtId="0" fontId="10" fillId="0" borderId="113" xfId="0" applyFont="1" applyBorder="1" applyAlignment="1" applyProtection="1">
      <alignment horizontal="center" vertical="center" textRotation="90" wrapText="1"/>
      <protection locked="0"/>
    </xf>
    <xf numFmtId="0" fontId="10" fillId="0" borderId="111" xfId="0" applyFont="1" applyBorder="1" applyAlignment="1" applyProtection="1">
      <alignment horizontal="center" vertical="center" textRotation="90" wrapText="1"/>
      <protection locked="0"/>
    </xf>
    <xf numFmtId="0" fontId="10" fillId="0" borderId="112" xfId="0" applyFont="1" applyBorder="1" applyAlignment="1" applyProtection="1">
      <alignment horizontal="center" vertical="center" textRotation="90" wrapText="1"/>
      <protection locked="0"/>
    </xf>
    <xf numFmtId="0" fontId="10" fillId="0" borderId="115" xfId="0" applyFont="1" applyBorder="1" applyAlignment="1" applyProtection="1">
      <alignment horizontal="center" vertical="center" textRotation="90" wrapText="1"/>
      <protection locked="0"/>
    </xf>
    <xf numFmtId="0" fontId="10" fillId="0" borderId="114" xfId="0" applyFont="1" applyBorder="1" applyAlignment="1" applyProtection="1">
      <alignment horizontal="center" vertical="center" textRotation="90" wrapText="1"/>
      <protection locked="0"/>
    </xf>
    <xf numFmtId="1" fontId="12" fillId="2" borderId="175" xfId="0" applyNumberFormat="1" applyFont="1" applyFill="1" applyBorder="1" applyAlignment="1" applyProtection="1">
      <alignment horizontal="center" vertical="center" textRotation="90"/>
      <protection locked="0"/>
    </xf>
    <xf numFmtId="1" fontId="12" fillId="2" borderId="176" xfId="0" applyNumberFormat="1" applyFont="1" applyFill="1" applyBorder="1" applyAlignment="1" applyProtection="1">
      <alignment horizontal="center" vertical="center" textRotation="90"/>
      <protection locked="0"/>
    </xf>
    <xf numFmtId="1" fontId="16" fillId="2" borderId="177" xfId="0" applyNumberFormat="1" applyFont="1" applyFill="1" applyBorder="1" applyAlignment="1" applyProtection="1">
      <alignment horizontal="center" vertical="center" textRotation="90"/>
      <protection locked="0"/>
    </xf>
    <xf numFmtId="1" fontId="12" fillId="2" borderId="178" xfId="0" applyNumberFormat="1" applyFont="1" applyFill="1" applyBorder="1" applyAlignment="1" applyProtection="1">
      <alignment horizontal="center" vertical="center" textRotation="90"/>
      <protection locked="0"/>
    </xf>
    <xf numFmtId="1" fontId="12" fillId="2" borderId="177" xfId="0" applyNumberFormat="1" applyFont="1" applyFill="1" applyBorder="1" applyAlignment="1" applyProtection="1">
      <alignment horizontal="center" vertical="center" textRotation="90"/>
      <protection locked="0"/>
    </xf>
    <xf numFmtId="1" fontId="12" fillId="2" borderId="179" xfId="0" applyNumberFormat="1" applyFont="1" applyFill="1" applyBorder="1" applyAlignment="1" applyProtection="1">
      <alignment horizontal="center" vertical="center" textRotation="90"/>
      <protection locked="0"/>
    </xf>
    <xf numFmtId="1" fontId="12" fillId="2" borderId="180" xfId="0" applyNumberFormat="1" applyFont="1" applyFill="1" applyBorder="1" applyAlignment="1" applyProtection="1">
      <alignment horizontal="center" vertical="center" textRotation="90"/>
      <protection locked="0"/>
    </xf>
    <xf numFmtId="1" fontId="18" fillId="2" borderId="181" xfId="0" applyNumberFormat="1" applyFont="1" applyFill="1" applyBorder="1" applyAlignment="1" applyProtection="1">
      <alignment horizontal="center" vertical="center" textRotation="90"/>
      <protection locked="0"/>
    </xf>
    <xf numFmtId="0" fontId="0" fillId="18" borderId="0" xfId="0" applyFill="1" applyAlignment="1" applyProtection="1">
      <alignment horizontal="center"/>
      <protection hidden="1"/>
    </xf>
    <xf numFmtId="0" fontId="54" fillId="20" borderId="160" xfId="0" applyFont="1" applyFill="1" applyBorder="1" applyAlignment="1" applyProtection="1">
      <alignment horizontal="center" vertical="center" wrapText="1"/>
      <protection hidden="1"/>
    </xf>
    <xf numFmtId="0" fontId="54" fillId="20" borderId="161" xfId="0" applyFont="1" applyFill="1" applyBorder="1" applyAlignment="1" applyProtection="1">
      <alignment horizontal="center" vertical="center" wrapText="1"/>
      <protection hidden="1"/>
    </xf>
    <xf numFmtId="0" fontId="54" fillId="20" borderId="162" xfId="0" applyFont="1" applyFill="1" applyBorder="1" applyAlignment="1" applyProtection="1">
      <alignment horizontal="center" vertical="center" wrapText="1"/>
      <protection hidden="1"/>
    </xf>
    <xf numFmtId="0" fontId="92" fillId="20" borderId="160" xfId="0" applyFont="1" applyFill="1" applyBorder="1" applyAlignment="1" applyProtection="1">
      <alignment horizontal="center" vertical="center" wrapText="1"/>
      <protection hidden="1"/>
    </xf>
    <xf numFmtId="0" fontId="92" fillId="20" borderId="161" xfId="0" applyFont="1" applyFill="1" applyBorder="1" applyAlignment="1" applyProtection="1">
      <alignment horizontal="center" vertical="center" wrapText="1"/>
      <protection hidden="1"/>
    </xf>
    <xf numFmtId="0" fontId="92" fillId="20" borderId="162" xfId="0" applyFont="1" applyFill="1" applyBorder="1" applyAlignment="1" applyProtection="1">
      <alignment horizontal="center" vertical="center" wrapText="1"/>
      <protection hidden="1"/>
    </xf>
    <xf numFmtId="0" fontId="61" fillId="12" borderId="161" xfId="0" applyFont="1" applyFill="1" applyBorder="1" applyAlignment="1" applyProtection="1">
      <alignment horizontal="center" vertical="center"/>
      <protection locked="0"/>
    </xf>
    <xf numFmtId="0" fontId="61" fillId="12" borderId="162" xfId="0" applyFont="1" applyFill="1" applyBorder="1" applyAlignment="1" applyProtection="1">
      <alignment horizontal="center" vertical="center"/>
      <protection locked="0"/>
    </xf>
    <xf numFmtId="0" fontId="87" fillId="18" borderId="0" xfId="0" applyFont="1" applyFill="1" applyBorder="1" applyAlignment="1" applyProtection="1">
      <alignment horizontal="center"/>
      <protection hidden="1"/>
    </xf>
    <xf numFmtId="0" fontId="62" fillId="20" borderId="160" xfId="0" applyFont="1" applyFill="1" applyBorder="1" applyAlignment="1" applyProtection="1">
      <alignment horizontal="center" vertical="center" wrapText="1"/>
      <protection hidden="1"/>
    </xf>
    <xf numFmtId="0" fontId="62" fillId="20" borderId="161" xfId="0" applyFont="1" applyFill="1" applyBorder="1" applyAlignment="1" applyProtection="1">
      <alignment horizontal="center" vertical="center" wrapText="1"/>
      <protection hidden="1"/>
    </xf>
    <xf numFmtId="0" fontId="62" fillId="20" borderId="162" xfId="0" applyFont="1" applyFill="1" applyBorder="1" applyAlignment="1" applyProtection="1">
      <alignment horizontal="center" vertical="center" wrapText="1"/>
      <protection hidden="1"/>
    </xf>
    <xf numFmtId="0" fontId="93" fillId="14" borderId="0" xfId="0" applyFont="1" applyFill="1" applyBorder="1" applyAlignment="1" applyProtection="1">
      <alignment horizontal="center"/>
      <protection hidden="1"/>
    </xf>
    <xf numFmtId="0" fontId="104" fillId="14" borderId="160" xfId="0" applyFont="1" applyFill="1" applyBorder="1" applyAlignment="1" applyProtection="1">
      <alignment horizontal="left" vertical="center" wrapText="1"/>
      <protection hidden="1"/>
    </xf>
    <xf numFmtId="0" fontId="6" fillId="4" borderId="103" xfId="0" applyFont="1" applyFill="1" applyBorder="1" applyAlignment="1" applyProtection="1">
      <alignment horizontal="right" vertical="center"/>
      <protection hidden="1"/>
    </xf>
    <xf numFmtId="0" fontId="6" fillId="4" borderId="102" xfId="0" applyFont="1" applyFill="1" applyBorder="1" applyAlignment="1" applyProtection="1">
      <alignment horizontal="right" vertical="center"/>
      <protection hidden="1"/>
    </xf>
    <xf numFmtId="0" fontId="6" fillId="4" borderId="104" xfId="0" applyFont="1" applyFill="1" applyBorder="1" applyAlignment="1" applyProtection="1">
      <alignment horizontal="right" vertical="center"/>
      <protection hidden="1"/>
    </xf>
    <xf numFmtId="0" fontId="9" fillId="0" borderId="119" xfId="0" applyFont="1" applyBorder="1" applyAlignment="1" applyProtection="1">
      <alignment horizontal="center" vertical="center" wrapText="1"/>
      <protection hidden="1"/>
    </xf>
    <xf numFmtId="0" fontId="9" fillId="0" borderId="120" xfId="0" applyFont="1" applyBorder="1" applyAlignment="1" applyProtection="1">
      <alignment horizontal="center" vertical="center" wrapText="1"/>
      <protection hidden="1"/>
    </xf>
    <xf numFmtId="0" fontId="9" fillId="0" borderId="121" xfId="0" applyFont="1" applyBorder="1" applyAlignment="1" applyProtection="1">
      <alignment horizontal="center" vertical="center" wrapText="1"/>
      <protection hidden="1"/>
    </xf>
    <xf numFmtId="0" fontId="7" fillId="4" borderId="73" xfId="0" applyFont="1" applyFill="1" applyBorder="1" applyAlignment="1" applyProtection="1">
      <alignment horizontal="left" vertical="center" indent="1"/>
      <protection hidden="1"/>
    </xf>
    <xf numFmtId="0" fontId="69" fillId="14" borderId="65" xfId="0" applyFont="1" applyFill="1" applyBorder="1" applyAlignment="1" applyProtection="1">
      <alignment horizontal="center" vertical="center" wrapText="1"/>
      <protection hidden="1"/>
    </xf>
    <xf numFmtId="0" fontId="69" fillId="14" borderId="0" xfId="0" applyFont="1" applyFill="1" applyBorder="1" applyAlignment="1" applyProtection="1">
      <alignment horizontal="center" vertical="center" wrapText="1"/>
      <protection hidden="1"/>
    </xf>
    <xf numFmtId="0" fontId="69" fillId="14" borderId="66" xfId="0" applyFont="1" applyFill="1" applyBorder="1" applyAlignment="1" applyProtection="1">
      <alignment horizontal="center" vertical="center" wrapText="1"/>
      <protection hidden="1"/>
    </xf>
    <xf numFmtId="0" fontId="0" fillId="13" borderId="0" xfId="0" applyFill="1" applyBorder="1" applyAlignment="1" applyProtection="1">
      <alignment horizontal="center"/>
      <protection hidden="1"/>
    </xf>
    <xf numFmtId="0" fontId="7" fillId="4" borderId="73" xfId="0" applyFont="1" applyFill="1" applyBorder="1" applyAlignment="1" applyProtection="1">
      <alignment horizontal="left" vertical="center"/>
      <protection hidden="1"/>
    </xf>
    <xf numFmtId="0" fontId="7" fillId="4" borderId="74" xfId="0" applyFont="1" applyFill="1" applyBorder="1" applyAlignment="1" applyProtection="1">
      <alignment horizontal="left" vertical="center"/>
      <protection hidden="1"/>
    </xf>
    <xf numFmtId="0" fontId="95" fillId="19" borderId="88" xfId="0" applyFont="1" applyFill="1" applyBorder="1" applyAlignment="1" applyProtection="1">
      <alignment horizontal="center" vertical="center" textRotation="90" wrapText="1"/>
      <protection hidden="1"/>
    </xf>
    <xf numFmtId="0" fontId="95" fillId="19" borderId="89" xfId="0" applyFont="1" applyFill="1" applyBorder="1" applyAlignment="1" applyProtection="1">
      <alignment horizontal="center" vertical="center" textRotation="90" wrapText="1"/>
      <protection hidden="1"/>
    </xf>
    <xf numFmtId="0" fontId="95" fillId="19" borderId="92" xfId="0" applyFont="1" applyFill="1" applyBorder="1" applyAlignment="1" applyProtection="1">
      <alignment horizontal="center" vertical="center" textRotation="90" wrapText="1"/>
      <protection hidden="1"/>
    </xf>
    <xf numFmtId="0" fontId="95" fillId="19" borderId="93" xfId="0" applyFont="1" applyFill="1" applyBorder="1" applyAlignment="1" applyProtection="1">
      <alignment horizontal="center" vertical="center" textRotation="90" wrapText="1"/>
      <protection hidden="1"/>
    </xf>
    <xf numFmtId="0" fontId="95" fillId="19" borderId="90" xfId="0" applyFont="1" applyFill="1" applyBorder="1" applyAlignment="1" applyProtection="1">
      <alignment horizontal="center" vertical="center" textRotation="90" wrapText="1"/>
      <protection hidden="1"/>
    </xf>
    <xf numFmtId="0" fontId="95" fillId="19" borderId="91" xfId="0" applyFont="1" applyFill="1" applyBorder="1" applyAlignment="1" applyProtection="1">
      <alignment horizontal="center" vertical="center" textRotation="90" wrapText="1"/>
      <protection hidden="1"/>
    </xf>
    <xf numFmtId="0" fontId="95" fillId="19" borderId="0" xfId="0" applyFont="1" applyFill="1" applyBorder="1" applyAlignment="1" applyProtection="1">
      <alignment horizontal="center" vertical="center" textRotation="90" wrapText="1"/>
      <protection hidden="1"/>
    </xf>
    <xf numFmtId="0" fontId="95" fillId="19" borderId="56" xfId="0" applyFont="1" applyFill="1" applyBorder="1" applyAlignment="1" applyProtection="1">
      <alignment horizontal="center" vertical="center" textRotation="90" wrapText="1"/>
      <protection hidden="1"/>
    </xf>
    <xf numFmtId="0" fontId="103" fillId="15" borderId="88" xfId="0" applyFont="1" applyFill="1" applyBorder="1" applyAlignment="1" applyProtection="1">
      <alignment horizontal="center" vertical="center" wrapText="1"/>
      <protection hidden="1"/>
    </xf>
    <xf numFmtId="0" fontId="103" fillId="15" borderId="87" xfId="0" applyFont="1" applyFill="1" applyBorder="1" applyAlignment="1" applyProtection="1">
      <alignment horizontal="center" vertical="center" wrapText="1"/>
      <protection hidden="1"/>
    </xf>
    <xf numFmtId="0" fontId="103" fillId="15" borderId="89" xfId="0" applyFont="1" applyFill="1" applyBorder="1" applyAlignment="1" applyProtection="1">
      <alignment horizontal="center" vertical="center" wrapText="1"/>
      <protection hidden="1"/>
    </xf>
    <xf numFmtId="0" fontId="103" fillId="15" borderId="92" xfId="0" applyFont="1" applyFill="1" applyBorder="1" applyAlignment="1" applyProtection="1">
      <alignment horizontal="center" vertical="center" wrapText="1"/>
      <protection hidden="1"/>
    </xf>
    <xf numFmtId="0" fontId="103" fillId="15" borderId="0" xfId="0" applyFont="1" applyFill="1" applyBorder="1" applyAlignment="1" applyProtection="1">
      <alignment horizontal="center" vertical="center" wrapText="1"/>
      <protection hidden="1"/>
    </xf>
    <xf numFmtId="0" fontId="103" fillId="15" borderId="93" xfId="0" applyFont="1" applyFill="1" applyBorder="1" applyAlignment="1" applyProtection="1">
      <alignment horizontal="center" vertical="center" wrapText="1"/>
      <protection hidden="1"/>
    </xf>
    <xf numFmtId="0" fontId="103" fillId="15" borderId="90" xfId="0" applyFont="1" applyFill="1" applyBorder="1" applyAlignment="1" applyProtection="1">
      <alignment horizontal="center" vertical="center" wrapText="1"/>
      <protection hidden="1"/>
    </xf>
    <xf numFmtId="0" fontId="103" fillId="15" borderId="56" xfId="0" applyFont="1" applyFill="1" applyBorder="1" applyAlignment="1" applyProtection="1">
      <alignment horizontal="center" vertical="center" wrapText="1"/>
      <protection hidden="1"/>
    </xf>
    <xf numFmtId="0" fontId="103" fillId="15" borderId="91" xfId="0" applyFont="1" applyFill="1" applyBorder="1" applyAlignment="1" applyProtection="1">
      <alignment horizontal="center" vertical="center" wrapText="1"/>
      <protection hidden="1"/>
    </xf>
    <xf numFmtId="17" fontId="108" fillId="4" borderId="27" xfId="0" applyNumberFormat="1" applyFont="1" applyFill="1" applyBorder="1" applyAlignment="1" applyProtection="1">
      <alignment horizontal="center" vertical="center"/>
      <protection hidden="1"/>
    </xf>
    <xf numFmtId="17" fontId="108" fillId="4" borderId="20" xfId="0" applyNumberFormat="1" applyFont="1" applyFill="1" applyBorder="1" applyAlignment="1" applyProtection="1">
      <alignment horizontal="center" vertical="center"/>
      <protection hidden="1"/>
    </xf>
    <xf numFmtId="17" fontId="108" fillId="4" borderId="41" xfId="0" applyNumberFormat="1" applyFont="1" applyFill="1" applyBorder="1" applyAlignment="1" applyProtection="1">
      <alignment horizontal="center" vertical="center"/>
      <protection hidden="1"/>
    </xf>
    <xf numFmtId="0" fontId="7" fillId="4" borderId="74" xfId="0" applyFont="1" applyFill="1" applyBorder="1" applyAlignment="1" applyProtection="1">
      <alignment horizontal="left" vertical="center" indent="1"/>
      <protection hidden="1"/>
    </xf>
    <xf numFmtId="0" fontId="0" fillId="0" borderId="27" xfId="0" applyBorder="1" applyAlignment="1" applyProtection="1">
      <alignment horizont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68" xfId="0" applyBorder="1" applyAlignment="1" applyProtection="1">
      <alignment horizontal="center"/>
      <protection hidden="1"/>
    </xf>
    <xf numFmtId="1" fontId="71" fillId="0" borderId="20" xfId="0" applyNumberFormat="1" applyFont="1" applyBorder="1" applyAlignment="1" applyProtection="1">
      <alignment horizontal="center"/>
      <protection hidden="1"/>
    </xf>
    <xf numFmtId="0" fontId="71" fillId="0" borderId="20" xfId="0" applyFont="1" applyBorder="1" applyAlignment="1" applyProtection="1">
      <alignment horizontal="center"/>
      <protection hidden="1"/>
    </xf>
    <xf numFmtId="0" fontId="71" fillId="0" borderId="41" xfId="0" applyFont="1" applyBorder="1" applyAlignment="1" applyProtection="1">
      <alignment horizontal="center"/>
      <protection hidden="1"/>
    </xf>
    <xf numFmtId="0" fontId="57" fillId="0" borderId="27" xfId="0" applyFont="1" applyBorder="1" applyAlignment="1" applyProtection="1">
      <alignment horizontal="center"/>
      <protection hidden="1"/>
    </xf>
    <xf numFmtId="0" fontId="57" fillId="0" borderId="20" xfId="0" applyFont="1" applyBorder="1" applyAlignment="1" applyProtection="1">
      <alignment horizontal="center"/>
      <protection hidden="1"/>
    </xf>
    <xf numFmtId="0" fontId="57" fillId="0" borderId="68" xfId="0" applyFont="1" applyBorder="1" applyAlignment="1" applyProtection="1">
      <alignment horizontal="center"/>
      <protection hidden="1"/>
    </xf>
    <xf numFmtId="1" fontId="71" fillId="0" borderId="69" xfId="0" applyNumberFormat="1" applyFont="1" applyBorder="1" applyAlignment="1" applyProtection="1">
      <alignment horizontal="center"/>
      <protection hidden="1"/>
    </xf>
    <xf numFmtId="0" fontId="20" fillId="0" borderId="2" xfId="0" applyFont="1" applyFill="1" applyBorder="1" applyAlignment="1" applyProtection="1">
      <alignment horizontal="center" vertical="center" wrapText="1"/>
      <protection locked="0"/>
    </xf>
    <xf numFmtId="0" fontId="20" fillId="0" borderId="0" xfId="0" applyFont="1" applyFill="1" applyBorder="1" applyAlignment="1" applyProtection="1">
      <alignment horizontal="center" vertical="center" wrapText="1"/>
      <protection locked="0"/>
    </xf>
    <xf numFmtId="0" fontId="20" fillId="0" borderId="3" xfId="0" applyFont="1" applyFill="1" applyBorder="1" applyAlignment="1" applyProtection="1">
      <alignment horizontal="center" vertical="center" wrapText="1"/>
      <protection locked="0"/>
    </xf>
    <xf numFmtId="0" fontId="24" fillId="0" borderId="18" xfId="0" applyFont="1" applyBorder="1" applyAlignment="1" applyProtection="1">
      <alignment horizontal="center" vertical="center"/>
      <protection hidden="1"/>
    </xf>
    <xf numFmtId="1" fontId="24" fillId="0" borderId="18" xfId="0" applyNumberFormat="1" applyFont="1" applyFill="1" applyBorder="1" applyAlignment="1" applyProtection="1">
      <alignment horizontal="center" vertical="center"/>
      <protection hidden="1"/>
    </xf>
    <xf numFmtId="0" fontId="24" fillId="0" borderId="18" xfId="0" applyFont="1" applyFill="1" applyBorder="1" applyAlignment="1" applyProtection="1">
      <alignment horizontal="center" vertical="center"/>
      <protection hidden="1"/>
    </xf>
    <xf numFmtId="0" fontId="24" fillId="0" borderId="27" xfId="0" applyFont="1" applyFill="1" applyBorder="1" applyAlignment="1" applyProtection="1">
      <alignment horizontal="center" vertical="center"/>
      <protection hidden="1"/>
    </xf>
    <xf numFmtId="0" fontId="24" fillId="0" borderId="19" xfId="0" applyFont="1" applyFill="1" applyBorder="1" applyAlignment="1" applyProtection="1">
      <alignment horizontal="center" vertical="center"/>
      <protection hidden="1"/>
    </xf>
    <xf numFmtId="0" fontId="25" fillId="0" borderId="2" xfId="0" applyFont="1" applyFill="1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0" fillId="0" borderId="3" xfId="0" applyBorder="1" applyProtection="1">
      <protection hidden="1"/>
    </xf>
    <xf numFmtId="0" fontId="0" fillId="0" borderId="2" xfId="0" applyBorder="1" applyProtection="1">
      <protection hidden="1"/>
    </xf>
    <xf numFmtId="0" fontId="0" fillId="0" borderId="4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6" xfId="0" applyBorder="1" applyProtection="1">
      <protection hidden="1"/>
    </xf>
    <xf numFmtId="0" fontId="7" fillId="2" borderId="23" xfId="0" applyFont="1" applyFill="1" applyBorder="1" applyAlignment="1" applyProtection="1">
      <alignment horizontal="center" vertical="center"/>
      <protection hidden="1"/>
    </xf>
    <xf numFmtId="1" fontId="19" fillId="6" borderId="23" xfId="0" applyNumberFormat="1" applyFont="1" applyFill="1" applyBorder="1" applyAlignment="1" applyProtection="1">
      <alignment horizontal="center" vertical="center"/>
      <protection hidden="1"/>
    </xf>
    <xf numFmtId="0" fontId="19" fillId="6" borderId="23" xfId="0" applyFont="1" applyFill="1" applyBorder="1" applyAlignment="1" applyProtection="1">
      <alignment horizontal="center" vertical="center"/>
      <protection hidden="1"/>
    </xf>
    <xf numFmtId="0" fontId="19" fillId="6" borderId="33" xfId="0" applyFont="1" applyFill="1" applyBorder="1" applyAlignment="1" applyProtection="1">
      <alignment horizontal="center" vertical="center"/>
      <protection hidden="1"/>
    </xf>
    <xf numFmtId="0" fontId="24" fillId="0" borderId="28" xfId="0" applyFont="1" applyBorder="1" applyAlignment="1" applyProtection="1">
      <alignment horizontal="center" vertical="center" textRotation="90"/>
      <protection hidden="1"/>
    </xf>
    <xf numFmtId="0" fontId="24" fillId="0" borderId="0" xfId="0" applyFont="1" applyBorder="1" applyAlignment="1" applyProtection="1">
      <alignment horizontal="center" vertical="center" textRotation="90"/>
      <protection hidden="1"/>
    </xf>
    <xf numFmtId="0" fontId="24" fillId="0" borderId="29" xfId="0" applyFont="1" applyBorder="1" applyAlignment="1" applyProtection="1">
      <alignment horizontal="center" vertical="center" textRotation="90"/>
      <protection hidden="1"/>
    </xf>
    <xf numFmtId="0" fontId="24" fillId="0" borderId="30" xfId="0" applyFont="1" applyBorder="1" applyAlignment="1" applyProtection="1">
      <alignment horizontal="center" vertical="center" textRotation="90"/>
      <protection hidden="1"/>
    </xf>
    <xf numFmtId="0" fontId="24" fillId="0" borderId="40" xfId="0" applyFont="1" applyBorder="1" applyAlignment="1" applyProtection="1">
      <alignment horizontal="center" vertical="center" textRotation="90"/>
      <protection hidden="1"/>
    </xf>
    <xf numFmtId="0" fontId="24" fillId="0" borderId="31" xfId="0" applyFont="1" applyBorder="1" applyAlignment="1" applyProtection="1">
      <alignment horizontal="center" vertical="center" textRotation="90"/>
      <protection hidden="1"/>
    </xf>
    <xf numFmtId="0" fontId="24" fillId="0" borderId="35" xfId="0" applyFont="1" applyBorder="1" applyAlignment="1" applyProtection="1">
      <alignment horizontal="center" vertical="center"/>
      <protection hidden="1"/>
    </xf>
    <xf numFmtId="1" fontId="24" fillId="0" borderId="35" xfId="0" applyNumberFormat="1" applyFont="1" applyFill="1" applyBorder="1" applyAlignment="1" applyProtection="1">
      <alignment horizontal="center" vertical="center"/>
      <protection hidden="1"/>
    </xf>
    <xf numFmtId="0" fontId="24" fillId="0" borderId="35" xfId="0" applyFont="1" applyFill="1" applyBorder="1" applyAlignment="1" applyProtection="1">
      <alignment horizontal="center" vertical="center"/>
      <protection hidden="1"/>
    </xf>
    <xf numFmtId="0" fontId="24" fillId="0" borderId="30" xfId="0" applyFont="1" applyFill="1" applyBorder="1" applyAlignment="1" applyProtection="1">
      <alignment horizontal="center" vertical="center"/>
      <protection hidden="1"/>
    </xf>
    <xf numFmtId="0" fontId="9" fillId="10" borderId="119" xfId="0" applyFont="1" applyFill="1" applyBorder="1" applyAlignment="1" applyProtection="1">
      <alignment horizontal="center" vertical="center" wrapText="1"/>
      <protection locked="0"/>
    </xf>
    <xf numFmtId="0" fontId="9" fillId="10" borderId="120" xfId="0" applyFont="1" applyFill="1" applyBorder="1" applyAlignment="1" applyProtection="1">
      <alignment horizontal="center" vertical="center" wrapText="1"/>
      <protection locked="0"/>
    </xf>
    <xf numFmtId="0" fontId="9" fillId="10" borderId="121" xfId="0" applyFont="1" applyFill="1" applyBorder="1" applyAlignment="1" applyProtection="1">
      <alignment horizontal="center" vertical="center" wrapText="1"/>
      <protection locked="0"/>
    </xf>
    <xf numFmtId="1" fontId="71" fillId="0" borderId="27" xfId="0" applyNumberFormat="1" applyFont="1" applyBorder="1" applyAlignment="1" applyProtection="1">
      <alignment horizontal="center"/>
      <protection hidden="1"/>
    </xf>
    <xf numFmtId="1" fontId="71" fillId="0" borderId="41" xfId="0" applyNumberFormat="1" applyFont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9" fontId="61" fillId="12" borderId="46" xfId="0" applyNumberFormat="1" applyFont="1" applyFill="1" applyBorder="1" applyAlignment="1" applyProtection="1">
      <alignment horizontal="center" vertical="center"/>
      <protection hidden="1"/>
    </xf>
    <xf numFmtId="9" fontId="61" fillId="12" borderId="67" xfId="0" applyNumberFormat="1" applyFont="1" applyFill="1" applyBorder="1" applyAlignment="1" applyProtection="1">
      <alignment horizontal="center" vertical="center"/>
      <protection hidden="1"/>
    </xf>
    <xf numFmtId="0" fontId="53" fillId="11" borderId="46" xfId="0" applyFont="1" applyFill="1" applyBorder="1" applyAlignment="1" applyProtection="1">
      <alignment horizontal="center" vertical="center" wrapText="1"/>
      <protection hidden="1"/>
    </xf>
    <xf numFmtId="0" fontId="53" fillId="11" borderId="47" xfId="0" applyFont="1" applyFill="1" applyBorder="1" applyAlignment="1" applyProtection="1">
      <alignment horizontal="center" vertical="center" wrapText="1"/>
      <protection hidden="1"/>
    </xf>
    <xf numFmtId="0" fontId="63" fillId="12" borderId="46" xfId="0" applyFont="1" applyFill="1" applyBorder="1" applyAlignment="1" applyProtection="1">
      <alignment horizontal="center" vertical="center"/>
      <protection hidden="1"/>
    </xf>
    <xf numFmtId="0" fontId="63" fillId="12" borderId="47" xfId="0" applyFont="1" applyFill="1" applyBorder="1" applyAlignment="1" applyProtection="1">
      <alignment horizontal="center" vertical="center"/>
      <protection hidden="1"/>
    </xf>
    <xf numFmtId="0" fontId="54" fillId="11" borderId="46" xfId="0" applyFont="1" applyFill="1" applyBorder="1" applyAlignment="1" applyProtection="1">
      <alignment horizontal="center" vertical="center" wrapText="1"/>
      <protection hidden="1"/>
    </xf>
    <xf numFmtId="17" fontId="108" fillId="4" borderId="30" xfId="0" applyNumberFormat="1" applyFont="1" applyFill="1" applyBorder="1" applyAlignment="1" applyProtection="1">
      <alignment horizontal="center" vertical="center"/>
      <protection hidden="1"/>
    </xf>
    <xf numFmtId="17" fontId="108" fillId="4" borderId="40" xfId="0" applyNumberFormat="1" applyFont="1" applyFill="1" applyBorder="1" applyAlignment="1" applyProtection="1">
      <alignment horizontal="center" vertical="center"/>
      <protection hidden="1"/>
    </xf>
    <xf numFmtId="17" fontId="108" fillId="4" borderId="42" xfId="0" applyNumberFormat="1" applyFont="1" applyFill="1" applyBorder="1" applyAlignment="1" applyProtection="1">
      <alignment horizontal="center" vertical="center"/>
      <protection hidden="1"/>
    </xf>
    <xf numFmtId="0" fontId="56" fillId="0" borderId="0" xfId="0" applyFont="1" applyAlignment="1" applyProtection="1">
      <alignment horizontal="center" vertical="center"/>
      <protection hidden="1"/>
    </xf>
    <xf numFmtId="165" fontId="56" fillId="0" borderId="0" xfId="0" applyNumberFormat="1" applyFont="1" applyAlignment="1" applyProtection="1">
      <alignment horizontal="center" vertical="center"/>
      <protection hidden="1"/>
    </xf>
    <xf numFmtId="167" fontId="7" fillId="4" borderId="1" xfId="0" quotePrefix="1" applyNumberFormat="1" applyFont="1" applyFill="1" applyBorder="1" applyAlignment="1" applyProtection="1">
      <alignment horizontal="center" vertical="center"/>
      <protection hidden="1"/>
    </xf>
    <xf numFmtId="0" fontId="65" fillId="12" borderId="46" xfId="0" applyFont="1" applyFill="1" applyBorder="1" applyAlignment="1" applyProtection="1">
      <alignment horizontal="center" vertical="center"/>
      <protection hidden="1"/>
    </xf>
    <xf numFmtId="0" fontId="9" fillId="10" borderId="123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 applyProtection="1">
      <alignment horizontal="center" vertical="center"/>
      <protection hidden="1"/>
    </xf>
    <xf numFmtId="1" fontId="7" fillId="2" borderId="18" xfId="0" applyNumberFormat="1" applyFont="1" applyFill="1" applyBorder="1" applyAlignment="1" applyProtection="1">
      <alignment horizontal="center" vertical="center"/>
      <protection hidden="1"/>
    </xf>
    <xf numFmtId="0" fontId="7" fillId="2" borderId="27" xfId="0" applyFont="1" applyFill="1" applyBorder="1" applyAlignment="1" applyProtection="1">
      <alignment horizontal="center" vertical="center"/>
      <protection hidden="1"/>
    </xf>
    <xf numFmtId="0" fontId="0" fillId="13" borderId="1" xfId="0" applyFill="1" applyBorder="1" applyAlignment="1" applyProtection="1">
      <alignment horizontal="center"/>
      <protection hidden="1"/>
    </xf>
    <xf numFmtId="0" fontId="51" fillId="4" borderId="164" xfId="0" applyFont="1" applyFill="1" applyBorder="1" applyAlignment="1" applyProtection="1">
      <alignment horizontal="right" vertical="center" wrapText="1"/>
      <protection hidden="1"/>
    </xf>
    <xf numFmtId="0" fontId="0" fillId="0" borderId="1" xfId="0" applyBorder="1" applyProtection="1">
      <protection hidden="1"/>
    </xf>
    <xf numFmtId="0" fontId="53" fillId="4" borderId="1" xfId="0" applyFont="1" applyFill="1" applyBorder="1" applyAlignment="1" applyProtection="1">
      <alignment vertical="center" wrapText="1"/>
      <protection hidden="1"/>
    </xf>
    <xf numFmtId="0" fontId="53" fillId="4" borderId="72" xfId="0" applyFont="1" applyFill="1" applyBorder="1" applyAlignment="1" applyProtection="1">
      <alignment vertical="center" wrapText="1"/>
      <protection hidden="1"/>
    </xf>
    <xf numFmtId="0" fontId="13" fillId="4" borderId="132" xfId="0" applyFont="1" applyFill="1" applyBorder="1" applyAlignment="1" applyProtection="1">
      <alignment horizontal="center" vertical="center"/>
      <protection hidden="1"/>
    </xf>
    <xf numFmtId="0" fontId="13" fillId="4" borderId="48" xfId="0" applyFont="1" applyFill="1" applyBorder="1" applyAlignment="1" applyProtection="1">
      <alignment horizontal="center" vertical="center"/>
      <protection hidden="1"/>
    </xf>
    <xf numFmtId="0" fontId="13" fillId="4" borderId="148" xfId="0" applyFont="1" applyFill="1" applyBorder="1" applyAlignment="1" applyProtection="1">
      <alignment horizontal="center" vertical="center"/>
      <protection hidden="1"/>
    </xf>
    <xf numFmtId="0" fontId="9" fillId="0" borderId="165" xfId="0" applyFont="1" applyBorder="1" applyAlignment="1" applyProtection="1">
      <alignment horizontal="center" vertical="center" textRotation="90" wrapText="1"/>
      <protection hidden="1"/>
    </xf>
    <xf numFmtId="0" fontId="9" fillId="0" borderId="105" xfId="0" applyFont="1" applyBorder="1" applyAlignment="1" applyProtection="1">
      <alignment horizontal="center" vertical="center" textRotation="90" wrapText="1"/>
      <protection hidden="1"/>
    </xf>
    <xf numFmtId="0" fontId="9" fillId="0" borderId="158" xfId="0" applyFont="1" applyBorder="1" applyAlignment="1" applyProtection="1">
      <alignment horizontal="center" vertical="center" wrapText="1"/>
      <protection hidden="1"/>
    </xf>
    <xf numFmtId="0" fontId="9" fillId="0" borderId="117" xfId="0" applyFont="1" applyBorder="1" applyAlignment="1" applyProtection="1">
      <alignment horizontal="center" vertical="center" wrapText="1"/>
      <protection hidden="1"/>
    </xf>
    <xf numFmtId="0" fontId="9" fillId="0" borderId="118" xfId="0" applyFont="1" applyBorder="1" applyAlignment="1" applyProtection="1">
      <alignment horizontal="center" vertical="center" wrapText="1"/>
      <protection hidden="1"/>
    </xf>
    <xf numFmtId="0" fontId="9" fillId="0" borderId="166" xfId="0" applyFont="1" applyBorder="1" applyAlignment="1" applyProtection="1">
      <alignment horizontal="center" vertical="center" wrapText="1"/>
      <protection hidden="1"/>
    </xf>
    <xf numFmtId="0" fontId="9" fillId="0" borderId="167" xfId="0" applyFont="1" applyBorder="1" applyAlignment="1" applyProtection="1">
      <alignment horizontal="center" vertical="center" wrapText="1"/>
      <protection hidden="1"/>
    </xf>
    <xf numFmtId="0" fontId="9" fillId="0" borderId="168" xfId="0" applyFont="1" applyBorder="1" applyAlignment="1" applyProtection="1">
      <alignment horizontal="center" vertical="center" wrapText="1"/>
      <protection hidden="1"/>
    </xf>
    <xf numFmtId="0" fontId="11" fillId="0" borderId="119" xfId="0" applyFont="1" applyBorder="1" applyAlignment="1" applyProtection="1">
      <alignment horizontal="center" vertical="center" wrapText="1"/>
      <protection hidden="1"/>
    </xf>
    <xf numFmtId="0" fontId="11" fillId="0" borderId="120" xfId="0" applyFont="1" applyBorder="1" applyAlignment="1" applyProtection="1">
      <alignment horizontal="center" vertical="center" wrapText="1"/>
      <protection hidden="1"/>
    </xf>
    <xf numFmtId="0" fontId="11" fillId="0" borderId="121" xfId="0" applyFont="1" applyBorder="1" applyAlignment="1" applyProtection="1">
      <alignment horizontal="center" vertical="center" wrapText="1"/>
      <protection hidden="1"/>
    </xf>
    <xf numFmtId="0" fontId="0" fillId="0" borderId="101" xfId="0" applyBorder="1" applyAlignment="1" applyProtection="1">
      <alignment horizontal="center"/>
      <protection hidden="1"/>
    </xf>
    <xf numFmtId="0" fontId="0" fillId="0" borderId="102" xfId="0" applyBorder="1" applyAlignment="1" applyProtection="1">
      <alignment horizontal="center"/>
      <protection hidden="1"/>
    </xf>
    <xf numFmtId="0" fontId="0" fillId="0" borderId="104" xfId="0" applyBorder="1" applyAlignment="1" applyProtection="1">
      <alignment horizontal="center"/>
      <protection hidden="1"/>
    </xf>
    <xf numFmtId="0" fontId="0" fillId="0" borderId="127" xfId="0" applyBorder="1" applyAlignment="1" applyProtection="1">
      <alignment horizontal="center"/>
      <protection hidden="1"/>
    </xf>
    <xf numFmtId="0" fontId="0" fillId="0" borderId="128" xfId="0" applyBorder="1" applyAlignment="1" applyProtection="1">
      <alignment horizontal="center"/>
      <protection hidden="1"/>
    </xf>
    <xf numFmtId="0" fontId="0" fillId="0" borderId="129" xfId="0" applyBorder="1" applyAlignment="1" applyProtection="1">
      <alignment horizontal="center"/>
      <protection hidden="1"/>
    </xf>
    <xf numFmtId="0" fontId="0" fillId="0" borderId="126" xfId="0" applyBorder="1" applyAlignment="1" applyProtection="1">
      <alignment horizontal="center"/>
      <protection hidden="1"/>
    </xf>
    <xf numFmtId="0" fontId="0" fillId="0" borderId="130" xfId="0" applyBorder="1" applyAlignment="1" applyProtection="1">
      <alignment horizontal="center"/>
      <protection hidden="1"/>
    </xf>
    <xf numFmtId="1" fontId="10" fillId="4" borderId="126" xfId="0" applyNumberFormat="1" applyFont="1" applyFill="1" applyBorder="1" applyAlignment="1" applyProtection="1">
      <alignment horizontal="center" vertical="center" wrapText="1"/>
      <protection hidden="1"/>
    </xf>
    <xf numFmtId="1" fontId="10" fillId="4" borderId="130" xfId="0" applyNumberFormat="1" applyFont="1" applyFill="1" applyBorder="1" applyAlignment="1" applyProtection="1">
      <alignment horizontal="center" vertical="center" wrapText="1"/>
      <protection hidden="1"/>
    </xf>
    <xf numFmtId="1" fontId="7" fillId="2" borderId="23" xfId="0" applyNumberFormat="1" applyFont="1" applyFill="1" applyBorder="1" applyAlignment="1" applyProtection="1">
      <alignment horizontal="center" vertical="center"/>
      <protection hidden="1"/>
    </xf>
    <xf numFmtId="1" fontId="7" fillId="2" borderId="33" xfId="0" applyNumberFormat="1" applyFont="1" applyFill="1" applyBorder="1" applyAlignment="1" applyProtection="1">
      <alignment horizontal="center" vertical="center"/>
      <protection hidden="1"/>
    </xf>
    <xf numFmtId="1" fontId="7" fillId="2" borderId="24" xfId="0" applyNumberFormat="1" applyFont="1" applyFill="1" applyBorder="1" applyAlignment="1" applyProtection="1">
      <alignment horizontal="center" vertical="center"/>
      <protection hidden="1"/>
    </xf>
    <xf numFmtId="0" fontId="19" fillId="6" borderId="22" xfId="0" applyFont="1" applyFill="1" applyBorder="1" applyAlignment="1" applyProtection="1">
      <alignment horizontal="center" vertical="center"/>
      <protection hidden="1"/>
    </xf>
    <xf numFmtId="0" fontId="19" fillId="6" borderId="32" xfId="0" applyFont="1" applyFill="1" applyBorder="1" applyAlignment="1" applyProtection="1">
      <alignment horizontal="center" vertical="center"/>
      <protection hidden="1"/>
    </xf>
    <xf numFmtId="0" fontId="62" fillId="11" borderId="46" xfId="0" applyFont="1" applyFill="1" applyBorder="1" applyAlignment="1" applyProtection="1">
      <alignment horizontal="right" vertical="center" wrapText="1"/>
      <protection hidden="1"/>
    </xf>
    <xf numFmtId="165" fontId="53" fillId="11" borderId="46" xfId="0" applyNumberFormat="1" applyFont="1" applyFill="1" applyBorder="1" applyAlignment="1" applyProtection="1">
      <alignment horizontal="center" vertical="center" wrapText="1"/>
      <protection hidden="1"/>
    </xf>
    <xf numFmtId="164" fontId="108" fillId="4" borderId="149" xfId="0" applyNumberFormat="1" applyFont="1" applyFill="1" applyBorder="1" applyAlignment="1" applyProtection="1">
      <alignment horizontal="center" vertical="center" wrapText="1"/>
      <protection hidden="1"/>
    </xf>
    <xf numFmtId="164" fontId="108" fillId="4" borderId="128" xfId="0" applyNumberFormat="1" applyFont="1" applyFill="1" applyBorder="1" applyAlignment="1" applyProtection="1">
      <alignment horizontal="center" vertical="center" wrapText="1"/>
      <protection hidden="1"/>
    </xf>
    <xf numFmtId="164" fontId="108" fillId="4" borderId="150" xfId="0" applyNumberFormat="1" applyFont="1" applyFill="1" applyBorder="1" applyAlignment="1" applyProtection="1">
      <alignment horizontal="center" vertical="center" wrapText="1"/>
      <protection hidden="1"/>
    </xf>
    <xf numFmtId="0" fontId="54" fillId="11" borderId="46" xfId="0" applyFont="1" applyFill="1" applyBorder="1" applyAlignment="1" applyProtection="1">
      <alignment horizontal="right" vertical="center" wrapText="1"/>
      <protection hidden="1"/>
    </xf>
    <xf numFmtId="0" fontId="60" fillId="12" borderId="46" xfId="0" applyFont="1" applyFill="1" applyBorder="1" applyAlignment="1" applyProtection="1">
      <alignment horizontal="center" vertical="center" wrapText="1"/>
      <protection hidden="1"/>
    </xf>
    <xf numFmtId="165" fontId="65" fillId="12" borderId="46" xfId="0" quotePrefix="1" applyNumberFormat="1" applyFont="1" applyFill="1" applyBorder="1" applyAlignment="1" applyProtection="1">
      <alignment horizontal="center" vertical="center"/>
      <protection hidden="1"/>
    </xf>
    <xf numFmtId="0" fontId="59" fillId="12" borderId="46" xfId="0" applyFont="1" applyFill="1" applyBorder="1" applyAlignment="1" applyProtection="1">
      <alignment horizontal="center" vertical="center"/>
      <protection hidden="1"/>
    </xf>
    <xf numFmtId="0" fontId="87" fillId="8" borderId="0" xfId="0" applyFont="1" applyFill="1" applyBorder="1" applyAlignment="1" applyProtection="1">
      <alignment horizontal="center"/>
      <protection hidden="1"/>
    </xf>
    <xf numFmtId="0" fontId="55" fillId="9" borderId="67" xfId="0" applyFont="1" applyFill="1" applyBorder="1" applyAlignment="1" applyProtection="1">
      <alignment horizontal="center" vertical="center" wrapText="1"/>
      <protection hidden="1"/>
    </xf>
    <xf numFmtId="0" fontId="10" fillId="0" borderId="75" xfId="0" applyFont="1" applyBorder="1" applyAlignment="1" applyProtection="1">
      <alignment horizontal="center" vertical="center" textRotation="90" wrapText="1"/>
      <protection hidden="1"/>
    </xf>
    <xf numFmtId="0" fontId="10" fillId="0" borderId="169" xfId="0" applyFont="1" applyBorder="1" applyAlignment="1" applyProtection="1">
      <alignment horizontal="center" vertical="center" textRotation="90" wrapText="1"/>
      <protection hidden="1"/>
    </xf>
    <xf numFmtId="0" fontId="10" fillId="0" borderId="124" xfId="0" applyFont="1" applyBorder="1" applyAlignment="1" applyProtection="1">
      <alignment horizontal="center" vertical="center" textRotation="90" wrapText="1"/>
      <protection hidden="1"/>
    </xf>
    <xf numFmtId="0" fontId="10" fillId="0" borderId="109" xfId="0" applyFont="1" applyBorder="1" applyAlignment="1" applyProtection="1">
      <alignment horizontal="center" vertical="center" textRotation="90" wrapText="1"/>
      <protection hidden="1"/>
    </xf>
    <xf numFmtId="0" fontId="10" fillId="0" borderId="125" xfId="0" applyFont="1" applyBorder="1" applyAlignment="1" applyProtection="1">
      <alignment horizontal="center" vertical="center" textRotation="90" wrapText="1"/>
      <protection hidden="1"/>
    </xf>
    <xf numFmtId="0" fontId="10" fillId="0" borderId="170" xfId="0" applyFont="1" applyBorder="1" applyAlignment="1" applyProtection="1">
      <alignment horizontal="center" vertical="center" textRotation="90" wrapText="1"/>
      <protection hidden="1"/>
    </xf>
    <xf numFmtId="0" fontId="9" fillId="0" borderId="104" xfId="0" applyFont="1" applyBorder="1" applyAlignment="1" applyProtection="1">
      <alignment horizontal="center" vertical="center" wrapText="1"/>
      <protection hidden="1"/>
    </xf>
    <xf numFmtId="0" fontId="9" fillId="0" borderId="171" xfId="0" applyFont="1" applyBorder="1" applyAlignment="1" applyProtection="1">
      <alignment horizontal="center" vertical="center" wrapText="1"/>
      <protection hidden="1"/>
    </xf>
    <xf numFmtId="0" fontId="9" fillId="0" borderId="122" xfId="0" applyFont="1" applyBorder="1" applyAlignment="1" applyProtection="1">
      <alignment horizontal="center" vertical="center" wrapText="1"/>
      <protection hidden="1"/>
    </xf>
    <xf numFmtId="0" fontId="98" fillId="2" borderId="1" xfId="0" applyFont="1" applyFill="1" applyBorder="1" applyAlignment="1" applyProtection="1">
      <alignment horizontal="center" vertical="center"/>
      <protection hidden="1"/>
    </xf>
    <xf numFmtId="0" fontId="98" fillId="2" borderId="72" xfId="0" applyFont="1" applyFill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/>
      <protection hidden="1"/>
    </xf>
    <xf numFmtId="0" fontId="3" fillId="0" borderId="3" xfId="0" applyFont="1" applyBorder="1" applyAlignment="1" applyProtection="1">
      <alignment horizontal="center"/>
      <protection hidden="1"/>
    </xf>
    <xf numFmtId="0" fontId="4" fillId="4" borderId="50" xfId="0" applyFont="1" applyFill="1" applyBorder="1" applyAlignment="1" applyProtection="1">
      <alignment horizontal="justify" vertical="justify" wrapText="1"/>
      <protection hidden="1"/>
    </xf>
    <xf numFmtId="0" fontId="5" fillId="4" borderId="50" xfId="0" applyFont="1" applyFill="1" applyBorder="1" applyProtection="1">
      <protection hidden="1"/>
    </xf>
    <xf numFmtId="0" fontId="5" fillId="4" borderId="82" xfId="0" applyFont="1" applyFill="1" applyBorder="1" applyProtection="1">
      <protection hidden="1"/>
    </xf>
    <xf numFmtId="0" fontId="6" fillId="4" borderId="101" xfId="0" applyFont="1" applyFill="1" applyBorder="1" applyAlignment="1" applyProtection="1">
      <alignment horizontal="right" vertical="center"/>
      <protection hidden="1"/>
    </xf>
    <xf numFmtId="0" fontId="106" fillId="11" borderId="0" xfId="0" applyFont="1" applyFill="1" applyBorder="1" applyAlignment="1" applyProtection="1">
      <alignment horizontal="center" textRotation="90" wrapText="1"/>
      <protection hidden="1"/>
    </xf>
    <xf numFmtId="1" fontId="0" fillId="0" borderId="55" xfId="0" applyNumberFormat="1" applyBorder="1" applyAlignment="1" applyProtection="1">
      <alignment horizontal="center" vertical="center"/>
      <protection hidden="1"/>
    </xf>
    <xf numFmtId="0" fontId="0" fillId="0" borderId="55" xfId="0" applyBorder="1" applyAlignment="1" applyProtection="1">
      <alignment horizontal="center" vertical="center"/>
      <protection hidden="1"/>
    </xf>
    <xf numFmtId="49" fontId="17" fillId="2" borderId="172" xfId="0" applyNumberFormat="1" applyFont="1" applyFill="1" applyBorder="1" applyAlignment="1" applyProtection="1">
      <alignment horizontal="center" vertical="center"/>
      <protection hidden="1"/>
    </xf>
    <xf numFmtId="49" fontId="17" fillId="2" borderId="173" xfId="0" applyNumberFormat="1" applyFont="1" applyFill="1" applyBorder="1" applyAlignment="1" applyProtection="1">
      <alignment horizontal="center" vertical="center"/>
      <protection hidden="1"/>
    </xf>
    <xf numFmtId="49" fontId="17" fillId="2" borderId="174" xfId="0" applyNumberFormat="1" applyFont="1" applyFill="1" applyBorder="1" applyAlignment="1" applyProtection="1">
      <alignment horizontal="center" vertical="center"/>
      <protection hidden="1"/>
    </xf>
    <xf numFmtId="0" fontId="19" fillId="0" borderId="2" xfId="0" applyFont="1" applyBorder="1" applyAlignment="1" applyProtection="1">
      <alignment horizontal="center" vertical="center"/>
      <protection hidden="1"/>
    </xf>
    <xf numFmtId="0" fontId="19" fillId="0" borderId="0" xfId="0" applyFont="1" applyBorder="1" applyAlignment="1" applyProtection="1">
      <alignment horizontal="center" vertical="center"/>
      <protection hidden="1"/>
    </xf>
    <xf numFmtId="0" fontId="23" fillId="0" borderId="10" xfId="0" applyFont="1" applyBorder="1" applyAlignment="1" applyProtection="1">
      <alignment horizontal="center" vertical="center" textRotation="90" wrapText="1"/>
      <protection hidden="1"/>
    </xf>
    <xf numFmtId="0" fontId="23" fillId="0" borderId="1" xfId="0" applyFont="1" applyBorder="1" applyAlignment="1" applyProtection="1">
      <alignment horizontal="center" vertical="center" textRotation="90" wrapText="1"/>
      <protection hidden="1"/>
    </xf>
    <xf numFmtId="0" fontId="23" fillId="0" borderId="36" xfId="0" applyFont="1" applyBorder="1" applyAlignment="1" applyProtection="1">
      <alignment horizontal="center" vertical="center" textRotation="90" wrapText="1"/>
      <protection hidden="1"/>
    </xf>
    <xf numFmtId="0" fontId="23" fillId="0" borderId="28" xfId="0" applyFont="1" applyBorder="1" applyAlignment="1" applyProtection="1">
      <alignment horizontal="center" vertical="center" textRotation="90" wrapText="1"/>
      <protection hidden="1"/>
    </xf>
    <xf numFmtId="0" fontId="23" fillId="0" borderId="0" xfId="0" applyFont="1" applyBorder="1" applyAlignment="1" applyProtection="1">
      <alignment horizontal="center" vertical="center" textRotation="90" wrapText="1"/>
      <protection hidden="1"/>
    </xf>
    <xf numFmtId="0" fontId="23" fillId="0" borderId="29" xfId="0" applyFont="1" applyBorder="1" applyAlignment="1" applyProtection="1">
      <alignment horizontal="center" vertical="center" textRotation="90" wrapText="1"/>
      <protection hidden="1"/>
    </xf>
    <xf numFmtId="0" fontId="23" fillId="0" borderId="14" xfId="0" applyFont="1" applyBorder="1" applyAlignment="1" applyProtection="1">
      <alignment horizontal="center" vertical="center" textRotation="90" wrapText="1"/>
      <protection hidden="1"/>
    </xf>
    <xf numFmtId="0" fontId="23" fillId="0" borderId="5" xfId="0" applyFont="1" applyBorder="1" applyAlignment="1" applyProtection="1">
      <alignment horizontal="center" vertical="center" textRotation="90" wrapText="1"/>
      <protection hidden="1"/>
    </xf>
    <xf numFmtId="0" fontId="23" fillId="0" borderId="37" xfId="0" applyFont="1" applyBorder="1" applyAlignment="1" applyProtection="1">
      <alignment horizontal="center" vertical="center" textRotation="90" wrapText="1"/>
      <protection hidden="1"/>
    </xf>
    <xf numFmtId="0" fontId="24" fillId="0" borderId="11" xfId="0" applyFont="1" applyBorder="1" applyAlignment="1" applyProtection="1">
      <alignment horizontal="center" vertical="center"/>
      <protection hidden="1"/>
    </xf>
    <xf numFmtId="1" fontId="24" fillId="0" borderId="11" xfId="0" applyNumberFormat="1" applyFont="1" applyFill="1" applyBorder="1" applyAlignment="1" applyProtection="1">
      <alignment horizontal="center" vertical="center"/>
      <protection hidden="1"/>
    </xf>
    <xf numFmtId="0" fontId="24" fillId="0" borderId="11" xfId="0" applyFont="1" applyFill="1" applyBorder="1" applyAlignment="1" applyProtection="1">
      <alignment horizontal="center" vertical="center"/>
      <protection hidden="1"/>
    </xf>
    <xf numFmtId="0" fontId="24" fillId="0" borderId="64" xfId="0" applyFont="1" applyFill="1" applyBorder="1" applyAlignment="1" applyProtection="1">
      <alignment horizontal="center" vertical="center"/>
      <protection hidden="1"/>
    </xf>
    <xf numFmtId="0" fontId="24" fillId="0" borderId="12" xfId="0" applyFont="1" applyFill="1" applyBorder="1" applyAlignment="1" applyProtection="1">
      <alignment horizontal="center" vertical="center"/>
      <protection hidden="1"/>
    </xf>
    <xf numFmtId="17" fontId="108" fillId="4" borderId="108" xfId="0" applyNumberFormat="1" applyFont="1" applyFill="1" applyBorder="1" applyAlignment="1" applyProtection="1">
      <alignment horizontal="center" vertical="center"/>
      <protection hidden="1"/>
    </xf>
    <xf numFmtId="17" fontId="108" fillId="4" borderId="109" xfId="0" applyNumberFormat="1" applyFont="1" applyFill="1" applyBorder="1" applyAlignment="1" applyProtection="1">
      <alignment horizontal="center" vertical="center"/>
      <protection hidden="1"/>
    </xf>
    <xf numFmtId="17" fontId="108" fillId="4" borderId="110" xfId="0" applyNumberFormat="1" applyFont="1" applyFill="1" applyBorder="1" applyAlignment="1" applyProtection="1">
      <alignment horizontal="center" vertical="center"/>
      <protection hidden="1"/>
    </xf>
    <xf numFmtId="0" fontId="107" fillId="14" borderId="85" xfId="0" applyFont="1" applyFill="1" applyBorder="1" applyAlignment="1" applyProtection="1">
      <alignment horizontal="center" vertical="center" textRotation="90" wrapText="1"/>
      <protection hidden="1"/>
    </xf>
    <xf numFmtId="0" fontId="107" fillId="14" borderId="94" xfId="0" applyFont="1" applyFill="1" applyBorder="1" applyAlignment="1" applyProtection="1">
      <alignment horizontal="center" vertical="center" textRotation="90" wrapText="1"/>
      <protection hidden="1"/>
    </xf>
    <xf numFmtId="0" fontId="107" fillId="14" borderId="86" xfId="0" applyFont="1" applyFill="1" applyBorder="1" applyAlignment="1" applyProtection="1">
      <alignment horizontal="center" vertical="center" textRotation="90" wrapText="1"/>
      <protection hidden="1"/>
    </xf>
    <xf numFmtId="0" fontId="107" fillId="14" borderId="96" xfId="0" applyFont="1" applyFill="1" applyBorder="1" applyAlignment="1" applyProtection="1">
      <alignment horizontal="center" vertical="center" textRotation="90" wrapText="1"/>
      <protection hidden="1"/>
    </xf>
    <xf numFmtId="0" fontId="107" fillId="14" borderId="55" xfId="0" applyFont="1" applyFill="1" applyBorder="1" applyAlignment="1" applyProtection="1">
      <alignment horizontal="center" vertical="center" textRotation="90" wrapText="1"/>
      <protection hidden="1"/>
    </xf>
    <xf numFmtId="0" fontId="107" fillId="14" borderId="97" xfId="0" applyFont="1" applyFill="1" applyBorder="1" applyAlignment="1" applyProtection="1">
      <alignment horizontal="center" vertical="center" textRotation="90" wrapText="1"/>
      <protection hidden="1"/>
    </xf>
    <xf numFmtId="0" fontId="0" fillId="0" borderId="55" xfId="0" applyFont="1" applyBorder="1" applyAlignment="1" applyProtection="1">
      <alignment textRotation="90"/>
      <protection hidden="1"/>
    </xf>
    <xf numFmtId="0" fontId="0" fillId="0" borderId="97" xfId="0" applyFont="1" applyBorder="1" applyAlignment="1" applyProtection="1">
      <alignment textRotation="90"/>
      <protection hidden="1"/>
    </xf>
    <xf numFmtId="0" fontId="107" fillId="14" borderId="136" xfId="0" applyFont="1" applyFill="1" applyBorder="1" applyAlignment="1" applyProtection="1">
      <alignment horizontal="center" vertical="center" textRotation="90" wrapText="1"/>
      <protection hidden="1"/>
    </xf>
    <xf numFmtId="0" fontId="0" fillId="0" borderId="137" xfId="0" applyFont="1" applyBorder="1" applyAlignment="1" applyProtection="1">
      <alignment textRotation="90"/>
      <protection hidden="1"/>
    </xf>
    <xf numFmtId="0" fontId="0" fillId="0" borderId="138" xfId="0" applyFont="1" applyBorder="1" applyAlignment="1" applyProtection="1">
      <alignment textRotation="90"/>
      <protection hidden="1"/>
    </xf>
    <xf numFmtId="0" fontId="104" fillId="15" borderId="85" xfId="0" applyFont="1" applyFill="1" applyBorder="1" applyAlignment="1" applyProtection="1">
      <alignment horizontal="center" vertical="center" textRotation="90" wrapText="1"/>
      <protection hidden="1"/>
    </xf>
    <xf numFmtId="0" fontId="0" fillId="0" borderId="94" xfId="0" applyBorder="1" applyProtection="1">
      <protection hidden="1"/>
    </xf>
    <xf numFmtId="0" fontId="0" fillId="0" borderId="86" xfId="0" applyBorder="1" applyProtection="1">
      <protection hidden="1"/>
    </xf>
    <xf numFmtId="0" fontId="94" fillId="15" borderId="139" xfId="0" applyFont="1" applyFill="1" applyBorder="1" applyAlignment="1" applyProtection="1">
      <alignment horizontal="center" vertical="center" textRotation="90" wrapText="1"/>
      <protection hidden="1"/>
    </xf>
    <xf numFmtId="0" fontId="0" fillId="0" borderId="140" xfId="0" applyBorder="1" applyProtection="1">
      <protection hidden="1"/>
    </xf>
    <xf numFmtId="0" fontId="0" fillId="0" borderId="141" xfId="0" applyBorder="1" applyProtection="1">
      <protection hidden="1"/>
    </xf>
    <xf numFmtId="0" fontId="0" fillId="13" borderId="65" xfId="0" applyFill="1" applyBorder="1" applyAlignment="1" applyProtection="1">
      <alignment horizontal="center"/>
      <protection hidden="1"/>
    </xf>
    <xf numFmtId="0" fontId="20" fillId="0" borderId="2" xfId="0" applyFont="1" applyFill="1" applyBorder="1" applyAlignment="1" applyProtection="1">
      <alignment horizontal="center" vertical="center" wrapText="1"/>
      <protection hidden="1"/>
    </xf>
    <xf numFmtId="0" fontId="20" fillId="0" borderId="0" xfId="0" applyFont="1" applyFill="1" applyBorder="1" applyAlignment="1" applyProtection="1">
      <alignment horizontal="center" vertical="center" wrapText="1"/>
      <protection hidden="1"/>
    </xf>
    <xf numFmtId="0" fontId="20" fillId="0" borderId="3" xfId="0" applyFont="1" applyFill="1" applyBorder="1" applyAlignment="1" applyProtection="1">
      <alignment horizontal="center" vertical="center" wrapText="1"/>
      <protection hidden="1"/>
    </xf>
    <xf numFmtId="0" fontId="0" fillId="0" borderId="126" xfId="0" applyBorder="1" applyAlignment="1" applyProtection="1">
      <alignment horizontal="center"/>
      <protection locked="0" hidden="1"/>
    </xf>
    <xf numFmtId="0" fontId="0" fillId="0" borderId="130" xfId="0" applyBorder="1" applyAlignment="1" applyProtection="1">
      <alignment horizontal="center"/>
      <protection locked="0" hidden="1"/>
    </xf>
    <xf numFmtId="1" fontId="10" fillId="4" borderId="126" xfId="0" applyNumberFormat="1" applyFont="1" applyFill="1" applyBorder="1" applyAlignment="1" applyProtection="1">
      <alignment horizontal="center" vertical="center" wrapText="1"/>
      <protection locked="0"/>
    </xf>
    <xf numFmtId="1" fontId="10" fillId="4" borderId="13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1" xfId="0" applyBorder="1" applyAlignment="1" applyProtection="1">
      <alignment horizontal="center"/>
      <protection locked="0" hidden="1"/>
    </xf>
    <xf numFmtId="0" fontId="0" fillId="0" borderId="102" xfId="0" applyBorder="1" applyAlignment="1" applyProtection="1">
      <alignment horizontal="center"/>
      <protection locked="0" hidden="1"/>
    </xf>
    <xf numFmtId="0" fontId="0" fillId="0" borderId="104" xfId="0" applyBorder="1" applyAlignment="1" applyProtection="1">
      <alignment horizontal="center"/>
      <protection locked="0" hidden="1"/>
    </xf>
    <xf numFmtId="0" fontId="0" fillId="0" borderId="127" xfId="0" applyBorder="1" applyAlignment="1" applyProtection="1">
      <alignment horizontal="center"/>
      <protection locked="0" hidden="1"/>
    </xf>
    <xf numFmtId="0" fontId="0" fillId="0" borderId="128" xfId="0" applyBorder="1" applyAlignment="1" applyProtection="1">
      <alignment horizontal="center"/>
      <protection locked="0" hidden="1"/>
    </xf>
    <xf numFmtId="0" fontId="0" fillId="0" borderId="129" xfId="0" applyBorder="1" applyAlignment="1" applyProtection="1">
      <alignment horizontal="center"/>
      <protection locked="0" hidden="1"/>
    </xf>
    <xf numFmtId="0" fontId="10" fillId="0" borderId="75" xfId="0" applyFont="1" applyBorder="1" applyAlignment="1" applyProtection="1">
      <alignment horizontal="center" vertical="center" textRotation="90" wrapText="1"/>
      <protection locked="0"/>
    </xf>
    <xf numFmtId="0" fontId="10" fillId="0" borderId="169" xfId="0" applyFont="1" applyBorder="1" applyAlignment="1" applyProtection="1">
      <alignment horizontal="center" vertical="center" textRotation="90" wrapText="1"/>
      <protection locked="0"/>
    </xf>
    <xf numFmtId="0" fontId="10" fillId="0" borderId="124" xfId="0" applyFont="1" applyBorder="1" applyAlignment="1" applyProtection="1">
      <alignment horizontal="center" vertical="center" textRotation="90" wrapText="1"/>
      <protection locked="0"/>
    </xf>
    <xf numFmtId="0" fontId="10" fillId="0" borderId="109" xfId="0" applyFont="1" applyBorder="1" applyAlignment="1" applyProtection="1">
      <alignment horizontal="center" vertical="center" textRotation="90" wrapText="1"/>
      <protection locked="0"/>
    </xf>
    <xf numFmtId="0" fontId="10" fillId="0" borderId="125" xfId="0" applyFont="1" applyBorder="1" applyAlignment="1" applyProtection="1">
      <alignment horizontal="center" vertical="center" textRotation="90" wrapText="1"/>
      <protection locked="0"/>
    </xf>
    <xf numFmtId="0" fontId="10" fillId="0" borderId="170" xfId="0" applyFont="1" applyBorder="1" applyAlignment="1" applyProtection="1">
      <alignment horizontal="center" vertical="center" textRotation="90" wrapText="1"/>
      <protection locked="0"/>
    </xf>
    <xf numFmtId="0" fontId="11" fillId="0" borderId="119" xfId="0" applyFont="1" applyBorder="1" applyAlignment="1" applyProtection="1">
      <alignment horizontal="center" vertical="center" wrapText="1"/>
      <protection locked="0"/>
    </xf>
    <xf numFmtId="0" fontId="11" fillId="0" borderId="120" xfId="0" applyFont="1" applyBorder="1" applyAlignment="1" applyProtection="1">
      <alignment horizontal="center" vertical="center" wrapText="1"/>
      <protection locked="0"/>
    </xf>
    <xf numFmtId="0" fontId="11" fillId="0" borderId="121" xfId="0" applyFont="1" applyBorder="1" applyAlignment="1" applyProtection="1">
      <alignment horizontal="center" vertical="center" wrapText="1"/>
      <protection locked="0"/>
    </xf>
    <xf numFmtId="0" fontId="9" fillId="0" borderId="119" xfId="0" applyFont="1" applyBorder="1" applyAlignment="1" applyProtection="1">
      <alignment horizontal="center" vertical="center" wrapText="1"/>
      <protection locked="0"/>
    </xf>
    <xf numFmtId="0" fontId="9" fillId="0" borderId="120" xfId="0" applyFont="1" applyBorder="1" applyAlignment="1" applyProtection="1">
      <alignment horizontal="center" vertical="center" wrapText="1"/>
      <protection locked="0"/>
    </xf>
    <xf numFmtId="0" fontId="9" fillId="0" borderId="121" xfId="0" applyFont="1" applyBorder="1" applyAlignment="1" applyProtection="1">
      <alignment horizontal="center" vertical="center" wrapText="1"/>
      <protection locked="0"/>
    </xf>
    <xf numFmtId="0" fontId="9" fillId="0" borderId="122" xfId="0" applyFont="1" applyBorder="1" applyAlignment="1" applyProtection="1">
      <alignment horizontal="center" vertical="center" wrapText="1"/>
      <protection locked="0"/>
    </xf>
    <xf numFmtId="0" fontId="7" fillId="4" borderId="73" xfId="0" applyFont="1" applyFill="1" applyBorder="1" applyAlignment="1" applyProtection="1">
      <alignment horizontal="left" vertical="center"/>
      <protection locked="0" hidden="1"/>
    </xf>
    <xf numFmtId="0" fontId="7" fillId="4" borderId="74" xfId="0" applyFont="1" applyFill="1" applyBorder="1" applyAlignment="1" applyProtection="1">
      <alignment horizontal="left" vertical="center"/>
      <protection locked="0" hidden="1"/>
    </xf>
    <xf numFmtId="0" fontId="7" fillId="4" borderId="73" xfId="0" applyFont="1" applyFill="1" applyBorder="1" applyAlignment="1" applyProtection="1">
      <alignment horizontal="left" vertical="center" indent="1"/>
      <protection locked="0" hidden="1"/>
    </xf>
    <xf numFmtId="0" fontId="7" fillId="4" borderId="74" xfId="0" applyFont="1" applyFill="1" applyBorder="1" applyAlignment="1" applyProtection="1">
      <alignment horizontal="left" vertical="center" indent="1"/>
      <protection locked="0" hidden="1"/>
    </xf>
    <xf numFmtId="167" fontId="7" fillId="4" borderId="1" xfId="0" quotePrefix="1" applyNumberFormat="1" applyFont="1" applyFill="1" applyBorder="1" applyAlignment="1" applyProtection="1">
      <alignment horizontal="center" vertical="center"/>
      <protection locked="0" hidden="1"/>
    </xf>
    <xf numFmtId="0" fontId="4" fillId="4" borderId="50" xfId="0" applyFont="1" applyFill="1" applyBorder="1" applyAlignment="1" applyProtection="1">
      <alignment horizontal="justify" vertical="justify" wrapText="1"/>
      <protection locked="0" hidden="1"/>
    </xf>
    <xf numFmtId="0" fontId="5" fillId="4" borderId="50" xfId="0" applyFont="1" applyFill="1" applyBorder="1" applyProtection="1">
      <protection locked="0" hidden="1"/>
    </xf>
    <xf numFmtId="0" fontId="5" fillId="4" borderId="82" xfId="0" applyFont="1" applyFill="1" applyBorder="1" applyProtection="1">
      <protection locked="0" hidden="1"/>
    </xf>
    <xf numFmtId="0" fontId="98" fillId="2" borderId="1" xfId="0" applyFont="1" applyFill="1" applyBorder="1" applyAlignment="1" applyProtection="1">
      <alignment horizontal="center" vertical="center"/>
      <protection locked="0" hidden="1"/>
    </xf>
    <xf numFmtId="0" fontId="98" fillId="2" borderId="72" xfId="0" applyFont="1" applyFill="1" applyBorder="1" applyAlignment="1" applyProtection="1">
      <alignment horizontal="center" vertical="center"/>
      <protection locked="0" hidden="1"/>
    </xf>
    <xf numFmtId="0" fontId="1" fillId="3" borderId="0" xfId="0" applyFont="1" applyFill="1" applyBorder="1" applyAlignment="1" applyProtection="1">
      <alignment horizontal="center" vertical="center" textRotation="90" wrapText="1"/>
      <protection hidden="1"/>
    </xf>
    <xf numFmtId="0" fontId="82" fillId="3" borderId="0" xfId="0" applyFont="1" applyFill="1" applyBorder="1" applyAlignment="1" applyProtection="1">
      <alignment horizontal="center" vertical="center" textRotation="90" wrapText="1"/>
      <protection hidden="1"/>
    </xf>
    <xf numFmtId="0" fontId="0" fillId="13" borderId="0" xfId="0" applyFill="1" applyAlignment="1" applyProtection="1">
      <alignment horizontal="center"/>
      <protection hidden="1"/>
    </xf>
    <xf numFmtId="0" fontId="83" fillId="0" borderId="0" xfId="0" applyFont="1" applyAlignment="1" applyProtection="1">
      <alignment horizontal="center"/>
      <protection hidden="1"/>
    </xf>
    <xf numFmtId="0" fontId="4" fillId="0" borderId="1" xfId="0" applyFont="1" applyBorder="1" applyAlignment="1" applyProtection="1">
      <alignment horizontal="left"/>
      <protection hidden="1"/>
    </xf>
    <xf numFmtId="0" fontId="28" fillId="0" borderId="0" xfId="0" applyFont="1" applyAlignment="1" applyProtection="1">
      <alignment horizontal="center"/>
      <protection hidden="1"/>
    </xf>
    <xf numFmtId="0" fontId="99" fillId="7" borderId="0" xfId="0" applyFont="1" applyFill="1" applyAlignment="1" applyProtection="1">
      <alignment horizontal="center" vertical="center"/>
      <protection locked="0" hidden="1"/>
    </xf>
    <xf numFmtId="0" fontId="4" fillId="7" borderId="5" xfId="0" applyFont="1" applyFill="1" applyBorder="1" applyAlignment="1" applyProtection="1">
      <alignment horizontal="justify" vertical="justify" wrapText="1"/>
      <protection locked="0"/>
    </xf>
    <xf numFmtId="0" fontId="4" fillId="7" borderId="0" xfId="0" applyFont="1" applyFill="1" applyAlignment="1" applyProtection="1">
      <alignment horizontal="left"/>
      <protection locked="0"/>
    </xf>
    <xf numFmtId="0" fontId="89" fillId="0" borderId="59" xfId="0" applyFont="1" applyBorder="1" applyAlignment="1" applyProtection="1">
      <alignment horizontal="center" vertical="center" wrapText="1"/>
      <protection locked="0"/>
    </xf>
    <xf numFmtId="0" fontId="89" fillId="0" borderId="80" xfId="0" applyFont="1" applyBorder="1" applyAlignment="1" applyProtection="1">
      <alignment horizontal="center" vertical="center" wrapText="1"/>
      <protection locked="0"/>
    </xf>
    <xf numFmtId="0" fontId="6" fillId="0" borderId="61" xfId="0" applyFont="1" applyBorder="1" applyAlignment="1" applyProtection="1">
      <alignment horizontal="center" vertical="center" wrapText="1"/>
      <protection locked="0"/>
    </xf>
    <xf numFmtId="0" fontId="6" fillId="0" borderId="81" xfId="0" applyFont="1" applyBorder="1" applyAlignment="1" applyProtection="1">
      <alignment horizontal="center" vertical="center" wrapText="1"/>
      <protection locked="0"/>
    </xf>
    <xf numFmtId="0" fontId="100" fillId="2" borderId="70" xfId="0" applyFont="1" applyFill="1" applyBorder="1" applyAlignment="1" applyProtection="1">
      <alignment horizontal="center" vertical="center"/>
      <protection locked="0" hidden="1"/>
    </xf>
    <xf numFmtId="0" fontId="100" fillId="2" borderId="7" xfId="0" applyFont="1" applyFill="1" applyBorder="1" applyAlignment="1" applyProtection="1">
      <alignment horizontal="center" vertical="center"/>
      <protection locked="0" hidden="1"/>
    </xf>
    <xf numFmtId="0" fontId="100" fillId="2" borderId="8" xfId="0" applyFont="1" applyFill="1" applyBorder="1" applyAlignment="1" applyProtection="1">
      <alignment horizontal="center" vertical="center"/>
      <protection locked="0" hidden="1"/>
    </xf>
    <xf numFmtId="0" fontId="73" fillId="0" borderId="71" xfId="0" applyFont="1" applyBorder="1" applyAlignment="1" applyProtection="1">
      <alignment horizontal="center"/>
      <protection hidden="1"/>
    </xf>
    <xf numFmtId="0" fontId="73" fillId="0" borderId="1" xfId="0" applyFont="1" applyBorder="1" applyAlignment="1" applyProtection="1">
      <alignment horizontal="center"/>
      <protection hidden="1"/>
    </xf>
    <xf numFmtId="0" fontId="73" fillId="0" borderId="72" xfId="0" applyFont="1" applyBorder="1" applyAlignment="1" applyProtection="1">
      <alignment horizontal="center"/>
      <protection hidden="1"/>
    </xf>
    <xf numFmtId="0" fontId="74" fillId="7" borderId="2" xfId="0" applyFont="1" applyFill="1" applyBorder="1" applyAlignment="1" applyProtection="1">
      <alignment horizontal="justify" vertical="justify" wrapText="1"/>
      <protection locked="0"/>
    </xf>
    <xf numFmtId="0" fontId="74" fillId="7" borderId="0" xfId="0" applyFont="1" applyFill="1" applyBorder="1" applyAlignment="1" applyProtection="1">
      <alignment horizontal="justify" vertical="justify" wrapText="1"/>
      <protection locked="0"/>
    </xf>
    <xf numFmtId="0" fontId="74" fillId="7" borderId="3" xfId="0" applyFont="1" applyFill="1" applyBorder="1" applyAlignment="1" applyProtection="1">
      <alignment horizontal="justify" vertical="justify" wrapText="1"/>
      <protection locked="0"/>
    </xf>
    <xf numFmtId="0" fontId="16" fillId="0" borderId="9" xfId="0" applyFont="1" applyBorder="1" applyAlignment="1" applyProtection="1">
      <alignment horizontal="center" vertical="center" wrapText="1"/>
      <protection hidden="1"/>
    </xf>
    <xf numFmtId="0" fontId="16" fillId="0" borderId="17" xfId="0" applyFont="1" applyBorder="1" applyAlignment="1" applyProtection="1">
      <alignment horizontal="center" vertical="center" wrapText="1"/>
      <protection hidden="1"/>
    </xf>
    <xf numFmtId="0" fontId="16" fillId="0" borderId="13" xfId="0" applyFont="1" applyBorder="1" applyAlignment="1" applyProtection="1">
      <alignment horizontal="center" vertical="center" wrapText="1"/>
      <protection hidden="1"/>
    </xf>
    <xf numFmtId="0" fontId="6" fillId="0" borderId="11" xfId="0" applyFont="1" applyBorder="1" applyAlignment="1" applyProtection="1">
      <alignment horizontal="center" vertical="center" wrapText="1"/>
      <protection hidden="1"/>
    </xf>
    <xf numFmtId="0" fontId="6" fillId="0" borderId="18" xfId="0" applyFont="1" applyBorder="1" applyAlignment="1" applyProtection="1">
      <alignment horizontal="center" vertical="center" wrapText="1"/>
      <protection hidden="1"/>
    </xf>
    <xf numFmtId="0" fontId="6" fillId="0" borderId="15" xfId="0" applyFont="1" applyBorder="1" applyAlignment="1" applyProtection="1">
      <alignment horizontal="center" vertical="center" wrapText="1"/>
      <protection hidden="1"/>
    </xf>
    <xf numFmtId="0" fontId="76" fillId="0" borderId="1" xfId="0" applyFont="1" applyBorder="1" applyAlignment="1" applyProtection="1">
      <alignment horizontal="center" vertical="center" wrapText="1"/>
      <protection hidden="1"/>
    </xf>
    <xf numFmtId="0" fontId="81" fillId="0" borderId="0" xfId="0" applyFont="1" applyAlignment="1" applyProtection="1">
      <alignment horizontal="center" wrapText="1"/>
      <protection hidden="1"/>
    </xf>
    <xf numFmtId="0" fontId="76" fillId="0" borderId="10" xfId="0" applyFont="1" applyBorder="1" applyAlignment="1" applyProtection="1">
      <alignment horizontal="center" vertical="center" wrapText="1"/>
      <protection hidden="1"/>
    </xf>
    <xf numFmtId="0" fontId="76" fillId="0" borderId="36" xfId="0" applyFont="1" applyBorder="1" applyAlignment="1" applyProtection="1">
      <alignment horizontal="center" vertical="center" wrapText="1"/>
      <protection hidden="1"/>
    </xf>
    <xf numFmtId="0" fontId="76" fillId="0" borderId="11" xfId="0" applyFont="1" applyBorder="1" applyAlignment="1" applyProtection="1">
      <alignment horizontal="center" vertical="center" wrapText="1"/>
      <protection hidden="1"/>
    </xf>
    <xf numFmtId="0" fontId="76" fillId="0" borderId="18" xfId="0" applyFont="1" applyBorder="1" applyAlignment="1" applyProtection="1">
      <alignment horizontal="center" vertical="center" wrapText="1"/>
      <protection hidden="1"/>
    </xf>
    <xf numFmtId="0" fontId="76" fillId="0" borderId="15" xfId="0" applyFont="1" applyBorder="1" applyAlignment="1" applyProtection="1">
      <alignment horizontal="center" vertical="center" wrapText="1"/>
      <protection hidden="1"/>
    </xf>
    <xf numFmtId="0" fontId="6" fillId="0" borderId="12" xfId="0" applyFont="1" applyBorder="1" applyAlignment="1" applyProtection="1">
      <alignment horizontal="center" vertical="center" wrapText="1"/>
      <protection hidden="1"/>
    </xf>
    <xf numFmtId="0" fontId="6" fillId="0" borderId="19" xfId="0" applyFont="1" applyBorder="1" applyAlignment="1" applyProtection="1">
      <alignment horizontal="center" vertical="center" wrapText="1"/>
      <protection hidden="1"/>
    </xf>
    <xf numFmtId="0" fontId="6" fillId="0" borderId="16" xfId="0" applyFont="1" applyBorder="1" applyAlignment="1" applyProtection="1">
      <alignment horizontal="center" vertical="center" wrapText="1"/>
      <protection hidden="1"/>
    </xf>
    <xf numFmtId="0" fontId="79" fillId="7" borderId="0" xfId="0" applyFont="1" applyFill="1" applyAlignment="1" applyProtection="1">
      <alignment horizontal="left"/>
      <protection locked="0"/>
    </xf>
    <xf numFmtId="0" fontId="76" fillId="4" borderId="60" xfId="0" applyFont="1" applyFill="1" applyBorder="1" applyAlignment="1" applyProtection="1">
      <alignment horizontal="center" vertical="center" wrapText="1"/>
      <protection hidden="1"/>
    </xf>
    <xf numFmtId="14" fontId="89" fillId="7" borderId="59" xfId="0" applyNumberFormat="1" applyFont="1" applyFill="1" applyBorder="1" applyAlignment="1" applyProtection="1">
      <alignment horizontal="center" wrapText="1"/>
      <protection locked="0"/>
    </xf>
    <xf numFmtId="14" fontId="89" fillId="7" borderId="60" xfId="0" applyNumberFormat="1" applyFont="1" applyFill="1" applyBorder="1" applyAlignment="1" applyProtection="1">
      <alignment horizontal="center" wrapText="1"/>
      <protection locked="0"/>
    </xf>
    <xf numFmtId="0" fontId="78" fillId="4" borderId="57" xfId="0" applyFont="1" applyFill="1" applyBorder="1" applyAlignment="1" applyProtection="1">
      <alignment horizontal="center" vertical="center"/>
      <protection hidden="1"/>
    </xf>
    <xf numFmtId="0" fontId="78" fillId="4" borderId="25" xfId="0" applyFont="1" applyFill="1" applyBorder="1" applyAlignment="1" applyProtection="1">
      <alignment horizontal="center" vertical="center"/>
      <protection hidden="1"/>
    </xf>
    <xf numFmtId="169" fontId="89" fillId="4" borderId="59" xfId="0" applyNumberFormat="1" applyFont="1" applyFill="1" applyBorder="1" applyAlignment="1" applyProtection="1">
      <alignment horizontal="center" vertical="center"/>
      <protection locked="0"/>
    </xf>
    <xf numFmtId="169" fontId="89" fillId="4" borderId="80" xfId="0" applyNumberFormat="1" applyFont="1" applyFill="1" applyBorder="1" applyAlignment="1" applyProtection="1">
      <alignment horizontal="center" vertical="center"/>
      <protection locked="0"/>
    </xf>
    <xf numFmtId="170" fontId="89" fillId="4" borderId="59" xfId="0" applyNumberFormat="1" applyFont="1" applyFill="1" applyBorder="1" applyAlignment="1" applyProtection="1">
      <alignment horizontal="center" vertical="center" wrapText="1"/>
      <protection locked="0"/>
    </xf>
    <xf numFmtId="170" fontId="89" fillId="4" borderId="80" xfId="0" applyNumberFormat="1" applyFont="1" applyFill="1" applyBorder="1" applyAlignment="1" applyProtection="1">
      <alignment horizontal="center" vertical="center" wrapText="1"/>
      <protection locked="0"/>
    </xf>
    <xf numFmtId="1" fontId="7" fillId="4" borderId="59" xfId="0" applyNumberFormat="1" applyFont="1" applyFill="1" applyBorder="1" applyAlignment="1" applyProtection="1">
      <alignment horizontal="center" vertical="center"/>
      <protection locked="0"/>
    </xf>
    <xf numFmtId="1" fontId="7" fillId="4" borderId="80" xfId="0" applyNumberFormat="1" applyFont="1" applyFill="1" applyBorder="1" applyAlignment="1" applyProtection="1">
      <alignment horizontal="center" vertical="center"/>
      <protection locked="0"/>
    </xf>
    <xf numFmtId="0" fontId="79" fillId="0" borderId="0" xfId="0" applyFont="1" applyAlignment="1" applyProtection="1">
      <alignment horizontal="left" vertical="center"/>
      <protection hidden="1"/>
    </xf>
    <xf numFmtId="0" fontId="79" fillId="0" borderId="0" xfId="0" applyFont="1" applyAlignment="1" applyProtection="1">
      <alignment horizontal="left"/>
      <protection locked="0"/>
    </xf>
    <xf numFmtId="14" fontId="89" fillId="4" borderId="0" xfId="0" applyNumberFormat="1" applyFont="1" applyFill="1" applyBorder="1" applyAlignment="1" applyProtection="1">
      <alignment horizontal="center" vertical="center" wrapText="1"/>
      <protection hidden="1"/>
    </xf>
    <xf numFmtId="14" fontId="89" fillId="4" borderId="29" xfId="0" applyNumberFormat="1" applyFont="1" applyFill="1" applyBorder="1" applyAlignment="1" applyProtection="1">
      <alignment horizontal="center" vertical="center" wrapText="1"/>
      <protection hidden="1"/>
    </xf>
    <xf numFmtId="0" fontId="6" fillId="0" borderId="30" xfId="0" applyFont="1" applyBorder="1" applyAlignment="1" applyProtection="1">
      <alignment horizontal="center" vertical="center" wrapText="1"/>
      <protection hidden="1"/>
    </xf>
    <xf numFmtId="0" fontId="6" fillId="0" borderId="40" xfId="0" applyFont="1" applyBorder="1" applyAlignment="1" applyProtection="1">
      <alignment horizontal="center" vertical="center" wrapText="1"/>
      <protection hidden="1"/>
    </xf>
    <xf numFmtId="0" fontId="6" fillId="0" borderId="31" xfId="0" applyFont="1" applyBorder="1" applyAlignment="1" applyProtection="1">
      <alignment horizontal="center" vertical="center" wrapText="1"/>
      <protection hidden="1"/>
    </xf>
    <xf numFmtId="0" fontId="7" fillId="0" borderId="59" xfId="0" applyFont="1" applyBorder="1" applyAlignment="1" applyProtection="1">
      <alignment horizontal="center" vertical="center" wrapText="1"/>
      <protection locked="0"/>
    </xf>
    <xf numFmtId="0" fontId="7" fillId="0" borderId="80" xfId="0" applyFont="1" applyBorder="1" applyAlignment="1" applyProtection="1">
      <alignment horizontal="center" vertical="center" wrapText="1"/>
      <protection locked="0"/>
    </xf>
    <xf numFmtId="0" fontId="6" fillId="0" borderId="59" xfId="0" applyFont="1" applyBorder="1" applyAlignment="1" applyProtection="1">
      <alignment horizontal="center" vertical="center" wrapText="1"/>
      <protection locked="0"/>
    </xf>
    <xf numFmtId="0" fontId="6" fillId="0" borderId="80" xfId="0" applyFont="1" applyBorder="1" applyAlignment="1" applyProtection="1">
      <alignment horizontal="center" vertical="center" wrapText="1"/>
      <protection locked="0"/>
    </xf>
    <xf numFmtId="14" fontId="89" fillId="4" borderId="28" xfId="0" applyNumberFormat="1" applyFont="1" applyFill="1" applyBorder="1" applyAlignment="1" applyProtection="1">
      <alignment horizontal="center" vertical="center" wrapText="1"/>
      <protection hidden="1"/>
    </xf>
    <xf numFmtId="0" fontId="6" fillId="0" borderId="60" xfId="0" applyFont="1" applyBorder="1" applyAlignment="1" applyProtection="1">
      <alignment horizontal="center" vertical="top" wrapText="1"/>
      <protection hidden="1"/>
    </xf>
    <xf numFmtId="0" fontId="52" fillId="7" borderId="59" xfId="0" applyFont="1" applyFill="1" applyBorder="1" applyAlignment="1" applyProtection="1">
      <alignment horizontal="center" wrapText="1"/>
      <protection locked="0"/>
    </xf>
    <xf numFmtId="0" fontId="52" fillId="7" borderId="60" xfId="0" applyFont="1" applyFill="1" applyBorder="1" applyAlignment="1" applyProtection="1">
      <alignment horizontal="center" wrapText="1"/>
      <protection locked="0"/>
    </xf>
    <xf numFmtId="0" fontId="7" fillId="0" borderId="59" xfId="0" applyFont="1" applyBorder="1" applyAlignment="1" applyProtection="1">
      <alignment horizontal="center" vertical="top" wrapText="1"/>
      <protection locked="0"/>
    </xf>
    <xf numFmtId="0" fontId="7" fillId="0" borderId="80" xfId="0" applyFont="1" applyBorder="1" applyAlignment="1" applyProtection="1">
      <alignment horizontal="center" vertical="top" wrapText="1"/>
      <protection locked="0"/>
    </xf>
    <xf numFmtId="0" fontId="4" fillId="7" borderId="0" xfId="0" applyFont="1" applyFill="1" applyAlignment="1" applyProtection="1">
      <alignment horizontal="left"/>
      <protection locked="0" hidden="1"/>
    </xf>
    <xf numFmtId="0" fontId="45" fillId="0" borderId="9" xfId="0" applyFont="1" applyBorder="1" applyAlignment="1" applyProtection="1">
      <alignment horizontal="center" vertical="top" wrapText="1"/>
      <protection hidden="1"/>
    </xf>
    <xf numFmtId="0" fontId="45" fillId="0" borderId="22" xfId="0" applyFont="1" applyBorder="1" applyAlignment="1" applyProtection="1">
      <alignment horizontal="center" vertical="top" wrapText="1"/>
      <protection hidden="1"/>
    </xf>
    <xf numFmtId="0" fontId="45" fillId="0" borderId="11" xfId="0" applyFont="1" applyBorder="1" applyAlignment="1" applyProtection="1">
      <alignment horizontal="center" vertical="top" wrapText="1"/>
      <protection hidden="1"/>
    </xf>
    <xf numFmtId="0" fontId="45" fillId="0" borderId="23" xfId="0" applyFont="1" applyBorder="1" applyAlignment="1" applyProtection="1">
      <alignment horizontal="center" vertical="top" wrapText="1"/>
      <protection hidden="1"/>
    </xf>
    <xf numFmtId="0" fontId="84" fillId="0" borderId="11" xfId="0" applyFont="1" applyBorder="1" applyAlignment="1" applyProtection="1">
      <alignment horizontal="center" vertical="top" wrapText="1"/>
      <protection hidden="1"/>
    </xf>
    <xf numFmtId="0" fontId="4" fillId="7" borderId="0" xfId="0" applyFont="1" applyFill="1" applyBorder="1" applyAlignment="1" applyProtection="1">
      <alignment horizontal="justify" vertical="justify" wrapText="1"/>
      <protection locked="0" hidden="1"/>
    </xf>
    <xf numFmtId="0" fontId="4" fillId="0" borderId="0" xfId="0" applyFont="1" applyBorder="1" applyAlignment="1" applyProtection="1">
      <alignment horizontal="left"/>
      <protection hidden="1"/>
    </xf>
    <xf numFmtId="0" fontId="45" fillId="0" borderId="59" xfId="0" applyFont="1" applyBorder="1" applyAlignment="1" applyProtection="1">
      <alignment horizontal="center" vertical="top" wrapText="1"/>
      <protection hidden="1"/>
    </xf>
    <xf numFmtId="0" fontId="45" fillId="0" borderId="80" xfId="0" applyFont="1" applyBorder="1" applyAlignment="1" applyProtection="1">
      <alignment horizontal="center" vertical="top" wrapText="1"/>
      <protection hidden="1"/>
    </xf>
    <xf numFmtId="0" fontId="45" fillId="4" borderId="59" xfId="1" applyFont="1" applyFill="1" applyBorder="1" applyAlignment="1" applyProtection="1">
      <alignment horizontal="center" vertical="top" wrapText="1"/>
      <protection hidden="1"/>
    </xf>
    <xf numFmtId="0" fontId="45" fillId="4" borderId="80" xfId="1" applyFont="1" applyFill="1" applyBorder="1" applyAlignment="1" applyProtection="1">
      <alignment horizontal="center" vertical="top" wrapText="1"/>
      <protection hidden="1"/>
    </xf>
    <xf numFmtId="0" fontId="101" fillId="4" borderId="0" xfId="0" applyFont="1" applyFill="1" applyAlignment="1" applyProtection="1">
      <alignment horizontal="center" vertical="center"/>
      <protection locked="0" hidden="1"/>
    </xf>
    <xf numFmtId="0" fontId="45" fillId="0" borderId="61" xfId="0" applyFont="1" applyBorder="1" applyAlignment="1" applyProtection="1">
      <alignment horizontal="center" vertical="top" wrapText="1"/>
      <protection hidden="1"/>
    </xf>
    <xf numFmtId="0" fontId="45" fillId="0" borderId="81" xfId="0" applyFont="1" applyBorder="1" applyAlignment="1" applyProtection="1">
      <alignment horizontal="center" vertical="top" wrapText="1"/>
      <protection hidden="1"/>
    </xf>
    <xf numFmtId="0" fontId="47" fillId="0" borderId="38" xfId="0" applyFont="1" applyBorder="1" applyAlignment="1" applyProtection="1">
      <alignment horizontal="center" vertical="top" wrapText="1"/>
      <protection hidden="1"/>
    </xf>
    <xf numFmtId="0" fontId="47" fillId="0" borderId="26" xfId="0" applyFont="1" applyBorder="1" applyAlignment="1" applyProtection="1">
      <alignment horizontal="center" vertical="top" wrapText="1"/>
      <protection hidden="1"/>
    </xf>
    <xf numFmtId="0" fontId="102" fillId="4" borderId="0" xfId="0" applyFont="1" applyFill="1" applyAlignment="1" applyProtection="1">
      <alignment horizontal="center" vertical="center"/>
      <protection locked="0" hidden="1"/>
    </xf>
    <xf numFmtId="0" fontId="42" fillId="0" borderId="0" xfId="0" applyFont="1" applyAlignment="1" applyProtection="1">
      <alignment horizontal="center"/>
      <protection hidden="1"/>
    </xf>
    <xf numFmtId="0" fontId="45" fillId="7" borderId="5" xfId="0" applyFont="1" applyFill="1" applyBorder="1" applyAlignment="1" applyProtection="1">
      <alignment horizontal="justify" vertical="justify" wrapText="1"/>
      <protection locked="0"/>
    </xf>
    <xf numFmtId="0" fontId="4" fillId="0" borderId="0" xfId="0" applyFont="1" applyAlignment="1" applyProtection="1">
      <alignment horizontal="left"/>
      <protection locked="0"/>
    </xf>
    <xf numFmtId="0" fontId="0" fillId="18" borderId="0" xfId="0" applyFill="1" applyAlignment="1" applyProtection="1">
      <protection hidden="1"/>
    </xf>
    <xf numFmtId="0" fontId="93" fillId="18" borderId="183" xfId="0" applyFont="1" applyFill="1" applyBorder="1" applyAlignment="1" applyProtection="1">
      <alignment horizontal="center"/>
      <protection hidden="1"/>
    </xf>
    <xf numFmtId="0" fontId="61" fillId="12" borderId="160" xfId="0" applyFont="1" applyFill="1" applyBorder="1" applyAlignment="1" applyProtection="1">
      <alignment horizontal="center" vertical="center"/>
      <protection locked="0"/>
    </xf>
    <xf numFmtId="0" fontId="104" fillId="14" borderId="162" xfId="0" applyFont="1" applyFill="1" applyBorder="1" applyAlignment="1" applyProtection="1">
      <alignment horizontal="left" vertical="center" wrapText="1"/>
      <protection hidden="1"/>
    </xf>
    <xf numFmtId="0" fontId="87" fillId="18" borderId="184" xfId="0" applyFont="1" applyFill="1" applyBorder="1" applyAlignment="1" applyProtection="1">
      <alignment horizontal="center"/>
      <protection hidden="1"/>
    </xf>
    <xf numFmtId="169" fontId="63" fillId="12" borderId="162" xfId="0" applyNumberFormat="1" applyFont="1" applyFill="1" applyBorder="1" applyAlignment="1" applyProtection="1">
      <alignment horizontal="center" vertical="center"/>
      <protection locked="0"/>
    </xf>
    <xf numFmtId="0" fontId="109" fillId="12" borderId="160" xfId="0" applyFont="1" applyFill="1" applyBorder="1" applyAlignment="1" applyProtection="1">
      <alignment horizontal="justify" vertical="justify" wrapText="1"/>
      <protection locked="0"/>
    </xf>
    <xf numFmtId="0" fontId="109" fillId="12" borderId="161" xfId="0" applyFont="1" applyFill="1" applyBorder="1" applyAlignment="1" applyProtection="1">
      <alignment horizontal="justify" vertical="justify" wrapText="1"/>
      <protection locked="0"/>
    </xf>
    <xf numFmtId="0" fontId="109" fillId="12" borderId="162" xfId="0" applyFont="1" applyFill="1" applyBorder="1" applyAlignment="1" applyProtection="1">
      <alignment horizontal="justify" vertical="justify" wrapText="1"/>
      <protection locked="0"/>
    </xf>
    <xf numFmtId="0" fontId="110" fillId="18" borderId="0" xfId="0" applyFont="1" applyFill="1" applyBorder="1" applyAlignment="1" applyProtection="1">
      <alignment horizontal="center" vertical="top"/>
      <protection hidden="1"/>
    </xf>
    <xf numFmtId="0" fontId="111" fillId="18" borderId="0" xfId="0" applyFont="1" applyFill="1" applyAlignment="1" applyProtection="1">
      <alignment horizontal="center" vertical="center"/>
      <protection hidden="1"/>
    </xf>
    <xf numFmtId="0" fontId="112" fillId="18" borderId="0" xfId="0" applyFont="1" applyFill="1" applyAlignment="1" applyProtection="1">
      <alignment horizontal="center" vertical="center" wrapText="1"/>
      <protection hidden="1"/>
    </xf>
    <xf numFmtId="0" fontId="107" fillId="18" borderId="0" xfId="0" applyFont="1" applyFill="1" applyAlignment="1" applyProtection="1">
      <alignment horizontal="center" vertical="top"/>
      <protection hidden="1"/>
    </xf>
    <xf numFmtId="0" fontId="113" fillId="18" borderId="0" xfId="0" applyFont="1" applyFill="1" applyAlignment="1" applyProtection="1">
      <alignment horizontal="center" vertical="center"/>
      <protection hidden="1"/>
    </xf>
  </cellXfs>
  <cellStyles count="2">
    <cellStyle name="Hyperlink" xfId="1" builtinId="8"/>
    <cellStyle name="Normal" xfId="0" builtinId="0"/>
  </cellStyles>
  <dxfs count="14">
    <dxf>
      <fill>
        <patternFill>
          <bgColor theme="0"/>
        </patternFill>
      </fill>
    </dxf>
    <dxf>
      <font>
        <color theme="0"/>
      </font>
    </dxf>
    <dxf>
      <font>
        <color rgb="FF002060"/>
      </font>
      <fill>
        <patternFill>
          <bgColor rgb="FFFFFF00"/>
        </patternFill>
      </fill>
    </dxf>
    <dxf>
      <font>
        <color theme="0"/>
      </font>
    </dxf>
    <dxf>
      <font>
        <color theme="0"/>
      </font>
    </dxf>
    <dxf>
      <fill>
        <patternFill>
          <bgColor rgb="FFFFFF00"/>
        </patternFill>
      </fill>
    </dxf>
    <dxf>
      <font>
        <sz val="10"/>
        <color rgb="FFFFFFFF"/>
      </font>
    </dxf>
    <dxf>
      <font>
        <color theme="0"/>
      </font>
    </dxf>
    <dxf>
      <font>
        <color rgb="FF002060"/>
      </font>
      <fill>
        <patternFill>
          <bgColor rgb="FFFFFF00"/>
        </patternFill>
      </fill>
    </dxf>
    <dxf>
      <font>
        <color theme="0"/>
      </font>
    </dxf>
    <dxf>
      <font>
        <color theme="0"/>
      </font>
    </dxf>
    <dxf>
      <fill>
        <patternFill>
          <bgColor rgb="FFFFFF00"/>
        </patternFill>
      </fill>
    </dxf>
    <dxf>
      <font>
        <sz val="10"/>
        <color rgb="FFFFFFFF"/>
      </font>
    </dxf>
    <dxf>
      <font>
        <color theme="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https://youtu.be/8nU8whngusg" TargetMode="Externa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95250</xdr:colOff>
      <xdr:row>4</xdr:row>
      <xdr:rowOff>19049</xdr:rowOff>
    </xdr:from>
    <xdr:to>
      <xdr:col>9</xdr:col>
      <xdr:colOff>57149</xdr:colOff>
      <xdr:row>8</xdr:row>
      <xdr:rowOff>228600</xdr:rowOff>
    </xdr:to>
    <xdr:pic>
      <xdr:nvPicPr>
        <xdr:cNvPr id="2" name="Picture 1" descr="IMG_20220427_183058_453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72775" y="942974"/>
          <a:ext cx="2133599" cy="2324101"/>
        </a:xfrm>
        <a:prstGeom prst="rect">
          <a:avLst/>
        </a:prstGeom>
        <a:ln>
          <a:noFill/>
        </a:ln>
        <a:effectLst>
          <a:reflection blurRad="12700" stA="30000" endPos="30000" dist="5000" dir="5400000" sy="-100000" algn="bl" rotWithShape="0"/>
        </a:effectLst>
        <a:scene3d>
          <a:camera prst="perspectiveContrastingLeftFacing">
            <a:rot lat="300000" lon="19800000" rev="0"/>
          </a:camera>
          <a:lightRig rig="threePt" dir="t">
            <a:rot lat="0" lon="0" rev="2700000"/>
          </a:lightRig>
        </a:scene3d>
        <a:sp3d>
          <a:bevelT w="63500" h="50800"/>
        </a:sp3d>
      </xdr:spPr>
    </xdr:pic>
    <xdr:clientData/>
  </xdr:twoCellAnchor>
  <xdr:twoCellAnchor>
    <xdr:from>
      <xdr:col>2</xdr:col>
      <xdr:colOff>361950</xdr:colOff>
      <xdr:row>11</xdr:row>
      <xdr:rowOff>38099</xdr:rowOff>
    </xdr:from>
    <xdr:to>
      <xdr:col>2</xdr:col>
      <xdr:colOff>2333626</xdr:colOff>
      <xdr:row>11</xdr:row>
      <xdr:rowOff>609600</xdr:rowOff>
    </xdr:to>
    <xdr:sp macro="" textlink="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3209925" y="3829049"/>
          <a:ext cx="1971676" cy="571501"/>
        </a:xfrm>
        <a:prstGeom prst="roundRect">
          <a:avLst/>
        </a:prstGeom>
        <a:blipFill>
          <a:blip xmlns:r="http://schemas.openxmlformats.org/officeDocument/2006/relationships" r:embed="rId3"/>
          <a:tile tx="0" ty="0" sx="100000" sy="100000" flip="none" algn="tl"/>
        </a:blipFill>
        <a:effectLst>
          <a:innerShdw blurRad="63500" dist="50800" dir="135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2800" b="1">
              <a:solidFill>
                <a:schemeClr val="bg1"/>
              </a:solidFill>
              <a:latin typeface="+mj-lt"/>
            </a:rPr>
            <a:t>Click Here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9</xdr:row>
      <xdr:rowOff>428625</xdr:rowOff>
    </xdr:from>
    <xdr:to>
      <xdr:col>13</xdr:col>
      <xdr:colOff>0</xdr:colOff>
      <xdr:row>11</xdr:row>
      <xdr:rowOff>37991</xdr:rowOff>
    </xdr:to>
    <xdr:pic>
      <xdr:nvPicPr>
        <xdr:cNvPr id="2" name="Picture 1" descr="ddo.bm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867775" y="4343400"/>
          <a:ext cx="2266950" cy="876191"/>
        </a:xfrm>
        <a:prstGeom prst="rect">
          <a:avLst/>
        </a:prstGeom>
      </xdr:spPr>
    </xdr:pic>
    <xdr:clientData/>
  </xdr:twoCellAnchor>
  <xdr:twoCellAnchor editAs="oneCell">
    <xdr:from>
      <xdr:col>13</xdr:col>
      <xdr:colOff>9525</xdr:colOff>
      <xdr:row>14</xdr:row>
      <xdr:rowOff>85725</xdr:rowOff>
    </xdr:from>
    <xdr:to>
      <xdr:col>13</xdr:col>
      <xdr:colOff>9525</xdr:colOff>
      <xdr:row>17</xdr:row>
      <xdr:rowOff>47516</xdr:rowOff>
    </xdr:to>
    <xdr:pic>
      <xdr:nvPicPr>
        <xdr:cNvPr id="3" name="Picture 2" descr="ddo.bm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877300" y="5943600"/>
          <a:ext cx="2266950" cy="8761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M61"/>
  <sheetViews>
    <sheetView showGridLines="0" showRowColHeaders="0" tabSelected="1" zoomScaleSheetLayoutView="85" workbookViewId="0">
      <selection activeCell="C5" sqref="C5:G5"/>
    </sheetView>
  </sheetViews>
  <sheetFormatPr defaultColWidth="0" defaultRowHeight="0" customHeight="1" zeroHeight="1"/>
  <cols>
    <col min="1" max="1" width="4.85546875" style="7" customWidth="1"/>
    <col min="2" max="2" width="41" style="147" customWidth="1"/>
    <col min="3" max="3" width="35.85546875" style="147" customWidth="1"/>
    <col min="4" max="4" width="20.85546875" style="147" customWidth="1"/>
    <col min="5" max="5" width="25.28515625" style="147" customWidth="1"/>
    <col min="6" max="6" width="8.5703125" style="147" customWidth="1"/>
    <col min="7" max="7" width="21.42578125" style="147" customWidth="1"/>
    <col min="8" max="8" width="2.28515625" style="147" customWidth="1"/>
    <col min="9" max="9" width="32.5703125" style="147" customWidth="1"/>
    <col min="10" max="10" width="3.7109375" style="147" customWidth="1"/>
    <col min="11" max="11" width="11.5703125" style="25" hidden="1" customWidth="1"/>
    <col min="12" max="12" width="11.5703125" style="81" hidden="1" customWidth="1"/>
    <col min="13" max="13" width="11.5703125" style="84" hidden="1" customWidth="1"/>
    <col min="14" max="16384" width="11.5703125" style="81" hidden="1"/>
  </cols>
  <sheetData>
    <row r="1" spans="1:11" ht="8.25" customHeight="1">
      <c r="A1" s="282"/>
      <c r="B1" s="282"/>
      <c r="C1" s="282"/>
      <c r="D1" s="282"/>
      <c r="E1" s="282"/>
      <c r="F1" s="282"/>
      <c r="G1" s="282"/>
      <c r="H1" s="282"/>
      <c r="I1" s="282"/>
      <c r="J1" s="282"/>
    </row>
    <row r="2" spans="1:11" ht="26.25" customHeight="1">
      <c r="A2" s="282"/>
      <c r="B2" s="295" t="s">
        <v>142</v>
      </c>
      <c r="C2" s="295"/>
      <c r="D2" s="295"/>
      <c r="E2" s="295"/>
      <c r="F2" s="295"/>
      <c r="G2" s="295"/>
      <c r="H2" s="295"/>
      <c r="I2" s="295"/>
      <c r="J2" s="282"/>
    </row>
    <row r="3" spans="1:11" ht="10.5" customHeight="1" thickBot="1">
      <c r="A3" s="282"/>
      <c r="B3" s="624"/>
      <c r="C3" s="624"/>
      <c r="D3" s="624"/>
      <c r="E3" s="624"/>
      <c r="F3" s="624"/>
      <c r="G3" s="624"/>
      <c r="H3" s="78"/>
      <c r="I3" s="632" t="s">
        <v>125</v>
      </c>
      <c r="J3" s="282"/>
    </row>
    <row r="4" spans="1:11" ht="27.75" customHeight="1" thickBot="1">
      <c r="A4" s="282"/>
      <c r="B4" s="242" t="s">
        <v>117</v>
      </c>
      <c r="C4" s="625" t="s">
        <v>118</v>
      </c>
      <c r="D4" s="289"/>
      <c r="E4" s="289"/>
      <c r="F4" s="289"/>
      <c r="G4" s="290"/>
      <c r="H4" s="627"/>
      <c r="I4" s="632"/>
      <c r="J4" s="282"/>
    </row>
    <row r="5" spans="1:11" ht="79.5" customHeight="1" thickBot="1">
      <c r="A5" s="282"/>
      <c r="B5" s="242" t="s">
        <v>137</v>
      </c>
      <c r="C5" s="629" t="s">
        <v>138</v>
      </c>
      <c r="D5" s="630"/>
      <c r="E5" s="630"/>
      <c r="F5" s="630"/>
      <c r="G5" s="631"/>
      <c r="H5" s="627"/>
      <c r="I5" s="146"/>
      <c r="J5" s="282"/>
    </row>
    <row r="6" spans="1:11" ht="36" customHeight="1" thickBot="1">
      <c r="A6" s="282"/>
      <c r="B6" s="242" t="s">
        <v>1</v>
      </c>
      <c r="C6" s="234" t="s">
        <v>126</v>
      </c>
      <c r="D6" s="243" t="s">
        <v>124</v>
      </c>
      <c r="E6" s="233">
        <v>43468</v>
      </c>
      <c r="F6" s="244" t="s">
        <v>53</v>
      </c>
      <c r="G6" s="240">
        <v>44500</v>
      </c>
      <c r="H6" s="627"/>
      <c r="I6" s="291"/>
      <c r="J6" s="282"/>
    </row>
    <row r="7" spans="1:11" ht="25.5" customHeight="1" thickBot="1">
      <c r="A7" s="282"/>
      <c r="B7" s="242" t="s">
        <v>2</v>
      </c>
      <c r="C7" s="235" t="s">
        <v>139</v>
      </c>
      <c r="D7" s="283" t="s">
        <v>132</v>
      </c>
      <c r="E7" s="284"/>
      <c r="F7" s="285"/>
      <c r="G7" s="238">
        <v>39100</v>
      </c>
      <c r="H7" s="627"/>
      <c r="I7" s="291"/>
      <c r="J7" s="282"/>
    </row>
    <row r="8" spans="1:11" ht="25.5" customHeight="1" thickBot="1">
      <c r="A8" s="282"/>
      <c r="B8" s="242" t="s">
        <v>119</v>
      </c>
      <c r="C8" s="236" t="s">
        <v>140</v>
      </c>
      <c r="D8" s="283" t="s">
        <v>123</v>
      </c>
      <c r="E8" s="284"/>
      <c r="F8" s="285"/>
      <c r="G8" s="238">
        <v>43800</v>
      </c>
      <c r="H8" s="627"/>
      <c r="I8" s="291"/>
      <c r="J8" s="282"/>
    </row>
    <row r="9" spans="1:11" ht="25.5" customHeight="1" thickBot="1">
      <c r="A9" s="282"/>
      <c r="B9" s="242" t="s">
        <v>120</v>
      </c>
      <c r="C9" s="236" t="s">
        <v>141</v>
      </c>
      <c r="D9" s="286" t="s">
        <v>145</v>
      </c>
      <c r="E9" s="287"/>
      <c r="F9" s="288"/>
      <c r="G9" s="239">
        <v>4500</v>
      </c>
      <c r="H9" s="627"/>
      <c r="I9" s="291"/>
      <c r="J9" s="282"/>
      <c r="K9" s="24"/>
    </row>
    <row r="10" spans="1:11" ht="25.5" customHeight="1" thickBot="1">
      <c r="A10" s="282"/>
      <c r="B10" s="242" t="s">
        <v>121</v>
      </c>
      <c r="C10" s="237" t="s">
        <v>71</v>
      </c>
      <c r="D10" s="286" t="s">
        <v>144</v>
      </c>
      <c r="E10" s="287"/>
      <c r="F10" s="288"/>
      <c r="G10" s="239">
        <v>4500</v>
      </c>
      <c r="H10" s="627"/>
      <c r="I10" s="633" t="s">
        <v>126</v>
      </c>
      <c r="J10" s="282"/>
      <c r="K10" s="24"/>
    </row>
    <row r="11" spans="1:11" ht="25.5" customHeight="1" thickBot="1">
      <c r="A11" s="282"/>
      <c r="B11" s="242" t="s">
        <v>122</v>
      </c>
      <c r="C11" s="241">
        <v>0.1</v>
      </c>
      <c r="D11" s="292" t="s">
        <v>131</v>
      </c>
      <c r="E11" s="293"/>
      <c r="F11" s="294"/>
      <c r="G11" s="238" t="s">
        <v>133</v>
      </c>
      <c r="H11" s="627"/>
      <c r="I11" s="636" t="s">
        <v>127</v>
      </c>
      <c r="J11" s="282"/>
      <c r="K11" s="24"/>
    </row>
    <row r="12" spans="1:11" ht="53.25" customHeight="1" thickBot="1">
      <c r="A12" s="144"/>
      <c r="B12" s="296" t="s">
        <v>134</v>
      </c>
      <c r="C12" s="626"/>
      <c r="D12" s="286" t="s">
        <v>135</v>
      </c>
      <c r="E12" s="287"/>
      <c r="F12" s="288"/>
      <c r="G12" s="628" t="s">
        <v>136</v>
      </c>
      <c r="H12" s="145"/>
      <c r="I12" s="635" t="s">
        <v>128</v>
      </c>
      <c r="J12" s="144"/>
      <c r="K12" s="24"/>
    </row>
    <row r="13" spans="1:11" ht="58.5" customHeight="1">
      <c r="A13" s="623"/>
      <c r="B13" s="634" t="s">
        <v>143</v>
      </c>
      <c r="C13" s="634"/>
      <c r="D13" s="634"/>
      <c r="E13" s="634"/>
      <c r="F13" s="634"/>
      <c r="G13" s="634"/>
      <c r="H13" s="634"/>
      <c r="I13" s="634"/>
      <c r="J13" s="623"/>
      <c r="K13" s="24"/>
    </row>
    <row r="14" spans="1:11" ht="15" hidden="1" customHeight="1">
      <c r="E14" s="77"/>
    </row>
    <row r="15" spans="1:11" ht="15" hidden="1" customHeight="1"/>
    <row r="16" spans="1:11" ht="15" hidden="1" customHeight="1"/>
    <row r="17" ht="15" hidden="1" customHeight="1"/>
    <row r="18" ht="15" hidden="1" customHeight="1"/>
    <row r="19" ht="15" hidden="1" customHeight="1"/>
    <row r="20" ht="15" hidden="1" customHeight="1"/>
    <row r="21" ht="15" hidden="1" customHeight="1"/>
    <row r="22" ht="15" hidden="1" customHeight="1"/>
    <row r="23" ht="15" hidden="1" customHeight="1"/>
    <row r="24" ht="15" hidden="1" customHeight="1"/>
    <row r="25" ht="15" hidden="1" customHeight="1"/>
    <row r="26" ht="15" hidden="1" customHeight="1"/>
    <row r="27" ht="15" hidden="1" customHeight="1"/>
    <row r="28" ht="15" hidden="1" customHeight="1"/>
    <row r="29" ht="15" hidden="1" customHeight="1"/>
    <row r="30" ht="15" hidden="1" customHeight="1"/>
    <row r="31" ht="15" hidden="1" customHeight="1"/>
    <row r="32" ht="15" hidden="1" customHeight="1"/>
    <row r="33" ht="15" hidden="1" customHeight="1"/>
    <row r="34" ht="15" hidden="1" customHeight="1"/>
    <row r="35" ht="15" hidden="1" customHeight="1"/>
    <row r="36" ht="15" hidden="1" customHeight="1"/>
    <row r="37" ht="15" hidden="1" customHeight="1"/>
    <row r="38" ht="15" hidden="1" customHeight="1"/>
    <row r="39" ht="15" hidden="1" customHeight="1"/>
    <row r="40" ht="15" hidden="1" customHeight="1"/>
    <row r="41" ht="15" hidden="1" customHeight="1"/>
    <row r="42" ht="15" hidden="1" customHeight="1"/>
    <row r="43" ht="15" hidden="1" customHeight="1"/>
    <row r="44" ht="15" hidden="1" customHeight="1"/>
    <row r="45" ht="15" hidden="1" customHeight="1"/>
    <row r="46" ht="15" hidden="1" customHeight="1"/>
    <row r="47" ht="15" hidden="1" customHeight="1"/>
    <row r="48" ht="15" hidden="1" customHeight="1"/>
    <row r="49" ht="15" hidden="1" customHeight="1"/>
    <row r="50" ht="15" hidden="1" customHeight="1"/>
    <row r="51" ht="15" hidden="1" customHeight="1"/>
    <row r="52" ht="15" hidden="1" customHeight="1"/>
    <row r="53" ht="15" hidden="1" customHeight="1"/>
    <row r="54" ht="15" hidden="1" customHeight="1"/>
    <row r="55" ht="15" hidden="1" customHeight="1"/>
    <row r="56" ht="15" hidden="1" customHeight="1"/>
    <row r="57" ht="15" hidden="1" customHeight="1"/>
    <row r="58" ht="15" hidden="1" customHeight="1"/>
    <row r="59" ht="15" hidden="1" customHeight="1"/>
    <row r="60" ht="15" hidden="1" customHeight="1"/>
    <row r="61" ht="15" hidden="1" customHeight="1"/>
  </sheetData>
  <sheetProtection password="E8FA" sheet="1" objects="1" scenarios="1" formatCells="0" formatColumns="0" formatRows="0" selectLockedCells="1"/>
  <mergeCells count="18">
    <mergeCell ref="H4:H11"/>
    <mergeCell ref="I6:I9"/>
    <mergeCell ref="D11:F11"/>
    <mergeCell ref="B2:I2"/>
    <mergeCell ref="A2:A11"/>
    <mergeCell ref="J2:J11"/>
    <mergeCell ref="B12:C12"/>
    <mergeCell ref="D12:F12"/>
    <mergeCell ref="B13:I13"/>
    <mergeCell ref="A1:J1"/>
    <mergeCell ref="D9:F9"/>
    <mergeCell ref="D10:F10"/>
    <mergeCell ref="C4:G4"/>
    <mergeCell ref="B3:G3"/>
    <mergeCell ref="I3:I4"/>
    <mergeCell ref="D7:F7"/>
    <mergeCell ref="D8:F8"/>
    <mergeCell ref="C5:G5"/>
  </mergeCells>
  <dataValidations count="4">
    <dataValidation type="list" allowBlank="1" showInputMessage="1" showErrorMessage="1" sqref="C10">
      <formula1>"Subordinate,State Service,Ministrial"</formula1>
    </dataValidation>
    <dataValidation type="list" allowBlank="1" showInputMessage="1" showErrorMessage="1" sqref="C9">
      <formula1>"Salary,Fixation,ACP"</formula1>
    </dataValidation>
    <dataValidation type="list" allowBlank="1" showInputMessage="1" showErrorMessage="1" sqref="G11">
      <formula1>"Y-Urban,Z-Rural"</formula1>
    </dataValidation>
    <dataValidation type="list" allowBlank="1" showInputMessage="1" showErrorMessage="1" sqref="G12">
      <formula1>"YES,NO"</formula1>
    </dataValidation>
  </dataValidations>
  <pageMargins left="0.3" right="0.2" top="0.33" bottom="0.34" header="0.31496062992125984" footer="0.31496062992125984"/>
  <pageSetup paperSize="9" scale="63" orientation="landscape" r:id="rId1"/>
  <colBreaks count="1" manualBreakCount="1">
    <brk id="7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XFC75"/>
  <sheetViews>
    <sheetView showGridLines="0" topLeftCell="Q5" zoomScaleSheetLayoutView="85" workbookViewId="0">
      <selection activeCell="X10" activeCellId="3" sqref="AQ9:AS9 AT9:AV9 AC10 X10"/>
    </sheetView>
  </sheetViews>
  <sheetFormatPr defaultColWidth="0" defaultRowHeight="15" zeroHeight="1"/>
  <cols>
    <col min="1" max="1" width="0" style="7" hidden="1" customWidth="1"/>
    <col min="2" max="5" width="0" style="81" hidden="1" customWidth="1"/>
    <col min="6" max="6" width="8.42578125" style="81" hidden="1" customWidth="1"/>
    <col min="7" max="13" width="5.85546875" style="81" hidden="1" customWidth="1"/>
    <col min="14" max="14" width="5.85546875" style="81" customWidth="1"/>
    <col min="15" max="15" width="0" style="81" hidden="1" customWidth="1"/>
    <col min="16" max="16" width="7.28515625" style="81" bestFit="1" customWidth="1"/>
    <col min="17" max="17" width="2.28515625" style="81" customWidth="1"/>
    <col min="18" max="18" width="7.5703125" style="81" bestFit="1" customWidth="1"/>
    <col min="19" max="21" width="0" style="81" hidden="1" customWidth="1"/>
    <col min="22" max="25" width="6.42578125" style="81" customWidth="1"/>
    <col min="26" max="26" width="7.28515625" style="81" customWidth="1"/>
    <col min="27" max="30" width="6.42578125" style="81" customWidth="1"/>
    <col min="31" max="31" width="7.140625" style="81" customWidth="1"/>
    <col min="32" max="35" width="5.85546875" style="81" customWidth="1"/>
    <col min="36" max="36" width="6.7109375" style="81" customWidth="1"/>
    <col min="37" max="50" width="5.85546875" style="81" customWidth="1"/>
    <col min="51" max="51" width="7.85546875" style="81" customWidth="1"/>
    <col min="52" max="52" width="19.42578125" style="81" customWidth="1"/>
    <col min="53" max="53" width="2.85546875" style="25" customWidth="1"/>
    <col min="54" max="54" width="5.85546875" style="25" hidden="1"/>
    <col min="55" max="55" width="5.85546875" style="81" hidden="1"/>
    <col min="56" max="56" width="5.85546875" style="84" hidden="1"/>
    <col min="57" max="16383" width="5.85546875" style="81" hidden="1"/>
    <col min="16384" max="16384" width="4.140625" style="81" hidden="1"/>
  </cols>
  <sheetData>
    <row r="1" spans="1:76" ht="24" hidden="1" customHeight="1">
      <c r="B1" s="437" t="s">
        <v>106</v>
      </c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  <c r="P1" s="437"/>
      <c r="Q1" s="437"/>
      <c r="R1" s="437"/>
      <c r="S1" s="437"/>
      <c r="T1" s="437"/>
      <c r="U1" s="437"/>
      <c r="V1" s="437"/>
      <c r="W1" s="437"/>
      <c r="X1" s="437"/>
      <c r="Y1" s="437"/>
      <c r="Z1" s="437"/>
      <c r="AA1" s="437"/>
      <c r="AB1" s="437"/>
      <c r="AC1" s="437"/>
      <c r="AD1" s="437"/>
      <c r="AE1" s="437"/>
      <c r="AF1" s="437"/>
      <c r="AG1" s="437"/>
      <c r="AH1" s="437"/>
      <c r="AI1" s="437"/>
      <c r="AJ1" s="437"/>
      <c r="AK1" s="437"/>
      <c r="AL1" s="437"/>
      <c r="AM1" s="437"/>
      <c r="AN1" s="437"/>
      <c r="AO1" s="437"/>
      <c r="AP1" s="437"/>
      <c r="AQ1" s="437"/>
      <c r="AR1" s="437"/>
      <c r="AS1" s="437"/>
      <c r="AT1" s="437"/>
      <c r="AU1" s="437"/>
      <c r="AV1" s="437"/>
      <c r="AW1" s="437"/>
      <c r="AX1" s="437"/>
      <c r="AY1" s="437"/>
      <c r="AZ1" s="437"/>
    </row>
    <row r="2" spans="1:76" ht="33" hidden="1" customHeight="1">
      <c r="B2" s="382" t="s">
        <v>57</v>
      </c>
      <c r="C2" s="382"/>
      <c r="D2" s="382"/>
      <c r="E2" s="389" t="str">
        <f>'Basic Data Entry'!C9</f>
        <v>ACP</v>
      </c>
      <c r="F2" s="389"/>
      <c r="G2" s="389"/>
      <c r="H2" s="389"/>
      <c r="I2" s="389"/>
      <c r="J2" s="389"/>
      <c r="K2" s="389"/>
      <c r="L2" s="389"/>
      <c r="M2" s="389"/>
      <c r="N2" s="389"/>
      <c r="O2" s="389"/>
      <c r="P2" s="389"/>
      <c r="Q2" s="433" t="s">
        <v>70</v>
      </c>
      <c r="R2" s="433"/>
      <c r="S2" s="433"/>
      <c r="T2" s="433"/>
      <c r="U2" s="433"/>
      <c r="V2" s="433"/>
      <c r="W2" s="433"/>
      <c r="X2" s="433"/>
      <c r="Y2" s="434" t="str">
        <f>'Basic Data Entry'!C10</f>
        <v>Subordinate</v>
      </c>
      <c r="Z2" s="434"/>
      <c r="AA2" s="434"/>
      <c r="AB2" s="434"/>
      <c r="AC2" s="428" t="s">
        <v>69</v>
      </c>
      <c r="AD2" s="428"/>
      <c r="AE2" s="435">
        <f>'Basic Data Entry'!E6</f>
        <v>43468</v>
      </c>
      <c r="AF2" s="435"/>
      <c r="AG2" s="435"/>
      <c r="AH2" s="435"/>
      <c r="AI2" s="26" t="s">
        <v>53</v>
      </c>
      <c r="AJ2" s="435">
        <f>'Basic Data Entry'!G6</f>
        <v>44500</v>
      </c>
      <c r="AK2" s="435"/>
      <c r="AL2" s="435"/>
      <c r="AM2" s="429" t="s">
        <v>72</v>
      </c>
      <c r="AN2" s="429"/>
      <c r="AO2" s="429"/>
      <c r="AP2" s="429"/>
      <c r="AQ2" s="436">
        <f>'Basic Data Entry'!G9</f>
        <v>4500</v>
      </c>
      <c r="AR2" s="436"/>
      <c r="AS2" s="429" t="s">
        <v>73</v>
      </c>
      <c r="AT2" s="429"/>
      <c r="AU2" s="429"/>
      <c r="AV2" s="429"/>
      <c r="AW2" s="429"/>
      <c r="AX2" s="429"/>
      <c r="AY2" s="429"/>
      <c r="AZ2" s="79">
        <f>'Basic Data Entry'!G10</f>
        <v>4500</v>
      </c>
      <c r="BA2" s="24"/>
      <c r="BB2" s="24"/>
    </row>
    <row r="3" spans="1:76" ht="28.5" hidden="1" customHeight="1" thickBot="1">
      <c r="B3" s="382" t="s">
        <v>77</v>
      </c>
      <c r="C3" s="382"/>
      <c r="D3" s="382"/>
      <c r="E3" s="376">
        <f>'Basic Data Entry'!C11</f>
        <v>0.1</v>
      </c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438" t="s">
        <v>60</v>
      </c>
      <c r="R3" s="438"/>
      <c r="S3" s="438"/>
      <c r="T3" s="438"/>
      <c r="U3" s="438"/>
      <c r="V3" s="438"/>
      <c r="W3" s="438"/>
      <c r="X3" s="438"/>
      <c r="Y3" s="438"/>
      <c r="Z3" s="438"/>
      <c r="AA3" s="438"/>
      <c r="AB3" s="438"/>
      <c r="AC3" s="438"/>
      <c r="AD3" s="438"/>
      <c r="AE3" s="438"/>
      <c r="AF3" s="438"/>
      <c r="AG3" s="438"/>
      <c r="AH3" s="438"/>
      <c r="AI3" s="438"/>
      <c r="AJ3" s="438"/>
      <c r="AK3" s="438"/>
      <c r="AL3" s="438"/>
      <c r="AM3" s="438"/>
      <c r="AN3" s="438"/>
      <c r="AO3" s="438"/>
      <c r="AP3" s="438"/>
      <c r="AQ3" s="438"/>
      <c r="AR3" s="438"/>
      <c r="AS3" s="438"/>
      <c r="AT3" s="438"/>
      <c r="AU3" s="438"/>
      <c r="AV3" s="438"/>
      <c r="AW3" s="438"/>
      <c r="AX3" s="438"/>
      <c r="AY3" s="438"/>
      <c r="AZ3" s="438"/>
      <c r="BA3" s="24"/>
      <c r="BB3" s="24"/>
    </row>
    <row r="4" spans="1:76" ht="39" customHeight="1">
      <c r="B4" s="378" t="s">
        <v>62</v>
      </c>
      <c r="C4" s="378"/>
      <c r="D4" s="378"/>
      <c r="E4" s="379"/>
      <c r="F4" s="456" t="s">
        <v>130</v>
      </c>
      <c r="G4" s="310" t="s">
        <v>61</v>
      </c>
      <c r="H4" s="311"/>
      <c r="I4" s="310" t="s">
        <v>67</v>
      </c>
      <c r="J4" s="311"/>
      <c r="K4" s="318" t="s">
        <v>74</v>
      </c>
      <c r="L4" s="319"/>
      <c r="M4" s="320"/>
      <c r="N4" s="448" t="str">
        <f>'Basic Data Entry'!C4</f>
        <v>Govt. Sr. Sec. School Raimalwada, Bapini (Jodhpur)</v>
      </c>
      <c r="O4" s="448"/>
      <c r="P4" s="448"/>
      <c r="Q4" s="448"/>
      <c r="R4" s="448"/>
      <c r="S4" s="448"/>
      <c r="T4" s="448"/>
      <c r="U4" s="448"/>
      <c r="V4" s="448"/>
      <c r="W4" s="448"/>
      <c r="X4" s="448"/>
      <c r="Y4" s="448"/>
      <c r="Z4" s="448"/>
      <c r="AA4" s="448"/>
      <c r="AB4" s="448"/>
      <c r="AC4" s="448"/>
      <c r="AD4" s="448"/>
      <c r="AE4" s="448"/>
      <c r="AF4" s="448"/>
      <c r="AG4" s="448"/>
      <c r="AH4" s="448"/>
      <c r="AI4" s="448"/>
      <c r="AJ4" s="448"/>
      <c r="AK4" s="448"/>
      <c r="AL4" s="448"/>
      <c r="AM4" s="448"/>
      <c r="AN4" s="448"/>
      <c r="AO4" s="448"/>
      <c r="AP4" s="448"/>
      <c r="AQ4" s="448"/>
      <c r="AR4" s="448"/>
      <c r="AS4" s="448"/>
      <c r="AT4" s="448"/>
      <c r="AU4" s="448"/>
      <c r="AV4" s="448"/>
      <c r="AW4" s="448"/>
      <c r="AX4" s="448"/>
      <c r="AY4" s="448"/>
      <c r="AZ4" s="449"/>
      <c r="BA4" s="24"/>
      <c r="BB4" s="24"/>
    </row>
    <row r="5" spans="1:76" ht="25.5" customHeight="1">
      <c r="B5" s="380">
        <f>'Basic Data Entry'!G7</f>
        <v>39100</v>
      </c>
      <c r="C5" s="380"/>
      <c r="D5" s="380"/>
      <c r="E5" s="381"/>
      <c r="F5" s="456"/>
      <c r="G5" s="312"/>
      <c r="H5" s="313"/>
      <c r="I5" s="312"/>
      <c r="J5" s="313"/>
      <c r="K5" s="321"/>
      <c r="L5" s="322"/>
      <c r="M5" s="323"/>
      <c r="N5" s="450" t="s">
        <v>0</v>
      </c>
      <c r="O5" s="450"/>
      <c r="P5" s="450"/>
      <c r="Q5" s="450"/>
      <c r="R5" s="450"/>
      <c r="S5" s="450"/>
      <c r="T5" s="450"/>
      <c r="U5" s="450"/>
      <c r="V5" s="450"/>
      <c r="W5" s="450"/>
      <c r="X5" s="450"/>
      <c r="Y5" s="450"/>
      <c r="Z5" s="450"/>
      <c r="AA5" s="450"/>
      <c r="AB5" s="450"/>
      <c r="AC5" s="450"/>
      <c r="AD5" s="450"/>
      <c r="AE5" s="450"/>
      <c r="AF5" s="450"/>
      <c r="AG5" s="450"/>
      <c r="AH5" s="450"/>
      <c r="AI5" s="450"/>
      <c r="AJ5" s="450"/>
      <c r="AK5" s="450"/>
      <c r="AL5" s="450"/>
      <c r="AM5" s="450"/>
      <c r="AN5" s="450"/>
      <c r="AO5" s="450"/>
      <c r="AP5" s="450"/>
      <c r="AQ5" s="450"/>
      <c r="AR5" s="450"/>
      <c r="AS5" s="450"/>
      <c r="AT5" s="450"/>
      <c r="AU5" s="450"/>
      <c r="AV5" s="450"/>
      <c r="AW5" s="450"/>
      <c r="AX5" s="450"/>
      <c r="AY5" s="450"/>
      <c r="AZ5" s="451"/>
      <c r="BA5" s="24"/>
      <c r="BB5" s="24"/>
    </row>
    <row r="6" spans="1:76" ht="46.5" customHeight="1" thickBot="1">
      <c r="B6" s="378" t="s">
        <v>56</v>
      </c>
      <c r="C6" s="378"/>
      <c r="D6" s="378"/>
      <c r="E6" s="379"/>
      <c r="F6" s="456"/>
      <c r="G6" s="312"/>
      <c r="H6" s="313"/>
      <c r="I6" s="312"/>
      <c r="J6" s="313"/>
      <c r="K6" s="324"/>
      <c r="L6" s="325"/>
      <c r="M6" s="326"/>
      <c r="N6" s="452" t="str">
        <f>'Basic Data Entry'!C5</f>
        <v>dk;kZy;%ftyk f’k{kk vf/kdkjh¼eq[;k-½] ek/;fEHkd f’k{kk] --------------------------ds vkns’k Øekad&amp;---------------------------------------------------------------------- fnukad%&amp;-------------------------------------------- ds vuqlj.k esa dkfeZd Jherh ------------------------------ ¼------------------------------½ dk 2 o"khZ; ijhoh{kkdky lekIr gksus ij fnukad&amp;------------------------------------ ls --------------------------------- rd dk cdk;k osru ,fj;j fuEu rkfydkuqlkj fn;k tkrk gSA</v>
      </c>
      <c r="O6" s="453"/>
      <c r="P6" s="453"/>
      <c r="Q6" s="453"/>
      <c r="R6" s="453"/>
      <c r="S6" s="453"/>
      <c r="T6" s="453"/>
      <c r="U6" s="453"/>
      <c r="V6" s="453"/>
      <c r="W6" s="453"/>
      <c r="X6" s="453"/>
      <c r="Y6" s="453"/>
      <c r="Z6" s="453"/>
      <c r="AA6" s="453"/>
      <c r="AB6" s="453"/>
      <c r="AC6" s="453"/>
      <c r="AD6" s="453"/>
      <c r="AE6" s="453"/>
      <c r="AF6" s="453"/>
      <c r="AG6" s="453"/>
      <c r="AH6" s="453"/>
      <c r="AI6" s="453"/>
      <c r="AJ6" s="453"/>
      <c r="AK6" s="453"/>
      <c r="AL6" s="453"/>
      <c r="AM6" s="453"/>
      <c r="AN6" s="453"/>
      <c r="AO6" s="453"/>
      <c r="AP6" s="453"/>
      <c r="AQ6" s="453"/>
      <c r="AR6" s="453"/>
      <c r="AS6" s="453"/>
      <c r="AT6" s="453"/>
      <c r="AU6" s="453"/>
      <c r="AV6" s="453"/>
      <c r="AW6" s="453"/>
      <c r="AX6" s="453"/>
      <c r="AY6" s="453"/>
      <c r="AZ6" s="454"/>
      <c r="BA6" s="24"/>
      <c r="BB6" s="24"/>
    </row>
    <row r="7" spans="1:76" ht="25.5" customHeight="1" thickBot="1">
      <c r="B7" s="380">
        <f>'Basic Data Entry'!G8</f>
        <v>43800</v>
      </c>
      <c r="C7" s="380"/>
      <c r="D7" s="380"/>
      <c r="E7" s="381"/>
      <c r="F7" s="456"/>
      <c r="G7" s="312"/>
      <c r="H7" s="313"/>
      <c r="I7" s="312"/>
      <c r="J7" s="316"/>
      <c r="K7" s="492" t="s">
        <v>76</v>
      </c>
      <c r="L7" s="492" t="s">
        <v>75</v>
      </c>
      <c r="M7" s="495" t="s">
        <v>80</v>
      </c>
      <c r="N7" s="455" t="s">
        <v>1</v>
      </c>
      <c r="O7" s="298"/>
      <c r="P7" s="298"/>
      <c r="Q7" s="298"/>
      <c r="R7" s="298"/>
      <c r="S7" s="298"/>
      <c r="T7" s="298"/>
      <c r="U7" s="298"/>
      <c r="V7" s="298"/>
      <c r="W7" s="298"/>
      <c r="X7" s="303" t="str">
        <f>'Basic Data Entry'!C6</f>
        <v>Ummed Tarad</v>
      </c>
      <c r="Y7" s="303"/>
      <c r="Z7" s="303"/>
      <c r="AA7" s="303"/>
      <c r="AB7" s="303"/>
      <c r="AC7" s="303"/>
      <c r="AD7" s="298" t="s">
        <v>2</v>
      </c>
      <c r="AE7" s="298"/>
      <c r="AF7" s="298"/>
      <c r="AG7" s="298"/>
      <c r="AH7" s="308" t="str">
        <f>'Basic Data Entry'!C7</f>
        <v>Teacher</v>
      </c>
      <c r="AI7" s="308"/>
      <c r="AJ7" s="308"/>
      <c r="AK7" s="308"/>
      <c r="AL7" s="309"/>
      <c r="AM7" s="297" t="s">
        <v>3</v>
      </c>
      <c r="AN7" s="298"/>
      <c r="AO7" s="298"/>
      <c r="AP7" s="299"/>
      <c r="AQ7" s="303" t="str">
        <f>'Basic Data Entry'!C8</f>
        <v>RJJO201225012345</v>
      </c>
      <c r="AR7" s="303"/>
      <c r="AS7" s="303"/>
      <c r="AT7" s="303"/>
      <c r="AU7" s="303"/>
      <c r="AV7" s="303"/>
      <c r="AW7" s="303"/>
      <c r="AX7" s="303"/>
      <c r="AY7" s="303"/>
      <c r="AZ7" s="330"/>
      <c r="BA7" s="24"/>
      <c r="BB7" s="24"/>
    </row>
    <row r="8" spans="1:76" s="8" customFormat="1" ht="24" customHeight="1" thickBot="1">
      <c r="A8" s="84"/>
      <c r="B8" s="304"/>
      <c r="C8" s="304"/>
      <c r="D8" s="304"/>
      <c r="E8" s="304"/>
      <c r="F8" s="456"/>
      <c r="G8" s="312"/>
      <c r="H8" s="313"/>
      <c r="I8" s="312"/>
      <c r="J8" s="316"/>
      <c r="K8" s="493"/>
      <c r="L8" s="493"/>
      <c r="M8" s="496"/>
      <c r="N8" s="395" t="s">
        <v>32</v>
      </c>
      <c r="O8" s="396"/>
      <c r="P8" s="396"/>
      <c r="Q8" s="396"/>
      <c r="R8" s="396"/>
      <c r="S8" s="396"/>
      <c r="T8" s="396"/>
      <c r="U8" s="396"/>
      <c r="V8" s="396"/>
      <c r="W8" s="396"/>
      <c r="X8" s="396"/>
      <c r="Y8" s="396"/>
      <c r="Z8" s="396"/>
      <c r="AA8" s="396"/>
      <c r="AB8" s="396"/>
      <c r="AC8" s="396"/>
      <c r="AD8" s="396"/>
      <c r="AE8" s="396"/>
      <c r="AF8" s="396"/>
      <c r="AG8" s="96" t="s">
        <v>52</v>
      </c>
      <c r="AH8" s="388">
        <f>AE2</f>
        <v>43468</v>
      </c>
      <c r="AI8" s="388"/>
      <c r="AJ8" s="388"/>
      <c r="AK8" s="97" t="s">
        <v>53</v>
      </c>
      <c r="AL8" s="388">
        <f>AJ2</f>
        <v>44500</v>
      </c>
      <c r="AM8" s="388"/>
      <c r="AN8" s="388"/>
      <c r="AO8" s="98" t="s">
        <v>54</v>
      </c>
      <c r="AP8" s="99"/>
      <c r="AQ8" s="100">
        <f>MONTH(AL8)</f>
        <v>10</v>
      </c>
      <c r="AR8" s="101">
        <f>YEAR(AL8)</f>
        <v>2021</v>
      </c>
      <c r="AS8" s="100"/>
      <c r="AT8" s="100"/>
      <c r="AU8" s="100"/>
      <c r="AV8" s="100"/>
      <c r="AW8" s="397" t="str">
        <f>CONCATENATE(AQ8,AR8)</f>
        <v>102021</v>
      </c>
      <c r="AX8" s="397"/>
      <c r="AY8" s="397"/>
      <c r="AZ8" s="398"/>
      <c r="BA8" s="24"/>
      <c r="BB8" s="24"/>
      <c r="BC8" s="9"/>
      <c r="BE8" s="9"/>
    </row>
    <row r="9" spans="1:76" ht="30.75" customHeight="1" thickBot="1">
      <c r="B9" s="305"/>
      <c r="C9" s="305"/>
      <c r="D9" s="305"/>
      <c r="E9" s="305"/>
      <c r="F9" s="456"/>
      <c r="G9" s="314"/>
      <c r="H9" s="315"/>
      <c r="I9" s="314"/>
      <c r="J9" s="317"/>
      <c r="K9" s="493"/>
      <c r="L9" s="493"/>
      <c r="M9" s="496"/>
      <c r="N9" s="402" t="s">
        <v>4</v>
      </c>
      <c r="O9" s="404" t="s">
        <v>5</v>
      </c>
      <c r="P9" s="405"/>
      <c r="Q9" s="405"/>
      <c r="R9" s="406"/>
      <c r="S9" s="148"/>
      <c r="T9" s="148"/>
      <c r="U9" s="148"/>
      <c r="V9" s="410" t="s">
        <v>58</v>
      </c>
      <c r="W9" s="411"/>
      <c r="X9" s="411"/>
      <c r="Y9" s="411"/>
      <c r="Z9" s="412"/>
      <c r="AA9" s="410" t="s">
        <v>59</v>
      </c>
      <c r="AB9" s="411"/>
      <c r="AC9" s="411"/>
      <c r="AD9" s="411"/>
      <c r="AE9" s="412"/>
      <c r="AF9" s="410" t="s">
        <v>6</v>
      </c>
      <c r="AG9" s="411"/>
      <c r="AH9" s="411"/>
      <c r="AI9" s="411"/>
      <c r="AJ9" s="412"/>
      <c r="AK9" s="300" t="s">
        <v>64</v>
      </c>
      <c r="AL9" s="301"/>
      <c r="AM9" s="302"/>
      <c r="AN9" s="300" t="s">
        <v>7</v>
      </c>
      <c r="AO9" s="301"/>
      <c r="AP9" s="447"/>
      <c r="AQ9" s="390" t="s">
        <v>68</v>
      </c>
      <c r="AR9" s="371"/>
      <c r="AS9" s="372"/>
      <c r="AT9" s="370" t="s">
        <v>98</v>
      </c>
      <c r="AU9" s="371"/>
      <c r="AV9" s="372"/>
      <c r="AW9" s="439" t="s">
        <v>8</v>
      </c>
      <c r="AX9" s="441" t="s">
        <v>9</v>
      </c>
      <c r="AY9" s="443" t="s">
        <v>10</v>
      </c>
      <c r="AZ9" s="445" t="s">
        <v>11</v>
      </c>
      <c r="BA9" s="24"/>
      <c r="BB9" s="24"/>
    </row>
    <row r="10" spans="1:76" ht="32.25" customHeight="1" thickBot="1">
      <c r="B10" s="305"/>
      <c r="C10" s="305"/>
      <c r="D10" s="305"/>
      <c r="E10" s="305"/>
      <c r="F10" s="456"/>
      <c r="G10" s="481" t="s">
        <v>17</v>
      </c>
      <c r="H10" s="484" t="s">
        <v>63</v>
      </c>
      <c r="I10" s="484" t="s">
        <v>17</v>
      </c>
      <c r="J10" s="489" t="s">
        <v>63</v>
      </c>
      <c r="K10" s="493"/>
      <c r="L10" s="493"/>
      <c r="M10" s="496"/>
      <c r="N10" s="403"/>
      <c r="O10" s="407"/>
      <c r="P10" s="408"/>
      <c r="Q10" s="408"/>
      <c r="R10" s="409"/>
      <c r="S10" s="245"/>
      <c r="T10" s="245"/>
      <c r="U10" s="245"/>
      <c r="V10" s="246" t="s">
        <v>12</v>
      </c>
      <c r="W10" s="247" t="s">
        <v>13</v>
      </c>
      <c r="X10" s="248"/>
      <c r="Y10" s="247" t="s">
        <v>14</v>
      </c>
      <c r="Z10" s="249" t="s">
        <v>15</v>
      </c>
      <c r="AA10" s="246" t="s">
        <v>12</v>
      </c>
      <c r="AB10" s="247" t="s">
        <v>13</v>
      </c>
      <c r="AC10" s="248">
        <f>X10</f>
        <v>0</v>
      </c>
      <c r="AD10" s="247" t="s">
        <v>14</v>
      </c>
      <c r="AE10" s="249" t="s">
        <v>15</v>
      </c>
      <c r="AF10" s="246" t="s">
        <v>12</v>
      </c>
      <c r="AG10" s="247" t="s">
        <v>13</v>
      </c>
      <c r="AH10" s="250">
        <f>AC10</f>
        <v>0</v>
      </c>
      <c r="AI10" s="247" t="s">
        <v>14</v>
      </c>
      <c r="AJ10" s="249" t="s">
        <v>15</v>
      </c>
      <c r="AK10" s="251" t="s">
        <v>16</v>
      </c>
      <c r="AL10" s="252" t="s">
        <v>17</v>
      </c>
      <c r="AM10" s="253" t="s">
        <v>18</v>
      </c>
      <c r="AN10" s="251" t="s">
        <v>16</v>
      </c>
      <c r="AO10" s="252" t="s">
        <v>17</v>
      </c>
      <c r="AP10" s="254" t="s">
        <v>18</v>
      </c>
      <c r="AQ10" s="255" t="s">
        <v>16</v>
      </c>
      <c r="AR10" s="252" t="s">
        <v>17</v>
      </c>
      <c r="AS10" s="253" t="s">
        <v>18</v>
      </c>
      <c r="AT10" s="251" t="s">
        <v>16</v>
      </c>
      <c r="AU10" s="252" t="s">
        <v>17</v>
      </c>
      <c r="AV10" s="253" t="s">
        <v>18</v>
      </c>
      <c r="AW10" s="440"/>
      <c r="AX10" s="442"/>
      <c r="AY10" s="444"/>
      <c r="AZ10" s="446"/>
      <c r="BA10" s="24"/>
      <c r="BB10" s="24"/>
      <c r="BE10" s="11">
        <f>AM8</f>
        <v>0</v>
      </c>
      <c r="BF10" s="81">
        <f>DAY(BC11)</f>
        <v>3</v>
      </c>
      <c r="BT10" s="81" t="str">
        <f>TEXT(BI13,"MMMM")</f>
        <v>January</v>
      </c>
    </row>
    <row r="11" spans="1:76" ht="18.75" customHeight="1">
      <c r="A11" s="457">
        <f>V13</f>
        <v>43497</v>
      </c>
      <c r="B11" s="305"/>
      <c r="C11" s="305"/>
      <c r="D11" s="305"/>
      <c r="E11" s="305"/>
      <c r="F11" s="456"/>
      <c r="G11" s="482"/>
      <c r="H11" s="485"/>
      <c r="I11" s="487"/>
      <c r="J11" s="490"/>
      <c r="K11" s="493"/>
      <c r="L11" s="493"/>
      <c r="M11" s="496"/>
      <c r="N11" s="399">
        <v>1</v>
      </c>
      <c r="O11" s="149">
        <f>AH8</f>
        <v>43468</v>
      </c>
      <c r="P11" s="150">
        <f>AH8-BF11</f>
        <v>43466</v>
      </c>
      <c r="Q11" s="151" t="s">
        <v>55</v>
      </c>
      <c r="R11" s="152">
        <f>AH8-1</f>
        <v>43467</v>
      </c>
      <c r="S11" s="153">
        <f>MONTH(O11)</f>
        <v>1</v>
      </c>
      <c r="T11" s="153">
        <f>YEAR(O11)</f>
        <v>2019</v>
      </c>
      <c r="U11" s="153" t="str">
        <f>CONCATENATE(S11,T11)</f>
        <v>12019</v>
      </c>
      <c r="V11" s="154">
        <f>ROUND(B5/BG11*BF11,0)</f>
        <v>2523</v>
      </c>
      <c r="W11" s="155">
        <f t="array" ref="W11">IF(E2="fixation",0,ROUND(V11*H13,0))</f>
        <v>303</v>
      </c>
      <c r="X11" s="221"/>
      <c r="Y11" s="155">
        <f t="array" ref="Y11">IF(E2="fixation",0,ROUND(V11*J13,0))</f>
        <v>202</v>
      </c>
      <c r="Z11" s="156">
        <f t="array" ref="Z11">SUM(V11:Y11)</f>
        <v>3028</v>
      </c>
      <c r="AA11" s="413"/>
      <c r="AB11" s="414"/>
      <c r="AC11" s="414"/>
      <c r="AD11" s="414"/>
      <c r="AE11" s="415"/>
      <c r="AF11" s="413"/>
      <c r="AG11" s="414"/>
      <c r="AH11" s="414"/>
      <c r="AI11" s="414"/>
      <c r="AJ11" s="415"/>
      <c r="AK11" s="413"/>
      <c r="AL11" s="414"/>
      <c r="AM11" s="415"/>
      <c r="AN11" s="413"/>
      <c r="AO11" s="414"/>
      <c r="AP11" s="414"/>
      <c r="AQ11" s="413"/>
      <c r="AR11" s="414"/>
      <c r="AS11" s="415"/>
      <c r="AT11" s="413"/>
      <c r="AU11" s="414"/>
      <c r="AV11" s="415"/>
      <c r="AW11" s="419"/>
      <c r="AX11" s="419"/>
      <c r="AY11" s="419"/>
      <c r="AZ11" s="421"/>
      <c r="BA11" s="24"/>
      <c r="BB11" s="24"/>
      <c r="BC11" s="387">
        <f>AH8</f>
        <v>43468</v>
      </c>
      <c r="BD11" s="386">
        <f>MONTH(BC11)</f>
        <v>1</v>
      </c>
      <c r="BE11" s="387">
        <f>EOMONTH(BC11,0)</f>
        <v>43496</v>
      </c>
      <c r="BF11" s="386">
        <f>IF(BF10=1,0,BF10-1)</f>
        <v>2</v>
      </c>
      <c r="BG11" s="386">
        <f>DAY(BE11)</f>
        <v>31</v>
      </c>
      <c r="BH11" s="386">
        <f>BG11-BF11</f>
        <v>29</v>
      </c>
      <c r="BI11" s="7">
        <f>DAY(BC11)</f>
        <v>3</v>
      </c>
      <c r="BJ11" s="7">
        <f>BG11-BI11+1</f>
        <v>29</v>
      </c>
      <c r="BK11" s="375">
        <f>IF($W$2="state",5,IF($W$2="subordinate",3,IF($W$2="ministrial",2,1)))</f>
        <v>1</v>
      </c>
      <c r="BL11" s="375" t="str">
        <f>U11</f>
        <v>12019</v>
      </c>
      <c r="BM11" s="375">
        <f>BK11+BL11</f>
        <v>12020</v>
      </c>
      <c r="BN11" s="375">
        <f>IF(BM11=32025,"SSM",IF(BM11=32023,"SM",IF(BM11=32022,"MM",IF(BM11=32021,"FM",IF(BM11=92025,"SSS",IF(BM11=92023,"SS",IF(BM11=92022,"MS",IF(BM11=92021,"FS",IF(BM11=102025,"SSO",IF(BM11=102023,"SO",IF(BM11=102022,"MO",IF(BM11=102021,"FO",0))))))))))))</f>
        <v>0</v>
      </c>
      <c r="BO11" s="375">
        <f>IF(BL11="32020","M",IF(BL11="92020","S",IF(BL11="102020","O",0)))</f>
        <v>0</v>
      </c>
      <c r="BP11" s="375">
        <f>IF(BO11=0,0,"SS")</f>
        <v>0</v>
      </c>
      <c r="BQ11" s="375" t="str">
        <f>CONCATENATE(BO11,BP11)</f>
        <v>00</v>
      </c>
      <c r="BT11" s="34">
        <f>VALUE("1"&amp;BT10)</f>
        <v>44927</v>
      </c>
    </row>
    <row r="12" spans="1:76" ht="19.5" customHeight="1" thickBot="1">
      <c r="A12" s="458"/>
      <c r="B12" s="305"/>
      <c r="C12" s="305"/>
      <c r="D12" s="305"/>
      <c r="E12" s="305"/>
      <c r="F12" s="456"/>
      <c r="G12" s="483"/>
      <c r="H12" s="486"/>
      <c r="I12" s="488"/>
      <c r="J12" s="491"/>
      <c r="K12" s="494"/>
      <c r="L12" s="494"/>
      <c r="M12" s="497"/>
      <c r="N12" s="400"/>
      <c r="O12" s="157"/>
      <c r="P12" s="158">
        <f>R11+1</f>
        <v>43468</v>
      </c>
      <c r="Q12" s="159" t="s">
        <v>55</v>
      </c>
      <c r="R12" s="160">
        <f>BE11</f>
        <v>43496</v>
      </c>
      <c r="S12" s="161">
        <f>S11</f>
        <v>1</v>
      </c>
      <c r="T12" s="161">
        <f>T11</f>
        <v>2019</v>
      </c>
      <c r="U12" s="161" t="str">
        <f t="shared" ref="U12:U13" si="0">CONCATENATE(S12,T12)</f>
        <v>12019</v>
      </c>
      <c r="V12" s="162">
        <f>ROUND(B7/BG11*BH11,0)</f>
        <v>40974</v>
      </c>
      <c r="W12" s="163">
        <f t="array" ref="W12">ROUND(V12*H13,0)</f>
        <v>4917</v>
      </c>
      <c r="X12" s="222"/>
      <c r="Y12" s="163">
        <f t="array" ref="Y12">ROUND(V12*J13,0)</f>
        <v>3278</v>
      </c>
      <c r="Z12" s="164">
        <f t="array" ref="Z12">SUM(V12:Y12)</f>
        <v>49169</v>
      </c>
      <c r="AA12" s="416"/>
      <c r="AB12" s="417"/>
      <c r="AC12" s="417"/>
      <c r="AD12" s="417"/>
      <c r="AE12" s="418"/>
      <c r="AF12" s="416"/>
      <c r="AG12" s="417"/>
      <c r="AH12" s="417"/>
      <c r="AI12" s="417"/>
      <c r="AJ12" s="418"/>
      <c r="AK12" s="416"/>
      <c r="AL12" s="417"/>
      <c r="AM12" s="418"/>
      <c r="AN12" s="416"/>
      <c r="AO12" s="417"/>
      <c r="AP12" s="417"/>
      <c r="AQ12" s="416"/>
      <c r="AR12" s="417"/>
      <c r="AS12" s="418"/>
      <c r="AT12" s="416"/>
      <c r="AU12" s="417"/>
      <c r="AV12" s="418"/>
      <c r="AW12" s="420"/>
      <c r="AX12" s="420"/>
      <c r="AY12" s="420"/>
      <c r="AZ12" s="422"/>
      <c r="BA12" s="24"/>
      <c r="BB12" s="24"/>
      <c r="BC12" s="387"/>
      <c r="BD12" s="386"/>
      <c r="BE12" s="387"/>
      <c r="BF12" s="386"/>
      <c r="BG12" s="386"/>
      <c r="BH12" s="386"/>
      <c r="BK12" s="375"/>
      <c r="BL12" s="375"/>
      <c r="BM12" s="375"/>
      <c r="BN12" s="375"/>
      <c r="BO12" s="375"/>
      <c r="BP12" s="375"/>
      <c r="BQ12" s="375"/>
      <c r="BT12" s="34">
        <f>EOMONTH(BT11,0)</f>
        <v>44957</v>
      </c>
    </row>
    <row r="13" spans="1:76" ht="19.5" customHeight="1" thickBot="1">
      <c r="A13" s="458"/>
      <c r="B13" s="305"/>
      <c r="C13" s="305"/>
      <c r="D13" s="305"/>
      <c r="E13" s="305"/>
      <c r="F13" s="108">
        <f>IF(OR(O13=0,O13=""),"",O13)</f>
        <v>43468</v>
      </c>
      <c r="G13" s="165">
        <f>IF(OR(O13=0,O13="",$E$2="fixation"),"",IF(AND(T13=2017,S13&lt;7),0.04,IF(AND(T13=2017,S13&gt;=7),0.05,IF(AND(T13=2018,S13&lt;7),0.07,IF(AND(T13=2018,S13&gt;=7),0.09,IF(AND(T13=2019,S13&lt;7),0.12,IF(AND(T13=2019,S13&gt;=7),0.17,IF(AND(T13=2020,S13&lt;7),0.17,IF(AND(T13=2020,S13&gt;=7),0.17,IF(AND(T13=2021,S13&lt;7),0.17,IF(AND(T13=2021,S13&gt;=7),0.31,IF(AND(T13=2022,S13&lt;7),0.34,IF(AND(T13=2022,S13&gt;=7),0.38,IF(AND(T13=2023,S13&lt;7),0.42,0))))))))))))))</f>
        <v>0.12</v>
      </c>
      <c r="H13" s="166">
        <f>IF(OR(O13=0,O13=""),"",IF(AND(T13=2017,S13&lt;7),0.04,IF(AND(T13=2017,S13&gt;=7),0.05,IF(AND(T13=2018,S13&lt;7),0.07,IF(AND(T13=2018,S13&gt;=7),0.09,IF(AND(T13=2019,S13&lt;7),0.12,IF(AND(T13=2019,S13&gt;=7),0.17,IF(AND(T13=2020,S13&lt;7),0.17,IF(AND(T13=2020,S13&gt;=7),0.17,IF(AND(T13=2021,S13&lt;7),0.17,IF(AND(T13=2021,S13&gt;=7),0.31,IF(AND(T13=2022,S13&lt;7),0.34,IF(AND(T13=2022,S13&gt;=7),0.38,IF(AND(T13=2023,S13&lt;7),0.42,0))))))))))))))</f>
        <v>0.12</v>
      </c>
      <c r="I13" s="166">
        <f>IF(OR($E$2="fixation",O13="",O13=0),"",IF(AND('Basic Data Entry'!$G$11="Z-Rural",'Arear Table Protected'!T13&lt;2021),0.08,IF(AND('Basic Data Entry'!$G$11="Y-Urban",'Arear Table Protected'!T13&lt;2021),0.16,IF(AND('Basic Data Entry'!$G$11="Z-Rural",'Arear Table Protected'!T13=2021,S13&gt;=7),0.09,IF(AND('Basic Data Entry'!$G$11="Y-Urban",'Arear Table Protected'!T13=2021,'Arear Table Protected'!S13&gt;=7),0.18,IF(AND('Basic Data Entry'!$G$11="Z-Rural",'Arear Table Protected'!T13=2021,S13&lt;7),0.08,IF(AND('Basic Data Entry'!$G$11="Y-Urban",'Arear Table Protected'!T13=2021,'Arear Table Protected'!S13&lt;7),0.16,IF(AND('Basic Data Entry'!$G$11="Z-Rural",'Arear Table Protected'!T13=2022),0.09,IF(AND('Basic Data Entry'!$G$11="Y-Urban",'Arear Table Protected'!T13=2022),0.18,IF(AND('Basic Data Entry'!$G$11="Z-Rural",'Arear Table Protected'!T13=2023),0.09,IF(AND('Basic Data Entry'!$G$11="Y-Urban",'Arear Table Protected'!T13=2023),0.18,"")))))))))))</f>
        <v>0.08</v>
      </c>
      <c r="J13" s="167">
        <f>IF(OR(O13="",O13=0),"",IF(AND('Basic Data Entry'!$G$11="Z-Rural",'Arear Table Protected'!T13&lt;2021),0.08,IF(AND('Basic Data Entry'!$G$11="Y-Urban",'Arear Table Protected'!T13&lt;2021),0.16,IF(AND('Basic Data Entry'!$G$11="Z-Rural",'Arear Table Protected'!T13=2021,S13&gt;=7),0.09,IF(AND('Basic Data Entry'!$G$11="Y-Urban",'Arear Table Protected'!T13=2021,'Arear Table Protected'!S13&gt;=7),0.18,IF(AND('Basic Data Entry'!$G$11="Z-Rural",'Arear Table Protected'!T13=2021,S13&lt;7),0.08,IF(AND('Basic Data Entry'!$G$11="Y-Urban",'Arear Table Protected'!T13=2021,'Arear Table Protected'!S13&lt;7),0.16,IF(AND('Basic Data Entry'!$G$11="Z-Rural",'Arear Table Protected'!T13=2022),0.09,IF(AND('Basic Data Entry'!$G$11="Y-Urban",'Arear Table Protected'!T13=2022),0.18,IF(AND('Basic Data Entry'!$G$11="Z-Rural",'Arear Table Protected'!T13=2023),0.09,IF(AND('Basic Data Entry'!$G$11="Y-Urban",'Arear Table Protected'!T13=2023),0.18,"")))))))))))</f>
        <v>0.08</v>
      </c>
      <c r="K13" s="168" t="str">
        <f>IF(OR(O13="",O13=0),"",IF(AND(T13=2018,OR(S13=1,S13=2)),"YES",IF(AND(T13=2018,OR(S13=7,S13=8)),"YES",IF(AND(T13=2019,OR(S13=1,S13=2)),"YES",IF(AND(T13=2019,S13&gt;=7),"YES",IF(AND(T13=2020,OR(S13=1,S13=2)),"YES",IF(AND(T13=2022,OR(S13=1,S13=2,S13=3,S13=7,S13=8,S13=9)),"YES",IF(AND(T13=2023,OR(S13=1,S13=2,S13=3)),"YES",""))))))))</f>
        <v>YES</v>
      </c>
      <c r="L13" s="169">
        <f>IF(K13="","",IF(AND(T13=2018,S13&lt;=2),0.02,IF(AND(T13=2018,OR(S13=7,S13=8)),0.02,IF(AND(T13=2019,S13&lt;=2),0.03,IF(T13=2019,0.05,IF(AND(T13=2020,S13&lt;=2),0.05,IF(AND(T13=2022,S13&lt;=3),0.03,IF(AND(T13=2022,OR(S13=7,S13=8,S13=9)),0.04,IF(AND(T13=2023,S13&lt;=3),0.04,"")))))))))</f>
        <v>0.03</v>
      </c>
      <c r="M13" s="170">
        <f>IF(OR(O13="",O13=0,K13=""),"",IF(AND(K13="yes",BW13="yes"),ROUND(V12*L13,0),IF(AND(K13="yes",BX13="yes"),ROUND(V13*L13,0)-ROUND(AA13*L13,0),IF(AND(K13="yes",BX13="no"),ROUND(V13*L13,0)))))</f>
        <v>1305</v>
      </c>
      <c r="N13" s="401"/>
      <c r="O13" s="430">
        <f>O11</f>
        <v>43468</v>
      </c>
      <c r="P13" s="431"/>
      <c r="Q13" s="431"/>
      <c r="R13" s="432"/>
      <c r="S13" s="171">
        <f>S12</f>
        <v>1</v>
      </c>
      <c r="T13" s="171">
        <f>T12</f>
        <v>2019</v>
      </c>
      <c r="U13" s="171" t="str">
        <f t="shared" si="0"/>
        <v>12019</v>
      </c>
      <c r="V13" s="172">
        <f t="array" ref="V13">V12+V11</f>
        <v>43497</v>
      </c>
      <c r="W13" s="173">
        <f t="array" ref="W13">W12+W11</f>
        <v>5220</v>
      </c>
      <c r="X13" s="223">
        <v>0</v>
      </c>
      <c r="Y13" s="173">
        <f t="array" ref="Y13">Y12+Y11</f>
        <v>3480</v>
      </c>
      <c r="Z13" s="174">
        <f t="array" ref="Z13">IF(OR(O13=0,O13=""),"",Z12+Z11)</f>
        <v>52197</v>
      </c>
      <c r="AA13" s="175">
        <f t="array" ref="AA13">IF(OR(O13=0,O13=""),"",B5)</f>
        <v>39100</v>
      </c>
      <c r="AB13" s="176">
        <f t="array" ref="AB13">IF(OR(O13=0,O13=""),"",IF($E$2="fixation",0,ROUND(AA13*G13,0)))</f>
        <v>4692</v>
      </c>
      <c r="AC13" s="224">
        <v>0</v>
      </c>
      <c r="AD13" s="176">
        <f t="array" ref="AD13">IF(OR(O13=0,O13=""),"",IF($E$2="fixation",0,ROUND(AA13*I13,0)))</f>
        <v>3128</v>
      </c>
      <c r="AE13" s="177">
        <f t="array" ref="AE13">IF(OR(O13=0,O13=""),"",SUM(AA13:AD13))</f>
        <v>46920</v>
      </c>
      <c r="AF13" s="175">
        <f t="array" ref="AF13">IF(OR(O13=0,O13=""),"",V13-AA13)</f>
        <v>4397</v>
      </c>
      <c r="AG13" s="176">
        <f t="array" ref="AG13">IF(OR(O13=0,O13=""),"",W13-AB13)</f>
        <v>528</v>
      </c>
      <c r="AH13" s="176">
        <f t="array" ref="AH13">IF(OR(O13=0,O13=""),"",X13-AC13)</f>
        <v>0</v>
      </c>
      <c r="AI13" s="176">
        <f t="array" ref="AI13">IF(OR(O13=0,O13=""),"",Y13-AD13)</f>
        <v>352</v>
      </c>
      <c r="AJ13" s="178">
        <f t="array" ref="AJ13">IF(OR(O13=0,O13=""),"",Z13-AE13)</f>
        <v>5277</v>
      </c>
      <c r="AK13" s="179">
        <f t="array" ref="AK13">IF(OR(O13=0,O13=""),"",IF(M13="",$AZ$2,$AZ$2+M13))</f>
        <v>5805</v>
      </c>
      <c r="AL13" s="176">
        <f t="array" ref="AL13">IF(OR(O13=0,O13=""),"",$AQ$2)</f>
        <v>4500</v>
      </c>
      <c r="AM13" s="178">
        <f t="array" ref="AM13">IF(OR(O13=0,O13=""),"",AK13-AL13)</f>
        <v>1305</v>
      </c>
      <c r="AN13" s="219">
        <v>3000</v>
      </c>
      <c r="AO13" s="220">
        <f>AN13</f>
        <v>3000</v>
      </c>
      <c r="AP13" s="178">
        <f t="array" ref="AP13">IF(OR(O13=0,O13=""),"",SUM(AN13-AO13))</f>
        <v>0</v>
      </c>
      <c r="AQ13" s="124" t="str">
        <f t="array" ref="AQ13">IF(OR(O13=0,O13=""),"",IF(AND('Basic Data Entry'!$C$10="state Service",'Arear Table Protected'!T13=2020,S13=3),ROUND(V13/31*5,0),IF(AND('Basic Data Entry'!$C$10="state Service",'Arear Table Protected'!T13=2020,S13=9),ROUND(Z13/30*2,0),IF(AND('Basic Data Entry'!$C$10="state Service",'Arear Table Protected'!T13=2020,S13=10),ROUND(Z13/31*2,0),IF(AND('Basic Data Entry'!$C$10="subordinate",'Arear Table Protected'!T13=2020,S13=3),ROUND(V13/31*3,0),IF(AND('Basic Data Entry'!$C$10="subordinate",'Arear Table Protected'!T13=2020,S13=9),ROUND(Z13/30*1,0),IF(AND('Basic Data Entry'!$C$10="subordinate",'Arear Table Protected'!T13=2020,S13=10),ROUND(Z13/31*1,0),IF(AND('Basic Data Entry'!$C$10="ministrial",'Arear Table Protected'!T13=2020,S13=3),ROUND(V13/31*1,0),""))))))))</f>
        <v/>
      </c>
      <c r="AR13" s="118" t="str">
        <f t="array" ref="AR13">IF(OR(O13=0,O13=""),"",IF(AND('Basic Data Entry'!$C$10="state Service",'Arear Table Protected'!T13=2020,S13=3),ROUND(AA13/31*5,0),IF(AND('Basic Data Entry'!$C$10="state Service",'Arear Table Protected'!T13=2020,S13=9),ROUND(AE13/30*2,0),IF(AND('Basic Data Entry'!$C$10="state Service",'Arear Table Protected'!T13=2020,S13=10),ROUND(AE13/31*2,0),IF(AND('Basic Data Entry'!$C$10="subordinate",'Arear Table Protected'!T13=2020,S13=3),ROUND(AA13/31*3,0),IF(AND('Basic Data Entry'!$C$10="subordinate",'Arear Table Protected'!T13=2020,S13=9),ROUND(AE13/30*1,0),IF(AND('Basic Data Entry'!$C$10="subordinate",'Arear Table Protected'!T13=2020,S13=10),ROUND(AE13/31*1,0),IF(AND('Basic Data Entry'!$C$10="ministrial",'Arear Table Protected'!T13=2020,S13=3),ROUND(AA13/31*1,0),""))))))))</f>
        <v/>
      </c>
      <c r="AS13" s="177" t="str">
        <f t="array" ref="AS13">IF(OR(O13=0,O13="",AQ13="",AR13=""),"",AQ13-AR13)</f>
        <v/>
      </c>
      <c r="AT13" s="125"/>
      <c r="AU13" s="126"/>
      <c r="AV13" s="180">
        <f t="array" ref="AV13">IF(OR(O13=0,O13=""),"",SUM(AT13-AU13))</f>
        <v>0</v>
      </c>
      <c r="AW13" s="181">
        <f t="array" ref="AW13">IF(OR(O13=0,O13=""),"",ROUND((AJ13)*$E$3,0))</f>
        <v>528</v>
      </c>
      <c r="AX13" s="181">
        <f t="array" ref="AX13">IF(OR(O13=0,O13=""),"",SUM(AM13,AP13,AS13,AV13,AW13))</f>
        <v>1833</v>
      </c>
      <c r="AY13" s="182">
        <f t="array" ref="AY13">IF(OR(O13=0,O13=""),"",AJ13-AX13)</f>
        <v>3444</v>
      </c>
      <c r="AZ13" s="109" t="s">
        <v>129</v>
      </c>
      <c r="BA13" s="24"/>
      <c r="BB13" s="24"/>
      <c r="BC13" s="387"/>
      <c r="BD13" s="386"/>
      <c r="BE13" s="387"/>
      <c r="BF13" s="386"/>
      <c r="BG13" s="386"/>
      <c r="BH13" s="386"/>
      <c r="BI13" s="22">
        <f>BC11</f>
        <v>43468</v>
      </c>
      <c r="BJ13" s="81">
        <f>MONTH(BI13)</f>
        <v>1</v>
      </c>
      <c r="BK13" s="375"/>
      <c r="BL13" s="375"/>
      <c r="BM13" s="375"/>
      <c r="BN13" s="375"/>
      <c r="BO13" s="375"/>
      <c r="BP13" s="375"/>
      <c r="BQ13" s="375"/>
      <c r="BW13" s="81" t="str">
        <f>IF(OR(O13=0,O13=""),"",IF('Basic Data Entry'!$C$9="fixation","yes",""))</f>
        <v/>
      </c>
      <c r="BX13" s="81" t="str">
        <f>IF(OR(O13=0,O13=""),"",IF('Basic Data Entry'!$G$12="yes","yes","no"))</f>
        <v>no</v>
      </c>
    </row>
    <row r="14" spans="1:76" ht="20.25" customHeight="1" thickBot="1">
      <c r="A14" s="10">
        <f>V14</f>
        <v>43800</v>
      </c>
      <c r="B14" s="305"/>
      <c r="C14" s="305"/>
      <c r="D14" s="305"/>
      <c r="E14" s="305"/>
      <c r="F14" s="108">
        <f t="shared" ref="F14:F60" si="1">IF(OR(O14=0,O14=""),"",O14)</f>
        <v>43497</v>
      </c>
      <c r="G14" s="165">
        <f t="shared" ref="G14:G60" si="2">IF(OR(O14=0,O14="",$E$2="fixation"),"",IF(AND(T14=2017,S14&lt;7),0.04,IF(AND(T14=2017,S14&gt;=7),0.05,IF(AND(T14=2018,S14&lt;7),0.07,IF(AND(T14=2018,S14&gt;=7),0.09,IF(AND(T14=2019,S14&lt;7),0.12,IF(AND(T14=2019,S14&gt;=7),0.17,IF(AND(T14=2020,S14&lt;7),0.17,IF(AND(T14=2020,S14&gt;=7),0.17,IF(AND(T14=2021,S14&lt;7),0.17,IF(AND(T14=2021,S14&gt;=7),0.31,IF(AND(T14=2022,S14&lt;7),0.34,IF(AND(T14=2022,S14&gt;=7),0.38,IF(AND(T14=2023,S14&lt;7),0.42,0))))))))))))))</f>
        <v>0.12</v>
      </c>
      <c r="H14" s="166">
        <f t="shared" ref="H14:H60" si="3">IF(OR(O14=0,O14=""),"",IF(AND(T14=2017,S14&lt;7),0.04,IF(AND(T14=2017,S14&gt;=7),0.05,IF(AND(T14=2018,S14&lt;7),0.07,IF(AND(T14=2018,S14&gt;=7),0.09,IF(AND(T14=2019,S14&lt;7),0.12,IF(AND(T14=2019,S14&gt;=7),0.17,IF(AND(T14=2020,S14&lt;7),0.17,IF(AND(T14=2020,S14&gt;=7),0.17,IF(AND(T14=2021,S14&lt;7),0.17,IF(AND(T14=2021,S14&gt;=7),0.31,IF(AND(T14=2022,S14&lt;7),0.34,IF(AND(T14=2022,S14&gt;=7),0.38,IF(AND(T14=2023,S14&lt;7),0.42,0))))))))))))))</f>
        <v>0.12</v>
      </c>
      <c r="I14" s="166">
        <f>IF(OR($E$2="fixation",O14="",O14=0),"",IF(AND('Basic Data Entry'!$G$11="Z-Rural",'Arear Table Protected'!T14&lt;2021),0.08,IF(AND('Basic Data Entry'!$G$11="Y-Urban",'Arear Table Protected'!T14&lt;2021),0.16,IF(AND('Basic Data Entry'!$G$11="Z-Rural",'Arear Table Protected'!T14=2021,S14&gt;=7),0.09,IF(AND('Basic Data Entry'!$G$11="Y-Urban",'Arear Table Protected'!T14=2021,'Arear Table Protected'!S14&gt;=7),0.18,IF(AND('Basic Data Entry'!$G$11="Z-Rural",'Arear Table Protected'!T14=2021,S14&lt;7),0.08,IF(AND('Basic Data Entry'!$G$11="Y-Urban",'Arear Table Protected'!T14=2021,'Arear Table Protected'!S14&lt;7),0.16,IF(AND('Basic Data Entry'!$G$11="Z-Rural",'Arear Table Protected'!T14=2022),0.09,IF(AND('Basic Data Entry'!$G$11="Y-Urban",'Arear Table Protected'!T14=2022),0.18,IF(AND('Basic Data Entry'!$G$11="Z-Rural",'Arear Table Protected'!T14=2023),0.09,IF(AND('Basic Data Entry'!$G$11="Y-Urban",'Arear Table Protected'!T14=2023),0.18,"")))))))))))</f>
        <v>0.08</v>
      </c>
      <c r="J14" s="167">
        <f>IF(OR(O14="",O14=0),"",IF(AND('Basic Data Entry'!$G$11="Z-Rural",'Arear Table Protected'!T14&lt;2021),0.08,IF(AND('Basic Data Entry'!$G$11="Y-Urban",'Arear Table Protected'!T14&lt;2021),0.16,IF(AND('Basic Data Entry'!$G$11="Z-Rural",'Arear Table Protected'!T14=2021,S14&gt;=7),0.09,IF(AND('Basic Data Entry'!$G$11="Y-Urban",'Arear Table Protected'!T14=2021,'Arear Table Protected'!S14&gt;=7),0.18,IF(AND('Basic Data Entry'!$G$11="Z-Rural",'Arear Table Protected'!T14=2021,S14&lt;7),0.08,IF(AND('Basic Data Entry'!$G$11="Y-Urban",'Arear Table Protected'!T14=2021,'Arear Table Protected'!S14&lt;7),0.16,IF(AND('Basic Data Entry'!$G$11="Z-Rural",'Arear Table Protected'!T14=2022),0.09,IF(AND('Basic Data Entry'!$G$11="Y-Urban",'Arear Table Protected'!T14=2022),0.18,IF(AND('Basic Data Entry'!$G$11="Z-Rural",'Arear Table Protected'!T14=2023),0.09,IF(AND('Basic Data Entry'!$G$11="Y-Urban",'Arear Table Protected'!T14=2023),0.18,"")))))))))))</f>
        <v>0.08</v>
      </c>
      <c r="K14" s="168" t="str">
        <f t="shared" ref="K14:K60" si="4">IF(OR(O14="",O14=0),"",IF(AND(T14=2018,OR(S14=1,S14=2)),"YES",IF(AND(T14=2018,OR(S14=7,S14=8)),"YES",IF(AND(T14=2019,OR(S14=1,S14=2)),"YES",IF(AND(T14=2019,S14&gt;=7),"YES",IF(AND(T14=2020,OR(S14=1,S14=2)),"YES",IF(AND(T14=2022,OR(S14=1,S14=2,S14=3,S14=7,S14=8,S14=9)),"YES",IF(AND(T14=2023,OR(S14=1,S14=2,S14=3)),"YES",""))))))))</f>
        <v>YES</v>
      </c>
      <c r="L14" s="169">
        <f t="shared" ref="L14:L60" si="5">IF(K14="","",IF(AND(T14=2018,S14&lt;=2),0.02,IF(AND(T14=2018,OR(S14=7,S14=8)),0.02,IF(AND(T14=2019,S14&lt;=2),0.03,IF(T14=2019,0.05,IF(AND(T14=2020,S14&lt;=2),0.05,IF(AND(T14=2022,S14&lt;=3),0.03,IF(AND(T14=2022,OR(S14=7,S14=8,S14=9)),0.04,IF(AND(T14=2023,S14&lt;=3),0.04,"")))))))))</f>
        <v>0.03</v>
      </c>
      <c r="M14" s="170">
        <f>IF(OR(O14="",O14=0,K14=""),"",IF(AND(K14="yes",BW14="yes"),ROUND(V14*L14,0),IF(AND(K14="yes",BX14="yes"),ROUND(V14*L14,0)-ROUND(AA14*L14,0),IF(AND(K14="yes",BX14="no"),ROUND(V14*L14,0)))))</f>
        <v>1314</v>
      </c>
      <c r="N14" s="183">
        <v>2</v>
      </c>
      <c r="O14" s="383">
        <f>IF(U13=$AW$8,0,BI14)</f>
        <v>43497</v>
      </c>
      <c r="P14" s="384"/>
      <c r="Q14" s="384"/>
      <c r="R14" s="385"/>
      <c r="S14" s="161">
        <f t="array" ref="S14">IF(OR(O14=0,O14=""),"",MONTH(O14))</f>
        <v>2</v>
      </c>
      <c r="T14" s="161">
        <f t="array" ref="T14">IF(OR(O14=0,O14=""),"",YEAR(O14))</f>
        <v>2019</v>
      </c>
      <c r="U14" s="161" t="str">
        <f>IF(OR(O14=0,O14=""),"",CONCATENATE(S14,T14))</f>
        <v>22019</v>
      </c>
      <c r="V14" s="184">
        <f t="array" ref="V14">IF(OR(O14=0,O14=""),"",BE14)</f>
        <v>43800</v>
      </c>
      <c r="W14" s="185">
        <f t="array" ref="W14">IF(OR(O14=0,O14=""),"",ROUND(V14*H14,0))</f>
        <v>5256</v>
      </c>
      <c r="X14" s="225">
        <f>X13</f>
        <v>0</v>
      </c>
      <c r="Y14" s="185">
        <f t="array" ref="Y14">IF(OR(O14=0,O14=""),"",ROUND(V14*J14,0))</f>
        <v>3504</v>
      </c>
      <c r="Z14" s="186">
        <f t="array" ref="Z14">IF(OR(O14=0,O14=""),"",SUM(V14:Y14))</f>
        <v>52560</v>
      </c>
      <c r="AA14" s="187">
        <f t="array" ref="AA14">IF(OR(O14=0,O14=""),"",IF(V14=0,0,IF($E$2="FIXATION",$B$5,IF(V14=0,0,IF(BD14=7,ROUND(AA13*1.03,-2),AA13)))))</f>
        <v>39100</v>
      </c>
      <c r="AB14" s="188">
        <f t="array" ref="AB14">IF(OR(O14=0,O14=""),"",IF($E$2="fixation",0,ROUND(AA14*G14,0)))</f>
        <v>4692</v>
      </c>
      <c r="AC14" s="225">
        <f t="array" ref="AC14">IF(OR(O14=0,O14=""),"",AC13)</f>
        <v>0</v>
      </c>
      <c r="AD14" s="188">
        <f t="array" ref="AD14">IF(OR(O14=0,O14=""),"",IF($E$2="fixation",0,ROUND(AA14*I14,0)))</f>
        <v>3128</v>
      </c>
      <c r="AE14" s="186">
        <f t="array" ref="AE14">IF(OR(O14=0,O14=""),"",SUM(AA14:AD14))</f>
        <v>46920</v>
      </c>
      <c r="AF14" s="187">
        <f t="array" ref="AF14">IF(OR(O14=0,O14=""),"",V14-AA14)</f>
        <v>4700</v>
      </c>
      <c r="AG14" s="188">
        <f t="array" ref="AG14">IF(OR(O14=0,O14=""),"",W14-AB14)</f>
        <v>564</v>
      </c>
      <c r="AH14" s="188">
        <f t="array" ref="AH14">IF(OR(O14=0,O14=""),"",X14-AC14)</f>
        <v>0</v>
      </c>
      <c r="AI14" s="188">
        <f t="array" ref="AI14">IF(OR(O14=0,O14=""),"",Y14-AD14)</f>
        <v>376</v>
      </c>
      <c r="AJ14" s="189">
        <f t="array" ref="AJ14">IF(OR(O14=0,O14=""),"",Z14-AE14)</f>
        <v>5640</v>
      </c>
      <c r="AK14" s="190">
        <f t="array" ref="AK14">IF(OR(O14=0,O14=""),"",IF(M14="",$AZ$2,$AZ$2+M14))</f>
        <v>5814</v>
      </c>
      <c r="AL14" s="191">
        <f t="array" ref="AL14">IF(OR(O14=0,O14=""),"",$AQ$2)</f>
        <v>4500</v>
      </c>
      <c r="AM14" s="192">
        <f t="array" ref="AM14">IF(OR(O14=0,O14=""),"",AK14-AL14)</f>
        <v>1314</v>
      </c>
      <c r="AN14" s="103">
        <f t="array" ref="AN14">IF(OR(O13=0,O13="",AN13="",AN13=""),"",AN13)</f>
        <v>3000</v>
      </c>
      <c r="AO14" s="95">
        <f t="array" ref="AO14">IF(OR(O13=0,O13="",AO13="",AO13=""),"",AO13)</f>
        <v>3000</v>
      </c>
      <c r="AP14" s="192">
        <f t="array" ref="AP14">IF(OR(O14=0,O14=""),"",SUM(AN14-AO14))</f>
        <v>0</v>
      </c>
      <c r="AQ14" s="121" t="str">
        <f t="array" ref="AQ14">IF(OR(O14=0,O14=""),"",IF(AND('Basic Data Entry'!$C$10="state Service",'Arear Table Protected'!T14=2020,S14=3),ROUND(V14/31*5,0),IF(AND('Basic Data Entry'!$C$10="state Service",'Arear Table Protected'!T14=2020,S14=9),ROUND(Z14/30*2,0),IF(AND('Basic Data Entry'!$C$10="state Service",'Arear Table Protected'!T14=2020,S14=10),ROUND(Z14/31*2,0),IF(AND('Basic Data Entry'!$C$10="subordinate",'Arear Table Protected'!T14=2020,S14=3),ROUND(V14/31*3,0),IF(AND('Basic Data Entry'!$C$10="subordinate",'Arear Table Protected'!T14=2020,S14=9),ROUND(Z14/30*1,0),IF(AND('Basic Data Entry'!$C$10="subordinate",'Arear Table Protected'!T14=2020,S14=10),ROUND(Z14/31*1,0),IF(AND('Basic Data Entry'!$C$10="ministrial",'Arear Table Protected'!T14=2020,S14=3),ROUND(V14/31*1,0),""))))))))</f>
        <v/>
      </c>
      <c r="AR14" s="118" t="str">
        <f t="array" ref="AR14">IF(OR(O14=0,O14=""),"",IF(AND('Basic Data Entry'!$C$10="state Service",'Arear Table Protected'!T14=2020,S14=3),ROUND(AA14/31*5,0),IF(AND('Basic Data Entry'!$C$10="state Service",'Arear Table Protected'!T14=2020,S14=9),ROUND(AE14/30*2,0),IF(AND('Basic Data Entry'!$C$10="state Service",'Arear Table Protected'!T14=2020,S14=10),ROUND(AE14/31*2,0),IF(AND('Basic Data Entry'!$C$10="subordinate",'Arear Table Protected'!T14=2020,S14=3),ROUND(AA14/31*3,0),IF(AND('Basic Data Entry'!$C$10="subordinate",'Arear Table Protected'!T14=2020,S14=9),ROUND(AE14/30*1,0),IF(AND('Basic Data Entry'!$C$10="subordinate",'Arear Table Protected'!T14=2020,S14=10),ROUND(AE14/31*1,0),IF(AND('Basic Data Entry'!$C$10="ministrial",'Arear Table Protected'!T14=2020,S14=3),ROUND(AA14/31*1,0),""))))))))</f>
        <v/>
      </c>
      <c r="AS14" s="177" t="str">
        <f t="array" ref="AS14">IF(OR(O14=0,O14="",AQ14="",AR14=""),"",AQ14-AR14)</f>
        <v/>
      </c>
      <c r="AT14" s="42">
        <f t="array" ref="AT14">IF(OR(O13=0,O13=""),"",AT13)</f>
        <v>0</v>
      </c>
      <c r="AU14" s="43">
        <f t="array" ref="AU14">IF(OR(O13=0,O13=""),"",AU13)</f>
        <v>0</v>
      </c>
      <c r="AV14" s="193">
        <f t="array" ref="AV14">IF(OR(O14=0,O14=""),"",SUM(AT14-AU14))</f>
        <v>0</v>
      </c>
      <c r="AW14" s="194">
        <f t="array" ref="AW14">IF(OR(O14=0,O14=""),"",ROUND((AJ14)*$E$3,0))</f>
        <v>564</v>
      </c>
      <c r="AX14" s="194">
        <f t="array" ref="AX14">IF(OR(O14=0,O14=""),"",SUM(AM14,AP14,AS14,AV14,AW14))</f>
        <v>1878</v>
      </c>
      <c r="AY14" s="195">
        <f t="array" ref="AY14">IF(OR(O14=0,O14=""),"",AJ14-AX14)</f>
        <v>3762</v>
      </c>
      <c r="AZ14" s="46" t="s">
        <v>66</v>
      </c>
      <c r="BA14" s="24"/>
      <c r="BB14" s="24"/>
      <c r="BC14" s="11">
        <f>O14</f>
        <v>43497</v>
      </c>
      <c r="BD14" s="84">
        <f>IF(BC14=0,0,MONTH(BC14))</f>
        <v>2</v>
      </c>
      <c r="BE14" s="84">
        <f>IF(BD14=7,ROUND($B$7*1.03,-2),IF(BD14=0,0,$B$7))</f>
        <v>43800</v>
      </c>
      <c r="BF14" s="84"/>
      <c r="BG14" s="84"/>
      <c r="BH14" s="84"/>
      <c r="BI14" s="22">
        <f>BI13+$BJ$11</f>
        <v>43497</v>
      </c>
      <c r="BK14" s="19">
        <f>IF($W$2="state",5,IF($W$2="subordinate",3,IF($W$2="ministrial",2,1)))</f>
        <v>1</v>
      </c>
      <c r="BL14" s="20" t="str">
        <f t="array" ref="BL14">IF(OR(O14=0,O14=""),"",U14)</f>
        <v>22019</v>
      </c>
      <c r="BM14" s="19">
        <f t="array" ref="BM14">IF(OR(O14=0,O14=""),"",BK14+BL14)</f>
        <v>22020</v>
      </c>
      <c r="BN14" s="21">
        <f>IF(BM14=32025,"SSM",IF(BM14=32023,"SM",IF(BM14=32022,"MM",IF(BM14=32021,"FM",IF(BM14=92025,"SSS",IF(BM14=92023,"SS",IF(BM14=92022,"MS",IF(BM14=92021,"FS",IF(BM14=102025,"SSO",IF(BM14=102023,"SO",IF(BM14=102022,"MO",IF(BM14=102021,"FO",0))))))))))))</f>
        <v>0</v>
      </c>
      <c r="BO14" s="21">
        <f>IF(BL14="32020","M",IF(BL14="92020","S",IF(BL14="102020","O",0)))</f>
        <v>0</v>
      </c>
      <c r="BP14" s="23">
        <f>IF(BO14=0,0,"ss")</f>
        <v>0</v>
      </c>
      <c r="BQ14" s="21" t="str">
        <f>CONCATENATE(BO14,BP14)</f>
        <v>00</v>
      </c>
      <c r="BW14" s="81" t="str">
        <f>IF(OR(O14=0,O14=""),"",IF('Basic Data Entry'!$C$9="fixation","yes",""))</f>
        <v/>
      </c>
      <c r="BX14" s="81" t="str">
        <f>IF(OR(O14=0,O14=""),"",IF('Basic Data Entry'!$G$12="yes","yes","no"))</f>
        <v>no</v>
      </c>
    </row>
    <row r="15" spans="1:76" ht="20.25" customHeight="1" thickBot="1">
      <c r="A15" s="10">
        <f t="shared" ref="A15:A60" si="6">V15</f>
        <v>43800</v>
      </c>
      <c r="B15" s="305"/>
      <c r="C15" s="305"/>
      <c r="D15" s="305"/>
      <c r="E15" s="305"/>
      <c r="F15" s="108">
        <f t="shared" si="1"/>
        <v>43528</v>
      </c>
      <c r="G15" s="165">
        <f t="shared" si="2"/>
        <v>0.12</v>
      </c>
      <c r="H15" s="166">
        <f t="shared" si="3"/>
        <v>0.12</v>
      </c>
      <c r="I15" s="166">
        <f>IF(OR($E$2="fixation",O15="",O15=0),"",IF(AND('Basic Data Entry'!$G$11="Z-Rural",'Arear Table Protected'!T15&lt;2021),0.08,IF(AND('Basic Data Entry'!$G$11="Y-Urban",'Arear Table Protected'!T15&lt;2021),0.16,IF(AND('Basic Data Entry'!$G$11="Z-Rural",'Arear Table Protected'!T15=2021,S15&gt;=7),0.09,IF(AND('Basic Data Entry'!$G$11="Y-Urban",'Arear Table Protected'!T15=2021,'Arear Table Protected'!S15&gt;=7),0.18,IF(AND('Basic Data Entry'!$G$11="Z-Rural",'Arear Table Protected'!T15=2021,S15&lt;7),0.08,IF(AND('Basic Data Entry'!$G$11="Y-Urban",'Arear Table Protected'!T15=2021,'Arear Table Protected'!S15&lt;7),0.16,IF(AND('Basic Data Entry'!$G$11="Z-Rural",'Arear Table Protected'!T15=2022),0.09,IF(AND('Basic Data Entry'!$G$11="Y-Urban",'Arear Table Protected'!T15=2022),0.18,IF(AND('Basic Data Entry'!$G$11="Z-Rural",'Arear Table Protected'!T15=2023),0.09,IF(AND('Basic Data Entry'!$G$11="Y-Urban",'Arear Table Protected'!T15=2023),0.18,"")))))))))))</f>
        <v>0.08</v>
      </c>
      <c r="J15" s="167">
        <f>IF(OR(O15="",O15=0),"",IF(AND('Basic Data Entry'!$G$11="Z-Rural",'Arear Table Protected'!T15&lt;2021),0.08,IF(AND('Basic Data Entry'!$G$11="Y-Urban",'Arear Table Protected'!T15&lt;2021),0.16,IF(AND('Basic Data Entry'!$G$11="Z-Rural",'Arear Table Protected'!T15=2021,S15&gt;=7),0.09,IF(AND('Basic Data Entry'!$G$11="Y-Urban",'Arear Table Protected'!T15=2021,'Arear Table Protected'!S15&gt;=7),0.18,IF(AND('Basic Data Entry'!$G$11="Z-Rural",'Arear Table Protected'!T15=2021,S15&lt;7),0.08,IF(AND('Basic Data Entry'!$G$11="Y-Urban",'Arear Table Protected'!T15=2021,'Arear Table Protected'!S15&lt;7),0.16,IF(AND('Basic Data Entry'!$G$11="Z-Rural",'Arear Table Protected'!T15=2022),0.09,IF(AND('Basic Data Entry'!$G$11="Y-Urban",'Arear Table Protected'!T15=2022),0.18,IF(AND('Basic Data Entry'!$G$11="Z-Rural",'Arear Table Protected'!T15=2023),0.09,IF(AND('Basic Data Entry'!$G$11="Y-Urban",'Arear Table Protected'!T15=2023),0.18,"")))))))))))</f>
        <v>0.08</v>
      </c>
      <c r="K15" s="168" t="str">
        <f t="shared" si="4"/>
        <v/>
      </c>
      <c r="L15" s="169" t="str">
        <f t="shared" si="5"/>
        <v/>
      </c>
      <c r="M15" s="170" t="str">
        <f t="shared" ref="M15:M60" si="7">IF(OR(O15="",O15=0,K15=""),"",IF(AND(K15="yes",BW15="yes"),ROUND(V15*L15,0),IF(AND(K15="yes",BX15="yes"),ROUND(V15*L15,0)-ROUND(AA15*L15,0),IF(AND(K15="yes",BX15="no"),ROUND(V15*L15,0)))))</f>
        <v/>
      </c>
      <c r="N15" s="196">
        <v>3</v>
      </c>
      <c r="O15" s="327">
        <f t="shared" ref="O15:O59" si="8">IF(U14=$AW$8,0,IF(O14=0,0,BI15))</f>
        <v>43528</v>
      </c>
      <c r="P15" s="328"/>
      <c r="Q15" s="328"/>
      <c r="R15" s="329"/>
      <c r="S15" s="161">
        <f t="array" ref="S15">IF(OR(O15=0,O15=""),"",MONTH(O15))</f>
        <v>3</v>
      </c>
      <c r="T15" s="161">
        <f t="array" ref="T15">IF(OR(O15=0,O15=""),"",YEAR(O15))</f>
        <v>2019</v>
      </c>
      <c r="U15" s="161" t="str">
        <f t="shared" ref="U15:U60" si="9">IF(OR(O15=0,O15=""),"",CONCATENATE(S15,T15))</f>
        <v>32019</v>
      </c>
      <c r="V15" s="197">
        <f t="array" ref="V15">IF(OR(O15=0,O15=""),"",BE15)</f>
        <v>43800</v>
      </c>
      <c r="W15" s="163">
        <f t="array" ref="W15">IF(OR(O15=0,O15=""),"",ROUND(V15*H15,0))</f>
        <v>5256</v>
      </c>
      <c r="X15" s="222">
        <f t="shared" ref="X15:X59" si="10">X14</f>
        <v>0</v>
      </c>
      <c r="Y15" s="163">
        <f t="array" ref="Y15">IF(OR(O15=0,O15=""),"",ROUND(V15*J15,0))</f>
        <v>3504</v>
      </c>
      <c r="Z15" s="198">
        <f t="array" ref="Z15">IF(OR(O15=0,O15=""),"",SUM(V15:Y15))</f>
        <v>52560</v>
      </c>
      <c r="AA15" s="199">
        <f t="array" ref="AA15">IF(OR(O15=0,O15=""),"",IF(V15=0,0,IF($E$2="FIXATION",$B$5,IF(V15=0,0,IF(BD15=7,ROUND(AA14*1.03,-2),AA14)))))</f>
        <v>39100</v>
      </c>
      <c r="AB15" s="200">
        <f t="array" ref="AB15">IF(OR(O15=0,O15=""),"",IF($E$2="fixation",0,ROUND(AA15*G15,0)))</f>
        <v>4692</v>
      </c>
      <c r="AC15" s="222">
        <f t="array" ref="AC15">IF(OR(O15=0,O15=""),"",AC14)</f>
        <v>0</v>
      </c>
      <c r="AD15" s="200">
        <f t="array" ref="AD15">IF(OR(O15=0,O15=""),"",IF($E$2="fixation",0,ROUND(AA15*I15,0)))</f>
        <v>3128</v>
      </c>
      <c r="AE15" s="198">
        <f t="array" ref="AE15">IF(OR(O15=0,O15=""),"",SUM(AA15:AD15))</f>
        <v>46920</v>
      </c>
      <c r="AF15" s="199">
        <f t="array" ref="AF15">IF(OR(O15=0,O15=""),"",V15-AA15)</f>
        <v>4700</v>
      </c>
      <c r="AG15" s="200">
        <f t="array" ref="AG15">IF(OR(O15=0,O15=""),"",W15-AB15)</f>
        <v>564</v>
      </c>
      <c r="AH15" s="200">
        <f t="array" ref="AH15">IF(OR(O15=0,O15=""),"",X15-AC15)</f>
        <v>0</v>
      </c>
      <c r="AI15" s="200">
        <f t="array" ref="AI15">IF(OR(O15=0,O15=""),"",Y15-AD15)</f>
        <v>376</v>
      </c>
      <c r="AJ15" s="201">
        <f t="array" ref="AJ15">IF(OR(O15=0,O15=""),"",Z15-AE15)</f>
        <v>5640</v>
      </c>
      <c r="AK15" s="202">
        <f t="array" ref="AK15">IF(OR(O15=0,O15=""),"",IF(M15="",$AZ$2,$AZ$2+M15))</f>
        <v>4500</v>
      </c>
      <c r="AL15" s="203">
        <f t="array" ref="AL15">IF(OR(O15=0,O15=""),"",$AQ$2)</f>
        <v>4500</v>
      </c>
      <c r="AM15" s="204">
        <f t="array" ref="AM15">IF(OR(O15=0,O15=""),"",AK15-AL15)</f>
        <v>0</v>
      </c>
      <c r="AN15" s="3">
        <f t="array" ref="AN15">IF(OR(O14=0,O14="",AN14="",AN14=""),"",AN14)</f>
        <v>3000</v>
      </c>
      <c r="AO15" s="2">
        <f t="array" ref="AO15">IF(OR(O14=0,O14="",AO14="",AO14=""),"",AO14)</f>
        <v>3000</v>
      </c>
      <c r="AP15" s="204">
        <f t="array" ref="AP15">IF(OR(O15=0,O15=""),"",SUM(AN15-AO15))</f>
        <v>0</v>
      </c>
      <c r="AQ15" s="106" t="str">
        <f t="array" ref="AQ15">IF(OR(O15=0,O15=""),"",IF(AND('Basic Data Entry'!$C$10="state Service",'Arear Table Protected'!T15=2020,S15=3),ROUND(V15/31*5,0),IF(AND('Basic Data Entry'!$C$10="state Service",'Arear Table Protected'!T15=2020,S15=9),ROUND(Z15/30*2,0),IF(AND('Basic Data Entry'!$C$10="state Service",'Arear Table Protected'!T15=2020,S15=10),ROUND(Z15/31*2,0),IF(AND('Basic Data Entry'!$C$10="subordinate",'Arear Table Protected'!T15=2020,S15=3),ROUND(V15/31*3,0),IF(AND('Basic Data Entry'!$C$10="subordinate",'Arear Table Protected'!T15=2020,S15=9),ROUND(Z15/30*1,0),IF(AND('Basic Data Entry'!$C$10="subordinate",'Arear Table Protected'!T15=2020,S15=10),ROUND(Z15/31*1,0),IF(AND('Basic Data Entry'!$C$10="ministrial",'Arear Table Protected'!T15=2020,S15=3),ROUND(V15/31*1,0),""))))))))</f>
        <v/>
      </c>
      <c r="AR15" s="107" t="str">
        <f t="array" ref="AR15">IF(OR(O15=0,O15=""),"",IF(AND('Basic Data Entry'!$C$10="state Service",'Arear Table Protected'!T15=2020,S15=3),ROUND(AA15/31*5,0),IF(AND('Basic Data Entry'!$C$10="state Service",'Arear Table Protected'!T15=2020,S15=9),ROUND(AE15/30*2,0),IF(AND('Basic Data Entry'!$C$10="state Service",'Arear Table Protected'!T15=2020,S15=10),ROUND(AE15/31*2,0),IF(AND('Basic Data Entry'!$C$10="subordinate",'Arear Table Protected'!T15=2020,S15=3),ROUND(AA15/31*3,0),IF(AND('Basic Data Entry'!$C$10="subordinate",'Arear Table Protected'!T15=2020,S15=9),ROUND(AE15/30*1,0),IF(AND('Basic Data Entry'!$C$10="subordinate",'Arear Table Protected'!T15=2020,S15=10),ROUND(AE15/31*1,0),IF(AND('Basic Data Entry'!$C$10="ministrial",'Arear Table Protected'!T15=2020,S15=3),ROUND(AA15/31*1,0),""))))))))</f>
        <v/>
      </c>
      <c r="AS15" s="205" t="str">
        <f t="array" ref="AS15">IF(OR(O15=0,O15="",AQ15="",AR15=""),"",AQ15-AR15)</f>
        <v/>
      </c>
      <c r="AT15" s="44">
        <f t="array" ref="AT15">IF(OR(O14=0,O14=""),"",AT14)</f>
        <v>0</v>
      </c>
      <c r="AU15" s="45">
        <f t="array" ref="AU15">IF(OR(O14=0,O14=""),"",AU14)</f>
        <v>0</v>
      </c>
      <c r="AV15" s="206">
        <f t="array" ref="AV15">IF(OR(O15=0,O15=""),"",SUM(AT15-AU15))</f>
        <v>0</v>
      </c>
      <c r="AW15" s="207">
        <f t="array" ref="AW15">IF(OR(O15=0,O15=""),"",ROUND((AJ15)*$E$3,0))</f>
        <v>564</v>
      </c>
      <c r="AX15" s="207">
        <f t="array" ref="AX15">IF(OR(O15=0,O15=""),"",SUM(AM15,AP15,AS15,AV15,AW15))</f>
        <v>564</v>
      </c>
      <c r="AY15" s="208">
        <f t="array" ref="AY15">IF(OR(O15=0,O15=""),"",AJ15-AX15)</f>
        <v>5076</v>
      </c>
      <c r="AZ15" s="46"/>
      <c r="BA15" s="24"/>
      <c r="BB15" s="24"/>
      <c r="BC15" s="11">
        <f t="shared" ref="BC15:BC21" si="11">O15</f>
        <v>43528</v>
      </c>
      <c r="BD15" s="84">
        <f t="shared" ref="BD15:BD60" si="12">IF(BC15=0,0,MONTH(BC15))</f>
        <v>3</v>
      </c>
      <c r="BE15" s="84">
        <f>IF(BD15=7,ROUND(BE14*1.03,-2),IF(BD15=0,0,BE14))</f>
        <v>43800</v>
      </c>
      <c r="BI15" s="22">
        <f>BI14+31</f>
        <v>43528</v>
      </c>
      <c r="BK15" s="19">
        <f t="shared" ref="BK15:BK75" si="13">IF($W$2="state",5,IF($W$2="subordinate",3,IF($W$2="ministrial",2,1)))</f>
        <v>1</v>
      </c>
      <c r="BL15" s="20" t="str">
        <f t="array" ref="BL15">IF(OR(O15=0,O15=""),"",U15)</f>
        <v>32019</v>
      </c>
      <c r="BM15" s="19">
        <f t="array" ref="BM15">IF(OR(O15=0,O15=""),"",BK15+BL15)</f>
        <v>32020</v>
      </c>
      <c r="BN15" s="21">
        <f t="shared" ref="BN15:BN75" si="14">IF(BM15=32025,"SSM",IF(BM15=32023,"SM",IF(BM15=32022,"MM",IF(BM15=32021,"FM",IF(BM15=92025,"SSS",IF(BM15=92023,"SS",IF(BM15=92022,"MS",IF(BM15=92021,"FS",IF(BM15=102025,"SSO",IF(BM15=102023,"SO",IF(BM15=102022,"MO",IF(BM15=102021,"FO",0))))))))))))</f>
        <v>0</v>
      </c>
      <c r="BO15" s="21">
        <f t="shared" ref="BO15:BO75" si="15">IF(BL15="32020","M",IF(BL15="92020","S",IF(BL15="102020","O",0)))</f>
        <v>0</v>
      </c>
      <c r="BP15" s="23">
        <f t="shared" ref="BP15:BP46" si="16">IF(BO15=0,0,"ss")</f>
        <v>0</v>
      </c>
      <c r="BQ15" s="21" t="str">
        <f t="shared" ref="BQ15:BQ75" si="17">CONCATENATE(BO15,BP15)</f>
        <v>00</v>
      </c>
      <c r="BW15" s="81" t="str">
        <f>IF(OR(O15=0,O15=""),"",IF('Basic Data Entry'!$C$9="fixation","yes",""))</f>
        <v/>
      </c>
      <c r="BX15" s="81" t="str">
        <f>IF(OR(O15=0,O15=""),"",IF('Basic Data Entry'!$G$12="yes","yes","no"))</f>
        <v>no</v>
      </c>
    </row>
    <row r="16" spans="1:76" ht="20.25" customHeight="1" thickBot="1">
      <c r="A16" s="10">
        <f t="shared" si="6"/>
        <v>43800</v>
      </c>
      <c r="B16" s="305"/>
      <c r="C16" s="305"/>
      <c r="D16" s="305"/>
      <c r="E16" s="305"/>
      <c r="F16" s="108">
        <f t="shared" si="1"/>
        <v>43559</v>
      </c>
      <c r="G16" s="165">
        <f t="shared" si="2"/>
        <v>0.12</v>
      </c>
      <c r="H16" s="166">
        <f t="shared" si="3"/>
        <v>0.12</v>
      </c>
      <c r="I16" s="166">
        <f>IF(OR($E$2="fixation",O16="",O16=0),"",IF(AND('Basic Data Entry'!$G$11="Z-Rural",'Arear Table Protected'!T16&lt;2021),0.08,IF(AND('Basic Data Entry'!$G$11="Y-Urban",'Arear Table Protected'!T16&lt;2021),0.16,IF(AND('Basic Data Entry'!$G$11="Z-Rural",'Arear Table Protected'!T16=2021,S16&gt;=7),0.09,IF(AND('Basic Data Entry'!$G$11="Y-Urban",'Arear Table Protected'!T16=2021,'Arear Table Protected'!S16&gt;=7),0.18,IF(AND('Basic Data Entry'!$G$11="Z-Rural",'Arear Table Protected'!T16=2021,S16&lt;7),0.08,IF(AND('Basic Data Entry'!$G$11="Y-Urban",'Arear Table Protected'!T16=2021,'Arear Table Protected'!S16&lt;7),0.16,IF(AND('Basic Data Entry'!$G$11="Z-Rural",'Arear Table Protected'!T16=2022),0.09,IF(AND('Basic Data Entry'!$G$11="Y-Urban",'Arear Table Protected'!T16=2022),0.18,IF(AND('Basic Data Entry'!$G$11="Z-Rural",'Arear Table Protected'!T16=2023),0.09,IF(AND('Basic Data Entry'!$G$11="Y-Urban",'Arear Table Protected'!T16=2023),0.18,"")))))))))))</f>
        <v>0.08</v>
      </c>
      <c r="J16" s="167">
        <f>IF(OR(O16="",O16=0),"",IF(AND('Basic Data Entry'!$G$11="Z-Rural",'Arear Table Protected'!T16&lt;2021),0.08,IF(AND('Basic Data Entry'!$G$11="Y-Urban",'Arear Table Protected'!T16&lt;2021),0.16,IF(AND('Basic Data Entry'!$G$11="Z-Rural",'Arear Table Protected'!T16=2021,S16&gt;=7),0.09,IF(AND('Basic Data Entry'!$G$11="Y-Urban",'Arear Table Protected'!T16=2021,'Arear Table Protected'!S16&gt;=7),0.18,IF(AND('Basic Data Entry'!$G$11="Z-Rural",'Arear Table Protected'!T16=2021,S16&lt;7),0.08,IF(AND('Basic Data Entry'!$G$11="Y-Urban",'Arear Table Protected'!T16=2021,'Arear Table Protected'!S16&lt;7),0.16,IF(AND('Basic Data Entry'!$G$11="Z-Rural",'Arear Table Protected'!T16=2022),0.09,IF(AND('Basic Data Entry'!$G$11="Y-Urban",'Arear Table Protected'!T16=2022),0.18,IF(AND('Basic Data Entry'!$G$11="Z-Rural",'Arear Table Protected'!T16=2023),0.09,IF(AND('Basic Data Entry'!$G$11="Y-Urban",'Arear Table Protected'!T16=2023),0.18,"")))))))))))</f>
        <v>0.08</v>
      </c>
      <c r="K16" s="168" t="str">
        <f t="shared" si="4"/>
        <v/>
      </c>
      <c r="L16" s="169" t="str">
        <f t="shared" si="5"/>
        <v/>
      </c>
      <c r="M16" s="170" t="str">
        <f t="shared" si="7"/>
        <v/>
      </c>
      <c r="N16" s="196">
        <v>4</v>
      </c>
      <c r="O16" s="327">
        <f t="shared" si="8"/>
        <v>43559</v>
      </c>
      <c r="P16" s="328"/>
      <c r="Q16" s="328"/>
      <c r="R16" s="329"/>
      <c r="S16" s="161">
        <f t="array" ref="S16">IF(OR(O16=0,O16=""),"",MONTH(O16))</f>
        <v>4</v>
      </c>
      <c r="T16" s="161">
        <f t="array" ref="T16">IF(OR(O16=0,O16=""),"",YEAR(O16))</f>
        <v>2019</v>
      </c>
      <c r="U16" s="161" t="str">
        <f t="shared" si="9"/>
        <v>42019</v>
      </c>
      <c r="V16" s="197">
        <f t="array" ref="V16">IF(OR(O16=0,O16=""),"",BE16)</f>
        <v>43800</v>
      </c>
      <c r="W16" s="163">
        <f t="array" ref="W16">IF(OR(O16=0,O16=""),"",ROUND(V16*H16,0))</f>
        <v>5256</v>
      </c>
      <c r="X16" s="222">
        <f t="shared" si="10"/>
        <v>0</v>
      </c>
      <c r="Y16" s="163">
        <f t="array" ref="Y16">IF(OR(O16=0,O16=""),"",ROUND(V16*J16,0))</f>
        <v>3504</v>
      </c>
      <c r="Z16" s="198">
        <f t="array" ref="Z16">IF(OR(O16=0,O16=""),"",SUM(V16:Y16))</f>
        <v>52560</v>
      </c>
      <c r="AA16" s="199">
        <f t="array" ref="AA16">IF(OR(O16=0,O16=""),"",IF(V16=0,0,IF($E$2="FIXATION",$B$5,IF(V16=0,0,IF(BD16=7,ROUND(AA15*1.03,-2),AA15)))))</f>
        <v>39100</v>
      </c>
      <c r="AB16" s="200">
        <f t="array" ref="AB16">IF(OR(O16=0,O16=""),"",IF($E$2="fixation",0,ROUND(AA16*G16,0)))</f>
        <v>4692</v>
      </c>
      <c r="AC16" s="222">
        <f t="array" ref="AC16">IF(OR(O16=0,O16=""),"",AC15)</f>
        <v>0</v>
      </c>
      <c r="AD16" s="200">
        <f t="array" ref="AD16">IF(OR(O16=0,O16=""),"",IF($E$2="fixation",0,ROUND(AA16*I16,0)))</f>
        <v>3128</v>
      </c>
      <c r="AE16" s="198">
        <f t="array" ref="AE16">IF(OR(O16=0,O16=""),"",SUM(AA16:AD16))</f>
        <v>46920</v>
      </c>
      <c r="AF16" s="199">
        <f t="array" ref="AF16">IF(OR(O16=0,O16=""),"",V16-AA16)</f>
        <v>4700</v>
      </c>
      <c r="AG16" s="200">
        <f t="array" ref="AG16">IF(OR(O16=0,O16=""),"",W16-AB16)</f>
        <v>564</v>
      </c>
      <c r="AH16" s="200">
        <f t="array" ref="AH16">IF(OR(O16=0,O16=""),"",X16-AC16)</f>
        <v>0</v>
      </c>
      <c r="AI16" s="200">
        <f t="array" ref="AI16">IF(OR(O16=0,O16=""),"",Y16-AD16)</f>
        <v>376</v>
      </c>
      <c r="AJ16" s="201">
        <f t="array" ref="AJ16">IF(OR(O16=0,O16=""),"",Z16-AE16)</f>
        <v>5640</v>
      </c>
      <c r="AK16" s="202">
        <f t="array" ref="AK16">IF(OR(O16=0,O16=""),"",IF(M16="",$AZ$2,$AZ$2+M16))</f>
        <v>4500</v>
      </c>
      <c r="AL16" s="203">
        <f t="array" ref="AL16">IF(OR(O16=0,O16=""),"",$AQ$2)</f>
        <v>4500</v>
      </c>
      <c r="AM16" s="204">
        <f t="array" ref="AM16">IF(OR(O16=0,O16=""),"",AK16-AL16)</f>
        <v>0</v>
      </c>
      <c r="AN16" s="3">
        <f t="array" ref="AN16">IF(OR(O15=0,O15="",AN15="",AN15=""),"",AN15)</f>
        <v>3000</v>
      </c>
      <c r="AO16" s="2">
        <f t="array" ref="AO16">IF(OR(O15=0,O15="",AO15="",AO15=""),"",AO15)</f>
        <v>3000</v>
      </c>
      <c r="AP16" s="204">
        <f t="array" ref="AP16">IF(OR(O16=0,O16=""),"",SUM(AN16-AO16))</f>
        <v>0</v>
      </c>
      <c r="AQ16" s="106" t="str">
        <f t="array" ref="AQ16">IF(OR(O16=0,O16=""),"",IF(AND('Basic Data Entry'!$C$10="state Service",'Arear Table Protected'!T16=2020,S16=3),ROUND(V16/31*5,0),IF(AND('Basic Data Entry'!$C$10="state Service",'Arear Table Protected'!T16=2020,S16=9),ROUND(Z16/30*2,0),IF(AND('Basic Data Entry'!$C$10="state Service",'Arear Table Protected'!T16=2020,S16=10),ROUND(Z16/31*2,0),IF(AND('Basic Data Entry'!$C$10="subordinate",'Arear Table Protected'!T16=2020,S16=3),ROUND(V16/31*3,0),IF(AND('Basic Data Entry'!$C$10="subordinate",'Arear Table Protected'!T16=2020,S16=9),ROUND(Z16/30*1,0),IF(AND('Basic Data Entry'!$C$10="subordinate",'Arear Table Protected'!T16=2020,S16=10),ROUND(Z16/31*1,0),IF(AND('Basic Data Entry'!$C$10="ministrial",'Arear Table Protected'!T16=2020,S16=3),ROUND(V16/31*1,0),""))))))))</f>
        <v/>
      </c>
      <c r="AR16" s="107" t="str">
        <f t="array" ref="AR16">IF(OR(O16=0,O16=""),"",IF(AND('Basic Data Entry'!$C$10="state Service",'Arear Table Protected'!T16=2020,S16=3),ROUND(AA16/31*5,0),IF(AND('Basic Data Entry'!$C$10="state Service",'Arear Table Protected'!T16=2020,S16=9),ROUND(AE16/30*2,0),IF(AND('Basic Data Entry'!$C$10="state Service",'Arear Table Protected'!T16=2020,S16=10),ROUND(AE16/31*2,0),IF(AND('Basic Data Entry'!$C$10="subordinate",'Arear Table Protected'!T16=2020,S16=3),ROUND(AA16/31*3,0),IF(AND('Basic Data Entry'!$C$10="subordinate",'Arear Table Protected'!T16=2020,S16=9),ROUND(AE16/30*1,0),IF(AND('Basic Data Entry'!$C$10="subordinate",'Arear Table Protected'!T16=2020,S16=10),ROUND(AE16/31*1,0),IF(AND('Basic Data Entry'!$C$10="ministrial",'Arear Table Protected'!T16=2020,S16=3),ROUND(AA16/31*1,0),""))))))))</f>
        <v/>
      </c>
      <c r="AS16" s="205" t="str">
        <f t="array" ref="AS16">IF(OR(O16=0,O16="",AQ16="",AR16=""),"",AQ16-AR16)</f>
        <v/>
      </c>
      <c r="AT16" s="44">
        <f t="array" ref="AT16">IF(OR(O15=0,O15=""),"",AT15)</f>
        <v>0</v>
      </c>
      <c r="AU16" s="45">
        <f t="array" ref="AU16">IF(OR(O15=0,O15=""),"",AU15)</f>
        <v>0</v>
      </c>
      <c r="AV16" s="206">
        <f t="array" ref="AV16">IF(OR(O16=0,O16=""),"",SUM(AT16-AU16))</f>
        <v>0</v>
      </c>
      <c r="AW16" s="207">
        <f t="array" ref="AW16">IF(OR(O16=0,O16=""),"",ROUND((AJ16)*$E$3,0))</f>
        <v>564</v>
      </c>
      <c r="AX16" s="207">
        <f t="array" ref="AX16">IF(OR(O16=0,O16=""),"",SUM(AM16,AP16,AS16,AV16,AW16))</f>
        <v>564</v>
      </c>
      <c r="AY16" s="208">
        <f t="array" ref="AY16">IF(OR(O16=0,O16=""),"",AJ16-AX16)</f>
        <v>5076</v>
      </c>
      <c r="AZ16" s="46"/>
      <c r="BA16" s="24"/>
      <c r="BB16" s="24"/>
      <c r="BC16" s="11">
        <f t="shared" si="11"/>
        <v>43559</v>
      </c>
      <c r="BD16" s="84">
        <f t="shared" si="12"/>
        <v>4</v>
      </c>
      <c r="BE16" s="84">
        <f t="shared" ref="BE16:BE59" si="18">IF(BD16=7,ROUND(BE15*1.03,-2),IF(BD16=0,0,BE15))</f>
        <v>43800</v>
      </c>
      <c r="BI16" s="22">
        <f t="shared" ref="BI16:BI59" si="19">BI15+31</f>
        <v>43559</v>
      </c>
      <c r="BK16" s="19">
        <f t="shared" si="13"/>
        <v>1</v>
      </c>
      <c r="BL16" s="20" t="str">
        <f t="array" ref="BL16">IF(OR(O16=0,O16=""),"",U16)</f>
        <v>42019</v>
      </c>
      <c r="BM16" s="19">
        <f t="array" ref="BM16">IF(OR(O16=0,O16=""),"",BK16+BL16)</f>
        <v>42020</v>
      </c>
      <c r="BN16" s="21">
        <f t="shared" si="14"/>
        <v>0</v>
      </c>
      <c r="BO16" s="21">
        <f t="shared" si="15"/>
        <v>0</v>
      </c>
      <c r="BP16" s="23">
        <f t="shared" si="16"/>
        <v>0</v>
      </c>
      <c r="BQ16" s="21" t="str">
        <f t="shared" si="17"/>
        <v>00</v>
      </c>
      <c r="BW16" s="81" t="str">
        <f>IF(OR(O16=0,O16=""),"",IF('Basic Data Entry'!$C$9="fixation","yes",""))</f>
        <v/>
      </c>
      <c r="BX16" s="81" t="str">
        <f>IF(OR(O16=0,O16=""),"",IF('Basic Data Entry'!$G$12="yes","yes","no"))</f>
        <v>no</v>
      </c>
    </row>
    <row r="17" spans="1:76" ht="20.25" customHeight="1" thickBot="1">
      <c r="A17" s="10">
        <f t="shared" si="6"/>
        <v>43800</v>
      </c>
      <c r="B17" s="305"/>
      <c r="C17" s="305"/>
      <c r="D17" s="305"/>
      <c r="E17" s="305"/>
      <c r="F17" s="108">
        <f t="shared" si="1"/>
        <v>43590</v>
      </c>
      <c r="G17" s="165">
        <f t="shared" si="2"/>
        <v>0.12</v>
      </c>
      <c r="H17" s="166">
        <f t="shared" si="3"/>
        <v>0.12</v>
      </c>
      <c r="I17" s="166">
        <f>IF(OR($E$2="fixation",O17="",O17=0),"",IF(AND('Basic Data Entry'!$G$11="Z-Rural",'Arear Table Protected'!T17&lt;2021),0.08,IF(AND('Basic Data Entry'!$G$11="Y-Urban",'Arear Table Protected'!T17&lt;2021),0.16,IF(AND('Basic Data Entry'!$G$11="Z-Rural",'Arear Table Protected'!T17=2021,S17&gt;=7),0.09,IF(AND('Basic Data Entry'!$G$11="Y-Urban",'Arear Table Protected'!T17=2021,'Arear Table Protected'!S17&gt;=7),0.18,IF(AND('Basic Data Entry'!$G$11="Z-Rural",'Arear Table Protected'!T17=2021,S17&lt;7),0.08,IF(AND('Basic Data Entry'!$G$11="Y-Urban",'Arear Table Protected'!T17=2021,'Arear Table Protected'!S17&lt;7),0.16,IF(AND('Basic Data Entry'!$G$11="Z-Rural",'Arear Table Protected'!T17=2022),0.09,IF(AND('Basic Data Entry'!$G$11="Y-Urban",'Arear Table Protected'!T17=2022),0.18,IF(AND('Basic Data Entry'!$G$11="Z-Rural",'Arear Table Protected'!T17=2023),0.09,IF(AND('Basic Data Entry'!$G$11="Y-Urban",'Arear Table Protected'!T17=2023),0.18,"")))))))))))</f>
        <v>0.08</v>
      </c>
      <c r="J17" s="167">
        <f>IF(OR(O17="",O17=0),"",IF(AND('Basic Data Entry'!$G$11="Z-Rural",'Arear Table Protected'!T17&lt;2021),0.08,IF(AND('Basic Data Entry'!$G$11="Y-Urban",'Arear Table Protected'!T17&lt;2021),0.16,IF(AND('Basic Data Entry'!$G$11="Z-Rural",'Arear Table Protected'!T17=2021,S17&gt;=7),0.09,IF(AND('Basic Data Entry'!$G$11="Y-Urban",'Arear Table Protected'!T17=2021,'Arear Table Protected'!S17&gt;=7),0.18,IF(AND('Basic Data Entry'!$G$11="Z-Rural",'Arear Table Protected'!T17=2021,S17&lt;7),0.08,IF(AND('Basic Data Entry'!$G$11="Y-Urban",'Arear Table Protected'!T17=2021,'Arear Table Protected'!S17&lt;7),0.16,IF(AND('Basic Data Entry'!$G$11="Z-Rural",'Arear Table Protected'!T17=2022),0.09,IF(AND('Basic Data Entry'!$G$11="Y-Urban",'Arear Table Protected'!T17=2022),0.18,IF(AND('Basic Data Entry'!$G$11="Z-Rural",'Arear Table Protected'!T17=2023),0.09,IF(AND('Basic Data Entry'!$G$11="Y-Urban",'Arear Table Protected'!T17=2023),0.18,"")))))))))))</f>
        <v>0.08</v>
      </c>
      <c r="K17" s="168" t="str">
        <f t="shared" si="4"/>
        <v/>
      </c>
      <c r="L17" s="169" t="str">
        <f t="shared" si="5"/>
        <v/>
      </c>
      <c r="M17" s="170" t="str">
        <f t="shared" si="7"/>
        <v/>
      </c>
      <c r="N17" s="196">
        <v>5</v>
      </c>
      <c r="O17" s="327">
        <f t="shared" si="8"/>
        <v>43590</v>
      </c>
      <c r="P17" s="328"/>
      <c r="Q17" s="328"/>
      <c r="R17" s="329"/>
      <c r="S17" s="161">
        <f t="array" ref="S17">IF(OR(O17=0,O17=""),"",MONTH(O17))</f>
        <v>5</v>
      </c>
      <c r="T17" s="161">
        <f t="array" ref="T17">IF(OR(O17=0,O17=""),"",YEAR(O17))</f>
        <v>2019</v>
      </c>
      <c r="U17" s="161" t="str">
        <f t="shared" si="9"/>
        <v>52019</v>
      </c>
      <c r="V17" s="197">
        <f t="array" ref="V17">IF(OR(O17=0,O17=""),"",BE17)</f>
        <v>43800</v>
      </c>
      <c r="W17" s="163">
        <f t="array" ref="W17">IF(OR(O17=0,O17=""),"",ROUND(V17*H17,0))</f>
        <v>5256</v>
      </c>
      <c r="X17" s="222">
        <f t="shared" si="10"/>
        <v>0</v>
      </c>
      <c r="Y17" s="163">
        <f t="array" ref="Y17">IF(OR(O17=0,O17=""),"",ROUND(V17*J17,0))</f>
        <v>3504</v>
      </c>
      <c r="Z17" s="198">
        <f t="array" ref="Z17">IF(OR(O17=0,O17=""),"",SUM(V17:Y17))</f>
        <v>52560</v>
      </c>
      <c r="AA17" s="199">
        <f t="array" ref="AA17">IF(OR(O17=0,O17=""),"",IF(V17=0,0,IF($E$2="FIXATION",$B$5,IF(V17=0,0,IF(BD17=7,ROUND(AA16*1.03,-2),AA16)))))</f>
        <v>39100</v>
      </c>
      <c r="AB17" s="200">
        <f t="array" ref="AB17">IF(OR(O17=0,O17=""),"",IF($E$2="fixation",0,ROUND(AA17*G17,0)))</f>
        <v>4692</v>
      </c>
      <c r="AC17" s="222">
        <f t="array" ref="AC17">IF(OR(O17=0,O17=""),"",AC16)</f>
        <v>0</v>
      </c>
      <c r="AD17" s="200">
        <f t="array" ref="AD17">IF(OR(O17=0,O17=""),"",IF($E$2="fixation",0,ROUND(AA17*I17,0)))</f>
        <v>3128</v>
      </c>
      <c r="AE17" s="198">
        <f t="array" ref="AE17">IF(OR(O17=0,O17=""),"",SUM(AA17:AD17))</f>
        <v>46920</v>
      </c>
      <c r="AF17" s="199">
        <f t="array" ref="AF17">IF(OR(O17=0,O17=""),"",V17-AA17)</f>
        <v>4700</v>
      </c>
      <c r="AG17" s="200">
        <f t="array" ref="AG17">IF(OR(O17=0,O17=""),"",W17-AB17)</f>
        <v>564</v>
      </c>
      <c r="AH17" s="200">
        <f t="array" ref="AH17">IF(OR(O17=0,O17=""),"",X17-AC17)</f>
        <v>0</v>
      </c>
      <c r="AI17" s="200">
        <f t="array" ref="AI17">IF(OR(O17=0,O17=""),"",Y17-AD17)</f>
        <v>376</v>
      </c>
      <c r="AJ17" s="201">
        <f t="array" ref="AJ17">IF(OR(O17=0,O17=""),"",Z17-AE17)</f>
        <v>5640</v>
      </c>
      <c r="AK17" s="202">
        <f t="array" ref="AK17">IF(OR(O17=0,O17=""),"",IF(M17="",$AZ$2,$AZ$2+M17))</f>
        <v>4500</v>
      </c>
      <c r="AL17" s="203">
        <f t="array" ref="AL17">IF(OR(O17=0,O17=""),"",$AQ$2)</f>
        <v>4500</v>
      </c>
      <c r="AM17" s="204">
        <f t="array" ref="AM17">IF(OR(O17=0,O17=""),"",AK17-AL17)</f>
        <v>0</v>
      </c>
      <c r="AN17" s="3">
        <f t="array" ref="AN17">IF(OR(O16=0,O16="",AN16="",AN16=""),"",AN16)</f>
        <v>3000</v>
      </c>
      <c r="AO17" s="2">
        <f t="array" ref="AO17">IF(OR(O16=0,O16="",AO16="",AO16=""),"",AO16)</f>
        <v>3000</v>
      </c>
      <c r="AP17" s="204">
        <f t="array" ref="AP17">IF(OR(O17=0,O17=""),"",SUM(AN17-AO17))</f>
        <v>0</v>
      </c>
      <c r="AQ17" s="106" t="str">
        <f t="array" ref="AQ17">IF(OR(O17=0,O17=""),"",IF(AND('Basic Data Entry'!$C$10="state Service",'Arear Table Protected'!T17=2020,S17=3),ROUND(V17/31*5,0),IF(AND('Basic Data Entry'!$C$10="state Service",'Arear Table Protected'!T17=2020,S17=9),ROUND(Z17/30*2,0),IF(AND('Basic Data Entry'!$C$10="state Service",'Arear Table Protected'!T17=2020,S17=10),ROUND(Z17/31*2,0),IF(AND('Basic Data Entry'!$C$10="subordinate",'Arear Table Protected'!T17=2020,S17=3),ROUND(V17/31*3,0),IF(AND('Basic Data Entry'!$C$10="subordinate",'Arear Table Protected'!T17=2020,S17=9),ROUND(Z17/30*1,0),IF(AND('Basic Data Entry'!$C$10="subordinate",'Arear Table Protected'!T17=2020,S17=10),ROUND(Z17/31*1,0),IF(AND('Basic Data Entry'!$C$10="ministrial",'Arear Table Protected'!T17=2020,S17=3),ROUND(V17/31*1,0),""))))))))</f>
        <v/>
      </c>
      <c r="AR17" s="107" t="str">
        <f t="array" ref="AR17">IF(OR(O17=0,O17=""),"",IF(AND('Basic Data Entry'!$C$10="state Service",'Arear Table Protected'!T17=2020,S17=3),ROUND(AA17/31*5,0),IF(AND('Basic Data Entry'!$C$10="state Service",'Arear Table Protected'!T17=2020,S17=9),ROUND(AE17/30*2,0),IF(AND('Basic Data Entry'!$C$10="state Service",'Arear Table Protected'!T17=2020,S17=10),ROUND(AE17/31*2,0),IF(AND('Basic Data Entry'!$C$10="subordinate",'Arear Table Protected'!T17=2020,S17=3),ROUND(AA17/31*3,0),IF(AND('Basic Data Entry'!$C$10="subordinate",'Arear Table Protected'!T17=2020,S17=9),ROUND(AE17/30*1,0),IF(AND('Basic Data Entry'!$C$10="subordinate",'Arear Table Protected'!T17=2020,S17=10),ROUND(AE17/31*1,0),IF(AND('Basic Data Entry'!$C$10="ministrial",'Arear Table Protected'!T17=2020,S17=3),ROUND(AA17/31*1,0),""))))))))</f>
        <v/>
      </c>
      <c r="AS17" s="205" t="str">
        <f t="array" ref="AS17">IF(OR(O17=0,O17="",AQ17="",AR17=""),"",AQ17-AR17)</f>
        <v/>
      </c>
      <c r="AT17" s="44">
        <f t="array" ref="AT17">IF(OR(O16=0,O16=""),"",AT16)</f>
        <v>0</v>
      </c>
      <c r="AU17" s="45">
        <f t="array" ref="AU17">IF(OR(O16=0,O16=""),"",AU16)</f>
        <v>0</v>
      </c>
      <c r="AV17" s="206">
        <f t="array" ref="AV17">IF(OR(O17=0,O17=""),"",SUM(AT17-AU17))</f>
        <v>0</v>
      </c>
      <c r="AW17" s="207">
        <f t="array" ref="AW17">IF(OR(O17=0,O17=""),"",ROUND((AJ17)*$E$3,0))</f>
        <v>564</v>
      </c>
      <c r="AX17" s="207">
        <f t="array" ref="AX17">IF(OR(O17=0,O17=""),"",SUM(AM17,AP17,AS17,AV17,AW17))</f>
        <v>564</v>
      </c>
      <c r="AY17" s="208">
        <f t="array" ref="AY17">IF(OR(O17=0,O17=""),"",AJ17-AX17)</f>
        <v>5076</v>
      </c>
      <c r="AZ17" s="46"/>
      <c r="BA17" s="24"/>
      <c r="BB17" s="24"/>
      <c r="BC17" s="11">
        <f t="shared" si="11"/>
        <v>43590</v>
      </c>
      <c r="BD17" s="84">
        <f t="shared" si="12"/>
        <v>5</v>
      </c>
      <c r="BE17" s="84">
        <f t="shared" si="18"/>
        <v>43800</v>
      </c>
      <c r="BI17" s="22">
        <f t="shared" si="19"/>
        <v>43590</v>
      </c>
      <c r="BK17" s="19">
        <f t="shared" si="13"/>
        <v>1</v>
      </c>
      <c r="BL17" s="20" t="str">
        <f t="array" ref="BL17">IF(OR(O17=0,O17=""),"",U17)</f>
        <v>52019</v>
      </c>
      <c r="BM17" s="19">
        <f t="array" ref="BM17">IF(OR(O17=0,O17=""),"",BK17+BL17)</f>
        <v>52020</v>
      </c>
      <c r="BN17" s="21">
        <f t="shared" si="14"/>
        <v>0</v>
      </c>
      <c r="BO17" s="21">
        <f t="shared" si="15"/>
        <v>0</v>
      </c>
      <c r="BP17" s="23">
        <f t="shared" si="16"/>
        <v>0</v>
      </c>
      <c r="BQ17" s="21" t="str">
        <f t="shared" si="17"/>
        <v>00</v>
      </c>
      <c r="BW17" s="81" t="str">
        <f>IF(OR(O17=0,O17=""),"",IF('Basic Data Entry'!$C$9="fixation","yes",""))</f>
        <v/>
      </c>
      <c r="BX17" s="81" t="str">
        <f>IF(OR(O17=0,O17=""),"",IF('Basic Data Entry'!$G$12="yes","yes","no"))</f>
        <v>no</v>
      </c>
    </row>
    <row r="18" spans="1:76" ht="18" customHeight="1" thickBot="1">
      <c r="A18" s="10">
        <f t="shared" si="6"/>
        <v>43800</v>
      </c>
      <c r="B18" s="305"/>
      <c r="C18" s="305"/>
      <c r="D18" s="305"/>
      <c r="E18" s="305"/>
      <c r="F18" s="108">
        <f t="shared" si="1"/>
        <v>43621</v>
      </c>
      <c r="G18" s="165">
        <f t="shared" si="2"/>
        <v>0.12</v>
      </c>
      <c r="H18" s="166">
        <f t="shared" si="3"/>
        <v>0.12</v>
      </c>
      <c r="I18" s="166">
        <f>IF(OR($E$2="fixation",O18="",O18=0),"",IF(AND('Basic Data Entry'!$G$11="Z-Rural",'Arear Table Protected'!T18&lt;2021),0.08,IF(AND('Basic Data Entry'!$G$11="Y-Urban",'Arear Table Protected'!T18&lt;2021),0.16,IF(AND('Basic Data Entry'!$G$11="Z-Rural",'Arear Table Protected'!T18=2021,S18&gt;=7),0.09,IF(AND('Basic Data Entry'!$G$11="Y-Urban",'Arear Table Protected'!T18=2021,'Arear Table Protected'!S18&gt;=7),0.18,IF(AND('Basic Data Entry'!$G$11="Z-Rural",'Arear Table Protected'!T18=2021,S18&lt;7),0.08,IF(AND('Basic Data Entry'!$G$11="Y-Urban",'Arear Table Protected'!T18=2021,'Arear Table Protected'!S18&lt;7),0.16,IF(AND('Basic Data Entry'!$G$11="Z-Rural",'Arear Table Protected'!T18=2022),0.09,IF(AND('Basic Data Entry'!$G$11="Y-Urban",'Arear Table Protected'!T18=2022),0.18,IF(AND('Basic Data Entry'!$G$11="Z-Rural",'Arear Table Protected'!T18=2023),0.09,IF(AND('Basic Data Entry'!$G$11="Y-Urban",'Arear Table Protected'!T18=2023),0.18,"")))))))))))</f>
        <v>0.08</v>
      </c>
      <c r="J18" s="167">
        <f>IF(OR(O18="",O18=0),"",IF(AND('Basic Data Entry'!$G$11="Z-Rural",'Arear Table Protected'!T18&lt;2021),0.08,IF(AND('Basic Data Entry'!$G$11="Y-Urban",'Arear Table Protected'!T18&lt;2021),0.16,IF(AND('Basic Data Entry'!$G$11="Z-Rural",'Arear Table Protected'!T18=2021,S18&gt;=7),0.09,IF(AND('Basic Data Entry'!$G$11="Y-Urban",'Arear Table Protected'!T18=2021,'Arear Table Protected'!S18&gt;=7),0.18,IF(AND('Basic Data Entry'!$G$11="Z-Rural",'Arear Table Protected'!T18=2021,S18&lt;7),0.08,IF(AND('Basic Data Entry'!$G$11="Y-Urban",'Arear Table Protected'!T18=2021,'Arear Table Protected'!S18&lt;7),0.16,IF(AND('Basic Data Entry'!$G$11="Z-Rural",'Arear Table Protected'!T18=2022),0.09,IF(AND('Basic Data Entry'!$G$11="Y-Urban",'Arear Table Protected'!T18=2022),0.18,IF(AND('Basic Data Entry'!$G$11="Z-Rural",'Arear Table Protected'!T18=2023),0.09,IF(AND('Basic Data Entry'!$G$11="Y-Urban",'Arear Table Protected'!T18=2023),0.18,"")))))))))))</f>
        <v>0.08</v>
      </c>
      <c r="K18" s="168" t="str">
        <f t="shared" si="4"/>
        <v/>
      </c>
      <c r="L18" s="169" t="str">
        <f t="shared" si="5"/>
        <v/>
      </c>
      <c r="M18" s="170" t="str">
        <f t="shared" si="7"/>
        <v/>
      </c>
      <c r="N18" s="196">
        <v>6</v>
      </c>
      <c r="O18" s="327">
        <f t="shared" si="8"/>
        <v>43621</v>
      </c>
      <c r="P18" s="328"/>
      <c r="Q18" s="328"/>
      <c r="R18" s="329"/>
      <c r="S18" s="161">
        <f t="array" ref="S18">IF(OR(O18=0,O18=""),"",MONTH(O18))</f>
        <v>6</v>
      </c>
      <c r="T18" s="161">
        <f t="array" ref="T18">IF(OR(O18=0,O18=""),"",YEAR(O18))</f>
        <v>2019</v>
      </c>
      <c r="U18" s="161" t="str">
        <f t="shared" si="9"/>
        <v>62019</v>
      </c>
      <c r="V18" s="197">
        <f t="array" ref="V18">IF(OR(O18=0,O18=""),"",BE18)</f>
        <v>43800</v>
      </c>
      <c r="W18" s="163">
        <f t="array" ref="W18">IF(OR(O18=0,O18=""),"",ROUND(V18*H18,0))</f>
        <v>5256</v>
      </c>
      <c r="X18" s="222">
        <f t="shared" si="10"/>
        <v>0</v>
      </c>
      <c r="Y18" s="163">
        <f t="array" ref="Y18">IF(OR(O18=0,O18=""),"",ROUND(V18*J18,0))</f>
        <v>3504</v>
      </c>
      <c r="Z18" s="198">
        <f t="array" ref="Z18">IF(OR(O18=0,O18=""),"",SUM(V18:Y18))</f>
        <v>52560</v>
      </c>
      <c r="AA18" s="199">
        <f t="array" ref="AA18">IF(OR(O18=0,O18=""),"",IF(V18=0,0,IF($E$2="FIXATION",$B$5,IF(V18=0,0,IF(BD18=7,ROUND(AA17*1.03,-2),AA17)))))</f>
        <v>39100</v>
      </c>
      <c r="AB18" s="200">
        <f t="array" ref="AB18">IF(OR(O18=0,O18=""),"",IF($E$2="fixation",0,ROUND(AA18*G18,0)))</f>
        <v>4692</v>
      </c>
      <c r="AC18" s="222">
        <f t="array" ref="AC18">IF(OR(O18=0,O18=""),"",AC17)</f>
        <v>0</v>
      </c>
      <c r="AD18" s="200">
        <f t="array" ref="AD18">IF(OR(O18=0,O18=""),"",IF($E$2="fixation",0,ROUND(AA18*I18,0)))</f>
        <v>3128</v>
      </c>
      <c r="AE18" s="198">
        <f t="array" ref="AE18">IF(OR(O18=0,O18=""),"",SUM(AA18:AD18))</f>
        <v>46920</v>
      </c>
      <c r="AF18" s="199">
        <f t="array" ref="AF18">IF(OR(O18=0,O18=""),"",V18-AA18)</f>
        <v>4700</v>
      </c>
      <c r="AG18" s="200">
        <f t="array" ref="AG18">IF(OR(O18=0,O18=""),"",W18-AB18)</f>
        <v>564</v>
      </c>
      <c r="AH18" s="200">
        <f t="array" ref="AH18">IF(OR(O18=0,O18=""),"",X18-AC18)</f>
        <v>0</v>
      </c>
      <c r="AI18" s="200">
        <f t="array" ref="AI18">IF(OR(O18=0,O18=""),"",Y18-AD18)</f>
        <v>376</v>
      </c>
      <c r="AJ18" s="201">
        <f t="array" ref="AJ18">IF(OR(O18=0,O18=""),"",Z18-AE18)</f>
        <v>5640</v>
      </c>
      <c r="AK18" s="202">
        <f t="array" ref="AK18">IF(OR(O18=0,O18=""),"",IF(M18="",$AZ$2,$AZ$2+M18))</f>
        <v>4500</v>
      </c>
      <c r="AL18" s="203">
        <f t="array" ref="AL18">IF(OR(O18=0,O18=""),"",$AQ$2)</f>
        <v>4500</v>
      </c>
      <c r="AM18" s="204">
        <f t="array" ref="AM18">IF(OR(O18=0,O18=""),"",AK18-AL18)</f>
        <v>0</v>
      </c>
      <c r="AN18" s="3">
        <f t="array" ref="AN18">IF(OR(O17=0,O17="",AN17="",AN17=""),"",AN17)</f>
        <v>3000</v>
      </c>
      <c r="AO18" s="2">
        <f t="array" ref="AO18">IF(OR(O17=0,O17="",AO17="",AO17=""),"",AO17)</f>
        <v>3000</v>
      </c>
      <c r="AP18" s="204">
        <f t="array" ref="AP18">IF(OR(O18=0,O18=""),"",SUM(AN18-AO18))</f>
        <v>0</v>
      </c>
      <c r="AQ18" s="106" t="str">
        <f t="array" ref="AQ18">IF(OR(O18=0,O18=""),"",IF(AND('Basic Data Entry'!$C$10="state Service",'Arear Table Protected'!T18=2020,S18=3),ROUND(V18/31*5,0),IF(AND('Basic Data Entry'!$C$10="state Service",'Arear Table Protected'!T18=2020,S18=9),ROUND(Z18/30*2,0),IF(AND('Basic Data Entry'!$C$10="state Service",'Arear Table Protected'!T18=2020,S18=10),ROUND(Z18/31*2,0),IF(AND('Basic Data Entry'!$C$10="subordinate",'Arear Table Protected'!T18=2020,S18=3),ROUND(V18/31*3,0),IF(AND('Basic Data Entry'!$C$10="subordinate",'Arear Table Protected'!T18=2020,S18=9),ROUND(Z18/30*1,0),IF(AND('Basic Data Entry'!$C$10="subordinate",'Arear Table Protected'!T18=2020,S18=10),ROUND(Z18/31*1,0),IF(AND('Basic Data Entry'!$C$10="ministrial",'Arear Table Protected'!T18=2020,S18=3),ROUND(V18/31*1,0),""))))))))</f>
        <v/>
      </c>
      <c r="AR18" s="107" t="str">
        <f t="array" ref="AR18">IF(OR(O18=0,O18=""),"",IF(AND('Basic Data Entry'!$C$10="state Service",'Arear Table Protected'!T18=2020,S18=3),ROUND(AA18/31*5,0),IF(AND('Basic Data Entry'!$C$10="state Service",'Arear Table Protected'!T18=2020,S18=9),ROUND(AE18/30*2,0),IF(AND('Basic Data Entry'!$C$10="state Service",'Arear Table Protected'!T18=2020,S18=10),ROUND(AE18/31*2,0),IF(AND('Basic Data Entry'!$C$10="subordinate",'Arear Table Protected'!T18=2020,S18=3),ROUND(AA18/31*3,0),IF(AND('Basic Data Entry'!$C$10="subordinate",'Arear Table Protected'!T18=2020,S18=9),ROUND(AE18/30*1,0),IF(AND('Basic Data Entry'!$C$10="subordinate",'Arear Table Protected'!T18=2020,S18=10),ROUND(AE18/31*1,0),IF(AND('Basic Data Entry'!$C$10="ministrial",'Arear Table Protected'!T18=2020,S18=3),ROUND(AA18/31*1,0),""))))))))</f>
        <v/>
      </c>
      <c r="AS18" s="205" t="str">
        <f t="array" ref="AS18">IF(OR(O18=0,O18="",AQ18="",AR18=""),"",AQ18-AR18)</f>
        <v/>
      </c>
      <c r="AT18" s="44">
        <f t="array" ref="AT18">IF(OR(O17=0,O17=""),"",AT17)</f>
        <v>0</v>
      </c>
      <c r="AU18" s="45">
        <f t="array" ref="AU18">IF(OR(O17=0,O17=""),"",AU17)</f>
        <v>0</v>
      </c>
      <c r="AV18" s="206">
        <f t="array" ref="AV18">IF(OR(O18=0,O18=""),"",SUM(AT18-AU18))</f>
        <v>0</v>
      </c>
      <c r="AW18" s="207">
        <f t="array" ref="AW18">IF(OR(O18=0,O18=""),"",ROUND((AJ18)*$E$3,0))</f>
        <v>564</v>
      </c>
      <c r="AX18" s="207">
        <f t="array" ref="AX18">IF(OR(O18=0,O18=""),"",SUM(AM18,AP18,AS18,AV18,AW18))</f>
        <v>564</v>
      </c>
      <c r="AY18" s="208">
        <f t="array" ref="AY18">IF(OR(O18=0,O18=""),"",AJ18-AX18)</f>
        <v>5076</v>
      </c>
      <c r="AZ18" s="46"/>
      <c r="BA18" s="24"/>
      <c r="BB18" s="24"/>
      <c r="BC18" s="11">
        <f t="shared" si="11"/>
        <v>43621</v>
      </c>
      <c r="BD18" s="84">
        <f t="shared" si="12"/>
        <v>6</v>
      </c>
      <c r="BE18" s="84">
        <f t="shared" si="18"/>
        <v>43800</v>
      </c>
      <c r="BI18" s="22">
        <f t="shared" si="19"/>
        <v>43621</v>
      </c>
      <c r="BK18" s="19">
        <f t="shared" si="13"/>
        <v>1</v>
      </c>
      <c r="BL18" s="20" t="str">
        <f t="array" ref="BL18">IF(OR(O18=0,O18=""),"",U18)</f>
        <v>62019</v>
      </c>
      <c r="BM18" s="19">
        <f t="array" ref="BM18">IF(OR(O18=0,O18=""),"",BK18+BL18)</f>
        <v>62020</v>
      </c>
      <c r="BN18" s="21">
        <f t="shared" si="14"/>
        <v>0</v>
      </c>
      <c r="BO18" s="21">
        <f t="shared" si="15"/>
        <v>0</v>
      </c>
      <c r="BP18" s="23">
        <f t="shared" si="16"/>
        <v>0</v>
      </c>
      <c r="BQ18" s="21" t="str">
        <f t="shared" si="17"/>
        <v>00</v>
      </c>
      <c r="BW18" s="81" t="str">
        <f>IF(OR(O18=0,O18=""),"",IF('Basic Data Entry'!$C$9="fixation","yes",""))</f>
        <v/>
      </c>
      <c r="BX18" s="81" t="str">
        <f>IF(OR(O18=0,O18=""),"",IF('Basic Data Entry'!$G$12="yes","yes","no"))</f>
        <v>no</v>
      </c>
    </row>
    <row r="19" spans="1:76" ht="18" customHeight="1" thickBot="1">
      <c r="A19" s="10">
        <f t="shared" si="6"/>
        <v>45100</v>
      </c>
      <c r="B19" s="305"/>
      <c r="C19" s="305"/>
      <c r="D19" s="305"/>
      <c r="E19" s="305"/>
      <c r="F19" s="108">
        <f t="shared" si="1"/>
        <v>43652</v>
      </c>
      <c r="G19" s="165">
        <f t="shared" si="2"/>
        <v>0.17</v>
      </c>
      <c r="H19" s="166">
        <f t="shared" si="3"/>
        <v>0.17</v>
      </c>
      <c r="I19" s="166">
        <f>IF(OR($E$2="fixation",O19="",O19=0),"",IF(AND('Basic Data Entry'!$G$11="Z-Rural",'Arear Table Protected'!T19&lt;2021),0.08,IF(AND('Basic Data Entry'!$G$11="Y-Urban",'Arear Table Protected'!T19&lt;2021),0.16,IF(AND('Basic Data Entry'!$G$11="Z-Rural",'Arear Table Protected'!T19=2021,S19&gt;=7),0.09,IF(AND('Basic Data Entry'!$G$11="Y-Urban",'Arear Table Protected'!T19=2021,'Arear Table Protected'!S19&gt;=7),0.18,IF(AND('Basic Data Entry'!$G$11="Z-Rural",'Arear Table Protected'!T19=2021,S19&lt;7),0.08,IF(AND('Basic Data Entry'!$G$11="Y-Urban",'Arear Table Protected'!T19=2021,'Arear Table Protected'!S19&lt;7),0.16,IF(AND('Basic Data Entry'!$G$11="Z-Rural",'Arear Table Protected'!T19=2022),0.09,IF(AND('Basic Data Entry'!$G$11="Y-Urban",'Arear Table Protected'!T19=2022),0.18,IF(AND('Basic Data Entry'!$G$11="Z-Rural",'Arear Table Protected'!T19=2023),0.09,IF(AND('Basic Data Entry'!$G$11="Y-Urban",'Arear Table Protected'!T19=2023),0.18,"")))))))))))</f>
        <v>0.08</v>
      </c>
      <c r="J19" s="167">
        <f>IF(OR(O19="",O19=0),"",IF(AND('Basic Data Entry'!$G$11="Z-Rural",'Arear Table Protected'!T19&lt;2021),0.08,IF(AND('Basic Data Entry'!$G$11="Y-Urban",'Arear Table Protected'!T19&lt;2021),0.16,IF(AND('Basic Data Entry'!$G$11="Z-Rural",'Arear Table Protected'!T19=2021,S19&gt;=7),0.09,IF(AND('Basic Data Entry'!$G$11="Y-Urban",'Arear Table Protected'!T19=2021,'Arear Table Protected'!S19&gt;=7),0.18,IF(AND('Basic Data Entry'!$G$11="Z-Rural",'Arear Table Protected'!T19=2021,S19&lt;7),0.08,IF(AND('Basic Data Entry'!$G$11="Y-Urban",'Arear Table Protected'!T19=2021,'Arear Table Protected'!S19&lt;7),0.16,IF(AND('Basic Data Entry'!$G$11="Z-Rural",'Arear Table Protected'!T19=2022),0.09,IF(AND('Basic Data Entry'!$G$11="Y-Urban",'Arear Table Protected'!T19=2022),0.18,IF(AND('Basic Data Entry'!$G$11="Z-Rural",'Arear Table Protected'!T19=2023),0.09,IF(AND('Basic Data Entry'!$G$11="Y-Urban",'Arear Table Protected'!T19=2023),0.18,"")))))))))))</f>
        <v>0.08</v>
      </c>
      <c r="K19" s="168" t="str">
        <f t="shared" si="4"/>
        <v>YES</v>
      </c>
      <c r="L19" s="169">
        <f t="shared" si="5"/>
        <v>0.05</v>
      </c>
      <c r="M19" s="170">
        <f t="shared" si="7"/>
        <v>2255</v>
      </c>
      <c r="N19" s="196">
        <v>7</v>
      </c>
      <c r="O19" s="327">
        <f t="shared" si="8"/>
        <v>43652</v>
      </c>
      <c r="P19" s="328"/>
      <c r="Q19" s="328"/>
      <c r="R19" s="329"/>
      <c r="S19" s="161">
        <f t="array" ref="S19">IF(OR(O19=0,O19=""),"",MONTH(O19))</f>
        <v>7</v>
      </c>
      <c r="T19" s="161">
        <f t="array" ref="T19">IF(OR(O19=0,O19=""),"",YEAR(O19))</f>
        <v>2019</v>
      </c>
      <c r="U19" s="161" t="str">
        <f t="shared" si="9"/>
        <v>72019</v>
      </c>
      <c r="V19" s="197">
        <f t="array" ref="V19">IF(OR(O19=0,O19=""),"",BE19)</f>
        <v>45100</v>
      </c>
      <c r="W19" s="163">
        <f t="array" ref="W19">IF(OR(O19=0,O19=""),"",ROUND(V19*H19,0))</f>
        <v>7667</v>
      </c>
      <c r="X19" s="222">
        <f t="shared" si="10"/>
        <v>0</v>
      </c>
      <c r="Y19" s="163">
        <f t="array" ref="Y19">IF(OR(O19=0,O19=""),"",ROUND(V19*J19,0))</f>
        <v>3608</v>
      </c>
      <c r="Z19" s="198">
        <f t="array" ref="Z19">IF(OR(O19=0,O19=""),"",SUM(V19:Y19))</f>
        <v>56375</v>
      </c>
      <c r="AA19" s="199">
        <f t="array" ref="AA19">IF(OR(O19=0,O19=""),"",IF(V19=0,0,IF($E$2="FIXATION",$B$5,IF(V19=0,0,IF(BD19=7,ROUND(AA18*1.03,-2),AA18)))))</f>
        <v>40300</v>
      </c>
      <c r="AB19" s="200">
        <f t="array" ref="AB19">IF(OR(O19=0,O19=""),"",IF($E$2="fixation",0,ROUND(AA19*G19,0)))</f>
        <v>6851</v>
      </c>
      <c r="AC19" s="222">
        <f t="array" ref="AC19">IF(OR(O19=0,O19=""),"",AC18)</f>
        <v>0</v>
      </c>
      <c r="AD19" s="200">
        <f t="array" ref="AD19">IF(OR(O19=0,O19=""),"",IF($E$2="fixation",0,ROUND(AA19*I19,0)))</f>
        <v>3224</v>
      </c>
      <c r="AE19" s="198">
        <f t="array" ref="AE19">IF(OR(O19=0,O19=""),"",SUM(AA19:AD19))</f>
        <v>50375</v>
      </c>
      <c r="AF19" s="199">
        <f t="array" ref="AF19">IF(OR(O19=0,O19=""),"",V19-AA19)</f>
        <v>4800</v>
      </c>
      <c r="AG19" s="200">
        <f t="array" ref="AG19">IF(OR(O19=0,O19=""),"",W19-AB19)</f>
        <v>816</v>
      </c>
      <c r="AH19" s="200">
        <f t="array" ref="AH19">IF(OR(O19=0,O19=""),"",X19-AC19)</f>
        <v>0</v>
      </c>
      <c r="AI19" s="200">
        <f t="array" ref="AI19">IF(OR(O19=0,O19=""),"",Y19-AD19)</f>
        <v>384</v>
      </c>
      <c r="AJ19" s="201">
        <f t="array" ref="AJ19">IF(OR(O19=0,O19=""),"",Z19-AE19)</f>
        <v>6000</v>
      </c>
      <c r="AK19" s="202">
        <f t="array" ref="AK19">IF(OR(O19=0,O19=""),"",IF(M19="",$AZ$2,$AZ$2+M19))</f>
        <v>6755</v>
      </c>
      <c r="AL19" s="203">
        <f t="array" ref="AL19">IF(OR(O19=0,O19=""),"",$AQ$2)</f>
        <v>4500</v>
      </c>
      <c r="AM19" s="204">
        <f t="array" ref="AM19">IF(OR(O19=0,O19=""),"",AK19-AL19)</f>
        <v>2255</v>
      </c>
      <c r="AN19" s="3">
        <f t="array" ref="AN19">IF(OR(O18=0,O18="",AN18="",AN18=""),"",AN18)</f>
        <v>3000</v>
      </c>
      <c r="AO19" s="2">
        <f t="array" ref="AO19">IF(OR(O18=0,O18="",AO18="",AO18=""),"",AO18)</f>
        <v>3000</v>
      </c>
      <c r="AP19" s="204">
        <f t="array" ref="AP19">IF(OR(O19=0,O19=""),"",SUM(AN19-AO19))</f>
        <v>0</v>
      </c>
      <c r="AQ19" s="106" t="str">
        <f t="array" ref="AQ19">IF(OR(O19=0,O19=""),"",IF(AND('Basic Data Entry'!$C$10="state Service",'Arear Table Protected'!T19=2020,S19=3),ROUND(V19/31*5,0),IF(AND('Basic Data Entry'!$C$10="state Service",'Arear Table Protected'!T19=2020,S19=9),ROUND(Z19/30*2,0),IF(AND('Basic Data Entry'!$C$10="state Service",'Arear Table Protected'!T19=2020,S19=10),ROUND(Z19/31*2,0),IF(AND('Basic Data Entry'!$C$10="subordinate",'Arear Table Protected'!T19=2020,S19=3),ROUND(V19/31*3,0),IF(AND('Basic Data Entry'!$C$10="subordinate",'Arear Table Protected'!T19=2020,S19=9),ROUND(Z19/30*1,0),IF(AND('Basic Data Entry'!$C$10="subordinate",'Arear Table Protected'!T19=2020,S19=10),ROUND(Z19/31*1,0),IF(AND('Basic Data Entry'!$C$10="ministrial",'Arear Table Protected'!T19=2020,S19=3),ROUND(V19/31*1,0),""))))))))</f>
        <v/>
      </c>
      <c r="AR19" s="107" t="str">
        <f t="array" ref="AR19">IF(OR(O19=0,O19=""),"",IF(AND('Basic Data Entry'!$C$10="state Service",'Arear Table Protected'!T19=2020,S19=3),ROUND(AA19/31*5,0),IF(AND('Basic Data Entry'!$C$10="state Service",'Arear Table Protected'!T19=2020,S19=9),ROUND(AE19/30*2,0),IF(AND('Basic Data Entry'!$C$10="state Service",'Arear Table Protected'!T19=2020,S19=10),ROUND(AE19/31*2,0),IF(AND('Basic Data Entry'!$C$10="subordinate",'Arear Table Protected'!T19=2020,S19=3),ROUND(AA19/31*3,0),IF(AND('Basic Data Entry'!$C$10="subordinate",'Arear Table Protected'!T19=2020,S19=9),ROUND(AE19/30*1,0),IF(AND('Basic Data Entry'!$C$10="subordinate",'Arear Table Protected'!T19=2020,S19=10),ROUND(AE19/31*1,0),IF(AND('Basic Data Entry'!$C$10="ministrial",'Arear Table Protected'!T19=2020,S19=3),ROUND(AA19/31*1,0),""))))))))</f>
        <v/>
      </c>
      <c r="AS19" s="205" t="str">
        <f t="array" ref="AS19">IF(OR(O19=0,O19="",AQ19="",AR19=""),"",AQ19-AR19)</f>
        <v/>
      </c>
      <c r="AT19" s="44">
        <f t="array" ref="AT19">IF(OR(O18=0,O18=""),"",AT18)</f>
        <v>0</v>
      </c>
      <c r="AU19" s="45">
        <f t="array" ref="AU19">IF(OR(O18=0,O18=""),"",AU18)</f>
        <v>0</v>
      </c>
      <c r="AV19" s="206">
        <f t="array" ref="AV19">IF(OR(O19=0,O19=""),"",SUM(AT19-AU19))</f>
        <v>0</v>
      </c>
      <c r="AW19" s="207">
        <f t="array" ref="AW19">IF(OR(O19=0,O19=""),"",ROUND((AJ19)*$E$3,0))</f>
        <v>600</v>
      </c>
      <c r="AX19" s="207">
        <f t="array" ref="AX19">IF(OR(O19=0,O19=""),"",SUM(AM19,AP19,AS19,AV19,AW19))</f>
        <v>2855</v>
      </c>
      <c r="AY19" s="208">
        <f t="array" ref="AY19">IF(OR(O19=0,O19=""),"",AJ19-AX19)</f>
        <v>3145</v>
      </c>
      <c r="AZ19" s="46"/>
      <c r="BA19" s="24"/>
      <c r="BB19" s="24"/>
      <c r="BC19" s="11">
        <f t="shared" si="11"/>
        <v>43652</v>
      </c>
      <c r="BD19" s="84">
        <f t="shared" si="12"/>
        <v>7</v>
      </c>
      <c r="BE19" s="84">
        <f t="shared" si="18"/>
        <v>45100</v>
      </c>
      <c r="BI19" s="22">
        <f t="shared" si="19"/>
        <v>43652</v>
      </c>
      <c r="BK19" s="19">
        <f t="shared" si="13"/>
        <v>1</v>
      </c>
      <c r="BL19" s="20" t="str">
        <f t="array" ref="BL19">IF(OR(O19=0,O19=""),"",U19)</f>
        <v>72019</v>
      </c>
      <c r="BM19" s="19">
        <f t="array" ref="BM19">IF(OR(O19=0,O19=""),"",BK19+BL19)</f>
        <v>72020</v>
      </c>
      <c r="BN19" s="21">
        <f t="shared" si="14"/>
        <v>0</v>
      </c>
      <c r="BO19" s="21">
        <f t="shared" si="15"/>
        <v>0</v>
      </c>
      <c r="BP19" s="23">
        <f t="shared" si="16"/>
        <v>0</v>
      </c>
      <c r="BQ19" s="21" t="str">
        <f t="shared" si="17"/>
        <v>00</v>
      </c>
      <c r="BW19" s="81" t="str">
        <f>IF(OR(O19=0,O19=""),"",IF('Basic Data Entry'!$C$9="fixation","yes",""))</f>
        <v/>
      </c>
      <c r="BX19" s="81" t="str">
        <f>IF(OR(O19=0,O19=""),"",IF('Basic Data Entry'!$G$12="yes","yes","no"))</f>
        <v>no</v>
      </c>
    </row>
    <row r="20" spans="1:76" ht="18.75" customHeight="1" thickBot="1">
      <c r="A20" s="10">
        <f t="shared" si="6"/>
        <v>45100</v>
      </c>
      <c r="B20" s="305"/>
      <c r="C20" s="305"/>
      <c r="D20" s="305"/>
      <c r="E20" s="305"/>
      <c r="F20" s="108">
        <f t="shared" si="1"/>
        <v>43683</v>
      </c>
      <c r="G20" s="165">
        <f t="shared" si="2"/>
        <v>0.17</v>
      </c>
      <c r="H20" s="166">
        <f t="shared" si="3"/>
        <v>0.17</v>
      </c>
      <c r="I20" s="166">
        <f>IF(OR($E$2="fixation",O20="",O20=0),"",IF(AND('Basic Data Entry'!$G$11="Z-Rural",'Arear Table Protected'!T20&lt;2021),0.08,IF(AND('Basic Data Entry'!$G$11="Y-Urban",'Arear Table Protected'!T20&lt;2021),0.16,IF(AND('Basic Data Entry'!$G$11="Z-Rural",'Arear Table Protected'!T20=2021,S20&gt;=7),0.09,IF(AND('Basic Data Entry'!$G$11="Y-Urban",'Arear Table Protected'!T20=2021,'Arear Table Protected'!S20&gt;=7),0.18,IF(AND('Basic Data Entry'!$G$11="Z-Rural",'Arear Table Protected'!T20=2021,S20&lt;7),0.08,IF(AND('Basic Data Entry'!$G$11="Y-Urban",'Arear Table Protected'!T20=2021,'Arear Table Protected'!S20&lt;7),0.16,IF(AND('Basic Data Entry'!$G$11="Z-Rural",'Arear Table Protected'!T20=2022),0.09,IF(AND('Basic Data Entry'!$G$11="Y-Urban",'Arear Table Protected'!T20=2022),0.18,IF(AND('Basic Data Entry'!$G$11="Z-Rural",'Arear Table Protected'!T20=2023),0.09,IF(AND('Basic Data Entry'!$G$11="Y-Urban",'Arear Table Protected'!T20=2023),0.18,"")))))))))))</f>
        <v>0.08</v>
      </c>
      <c r="J20" s="167">
        <f>IF(OR(O20="",O20=0),"",IF(AND('Basic Data Entry'!$G$11="Z-Rural",'Arear Table Protected'!T20&lt;2021),0.08,IF(AND('Basic Data Entry'!$G$11="Y-Urban",'Arear Table Protected'!T20&lt;2021),0.16,IF(AND('Basic Data Entry'!$G$11="Z-Rural",'Arear Table Protected'!T20=2021,S20&gt;=7),0.09,IF(AND('Basic Data Entry'!$G$11="Y-Urban",'Arear Table Protected'!T20=2021,'Arear Table Protected'!S20&gt;=7),0.18,IF(AND('Basic Data Entry'!$G$11="Z-Rural",'Arear Table Protected'!T20=2021,S20&lt;7),0.08,IF(AND('Basic Data Entry'!$G$11="Y-Urban",'Arear Table Protected'!T20=2021,'Arear Table Protected'!S20&lt;7),0.16,IF(AND('Basic Data Entry'!$G$11="Z-Rural",'Arear Table Protected'!T20=2022),0.09,IF(AND('Basic Data Entry'!$G$11="Y-Urban",'Arear Table Protected'!T20=2022),0.18,IF(AND('Basic Data Entry'!$G$11="Z-Rural",'Arear Table Protected'!T20=2023),0.09,IF(AND('Basic Data Entry'!$G$11="Y-Urban",'Arear Table Protected'!T20=2023),0.18,"")))))))))))</f>
        <v>0.08</v>
      </c>
      <c r="K20" s="168" t="str">
        <f t="shared" si="4"/>
        <v>YES</v>
      </c>
      <c r="L20" s="169">
        <f t="shared" si="5"/>
        <v>0.05</v>
      </c>
      <c r="M20" s="170">
        <f t="shared" si="7"/>
        <v>2255</v>
      </c>
      <c r="N20" s="196">
        <v>8</v>
      </c>
      <c r="O20" s="327">
        <f t="shared" si="8"/>
        <v>43683</v>
      </c>
      <c r="P20" s="328"/>
      <c r="Q20" s="328"/>
      <c r="R20" s="329"/>
      <c r="S20" s="161">
        <f t="array" ref="S20">IF(OR(O20=0,O20=""),"",MONTH(O20))</f>
        <v>8</v>
      </c>
      <c r="T20" s="161">
        <f t="array" ref="T20">IF(OR(O20=0,O20=""),"",YEAR(O20))</f>
        <v>2019</v>
      </c>
      <c r="U20" s="161" t="str">
        <f t="shared" si="9"/>
        <v>82019</v>
      </c>
      <c r="V20" s="197">
        <f t="array" ref="V20">IF(OR(O20=0,O20=""),"",BE20)</f>
        <v>45100</v>
      </c>
      <c r="W20" s="163">
        <f t="array" ref="W20">IF(OR(O20=0,O20=""),"",ROUND(V20*H20,0))</f>
        <v>7667</v>
      </c>
      <c r="X20" s="222">
        <f t="shared" si="10"/>
        <v>0</v>
      </c>
      <c r="Y20" s="163">
        <f t="array" ref="Y20">IF(OR(O20=0,O20=""),"",ROUND(V20*J20,0))</f>
        <v>3608</v>
      </c>
      <c r="Z20" s="198">
        <f t="array" ref="Z20">IF(OR(O20=0,O20=""),"",SUM(V20:Y20))</f>
        <v>56375</v>
      </c>
      <c r="AA20" s="199">
        <f t="array" ref="AA20">IF(OR(O20=0,O20=""),"",IF(V20=0,0,IF($E$2="FIXATION",$B$5,IF(V20=0,0,IF(BD20=7,ROUND(AA19*1.03,-2),AA19)))))</f>
        <v>40300</v>
      </c>
      <c r="AB20" s="200">
        <f t="array" ref="AB20">IF(OR(O20=0,O20=""),"",IF($E$2="fixation",0,ROUND(AA20*G20,0)))</f>
        <v>6851</v>
      </c>
      <c r="AC20" s="222">
        <f t="array" ref="AC20">IF(OR(O20=0,O20=""),"",AC19)</f>
        <v>0</v>
      </c>
      <c r="AD20" s="200">
        <f t="array" ref="AD20">IF(OR(O20=0,O20=""),"",IF($E$2="fixation",0,ROUND(AA20*I20,0)))</f>
        <v>3224</v>
      </c>
      <c r="AE20" s="198">
        <f t="array" ref="AE20">IF(OR(O20=0,O20=""),"",SUM(AA20:AD20))</f>
        <v>50375</v>
      </c>
      <c r="AF20" s="199">
        <f t="array" ref="AF20">IF(OR(O20=0,O20=""),"",V20-AA20)</f>
        <v>4800</v>
      </c>
      <c r="AG20" s="200">
        <f t="array" ref="AG20">IF(OR(O20=0,O20=""),"",W20-AB20)</f>
        <v>816</v>
      </c>
      <c r="AH20" s="200">
        <f t="array" ref="AH20">IF(OR(O20=0,O20=""),"",X20-AC20)</f>
        <v>0</v>
      </c>
      <c r="AI20" s="200">
        <f t="array" ref="AI20">IF(OR(O20=0,O20=""),"",Y20-AD20)</f>
        <v>384</v>
      </c>
      <c r="AJ20" s="201">
        <f t="array" ref="AJ20">IF(OR(O20=0,O20=""),"",Z20-AE20)</f>
        <v>6000</v>
      </c>
      <c r="AK20" s="202">
        <f t="array" ref="AK20">IF(OR(O20=0,O20=""),"",IF(M20="",$AZ$2,$AZ$2+M20))</f>
        <v>6755</v>
      </c>
      <c r="AL20" s="203">
        <f t="array" ref="AL20">IF(OR(O20=0,O20=""),"",$AQ$2)</f>
        <v>4500</v>
      </c>
      <c r="AM20" s="204">
        <f t="array" ref="AM20">IF(OR(O20=0,O20=""),"",AK20-AL20)</f>
        <v>2255</v>
      </c>
      <c r="AN20" s="3">
        <f t="array" ref="AN20">IF(OR(O19=0,O19="",AN19="",AN19=""),"",AN19)</f>
        <v>3000</v>
      </c>
      <c r="AO20" s="2">
        <f t="array" ref="AO20">IF(OR(O19=0,O19="",AO19="",AO19=""),"",AO19)</f>
        <v>3000</v>
      </c>
      <c r="AP20" s="204">
        <f t="array" ref="AP20">IF(OR(O20=0,O20=""),"",SUM(AN20-AO20))</f>
        <v>0</v>
      </c>
      <c r="AQ20" s="106" t="str">
        <f t="array" ref="AQ20">IF(OR(O20=0,O20=""),"",IF(AND('Basic Data Entry'!$C$10="state Service",'Arear Table Protected'!T20=2020,S20=3),ROUND(V20/31*5,0),IF(AND('Basic Data Entry'!$C$10="state Service",'Arear Table Protected'!T20=2020,S20=9),ROUND(Z20/30*2,0),IF(AND('Basic Data Entry'!$C$10="state Service",'Arear Table Protected'!T20=2020,S20=10),ROUND(Z20/31*2,0),IF(AND('Basic Data Entry'!$C$10="subordinate",'Arear Table Protected'!T20=2020,S20=3),ROUND(V20/31*3,0),IF(AND('Basic Data Entry'!$C$10="subordinate",'Arear Table Protected'!T20=2020,S20=9),ROUND(Z20/30*1,0),IF(AND('Basic Data Entry'!$C$10="subordinate",'Arear Table Protected'!T20=2020,S20=10),ROUND(Z20/31*1,0),IF(AND('Basic Data Entry'!$C$10="ministrial",'Arear Table Protected'!T20=2020,S20=3),ROUND(V20/31*1,0),""))))))))</f>
        <v/>
      </c>
      <c r="AR20" s="107" t="str">
        <f t="array" ref="AR20">IF(OR(O20=0,O20=""),"",IF(AND('Basic Data Entry'!$C$10="state Service",'Arear Table Protected'!T20=2020,S20=3),ROUND(AA20/31*5,0),IF(AND('Basic Data Entry'!$C$10="state Service",'Arear Table Protected'!T20=2020,S20=9),ROUND(AE20/30*2,0),IF(AND('Basic Data Entry'!$C$10="state Service",'Arear Table Protected'!T20=2020,S20=10),ROUND(AE20/31*2,0),IF(AND('Basic Data Entry'!$C$10="subordinate",'Arear Table Protected'!T20=2020,S20=3),ROUND(AA20/31*3,0),IF(AND('Basic Data Entry'!$C$10="subordinate",'Arear Table Protected'!T20=2020,S20=9),ROUND(AE20/30*1,0),IF(AND('Basic Data Entry'!$C$10="subordinate",'Arear Table Protected'!T20=2020,S20=10),ROUND(AE20/31*1,0),IF(AND('Basic Data Entry'!$C$10="ministrial",'Arear Table Protected'!T20=2020,S20=3),ROUND(AA20/31*1,0),""))))))))</f>
        <v/>
      </c>
      <c r="AS20" s="205" t="str">
        <f t="array" ref="AS20">IF(OR(O20=0,O20="",AQ20="",AR20=""),"",AQ20-AR20)</f>
        <v/>
      </c>
      <c r="AT20" s="44">
        <f t="array" ref="AT20">IF(OR(O19=0,O19=""),"",AT19)</f>
        <v>0</v>
      </c>
      <c r="AU20" s="45">
        <f t="array" ref="AU20">IF(OR(O19=0,O19=""),"",AU19)</f>
        <v>0</v>
      </c>
      <c r="AV20" s="206">
        <f t="array" ref="AV20">IF(OR(O20=0,O20=""),"",SUM(AT20-AU20))</f>
        <v>0</v>
      </c>
      <c r="AW20" s="207">
        <f t="array" ref="AW20">IF(OR(O20=0,O20=""),"",ROUND((AJ20)*$E$3,0))</f>
        <v>600</v>
      </c>
      <c r="AX20" s="207">
        <f t="array" ref="AX20">IF(OR(O20=0,O20=""),"",SUM(AM20,AP20,AS20,AV20,AW20))</f>
        <v>2855</v>
      </c>
      <c r="AY20" s="208">
        <f t="array" ref="AY20">IF(OR(O20=0,O20=""),"",AJ20-AX20)</f>
        <v>3145</v>
      </c>
      <c r="AZ20" s="46"/>
      <c r="BA20" s="24"/>
      <c r="BB20" s="24"/>
      <c r="BC20" s="11">
        <f t="shared" si="11"/>
        <v>43683</v>
      </c>
      <c r="BD20" s="84">
        <f t="shared" si="12"/>
        <v>8</v>
      </c>
      <c r="BE20" s="84">
        <f t="shared" si="18"/>
        <v>45100</v>
      </c>
      <c r="BI20" s="22">
        <f t="shared" si="19"/>
        <v>43683</v>
      </c>
      <c r="BK20" s="19">
        <f t="shared" si="13"/>
        <v>1</v>
      </c>
      <c r="BL20" s="20" t="str">
        <f t="array" ref="BL20">IF(OR(O20=0,O20=""),"",U20)</f>
        <v>82019</v>
      </c>
      <c r="BM20" s="19">
        <f t="array" ref="BM20">IF(OR(O20=0,O20=""),"",BK20+BL20)</f>
        <v>82020</v>
      </c>
      <c r="BN20" s="21">
        <f t="shared" si="14"/>
        <v>0</v>
      </c>
      <c r="BO20" s="21">
        <f t="shared" si="15"/>
        <v>0</v>
      </c>
      <c r="BP20" s="23">
        <f t="shared" si="16"/>
        <v>0</v>
      </c>
      <c r="BQ20" s="21" t="str">
        <f t="shared" si="17"/>
        <v>00</v>
      </c>
      <c r="BW20" s="81" t="str">
        <f>IF(OR(O20=0,O20=""),"",IF('Basic Data Entry'!$C$9="fixation","yes",""))</f>
        <v/>
      </c>
      <c r="BX20" s="81" t="str">
        <f>IF(OR(O20=0,O20=""),"",IF('Basic Data Entry'!$G$12="yes","yes","no"))</f>
        <v>no</v>
      </c>
    </row>
    <row r="21" spans="1:76" ht="20.25" customHeight="1" thickBot="1">
      <c r="A21" s="10">
        <f t="shared" si="6"/>
        <v>45100</v>
      </c>
      <c r="B21" s="305"/>
      <c r="C21" s="305"/>
      <c r="D21" s="305"/>
      <c r="E21" s="305"/>
      <c r="F21" s="108">
        <f t="shared" si="1"/>
        <v>43714</v>
      </c>
      <c r="G21" s="165">
        <f t="shared" si="2"/>
        <v>0.17</v>
      </c>
      <c r="H21" s="166">
        <f t="shared" si="3"/>
        <v>0.17</v>
      </c>
      <c r="I21" s="166">
        <f>IF(OR($E$2="fixation",O21="",O21=0),"",IF(AND('Basic Data Entry'!$G$11="Z-Rural",'Arear Table Protected'!T21&lt;2021),0.08,IF(AND('Basic Data Entry'!$G$11="Y-Urban",'Arear Table Protected'!T21&lt;2021),0.16,IF(AND('Basic Data Entry'!$G$11="Z-Rural",'Arear Table Protected'!T21=2021,S21&gt;=7),0.09,IF(AND('Basic Data Entry'!$G$11="Y-Urban",'Arear Table Protected'!T21=2021,'Arear Table Protected'!S21&gt;=7),0.18,IF(AND('Basic Data Entry'!$G$11="Z-Rural",'Arear Table Protected'!T21=2021,S21&lt;7),0.08,IF(AND('Basic Data Entry'!$G$11="Y-Urban",'Arear Table Protected'!T21=2021,'Arear Table Protected'!S21&lt;7),0.16,IF(AND('Basic Data Entry'!$G$11="Z-Rural",'Arear Table Protected'!T21=2022),0.09,IF(AND('Basic Data Entry'!$G$11="Y-Urban",'Arear Table Protected'!T21=2022),0.18,IF(AND('Basic Data Entry'!$G$11="Z-Rural",'Arear Table Protected'!T21=2023),0.09,IF(AND('Basic Data Entry'!$G$11="Y-Urban",'Arear Table Protected'!T21=2023),0.18,"")))))))))))</f>
        <v>0.08</v>
      </c>
      <c r="J21" s="167">
        <f>IF(OR(O21="",O21=0),"",IF(AND('Basic Data Entry'!$G$11="Z-Rural",'Arear Table Protected'!T21&lt;2021),0.08,IF(AND('Basic Data Entry'!$G$11="Y-Urban",'Arear Table Protected'!T21&lt;2021),0.16,IF(AND('Basic Data Entry'!$G$11="Z-Rural",'Arear Table Protected'!T21=2021,S21&gt;=7),0.09,IF(AND('Basic Data Entry'!$G$11="Y-Urban",'Arear Table Protected'!T21=2021,'Arear Table Protected'!S21&gt;=7),0.18,IF(AND('Basic Data Entry'!$G$11="Z-Rural",'Arear Table Protected'!T21=2021,S21&lt;7),0.08,IF(AND('Basic Data Entry'!$G$11="Y-Urban",'Arear Table Protected'!T21=2021,'Arear Table Protected'!S21&lt;7),0.16,IF(AND('Basic Data Entry'!$G$11="Z-Rural",'Arear Table Protected'!T21=2022),0.09,IF(AND('Basic Data Entry'!$G$11="Y-Urban",'Arear Table Protected'!T21=2022),0.18,IF(AND('Basic Data Entry'!$G$11="Z-Rural",'Arear Table Protected'!T21=2023),0.09,IF(AND('Basic Data Entry'!$G$11="Y-Urban",'Arear Table Protected'!T21=2023),0.18,"")))))))))))</f>
        <v>0.08</v>
      </c>
      <c r="K21" s="168" t="str">
        <f t="shared" si="4"/>
        <v>YES</v>
      </c>
      <c r="L21" s="169">
        <f t="shared" si="5"/>
        <v>0.05</v>
      </c>
      <c r="M21" s="170">
        <f t="shared" si="7"/>
        <v>2255</v>
      </c>
      <c r="N21" s="196">
        <v>9</v>
      </c>
      <c r="O21" s="327">
        <f t="shared" si="8"/>
        <v>43714</v>
      </c>
      <c r="P21" s="328"/>
      <c r="Q21" s="328"/>
      <c r="R21" s="329"/>
      <c r="S21" s="161">
        <f t="array" ref="S21">IF(OR(O21=0,O21=""),"",MONTH(O21))</f>
        <v>9</v>
      </c>
      <c r="T21" s="161">
        <f t="array" ref="T21">IF(OR(O21=0,O21=""),"",YEAR(O21))</f>
        <v>2019</v>
      </c>
      <c r="U21" s="161" t="str">
        <f t="shared" si="9"/>
        <v>92019</v>
      </c>
      <c r="V21" s="197">
        <f t="array" ref="V21">IF(OR(O21=0,O21=""),"",BE21)</f>
        <v>45100</v>
      </c>
      <c r="W21" s="163">
        <f t="array" ref="W21">IF(OR(O21=0,O21=""),"",ROUND(V21*H21,0))</f>
        <v>7667</v>
      </c>
      <c r="X21" s="222">
        <f t="shared" si="10"/>
        <v>0</v>
      </c>
      <c r="Y21" s="163">
        <f t="array" ref="Y21">IF(OR(O21=0,O21=""),"",ROUND(V21*J21,0))</f>
        <v>3608</v>
      </c>
      <c r="Z21" s="198">
        <f t="array" ref="Z21">IF(OR(O21=0,O21=""),"",SUM(V21:Y21))</f>
        <v>56375</v>
      </c>
      <c r="AA21" s="199">
        <f t="array" ref="AA21">IF(OR(O21=0,O21=""),"",IF(V21=0,0,IF($E$2="FIXATION",$B$5,IF(V21=0,0,IF(BD21=7,ROUND(AA20*1.03,-2),AA20)))))</f>
        <v>40300</v>
      </c>
      <c r="AB21" s="200">
        <f t="array" ref="AB21">IF(OR(O21=0,O21=""),"",IF($E$2="fixation",0,ROUND(AA21*G21,0)))</f>
        <v>6851</v>
      </c>
      <c r="AC21" s="222">
        <f t="array" ref="AC21">IF(OR(O21=0,O21=""),"",AC20)</f>
        <v>0</v>
      </c>
      <c r="AD21" s="200">
        <f t="array" ref="AD21">IF(OR(O21=0,O21=""),"",IF($E$2="fixation",0,ROUND(AA21*I21,0)))</f>
        <v>3224</v>
      </c>
      <c r="AE21" s="198">
        <f t="array" ref="AE21">IF(OR(O21=0,O21=""),"",SUM(AA21:AD21))</f>
        <v>50375</v>
      </c>
      <c r="AF21" s="199">
        <f t="array" ref="AF21">IF(OR(O21=0,O21=""),"",V21-AA21)</f>
        <v>4800</v>
      </c>
      <c r="AG21" s="200">
        <f t="array" ref="AG21">IF(OR(O21=0,O21=""),"",W21-AB21)</f>
        <v>816</v>
      </c>
      <c r="AH21" s="200">
        <f t="array" ref="AH21">IF(OR(O21=0,O21=""),"",X21-AC21)</f>
        <v>0</v>
      </c>
      <c r="AI21" s="200">
        <f t="array" ref="AI21">IF(OR(O21=0,O21=""),"",Y21-AD21)</f>
        <v>384</v>
      </c>
      <c r="AJ21" s="201">
        <f t="array" ref="AJ21">IF(OR(O21=0,O21=""),"",Z21-AE21)</f>
        <v>6000</v>
      </c>
      <c r="AK21" s="202">
        <f t="array" ref="AK21">IF(OR(O21=0,O21=""),"",IF(M21="",$AZ$2,$AZ$2+M21))</f>
        <v>6755</v>
      </c>
      <c r="AL21" s="203">
        <f t="array" ref="AL21">IF(OR(O21=0,O21=""),"",$AQ$2)</f>
        <v>4500</v>
      </c>
      <c r="AM21" s="204">
        <f t="array" ref="AM21">IF(OR(O21=0,O21=""),"",AK21-AL21)</f>
        <v>2255</v>
      </c>
      <c r="AN21" s="3">
        <f t="array" ref="AN21">IF(OR(O20=0,O20="",AN20="",AN20=""),"",AN20)</f>
        <v>3000</v>
      </c>
      <c r="AO21" s="2">
        <f t="array" ref="AO21">IF(OR(O20=0,O20="",AO20="",AO20=""),"",AO20)</f>
        <v>3000</v>
      </c>
      <c r="AP21" s="204">
        <f t="array" ref="AP21">IF(OR(O21=0,O21=""),"",SUM(AN21-AO21))</f>
        <v>0</v>
      </c>
      <c r="AQ21" s="106" t="str">
        <f t="array" ref="AQ21">IF(OR(O21=0,O21=""),"",IF(AND('Basic Data Entry'!$C$10="state Service",'Arear Table Protected'!T21=2020,S21=3),ROUND(V21/31*5,0),IF(AND('Basic Data Entry'!$C$10="state Service",'Arear Table Protected'!T21=2020,S21=9),ROUND(Z21/30*2,0),IF(AND('Basic Data Entry'!$C$10="state Service",'Arear Table Protected'!T21=2020,S21=10),ROUND(Z21/31*2,0),IF(AND('Basic Data Entry'!$C$10="subordinate",'Arear Table Protected'!T21=2020,S21=3),ROUND(V21/31*3,0),IF(AND('Basic Data Entry'!$C$10="subordinate",'Arear Table Protected'!T21=2020,S21=9),ROUND(Z21/30*1,0),IF(AND('Basic Data Entry'!$C$10="subordinate",'Arear Table Protected'!T21=2020,S21=10),ROUND(Z21/31*1,0),IF(AND('Basic Data Entry'!$C$10="ministrial",'Arear Table Protected'!T21=2020,S21=3),ROUND(V21/31*1,0),""))))))))</f>
        <v/>
      </c>
      <c r="AR21" s="107" t="str">
        <f t="array" ref="AR21">IF(OR(O21=0,O21=""),"",IF(AND('Basic Data Entry'!$C$10="state Service",'Arear Table Protected'!T21=2020,S21=3),ROUND(AA21/31*5,0),IF(AND('Basic Data Entry'!$C$10="state Service",'Arear Table Protected'!T21=2020,S21=9),ROUND(AE21/30*2,0),IF(AND('Basic Data Entry'!$C$10="state Service",'Arear Table Protected'!T21=2020,S21=10),ROUND(AE21/31*2,0),IF(AND('Basic Data Entry'!$C$10="subordinate",'Arear Table Protected'!T21=2020,S21=3),ROUND(AA21/31*3,0),IF(AND('Basic Data Entry'!$C$10="subordinate",'Arear Table Protected'!T21=2020,S21=9),ROUND(AE21/30*1,0),IF(AND('Basic Data Entry'!$C$10="subordinate",'Arear Table Protected'!T21=2020,S21=10),ROUND(AE21/31*1,0),IF(AND('Basic Data Entry'!$C$10="ministrial",'Arear Table Protected'!T21=2020,S21=3),ROUND(AA21/31*1,0),""))))))))</f>
        <v/>
      </c>
      <c r="AS21" s="205" t="str">
        <f t="array" ref="AS21">IF(OR(O21=0,O21="",AQ21="",AR21=""),"",AQ21-AR21)</f>
        <v/>
      </c>
      <c r="AT21" s="44">
        <f t="array" ref="AT21">IF(OR(O20=0,O20=""),"",AT20)</f>
        <v>0</v>
      </c>
      <c r="AU21" s="45">
        <f t="array" ref="AU21">IF(OR(O20=0,O20=""),"",AU20)</f>
        <v>0</v>
      </c>
      <c r="AV21" s="206">
        <f t="array" ref="AV21">IF(OR(O21=0,O21=""),"",SUM(AT21-AU21))</f>
        <v>0</v>
      </c>
      <c r="AW21" s="207">
        <f t="array" ref="AW21">IF(OR(O21=0,O21=""),"",ROUND((AJ21)*$E$3,0))</f>
        <v>600</v>
      </c>
      <c r="AX21" s="207">
        <f t="array" ref="AX21">IF(OR(O21=0,O21=""),"",SUM(AM21,AP21,AS21,AV21,AW21))</f>
        <v>2855</v>
      </c>
      <c r="AY21" s="208">
        <f t="array" ref="AY21">IF(OR(O21=0,O21=""),"",AJ21-AX21)</f>
        <v>3145</v>
      </c>
      <c r="AZ21" s="46"/>
      <c r="BA21" s="24"/>
      <c r="BB21" s="24"/>
      <c r="BC21" s="11">
        <f t="shared" si="11"/>
        <v>43714</v>
      </c>
      <c r="BD21" s="84">
        <f t="shared" si="12"/>
        <v>9</v>
      </c>
      <c r="BE21" s="84">
        <f t="shared" si="18"/>
        <v>45100</v>
      </c>
      <c r="BI21" s="22">
        <f t="shared" si="19"/>
        <v>43714</v>
      </c>
      <c r="BK21" s="19">
        <f t="shared" si="13"/>
        <v>1</v>
      </c>
      <c r="BL21" s="20" t="str">
        <f t="array" ref="BL21">IF(OR(O21=0,O21=""),"",U21)</f>
        <v>92019</v>
      </c>
      <c r="BM21" s="19">
        <f t="array" ref="BM21">IF(OR(O21=0,O21=""),"",BK21+BL21)</f>
        <v>92020</v>
      </c>
      <c r="BN21" s="21">
        <f t="shared" si="14"/>
        <v>0</v>
      </c>
      <c r="BO21" s="21">
        <f t="shared" si="15"/>
        <v>0</v>
      </c>
      <c r="BP21" s="23">
        <f t="shared" si="16"/>
        <v>0</v>
      </c>
      <c r="BQ21" s="21" t="str">
        <f t="shared" si="17"/>
        <v>00</v>
      </c>
      <c r="BW21" s="81" t="str">
        <f>IF(OR(O21=0,O21=""),"",IF('Basic Data Entry'!$C$9="fixation","yes",""))</f>
        <v/>
      </c>
      <c r="BX21" s="81" t="str">
        <f>IF(OR(O21=0,O21=""),"",IF('Basic Data Entry'!$G$12="yes","yes","no"))</f>
        <v>no</v>
      </c>
    </row>
    <row r="22" spans="1:76" ht="18" customHeight="1" thickBot="1">
      <c r="A22" s="10">
        <f t="shared" si="6"/>
        <v>45100</v>
      </c>
      <c r="B22" s="305"/>
      <c r="C22" s="305"/>
      <c r="D22" s="305"/>
      <c r="E22" s="305"/>
      <c r="F22" s="108">
        <f t="shared" si="1"/>
        <v>43745</v>
      </c>
      <c r="G22" s="165">
        <f t="shared" si="2"/>
        <v>0.17</v>
      </c>
      <c r="H22" s="166">
        <f t="shared" si="3"/>
        <v>0.17</v>
      </c>
      <c r="I22" s="166">
        <f>IF(OR($E$2="fixation",O22="",O22=0),"",IF(AND('Basic Data Entry'!$G$11="Z-Rural",'Arear Table Protected'!T22&lt;2021),0.08,IF(AND('Basic Data Entry'!$G$11="Y-Urban",'Arear Table Protected'!T22&lt;2021),0.16,IF(AND('Basic Data Entry'!$G$11="Z-Rural",'Arear Table Protected'!T22=2021,S22&gt;=7),0.09,IF(AND('Basic Data Entry'!$G$11="Y-Urban",'Arear Table Protected'!T22=2021,'Arear Table Protected'!S22&gt;=7),0.18,IF(AND('Basic Data Entry'!$G$11="Z-Rural",'Arear Table Protected'!T22=2021,S22&lt;7),0.08,IF(AND('Basic Data Entry'!$G$11="Y-Urban",'Arear Table Protected'!T22=2021,'Arear Table Protected'!S22&lt;7),0.16,IF(AND('Basic Data Entry'!$G$11="Z-Rural",'Arear Table Protected'!T22=2022),0.09,IF(AND('Basic Data Entry'!$G$11="Y-Urban",'Arear Table Protected'!T22=2022),0.18,IF(AND('Basic Data Entry'!$G$11="Z-Rural",'Arear Table Protected'!T22=2023),0.09,IF(AND('Basic Data Entry'!$G$11="Y-Urban",'Arear Table Protected'!T22=2023),0.18,"")))))))))))</f>
        <v>0.08</v>
      </c>
      <c r="J22" s="167">
        <f>IF(OR(O22="",O22=0),"",IF(AND('Basic Data Entry'!$G$11="Z-Rural",'Arear Table Protected'!T22&lt;2021),0.08,IF(AND('Basic Data Entry'!$G$11="Y-Urban",'Arear Table Protected'!T22&lt;2021),0.16,IF(AND('Basic Data Entry'!$G$11="Z-Rural",'Arear Table Protected'!T22=2021,S22&gt;=7),0.09,IF(AND('Basic Data Entry'!$G$11="Y-Urban",'Arear Table Protected'!T22=2021,'Arear Table Protected'!S22&gt;=7),0.18,IF(AND('Basic Data Entry'!$G$11="Z-Rural",'Arear Table Protected'!T22=2021,S22&lt;7),0.08,IF(AND('Basic Data Entry'!$G$11="Y-Urban",'Arear Table Protected'!T22=2021,'Arear Table Protected'!S22&lt;7),0.16,IF(AND('Basic Data Entry'!$G$11="Z-Rural",'Arear Table Protected'!T22=2022),0.09,IF(AND('Basic Data Entry'!$G$11="Y-Urban",'Arear Table Protected'!T22=2022),0.18,IF(AND('Basic Data Entry'!$G$11="Z-Rural",'Arear Table Protected'!T22=2023),0.09,IF(AND('Basic Data Entry'!$G$11="Y-Urban",'Arear Table Protected'!T22=2023),0.18,"")))))))))))</f>
        <v>0.08</v>
      </c>
      <c r="K22" s="168" t="str">
        <f t="shared" si="4"/>
        <v>YES</v>
      </c>
      <c r="L22" s="169">
        <f t="shared" si="5"/>
        <v>0.05</v>
      </c>
      <c r="M22" s="170">
        <f t="shared" si="7"/>
        <v>2255</v>
      </c>
      <c r="N22" s="196">
        <v>10</v>
      </c>
      <c r="O22" s="327">
        <f t="shared" si="8"/>
        <v>43745</v>
      </c>
      <c r="P22" s="328"/>
      <c r="Q22" s="328"/>
      <c r="R22" s="329"/>
      <c r="S22" s="161">
        <f t="array" ref="S22">IF(OR(O22=0,O22=""),"",MONTH(O22))</f>
        <v>10</v>
      </c>
      <c r="T22" s="161">
        <f t="array" ref="T22">IF(OR(O22=0,O22=""),"",YEAR(O22))</f>
        <v>2019</v>
      </c>
      <c r="U22" s="161" t="str">
        <f t="shared" si="9"/>
        <v>102019</v>
      </c>
      <c r="V22" s="197">
        <f t="array" ref="V22">IF(OR(O22=0,O22=""),"",BE22)</f>
        <v>45100</v>
      </c>
      <c r="W22" s="163">
        <f t="array" ref="W22">IF(OR(O22=0,O22=""),"",ROUND(V22*H22,0))</f>
        <v>7667</v>
      </c>
      <c r="X22" s="222">
        <f t="shared" si="10"/>
        <v>0</v>
      </c>
      <c r="Y22" s="163">
        <f t="array" ref="Y22">IF(OR(O22=0,O22=""),"",ROUND(V22*J22,0))</f>
        <v>3608</v>
      </c>
      <c r="Z22" s="198">
        <f t="array" ref="Z22">IF(OR(O22=0,O22=""),"",SUM(V22:Y22))</f>
        <v>56375</v>
      </c>
      <c r="AA22" s="199">
        <f t="array" ref="AA22">IF(OR(O22=0,O22=""),"",IF(V22=0,0,IF($E$2="FIXATION",$B$5,IF(V22=0,0,IF(BD22=7,ROUND(AA21*1.03,-2),AA21)))))</f>
        <v>40300</v>
      </c>
      <c r="AB22" s="200">
        <f t="array" ref="AB22">IF(OR(O22=0,O22=""),"",IF($E$2="fixation",0,ROUND(AA22*G22,0)))</f>
        <v>6851</v>
      </c>
      <c r="AC22" s="222">
        <f t="array" ref="AC22">IF(OR(O22=0,O22=""),"",AC21)</f>
        <v>0</v>
      </c>
      <c r="AD22" s="200">
        <f t="array" ref="AD22">IF(OR(O22=0,O22=""),"",IF($E$2="fixation",0,ROUND(AA22*I22,0)))</f>
        <v>3224</v>
      </c>
      <c r="AE22" s="198">
        <f t="array" ref="AE22">IF(OR(O22=0,O22=""),"",SUM(AA22:AD22))</f>
        <v>50375</v>
      </c>
      <c r="AF22" s="199">
        <f t="array" ref="AF22">IF(OR(O22=0,O22=""),"",V22-AA22)</f>
        <v>4800</v>
      </c>
      <c r="AG22" s="200">
        <f t="array" ref="AG22">IF(OR(O22=0,O22=""),"",W22-AB22)</f>
        <v>816</v>
      </c>
      <c r="AH22" s="200">
        <f t="array" ref="AH22">IF(OR(O22=0,O22=""),"",X22-AC22)</f>
        <v>0</v>
      </c>
      <c r="AI22" s="200">
        <f t="array" ref="AI22">IF(OR(O22=0,O22=""),"",Y22-AD22)</f>
        <v>384</v>
      </c>
      <c r="AJ22" s="201">
        <f t="array" ref="AJ22">IF(OR(O22=0,O22=""),"",Z22-AE22)</f>
        <v>6000</v>
      </c>
      <c r="AK22" s="202">
        <f t="array" ref="AK22">IF(OR(O22=0,O22=""),"",IF(M22="",$AZ$2,$AZ$2+M22))</f>
        <v>6755</v>
      </c>
      <c r="AL22" s="203">
        <f t="array" ref="AL22">IF(OR(O22=0,O22=""),"",$AQ$2)</f>
        <v>4500</v>
      </c>
      <c r="AM22" s="204">
        <f t="array" ref="AM22">IF(OR(O22=0,O22=""),"",AK22-AL22)</f>
        <v>2255</v>
      </c>
      <c r="AN22" s="3">
        <f t="array" ref="AN22">IF(OR(O21=0,O21="",AN21="",AN21=""),"",AN21)</f>
        <v>3000</v>
      </c>
      <c r="AO22" s="2">
        <f t="array" ref="AO22">IF(OR(O21=0,O21="",AO21="",AO21=""),"",AO21)</f>
        <v>3000</v>
      </c>
      <c r="AP22" s="204">
        <f t="array" ref="AP22">IF(OR(O22=0,O22=""),"",SUM(AN22-AO22))</f>
        <v>0</v>
      </c>
      <c r="AQ22" s="106" t="str">
        <f t="array" ref="AQ22">IF(OR(O22=0,O22=""),"",IF(AND('Basic Data Entry'!$C$10="state Service",'Arear Table Protected'!T22=2020,S22=3),ROUND(V22/31*5,0),IF(AND('Basic Data Entry'!$C$10="state Service",'Arear Table Protected'!T22=2020,S22=9),ROUND(Z22/30*2,0),IF(AND('Basic Data Entry'!$C$10="state Service",'Arear Table Protected'!T22=2020,S22=10),ROUND(Z22/31*2,0),IF(AND('Basic Data Entry'!$C$10="subordinate",'Arear Table Protected'!T22=2020,S22=3),ROUND(V22/31*3,0),IF(AND('Basic Data Entry'!$C$10="subordinate",'Arear Table Protected'!T22=2020,S22=9),ROUND(Z22/30*1,0),IF(AND('Basic Data Entry'!$C$10="subordinate",'Arear Table Protected'!T22=2020,S22=10),ROUND(Z22/31*1,0),IF(AND('Basic Data Entry'!$C$10="ministrial",'Arear Table Protected'!T22=2020,S22=3),ROUND(V22/31*1,0),""))))))))</f>
        <v/>
      </c>
      <c r="AR22" s="107" t="str">
        <f t="array" ref="AR22">IF(OR(O22=0,O22=""),"",IF(AND('Basic Data Entry'!$C$10="state Service",'Arear Table Protected'!T22=2020,S22=3),ROUND(AA22/31*5,0),IF(AND('Basic Data Entry'!$C$10="state Service",'Arear Table Protected'!T22=2020,S22=9),ROUND(AE22/30*2,0),IF(AND('Basic Data Entry'!$C$10="state Service",'Arear Table Protected'!T22=2020,S22=10),ROUND(AE22/31*2,0),IF(AND('Basic Data Entry'!$C$10="subordinate",'Arear Table Protected'!T22=2020,S22=3),ROUND(AA22/31*3,0),IF(AND('Basic Data Entry'!$C$10="subordinate",'Arear Table Protected'!T22=2020,S22=9),ROUND(AE22/30*1,0),IF(AND('Basic Data Entry'!$C$10="subordinate",'Arear Table Protected'!T22=2020,S22=10),ROUND(AE22/31*1,0),IF(AND('Basic Data Entry'!$C$10="ministrial",'Arear Table Protected'!T22=2020,S22=3),ROUND(AA22/31*1,0),""))))))))</f>
        <v/>
      </c>
      <c r="AS22" s="205" t="str">
        <f t="array" ref="AS22">IF(OR(O22=0,O22="",AQ22="",AR22=""),"",AQ22-AR22)</f>
        <v/>
      </c>
      <c r="AT22" s="44">
        <f t="array" ref="AT22">IF(OR(O21=0,O21=""),"",AT21)</f>
        <v>0</v>
      </c>
      <c r="AU22" s="45">
        <f t="array" ref="AU22">IF(OR(O21=0,O21=""),"",AU21)</f>
        <v>0</v>
      </c>
      <c r="AV22" s="206">
        <f t="array" ref="AV22">IF(OR(O22=0,O22=""),"",SUM(AT22-AU22))</f>
        <v>0</v>
      </c>
      <c r="AW22" s="207">
        <f t="array" ref="AW22">IF(OR(O22=0,O22=""),"",ROUND((AJ22)*$E$3,0))</f>
        <v>600</v>
      </c>
      <c r="AX22" s="207">
        <f t="array" ref="AX22">IF(OR(O22=0,O22=""),"",SUM(AM22,AP22,AS22,AV22,AW22))</f>
        <v>2855</v>
      </c>
      <c r="AY22" s="208">
        <f t="array" ref="AY22">IF(OR(O22=0,O22=""),"",AJ22-AX22)</f>
        <v>3145</v>
      </c>
      <c r="AZ22" s="46"/>
      <c r="BA22" s="24"/>
      <c r="BB22" s="24"/>
      <c r="BC22" s="11">
        <f t="shared" ref="BC22:BC60" si="20">O22</f>
        <v>43745</v>
      </c>
      <c r="BD22" s="84">
        <f t="shared" si="12"/>
        <v>10</v>
      </c>
      <c r="BE22" s="84">
        <f t="shared" si="18"/>
        <v>45100</v>
      </c>
      <c r="BI22" s="22">
        <f t="shared" si="19"/>
        <v>43745</v>
      </c>
      <c r="BK22" s="19">
        <f t="shared" si="13"/>
        <v>1</v>
      </c>
      <c r="BL22" s="20" t="str">
        <f t="array" ref="BL22">IF(OR(O22=0,O22=""),"",U22)</f>
        <v>102019</v>
      </c>
      <c r="BM22" s="19">
        <f t="array" ref="BM22">IF(OR(O22=0,O22=""),"",BK22+BL22)</f>
        <v>102020</v>
      </c>
      <c r="BN22" s="21">
        <f t="shared" ref="BN22:BN46" si="21">IF(BM22=32025,"SSM",IF(BM22=32023,"SM",IF(BM22=32022,"MM",IF(BM22=32021,"FM",IF(BM22=92025,"SSS",IF(BM22=92023,"SS",IF(BM22=92022,"MS",IF(BM22=92021,"FS",IF(BM22=102025,"SSO",IF(BM22=102023,"SO",IF(BM22=102022,"MO",IF(BM22=102021,"FO",0))))))))))))</f>
        <v>0</v>
      </c>
      <c r="BO22" s="21">
        <f t="shared" ref="BO22:BO46" si="22">IF(BL22="32020","M",IF(BL22="92020","S",IF(BL22="102020","O",0)))</f>
        <v>0</v>
      </c>
      <c r="BP22" s="23">
        <f t="shared" si="16"/>
        <v>0</v>
      </c>
      <c r="BQ22" s="21" t="str">
        <f t="shared" ref="BQ22:BQ46" si="23">CONCATENATE(BO22,BP22)</f>
        <v>00</v>
      </c>
      <c r="BW22" s="81" t="str">
        <f>IF(OR(O22=0,O22=""),"",IF('Basic Data Entry'!$C$9="fixation","yes",""))</f>
        <v/>
      </c>
      <c r="BX22" s="81" t="str">
        <f>IF(OR(O22=0,O22=""),"",IF('Basic Data Entry'!$G$12="yes","yes","no"))</f>
        <v>no</v>
      </c>
    </row>
    <row r="23" spans="1:76" ht="18" customHeight="1" thickBot="1">
      <c r="A23" s="10">
        <f t="shared" si="6"/>
        <v>45100</v>
      </c>
      <c r="B23" s="305"/>
      <c r="C23" s="305"/>
      <c r="D23" s="305"/>
      <c r="E23" s="305"/>
      <c r="F23" s="108">
        <f t="shared" si="1"/>
        <v>43776</v>
      </c>
      <c r="G23" s="165">
        <f t="shared" si="2"/>
        <v>0.17</v>
      </c>
      <c r="H23" s="166">
        <f t="shared" si="3"/>
        <v>0.17</v>
      </c>
      <c r="I23" s="166">
        <f>IF(OR($E$2="fixation",O23="",O23=0),"",IF(AND('Basic Data Entry'!$G$11="Z-Rural",'Arear Table Protected'!T23&lt;2021),0.08,IF(AND('Basic Data Entry'!$G$11="Y-Urban",'Arear Table Protected'!T23&lt;2021),0.16,IF(AND('Basic Data Entry'!$G$11="Z-Rural",'Arear Table Protected'!T23=2021,S23&gt;=7),0.09,IF(AND('Basic Data Entry'!$G$11="Y-Urban",'Arear Table Protected'!T23=2021,'Arear Table Protected'!S23&gt;=7),0.18,IF(AND('Basic Data Entry'!$G$11="Z-Rural",'Arear Table Protected'!T23=2021,S23&lt;7),0.08,IF(AND('Basic Data Entry'!$G$11="Y-Urban",'Arear Table Protected'!T23=2021,'Arear Table Protected'!S23&lt;7),0.16,IF(AND('Basic Data Entry'!$G$11="Z-Rural",'Arear Table Protected'!T23=2022),0.09,IF(AND('Basic Data Entry'!$G$11="Y-Urban",'Arear Table Protected'!T23=2022),0.18,IF(AND('Basic Data Entry'!$G$11="Z-Rural",'Arear Table Protected'!T23=2023),0.09,IF(AND('Basic Data Entry'!$G$11="Y-Urban",'Arear Table Protected'!T23=2023),0.18,"")))))))))))</f>
        <v>0.08</v>
      </c>
      <c r="J23" s="167">
        <f>IF(OR(O23="",O23=0),"",IF(AND('Basic Data Entry'!$G$11="Z-Rural",'Arear Table Protected'!T23&lt;2021),0.08,IF(AND('Basic Data Entry'!$G$11="Y-Urban",'Arear Table Protected'!T23&lt;2021),0.16,IF(AND('Basic Data Entry'!$G$11="Z-Rural",'Arear Table Protected'!T23=2021,S23&gt;=7),0.09,IF(AND('Basic Data Entry'!$G$11="Y-Urban",'Arear Table Protected'!T23=2021,'Arear Table Protected'!S23&gt;=7),0.18,IF(AND('Basic Data Entry'!$G$11="Z-Rural",'Arear Table Protected'!T23=2021,S23&lt;7),0.08,IF(AND('Basic Data Entry'!$G$11="Y-Urban",'Arear Table Protected'!T23=2021,'Arear Table Protected'!S23&lt;7),0.16,IF(AND('Basic Data Entry'!$G$11="Z-Rural",'Arear Table Protected'!T23=2022),0.09,IF(AND('Basic Data Entry'!$G$11="Y-Urban",'Arear Table Protected'!T23=2022),0.18,IF(AND('Basic Data Entry'!$G$11="Z-Rural",'Arear Table Protected'!T23=2023),0.09,IF(AND('Basic Data Entry'!$G$11="Y-Urban",'Arear Table Protected'!T23=2023),0.18,"")))))))))))</f>
        <v>0.08</v>
      </c>
      <c r="K23" s="168" t="str">
        <f t="shared" si="4"/>
        <v>YES</v>
      </c>
      <c r="L23" s="169">
        <f t="shared" si="5"/>
        <v>0.05</v>
      </c>
      <c r="M23" s="170">
        <f t="shared" si="7"/>
        <v>2255</v>
      </c>
      <c r="N23" s="196">
        <v>11</v>
      </c>
      <c r="O23" s="327">
        <f t="shared" si="8"/>
        <v>43776</v>
      </c>
      <c r="P23" s="328"/>
      <c r="Q23" s="328"/>
      <c r="R23" s="329"/>
      <c r="S23" s="161">
        <f t="array" ref="S23">IF(OR(O23=0,O23=""),"",MONTH(O23))</f>
        <v>11</v>
      </c>
      <c r="T23" s="161">
        <f t="array" ref="T23">IF(OR(O23=0,O23=""),"",YEAR(O23))</f>
        <v>2019</v>
      </c>
      <c r="U23" s="161" t="str">
        <f t="shared" si="9"/>
        <v>112019</v>
      </c>
      <c r="V23" s="197">
        <f t="array" ref="V23">IF(OR(O23=0,O23=""),"",BE23)</f>
        <v>45100</v>
      </c>
      <c r="W23" s="163">
        <f t="array" ref="W23">IF(OR(O23=0,O23=""),"",ROUND(V23*H23,0))</f>
        <v>7667</v>
      </c>
      <c r="X23" s="222">
        <f t="shared" si="10"/>
        <v>0</v>
      </c>
      <c r="Y23" s="163">
        <f t="array" ref="Y23">IF(OR(O23=0,O23=""),"",ROUND(V23*J23,0))</f>
        <v>3608</v>
      </c>
      <c r="Z23" s="198">
        <f t="array" ref="Z23">IF(OR(O23=0,O23=""),"",SUM(V23:Y23))</f>
        <v>56375</v>
      </c>
      <c r="AA23" s="199">
        <f t="array" ref="AA23">IF(OR(O23=0,O23=""),"",IF(V23=0,0,IF($E$2="FIXATION",$B$5,IF(V23=0,0,IF(BD23=7,ROUND(AA22*1.03,-2),AA22)))))</f>
        <v>40300</v>
      </c>
      <c r="AB23" s="200">
        <f t="array" ref="AB23">IF(OR(O23=0,O23=""),"",IF($E$2="fixation",0,ROUND(AA23*G23,0)))</f>
        <v>6851</v>
      </c>
      <c r="AC23" s="222">
        <f t="array" ref="AC23">IF(OR(O23=0,O23=""),"",AC22)</f>
        <v>0</v>
      </c>
      <c r="AD23" s="200">
        <f t="array" ref="AD23">IF(OR(O23=0,O23=""),"",IF($E$2="fixation",0,ROUND(AA23*I23,0)))</f>
        <v>3224</v>
      </c>
      <c r="AE23" s="198">
        <f t="array" ref="AE23">IF(OR(O23=0,O23=""),"",SUM(AA23:AD23))</f>
        <v>50375</v>
      </c>
      <c r="AF23" s="199">
        <f t="array" ref="AF23">IF(OR(O23=0,O23=""),"",V23-AA23)</f>
        <v>4800</v>
      </c>
      <c r="AG23" s="200">
        <f t="array" ref="AG23">IF(OR(O23=0,O23=""),"",W23-AB23)</f>
        <v>816</v>
      </c>
      <c r="AH23" s="200">
        <f t="array" ref="AH23">IF(OR(O23=0,O23=""),"",X23-AC23)</f>
        <v>0</v>
      </c>
      <c r="AI23" s="200">
        <f t="array" ref="AI23">IF(OR(O23=0,O23=""),"",Y23-AD23)</f>
        <v>384</v>
      </c>
      <c r="AJ23" s="201">
        <f t="array" ref="AJ23">IF(OR(O23=0,O23=""),"",Z23-AE23)</f>
        <v>6000</v>
      </c>
      <c r="AK23" s="202">
        <f t="array" ref="AK23">IF(OR(O23=0,O23=""),"",IF(M23="",$AZ$2,$AZ$2+M23))</f>
        <v>6755</v>
      </c>
      <c r="AL23" s="203">
        <f t="array" ref="AL23">IF(OR(O23=0,O23=""),"",$AQ$2)</f>
        <v>4500</v>
      </c>
      <c r="AM23" s="204">
        <f t="array" ref="AM23">IF(OR(O23=0,O23=""),"",AK23-AL23)</f>
        <v>2255</v>
      </c>
      <c r="AN23" s="3">
        <f t="array" ref="AN23">IF(OR(O22=0,O22="",AN22="",AN22=""),"",AN22)</f>
        <v>3000</v>
      </c>
      <c r="AO23" s="2">
        <f t="array" ref="AO23">IF(OR(O22=0,O22="",AO22="",AO22=""),"",AO22)</f>
        <v>3000</v>
      </c>
      <c r="AP23" s="204">
        <f t="array" ref="AP23">IF(OR(O23=0,O23=""),"",SUM(AN23-AO23))</f>
        <v>0</v>
      </c>
      <c r="AQ23" s="106" t="str">
        <f t="array" ref="AQ23">IF(OR(O23=0,O23=""),"",IF(AND('Basic Data Entry'!$C$10="state Service",'Arear Table Protected'!T23=2020,S23=3),ROUND(V23/31*5,0),IF(AND('Basic Data Entry'!$C$10="state Service",'Arear Table Protected'!T23=2020,S23=9),ROUND(Z23/30*2,0),IF(AND('Basic Data Entry'!$C$10="state Service",'Arear Table Protected'!T23=2020,S23=10),ROUND(Z23/31*2,0),IF(AND('Basic Data Entry'!$C$10="subordinate",'Arear Table Protected'!T23=2020,S23=3),ROUND(V23/31*3,0),IF(AND('Basic Data Entry'!$C$10="subordinate",'Arear Table Protected'!T23=2020,S23=9),ROUND(Z23/30*1,0),IF(AND('Basic Data Entry'!$C$10="subordinate",'Arear Table Protected'!T23=2020,S23=10),ROUND(Z23/31*1,0),IF(AND('Basic Data Entry'!$C$10="ministrial",'Arear Table Protected'!T23=2020,S23=3),ROUND(V23/31*1,0),""))))))))</f>
        <v/>
      </c>
      <c r="AR23" s="107" t="str">
        <f t="array" ref="AR23">IF(OR(O23=0,O23=""),"",IF(AND('Basic Data Entry'!$C$10="state Service",'Arear Table Protected'!T23=2020,S23=3),ROUND(AA23/31*5,0),IF(AND('Basic Data Entry'!$C$10="state Service",'Arear Table Protected'!T23=2020,S23=9),ROUND(AE23/30*2,0),IF(AND('Basic Data Entry'!$C$10="state Service",'Arear Table Protected'!T23=2020,S23=10),ROUND(AE23/31*2,0),IF(AND('Basic Data Entry'!$C$10="subordinate",'Arear Table Protected'!T23=2020,S23=3),ROUND(AA23/31*3,0),IF(AND('Basic Data Entry'!$C$10="subordinate",'Arear Table Protected'!T23=2020,S23=9),ROUND(AE23/30*1,0),IF(AND('Basic Data Entry'!$C$10="subordinate",'Arear Table Protected'!T23=2020,S23=10),ROUND(AE23/31*1,0),IF(AND('Basic Data Entry'!$C$10="ministrial",'Arear Table Protected'!T23=2020,S23=3),ROUND(AA23/31*1,0),""))))))))</f>
        <v/>
      </c>
      <c r="AS23" s="205" t="str">
        <f t="array" ref="AS23">IF(OR(O23=0,O23="",AQ23="",AR23=""),"",AQ23-AR23)</f>
        <v/>
      </c>
      <c r="AT23" s="44">
        <f t="array" ref="AT23">IF(OR(O22=0,O22=""),"",AT22)</f>
        <v>0</v>
      </c>
      <c r="AU23" s="45">
        <f t="array" ref="AU23">IF(OR(O22=0,O22=""),"",AU22)</f>
        <v>0</v>
      </c>
      <c r="AV23" s="206">
        <f t="array" ref="AV23">IF(OR(O23=0,O23=""),"",SUM(AT23-AU23))</f>
        <v>0</v>
      </c>
      <c r="AW23" s="207">
        <f t="array" ref="AW23">IF(OR(O23=0,O23=""),"",ROUND((AJ23)*$E$3,0))</f>
        <v>600</v>
      </c>
      <c r="AX23" s="207">
        <f t="array" ref="AX23">IF(OR(O23=0,O23=""),"",SUM(AM23,AP23,AS23,AV23,AW23))</f>
        <v>2855</v>
      </c>
      <c r="AY23" s="208">
        <f t="array" ref="AY23">IF(OR(O23=0,O23=""),"",AJ23-AX23)</f>
        <v>3145</v>
      </c>
      <c r="AZ23" s="46"/>
      <c r="BA23" s="24"/>
      <c r="BB23" s="24"/>
      <c r="BC23" s="11">
        <f t="shared" si="20"/>
        <v>43776</v>
      </c>
      <c r="BD23" s="84">
        <f t="shared" si="12"/>
        <v>11</v>
      </c>
      <c r="BE23" s="84">
        <f t="shared" si="18"/>
        <v>45100</v>
      </c>
      <c r="BI23" s="22">
        <f t="shared" si="19"/>
        <v>43776</v>
      </c>
      <c r="BK23" s="19">
        <f t="shared" si="13"/>
        <v>1</v>
      </c>
      <c r="BL23" s="20" t="str">
        <f t="array" ref="BL23">IF(OR(O23=0,O23=""),"",U23)</f>
        <v>112019</v>
      </c>
      <c r="BM23" s="19">
        <f t="array" ref="BM23">IF(OR(O23=0,O23=""),"",BK23+BL23)</f>
        <v>112020</v>
      </c>
      <c r="BN23" s="21">
        <f t="shared" si="21"/>
        <v>0</v>
      </c>
      <c r="BO23" s="21">
        <f t="shared" si="22"/>
        <v>0</v>
      </c>
      <c r="BP23" s="23">
        <f t="shared" si="16"/>
        <v>0</v>
      </c>
      <c r="BQ23" s="21" t="str">
        <f t="shared" si="23"/>
        <v>00</v>
      </c>
      <c r="BW23" s="81" t="str">
        <f>IF(OR(O23=0,O23=""),"",IF('Basic Data Entry'!$C$9="fixation","yes",""))</f>
        <v/>
      </c>
      <c r="BX23" s="81" t="str">
        <f>IF(OR(O23=0,O23=""),"",IF('Basic Data Entry'!$G$12="yes","yes","no"))</f>
        <v>no</v>
      </c>
    </row>
    <row r="24" spans="1:76" ht="18" customHeight="1" thickBot="1">
      <c r="A24" s="10">
        <f t="shared" si="6"/>
        <v>45100</v>
      </c>
      <c r="B24" s="305"/>
      <c r="C24" s="305"/>
      <c r="D24" s="305"/>
      <c r="E24" s="305"/>
      <c r="F24" s="108">
        <f t="shared" si="1"/>
        <v>43807</v>
      </c>
      <c r="G24" s="165">
        <f t="shared" si="2"/>
        <v>0.17</v>
      </c>
      <c r="H24" s="166">
        <f t="shared" si="3"/>
        <v>0.17</v>
      </c>
      <c r="I24" s="166">
        <f>IF(OR($E$2="fixation",O24="",O24=0),"",IF(AND('Basic Data Entry'!$G$11="Z-Rural",'Arear Table Protected'!T24&lt;2021),0.08,IF(AND('Basic Data Entry'!$G$11="Y-Urban",'Arear Table Protected'!T24&lt;2021),0.16,IF(AND('Basic Data Entry'!$G$11="Z-Rural",'Arear Table Protected'!T24=2021,S24&gt;=7),0.09,IF(AND('Basic Data Entry'!$G$11="Y-Urban",'Arear Table Protected'!T24=2021,'Arear Table Protected'!S24&gt;=7),0.18,IF(AND('Basic Data Entry'!$G$11="Z-Rural",'Arear Table Protected'!T24=2021,S24&lt;7),0.08,IF(AND('Basic Data Entry'!$G$11="Y-Urban",'Arear Table Protected'!T24=2021,'Arear Table Protected'!S24&lt;7),0.16,IF(AND('Basic Data Entry'!$G$11="Z-Rural",'Arear Table Protected'!T24=2022),0.09,IF(AND('Basic Data Entry'!$G$11="Y-Urban",'Arear Table Protected'!T24=2022),0.18,IF(AND('Basic Data Entry'!$G$11="Z-Rural",'Arear Table Protected'!T24=2023),0.09,IF(AND('Basic Data Entry'!$G$11="Y-Urban",'Arear Table Protected'!T24=2023),0.18,"")))))))))))</f>
        <v>0.08</v>
      </c>
      <c r="J24" s="167">
        <f>IF(OR(O24="",O24=0),"",IF(AND('Basic Data Entry'!$G$11="Z-Rural",'Arear Table Protected'!T24&lt;2021),0.08,IF(AND('Basic Data Entry'!$G$11="Y-Urban",'Arear Table Protected'!T24&lt;2021),0.16,IF(AND('Basic Data Entry'!$G$11="Z-Rural",'Arear Table Protected'!T24=2021,S24&gt;=7),0.09,IF(AND('Basic Data Entry'!$G$11="Y-Urban",'Arear Table Protected'!T24=2021,'Arear Table Protected'!S24&gt;=7),0.18,IF(AND('Basic Data Entry'!$G$11="Z-Rural",'Arear Table Protected'!T24=2021,S24&lt;7),0.08,IF(AND('Basic Data Entry'!$G$11="Y-Urban",'Arear Table Protected'!T24=2021,'Arear Table Protected'!S24&lt;7),0.16,IF(AND('Basic Data Entry'!$G$11="Z-Rural",'Arear Table Protected'!T24=2022),0.09,IF(AND('Basic Data Entry'!$G$11="Y-Urban",'Arear Table Protected'!T24=2022),0.18,IF(AND('Basic Data Entry'!$G$11="Z-Rural",'Arear Table Protected'!T24=2023),0.09,IF(AND('Basic Data Entry'!$G$11="Y-Urban",'Arear Table Protected'!T24=2023),0.18,"")))))))))))</f>
        <v>0.08</v>
      </c>
      <c r="K24" s="168" t="str">
        <f t="shared" si="4"/>
        <v>YES</v>
      </c>
      <c r="L24" s="169">
        <f t="shared" si="5"/>
        <v>0.05</v>
      </c>
      <c r="M24" s="170">
        <f t="shared" si="7"/>
        <v>2255</v>
      </c>
      <c r="N24" s="196">
        <v>12</v>
      </c>
      <c r="O24" s="327">
        <f t="shared" si="8"/>
        <v>43807</v>
      </c>
      <c r="P24" s="328"/>
      <c r="Q24" s="328"/>
      <c r="R24" s="329"/>
      <c r="S24" s="161">
        <f t="array" ref="S24">IF(OR(O24=0,O24=""),"",MONTH(O24))</f>
        <v>12</v>
      </c>
      <c r="T24" s="161">
        <f t="array" ref="T24">IF(OR(O24=0,O24=""),"",YEAR(O24))</f>
        <v>2019</v>
      </c>
      <c r="U24" s="161" t="str">
        <f t="shared" si="9"/>
        <v>122019</v>
      </c>
      <c r="V24" s="197">
        <f t="array" ref="V24">IF(OR(O24=0,O24=""),"",BE24)</f>
        <v>45100</v>
      </c>
      <c r="W24" s="163">
        <f t="array" ref="W24">IF(OR(O24=0,O24=""),"",ROUND(V24*H24,0))</f>
        <v>7667</v>
      </c>
      <c r="X24" s="222">
        <f t="shared" si="10"/>
        <v>0</v>
      </c>
      <c r="Y24" s="163">
        <f t="array" ref="Y24">IF(OR(O24=0,O24=""),"",ROUND(V24*J24,0))</f>
        <v>3608</v>
      </c>
      <c r="Z24" s="198">
        <f t="array" ref="Z24">IF(OR(O24=0,O24=""),"",SUM(V24:Y24))</f>
        <v>56375</v>
      </c>
      <c r="AA24" s="199">
        <f t="array" ref="AA24">IF(OR(O24=0,O24=""),"",IF(V24=0,0,IF($E$2="FIXATION",$B$5,IF(V24=0,0,IF(BD24=7,ROUND(AA23*1.03,-2),AA23)))))</f>
        <v>40300</v>
      </c>
      <c r="AB24" s="200">
        <f t="array" ref="AB24">IF(OR(O24=0,O24=""),"",IF($E$2="fixation",0,ROUND(AA24*G24,0)))</f>
        <v>6851</v>
      </c>
      <c r="AC24" s="222">
        <f t="array" ref="AC24">IF(OR(O24=0,O24=""),"",AC23)</f>
        <v>0</v>
      </c>
      <c r="AD24" s="200">
        <f t="array" ref="AD24">IF(OR(O24=0,O24=""),"",IF($E$2="fixation",0,ROUND(AA24*I24,0)))</f>
        <v>3224</v>
      </c>
      <c r="AE24" s="198">
        <f t="array" ref="AE24">IF(OR(O24=0,O24=""),"",SUM(AA24:AD24))</f>
        <v>50375</v>
      </c>
      <c r="AF24" s="199">
        <f t="array" ref="AF24">IF(OR(O24=0,O24=""),"",V24-AA24)</f>
        <v>4800</v>
      </c>
      <c r="AG24" s="200">
        <f t="array" ref="AG24">IF(OR(O24=0,O24=""),"",W24-AB24)</f>
        <v>816</v>
      </c>
      <c r="AH24" s="200">
        <f t="array" ref="AH24">IF(OR(O24=0,O24=""),"",X24-AC24)</f>
        <v>0</v>
      </c>
      <c r="AI24" s="200">
        <f t="array" ref="AI24">IF(OR(O24=0,O24=""),"",Y24-AD24)</f>
        <v>384</v>
      </c>
      <c r="AJ24" s="201">
        <f t="array" ref="AJ24">IF(OR(O24=0,O24=""),"",Z24-AE24)</f>
        <v>6000</v>
      </c>
      <c r="AK24" s="202">
        <f t="array" ref="AK24">IF(OR(O24=0,O24=""),"",IF(M24="",$AZ$2,$AZ$2+M24))</f>
        <v>6755</v>
      </c>
      <c r="AL24" s="203">
        <f t="array" ref="AL24">IF(OR(O24=0,O24=""),"",$AQ$2)</f>
        <v>4500</v>
      </c>
      <c r="AM24" s="204">
        <f t="array" ref="AM24">IF(OR(O24=0,O24=""),"",AK24-AL24)</f>
        <v>2255</v>
      </c>
      <c r="AN24" s="3">
        <f t="array" ref="AN24">IF(OR(O23=0,O23="",AN23="",AN23=""),"",AN23)</f>
        <v>3000</v>
      </c>
      <c r="AO24" s="2">
        <f t="array" ref="AO24">IF(OR(O23=0,O23="",AO23="",AO23=""),"",AO23)</f>
        <v>3000</v>
      </c>
      <c r="AP24" s="204">
        <f t="array" ref="AP24">IF(OR(O24=0,O24=""),"",SUM(AN24-AO24))</f>
        <v>0</v>
      </c>
      <c r="AQ24" s="106" t="str">
        <f t="array" ref="AQ24">IF(OR(O24=0,O24=""),"",IF(AND('Basic Data Entry'!$C$10="state Service",'Arear Table Protected'!T24=2020,S24=3),ROUND(V24/31*5,0),IF(AND('Basic Data Entry'!$C$10="state Service",'Arear Table Protected'!T24=2020,S24=9),ROUND(Z24/30*2,0),IF(AND('Basic Data Entry'!$C$10="state Service",'Arear Table Protected'!T24=2020,S24=10),ROUND(Z24/31*2,0),IF(AND('Basic Data Entry'!$C$10="subordinate",'Arear Table Protected'!T24=2020,S24=3),ROUND(V24/31*3,0),IF(AND('Basic Data Entry'!$C$10="subordinate",'Arear Table Protected'!T24=2020,S24=9),ROUND(Z24/30*1,0),IF(AND('Basic Data Entry'!$C$10="subordinate",'Arear Table Protected'!T24=2020,S24=10),ROUND(Z24/31*1,0),IF(AND('Basic Data Entry'!$C$10="ministrial",'Arear Table Protected'!T24=2020,S24=3),ROUND(V24/31*1,0),""))))))))</f>
        <v/>
      </c>
      <c r="AR24" s="107" t="str">
        <f t="array" ref="AR24">IF(OR(O24=0,O24=""),"",IF(AND('Basic Data Entry'!$C$10="state Service",'Arear Table Protected'!T24=2020,S24=3),ROUND(AA24/31*5,0),IF(AND('Basic Data Entry'!$C$10="state Service",'Arear Table Protected'!T24=2020,S24=9),ROUND(AE24/30*2,0),IF(AND('Basic Data Entry'!$C$10="state Service",'Arear Table Protected'!T24=2020,S24=10),ROUND(AE24/31*2,0),IF(AND('Basic Data Entry'!$C$10="subordinate",'Arear Table Protected'!T24=2020,S24=3),ROUND(AA24/31*3,0),IF(AND('Basic Data Entry'!$C$10="subordinate",'Arear Table Protected'!T24=2020,S24=9),ROUND(AE24/30*1,0),IF(AND('Basic Data Entry'!$C$10="subordinate",'Arear Table Protected'!T24=2020,S24=10),ROUND(AE24/31*1,0),IF(AND('Basic Data Entry'!$C$10="ministrial",'Arear Table Protected'!T24=2020,S24=3),ROUND(AA24/31*1,0),""))))))))</f>
        <v/>
      </c>
      <c r="AS24" s="205" t="str">
        <f t="array" ref="AS24">IF(OR(O24=0,O24="",AQ24="",AR24=""),"",AQ24-AR24)</f>
        <v/>
      </c>
      <c r="AT24" s="44">
        <f t="array" ref="AT24">IF(OR(O23=0,O23=""),"",AT23)</f>
        <v>0</v>
      </c>
      <c r="AU24" s="45">
        <f t="array" ref="AU24">IF(OR(O23=0,O23=""),"",AU23)</f>
        <v>0</v>
      </c>
      <c r="AV24" s="206">
        <f t="array" ref="AV24">IF(OR(O24=0,O24=""),"",SUM(AT24-AU24))</f>
        <v>0</v>
      </c>
      <c r="AW24" s="207">
        <f t="array" ref="AW24">IF(OR(O24=0,O24=""),"",ROUND((AJ24)*$E$3,0))</f>
        <v>600</v>
      </c>
      <c r="AX24" s="207">
        <f t="array" ref="AX24">IF(OR(O24=0,O24=""),"",SUM(AM24,AP24,AS24,AV24,AW24))</f>
        <v>2855</v>
      </c>
      <c r="AY24" s="208">
        <f t="array" ref="AY24">IF(OR(O24=0,O24=""),"",AJ24-AX24)</f>
        <v>3145</v>
      </c>
      <c r="AZ24" s="46"/>
      <c r="BA24" s="24"/>
      <c r="BB24" s="24"/>
      <c r="BC24" s="11">
        <f t="shared" si="20"/>
        <v>43807</v>
      </c>
      <c r="BD24" s="84">
        <f t="shared" si="12"/>
        <v>12</v>
      </c>
      <c r="BE24" s="84">
        <f t="shared" si="18"/>
        <v>45100</v>
      </c>
      <c r="BI24" s="22">
        <f t="shared" si="19"/>
        <v>43807</v>
      </c>
      <c r="BK24" s="19">
        <f t="shared" si="13"/>
        <v>1</v>
      </c>
      <c r="BL24" s="20" t="str">
        <f t="array" ref="BL24">IF(OR(O24=0,O24=""),"",U24)</f>
        <v>122019</v>
      </c>
      <c r="BM24" s="19">
        <f t="array" ref="BM24">IF(OR(O24=0,O24=""),"",BK24+BL24)</f>
        <v>122020</v>
      </c>
      <c r="BN24" s="21">
        <f t="shared" si="21"/>
        <v>0</v>
      </c>
      <c r="BO24" s="21">
        <f t="shared" si="22"/>
        <v>0</v>
      </c>
      <c r="BP24" s="23">
        <f t="shared" si="16"/>
        <v>0</v>
      </c>
      <c r="BQ24" s="21" t="str">
        <f t="shared" si="23"/>
        <v>00</v>
      </c>
      <c r="BW24" s="81" t="str">
        <f>IF(OR(O24=0,O24=""),"",IF('Basic Data Entry'!$C$9="fixation","yes",""))</f>
        <v/>
      </c>
      <c r="BX24" s="81" t="str">
        <f>IF(OR(O24=0,O24=""),"",IF('Basic Data Entry'!$G$12="yes","yes","no"))</f>
        <v>no</v>
      </c>
    </row>
    <row r="25" spans="1:76" ht="18" customHeight="1" thickBot="1">
      <c r="A25" s="10">
        <f t="shared" si="6"/>
        <v>45100</v>
      </c>
      <c r="B25" s="305"/>
      <c r="C25" s="305"/>
      <c r="D25" s="305"/>
      <c r="E25" s="305"/>
      <c r="F25" s="108">
        <f t="shared" si="1"/>
        <v>43838</v>
      </c>
      <c r="G25" s="165">
        <f t="shared" si="2"/>
        <v>0.17</v>
      </c>
      <c r="H25" s="166">
        <f t="shared" si="3"/>
        <v>0.17</v>
      </c>
      <c r="I25" s="166">
        <f>IF(OR($E$2="fixation",O25="",O25=0),"",IF(AND('Basic Data Entry'!$G$11="Z-Rural",'Arear Table Protected'!T25&lt;2021),0.08,IF(AND('Basic Data Entry'!$G$11="Y-Urban",'Arear Table Protected'!T25&lt;2021),0.16,IF(AND('Basic Data Entry'!$G$11="Z-Rural",'Arear Table Protected'!T25=2021,S25&gt;=7),0.09,IF(AND('Basic Data Entry'!$G$11="Y-Urban",'Arear Table Protected'!T25=2021,'Arear Table Protected'!S25&gt;=7),0.18,IF(AND('Basic Data Entry'!$G$11="Z-Rural",'Arear Table Protected'!T25=2021,S25&lt;7),0.08,IF(AND('Basic Data Entry'!$G$11="Y-Urban",'Arear Table Protected'!T25=2021,'Arear Table Protected'!S25&lt;7),0.16,IF(AND('Basic Data Entry'!$G$11="Z-Rural",'Arear Table Protected'!T25=2022),0.09,IF(AND('Basic Data Entry'!$G$11="Y-Urban",'Arear Table Protected'!T25=2022),0.18,IF(AND('Basic Data Entry'!$G$11="Z-Rural",'Arear Table Protected'!T25=2023),0.09,IF(AND('Basic Data Entry'!$G$11="Y-Urban",'Arear Table Protected'!T25=2023),0.18,"")))))))))))</f>
        <v>0.08</v>
      </c>
      <c r="J25" s="167">
        <f>IF(OR(O25="",O25=0),"",IF(AND('Basic Data Entry'!$G$11="Z-Rural",'Arear Table Protected'!T25&lt;2021),0.08,IF(AND('Basic Data Entry'!$G$11="Y-Urban",'Arear Table Protected'!T25&lt;2021),0.16,IF(AND('Basic Data Entry'!$G$11="Z-Rural",'Arear Table Protected'!T25=2021,S25&gt;=7),0.09,IF(AND('Basic Data Entry'!$G$11="Y-Urban",'Arear Table Protected'!T25=2021,'Arear Table Protected'!S25&gt;=7),0.18,IF(AND('Basic Data Entry'!$G$11="Z-Rural",'Arear Table Protected'!T25=2021,S25&lt;7),0.08,IF(AND('Basic Data Entry'!$G$11="Y-Urban",'Arear Table Protected'!T25=2021,'Arear Table Protected'!S25&lt;7),0.16,IF(AND('Basic Data Entry'!$G$11="Z-Rural",'Arear Table Protected'!T25=2022),0.09,IF(AND('Basic Data Entry'!$G$11="Y-Urban",'Arear Table Protected'!T25=2022),0.18,IF(AND('Basic Data Entry'!$G$11="Z-Rural",'Arear Table Protected'!T25=2023),0.09,IF(AND('Basic Data Entry'!$G$11="Y-Urban",'Arear Table Protected'!T25=2023),0.18,"")))))))))))</f>
        <v>0.08</v>
      </c>
      <c r="K25" s="168" t="str">
        <f t="shared" si="4"/>
        <v>YES</v>
      </c>
      <c r="L25" s="169">
        <f t="shared" si="5"/>
        <v>0.05</v>
      </c>
      <c r="M25" s="170">
        <f t="shared" si="7"/>
        <v>2255</v>
      </c>
      <c r="N25" s="196">
        <v>13</v>
      </c>
      <c r="O25" s="327">
        <f t="shared" si="8"/>
        <v>43838</v>
      </c>
      <c r="P25" s="328"/>
      <c r="Q25" s="328"/>
      <c r="R25" s="329"/>
      <c r="S25" s="161">
        <f t="array" ref="S25">IF(OR(O25=0,O25=""),"",MONTH(O25))</f>
        <v>1</v>
      </c>
      <c r="T25" s="161">
        <f t="array" ref="T25">IF(OR(O25=0,O25=""),"",YEAR(O25))</f>
        <v>2020</v>
      </c>
      <c r="U25" s="161" t="str">
        <f t="shared" si="9"/>
        <v>12020</v>
      </c>
      <c r="V25" s="197">
        <f t="array" ref="V25">IF(OR(O25=0,O25=""),"",BE25)</f>
        <v>45100</v>
      </c>
      <c r="W25" s="163">
        <f t="array" ref="W25">IF(OR(O25=0,O25=""),"",ROUND(V25*H25,0))</f>
        <v>7667</v>
      </c>
      <c r="X25" s="222">
        <f t="shared" si="10"/>
        <v>0</v>
      </c>
      <c r="Y25" s="163">
        <f t="array" ref="Y25">IF(OR(O25=0,O25=""),"",ROUND(V25*J25,0))</f>
        <v>3608</v>
      </c>
      <c r="Z25" s="198">
        <f t="array" ref="Z25">IF(OR(O25=0,O25=""),"",SUM(V25:Y25))</f>
        <v>56375</v>
      </c>
      <c r="AA25" s="199">
        <f t="array" ref="AA25">IF(OR(O25=0,O25=""),"",IF(V25=0,0,IF($E$2="FIXATION",$B$5,IF(V25=0,0,IF(BD25=7,ROUND(AA24*1.03,-2),AA24)))))</f>
        <v>40300</v>
      </c>
      <c r="AB25" s="200">
        <f t="array" ref="AB25">IF(OR(O25=0,O25=""),"",IF($E$2="fixation",0,ROUND(AA25*G25,0)))</f>
        <v>6851</v>
      </c>
      <c r="AC25" s="222">
        <f t="array" ref="AC25">IF(OR(O25=0,O25=""),"",AC24)</f>
        <v>0</v>
      </c>
      <c r="AD25" s="200">
        <f t="array" ref="AD25">IF(OR(O25=0,O25=""),"",IF($E$2="fixation",0,ROUND(AA25*I25,0)))</f>
        <v>3224</v>
      </c>
      <c r="AE25" s="198">
        <f t="array" ref="AE25">IF(OR(O25=0,O25=""),"",SUM(AA25:AD25))</f>
        <v>50375</v>
      </c>
      <c r="AF25" s="199">
        <f t="array" ref="AF25">IF(OR(O25=0,O25=""),"",V25-AA25)</f>
        <v>4800</v>
      </c>
      <c r="AG25" s="200">
        <f t="array" ref="AG25">IF(OR(O25=0,O25=""),"",W25-AB25)</f>
        <v>816</v>
      </c>
      <c r="AH25" s="200">
        <f t="array" ref="AH25">IF(OR(O25=0,O25=""),"",X25-AC25)</f>
        <v>0</v>
      </c>
      <c r="AI25" s="200">
        <f t="array" ref="AI25">IF(OR(O25=0,O25=""),"",Y25-AD25)</f>
        <v>384</v>
      </c>
      <c r="AJ25" s="201">
        <f t="array" ref="AJ25">IF(OR(O25=0,O25=""),"",Z25-AE25)</f>
        <v>6000</v>
      </c>
      <c r="AK25" s="202">
        <f t="array" ref="AK25">IF(OR(O25=0,O25=""),"",IF(M25="",$AZ$2,$AZ$2+M25))</f>
        <v>6755</v>
      </c>
      <c r="AL25" s="203">
        <f t="array" ref="AL25">IF(OR(O25=0,O25=""),"",$AQ$2)</f>
        <v>4500</v>
      </c>
      <c r="AM25" s="204">
        <f t="array" ref="AM25">IF(OR(O25=0,O25=""),"",AK25-AL25)</f>
        <v>2255</v>
      </c>
      <c r="AN25" s="3">
        <f t="array" ref="AN25">IF(OR(O24=0,O24="",AN24="",AN24=""),"",AN24)</f>
        <v>3000</v>
      </c>
      <c r="AO25" s="2">
        <f t="array" ref="AO25">IF(OR(O24=0,O24="",AO24="",AO24=""),"",AO24)</f>
        <v>3000</v>
      </c>
      <c r="AP25" s="204">
        <f t="array" ref="AP25">IF(OR(O25=0,O25=""),"",SUM(AN25-AO25))</f>
        <v>0</v>
      </c>
      <c r="AQ25" s="106" t="str">
        <f t="array" ref="AQ25">IF(OR(O25=0,O25=""),"",IF(AND('Basic Data Entry'!$C$10="state Service",'Arear Table Protected'!T25=2020,S25=3),ROUND(V25/31*5,0),IF(AND('Basic Data Entry'!$C$10="state Service",'Arear Table Protected'!T25=2020,S25=9),ROUND(Z25/30*2,0),IF(AND('Basic Data Entry'!$C$10="state Service",'Arear Table Protected'!T25=2020,S25=10),ROUND(Z25/31*2,0),IF(AND('Basic Data Entry'!$C$10="subordinate",'Arear Table Protected'!T25=2020,S25=3),ROUND(V25/31*3,0),IF(AND('Basic Data Entry'!$C$10="subordinate",'Arear Table Protected'!T25=2020,S25=9),ROUND(Z25/30*1,0),IF(AND('Basic Data Entry'!$C$10="subordinate",'Arear Table Protected'!T25=2020,S25=10),ROUND(Z25/31*1,0),IF(AND('Basic Data Entry'!$C$10="ministrial",'Arear Table Protected'!T25=2020,S25=3),ROUND(V25/31*1,0),""))))))))</f>
        <v/>
      </c>
      <c r="AR25" s="107" t="str">
        <f t="array" ref="AR25">IF(OR(O25=0,O25=""),"",IF(AND('Basic Data Entry'!$C$10="state Service",'Arear Table Protected'!T25=2020,S25=3),ROUND(AA25/31*5,0),IF(AND('Basic Data Entry'!$C$10="state Service",'Arear Table Protected'!T25=2020,S25=9),ROUND(AE25/30*2,0),IF(AND('Basic Data Entry'!$C$10="state Service",'Arear Table Protected'!T25=2020,S25=10),ROUND(AE25/31*2,0),IF(AND('Basic Data Entry'!$C$10="subordinate",'Arear Table Protected'!T25=2020,S25=3),ROUND(AA25/31*3,0),IF(AND('Basic Data Entry'!$C$10="subordinate",'Arear Table Protected'!T25=2020,S25=9),ROUND(AE25/30*1,0),IF(AND('Basic Data Entry'!$C$10="subordinate",'Arear Table Protected'!T25=2020,S25=10),ROUND(AE25/31*1,0),IF(AND('Basic Data Entry'!$C$10="ministrial",'Arear Table Protected'!T25=2020,S25=3),ROUND(AA25/31*1,0),""))))))))</f>
        <v/>
      </c>
      <c r="AS25" s="205" t="str">
        <f t="array" ref="AS25">IF(OR(O25=0,O25="",AQ25="",AR25=""),"",AQ25-AR25)</f>
        <v/>
      </c>
      <c r="AT25" s="44">
        <f t="array" ref="AT25">IF(OR(O24=0,O24=""),"",AT24)</f>
        <v>0</v>
      </c>
      <c r="AU25" s="45">
        <f t="array" ref="AU25">IF(OR(O24=0,O24=""),"",AU24)</f>
        <v>0</v>
      </c>
      <c r="AV25" s="206">
        <f t="array" ref="AV25">IF(OR(O25=0,O25=""),"",SUM(AT25-AU25))</f>
        <v>0</v>
      </c>
      <c r="AW25" s="207">
        <f t="array" ref="AW25">IF(OR(O25=0,O25=""),"",ROUND((AJ25)*$E$3,0))</f>
        <v>600</v>
      </c>
      <c r="AX25" s="207">
        <f t="array" ref="AX25">IF(OR(O25=0,O25=""),"",SUM(AM25,AP25,AS25,AV25,AW25))</f>
        <v>2855</v>
      </c>
      <c r="AY25" s="208">
        <f t="array" ref="AY25">IF(OR(O25=0,O25=""),"",AJ25-AX25)</f>
        <v>3145</v>
      </c>
      <c r="AZ25" s="46"/>
      <c r="BA25" s="24"/>
      <c r="BB25" s="24"/>
      <c r="BC25" s="11">
        <f t="shared" si="20"/>
        <v>43838</v>
      </c>
      <c r="BD25" s="84">
        <f t="shared" si="12"/>
        <v>1</v>
      </c>
      <c r="BE25" s="84">
        <f t="shared" si="18"/>
        <v>45100</v>
      </c>
      <c r="BI25" s="22">
        <f t="shared" si="19"/>
        <v>43838</v>
      </c>
      <c r="BK25" s="19">
        <f t="shared" si="13"/>
        <v>1</v>
      </c>
      <c r="BL25" s="20" t="str">
        <f t="array" ref="BL25">IF(OR(O25=0,O25=""),"",U25)</f>
        <v>12020</v>
      </c>
      <c r="BM25" s="19">
        <f t="array" ref="BM25">IF(OR(O25=0,O25=""),"",BK25+BL25)</f>
        <v>12021</v>
      </c>
      <c r="BN25" s="21">
        <f t="shared" si="21"/>
        <v>0</v>
      </c>
      <c r="BO25" s="21">
        <f t="shared" si="22"/>
        <v>0</v>
      </c>
      <c r="BP25" s="23">
        <f t="shared" si="16"/>
        <v>0</v>
      </c>
      <c r="BQ25" s="21" t="str">
        <f t="shared" si="23"/>
        <v>00</v>
      </c>
      <c r="BW25" s="81" t="str">
        <f>IF(OR(O25=0,O25=""),"",IF('Basic Data Entry'!$C$9="fixation","yes",""))</f>
        <v/>
      </c>
      <c r="BX25" s="81" t="str">
        <f>IF(OR(O25=0,O25=""),"",IF('Basic Data Entry'!$G$12="yes","yes","no"))</f>
        <v>no</v>
      </c>
    </row>
    <row r="26" spans="1:76" ht="18" customHeight="1" thickBot="1">
      <c r="A26" s="10">
        <f t="shared" si="6"/>
        <v>45100</v>
      </c>
      <c r="B26" s="305"/>
      <c r="C26" s="305"/>
      <c r="D26" s="305"/>
      <c r="E26" s="305"/>
      <c r="F26" s="108">
        <f t="shared" si="1"/>
        <v>43869</v>
      </c>
      <c r="G26" s="165">
        <f t="shared" si="2"/>
        <v>0.17</v>
      </c>
      <c r="H26" s="166">
        <f t="shared" si="3"/>
        <v>0.17</v>
      </c>
      <c r="I26" s="166">
        <f>IF(OR($E$2="fixation",O26="",O26=0),"",IF(AND('Basic Data Entry'!$G$11="Z-Rural",'Arear Table Protected'!T26&lt;2021),0.08,IF(AND('Basic Data Entry'!$G$11="Y-Urban",'Arear Table Protected'!T26&lt;2021),0.16,IF(AND('Basic Data Entry'!$G$11="Z-Rural",'Arear Table Protected'!T26=2021,S26&gt;=7),0.09,IF(AND('Basic Data Entry'!$G$11="Y-Urban",'Arear Table Protected'!T26=2021,'Arear Table Protected'!S26&gt;=7),0.18,IF(AND('Basic Data Entry'!$G$11="Z-Rural",'Arear Table Protected'!T26=2021,S26&lt;7),0.08,IF(AND('Basic Data Entry'!$G$11="Y-Urban",'Arear Table Protected'!T26=2021,'Arear Table Protected'!S26&lt;7),0.16,IF(AND('Basic Data Entry'!$G$11="Z-Rural",'Arear Table Protected'!T26=2022),0.09,IF(AND('Basic Data Entry'!$G$11="Y-Urban",'Arear Table Protected'!T26=2022),0.18,IF(AND('Basic Data Entry'!$G$11="Z-Rural",'Arear Table Protected'!T26=2023),0.09,IF(AND('Basic Data Entry'!$G$11="Y-Urban",'Arear Table Protected'!T26=2023),0.18,"")))))))))))</f>
        <v>0.08</v>
      </c>
      <c r="J26" s="167">
        <f>IF(OR(O26="",O26=0),"",IF(AND('Basic Data Entry'!$G$11="Z-Rural",'Arear Table Protected'!T26&lt;2021),0.08,IF(AND('Basic Data Entry'!$G$11="Y-Urban",'Arear Table Protected'!T26&lt;2021),0.16,IF(AND('Basic Data Entry'!$G$11="Z-Rural",'Arear Table Protected'!T26=2021,S26&gt;=7),0.09,IF(AND('Basic Data Entry'!$G$11="Y-Urban",'Arear Table Protected'!T26=2021,'Arear Table Protected'!S26&gt;=7),0.18,IF(AND('Basic Data Entry'!$G$11="Z-Rural",'Arear Table Protected'!T26=2021,S26&lt;7),0.08,IF(AND('Basic Data Entry'!$G$11="Y-Urban",'Arear Table Protected'!T26=2021,'Arear Table Protected'!S26&lt;7),0.16,IF(AND('Basic Data Entry'!$G$11="Z-Rural",'Arear Table Protected'!T26=2022),0.09,IF(AND('Basic Data Entry'!$G$11="Y-Urban",'Arear Table Protected'!T26=2022),0.18,IF(AND('Basic Data Entry'!$G$11="Z-Rural",'Arear Table Protected'!T26=2023),0.09,IF(AND('Basic Data Entry'!$G$11="Y-Urban",'Arear Table Protected'!T26=2023),0.18,"")))))))))))</f>
        <v>0.08</v>
      </c>
      <c r="K26" s="168" t="str">
        <f t="shared" si="4"/>
        <v>YES</v>
      </c>
      <c r="L26" s="169">
        <f t="shared" si="5"/>
        <v>0.05</v>
      </c>
      <c r="M26" s="170">
        <f t="shared" si="7"/>
        <v>2255</v>
      </c>
      <c r="N26" s="196">
        <v>14</v>
      </c>
      <c r="O26" s="327">
        <f t="shared" si="8"/>
        <v>43869</v>
      </c>
      <c r="P26" s="328"/>
      <c r="Q26" s="328"/>
      <c r="R26" s="329"/>
      <c r="S26" s="161">
        <f t="array" ref="S26">IF(OR(O26=0,O26=""),"",MONTH(O26))</f>
        <v>2</v>
      </c>
      <c r="T26" s="161">
        <f t="array" ref="T26">IF(OR(O26=0,O26=""),"",YEAR(O26))</f>
        <v>2020</v>
      </c>
      <c r="U26" s="161" t="str">
        <f t="shared" si="9"/>
        <v>22020</v>
      </c>
      <c r="V26" s="197">
        <f t="array" ref="V26">IF(OR(O26=0,O26=""),"",BE26)</f>
        <v>45100</v>
      </c>
      <c r="W26" s="163">
        <f t="array" ref="W26">IF(OR(O26=0,O26=""),"",ROUND(V26*H26,0))</f>
        <v>7667</v>
      </c>
      <c r="X26" s="222">
        <f t="shared" si="10"/>
        <v>0</v>
      </c>
      <c r="Y26" s="163">
        <f t="array" ref="Y26">IF(OR(O26=0,O26=""),"",ROUND(V26*J26,0))</f>
        <v>3608</v>
      </c>
      <c r="Z26" s="198">
        <f t="array" ref="Z26">IF(OR(O26=0,O26=""),"",SUM(V26:Y26))</f>
        <v>56375</v>
      </c>
      <c r="AA26" s="199">
        <f t="array" ref="AA26">IF(OR(O26=0,O26=""),"",IF(V26=0,0,IF($E$2="FIXATION",$B$5,IF(V26=0,0,IF(BD26=7,ROUND(AA25*1.03,-2),AA25)))))</f>
        <v>40300</v>
      </c>
      <c r="AB26" s="200">
        <f t="array" ref="AB26">IF(OR(O26=0,O26=""),"",IF($E$2="fixation",0,ROUND(AA26*G26,0)))</f>
        <v>6851</v>
      </c>
      <c r="AC26" s="222">
        <f t="array" ref="AC26">IF(OR(O26=0,O26=""),"",AC25)</f>
        <v>0</v>
      </c>
      <c r="AD26" s="200">
        <f t="array" ref="AD26">IF(OR(O26=0,O26=""),"",IF($E$2="fixation",0,ROUND(AA26*I26,0)))</f>
        <v>3224</v>
      </c>
      <c r="AE26" s="198">
        <f t="array" ref="AE26">IF(OR(O26=0,O26=""),"",SUM(AA26:AD26))</f>
        <v>50375</v>
      </c>
      <c r="AF26" s="199">
        <f t="array" ref="AF26">IF(OR(O26=0,O26=""),"",V26-AA26)</f>
        <v>4800</v>
      </c>
      <c r="AG26" s="200">
        <f t="array" ref="AG26">IF(OR(O26=0,O26=""),"",W26-AB26)</f>
        <v>816</v>
      </c>
      <c r="AH26" s="200">
        <f t="array" ref="AH26">IF(OR(O26=0,O26=""),"",X26-AC26)</f>
        <v>0</v>
      </c>
      <c r="AI26" s="200">
        <f t="array" ref="AI26">IF(OR(O26=0,O26=""),"",Y26-AD26)</f>
        <v>384</v>
      </c>
      <c r="AJ26" s="201">
        <f t="array" ref="AJ26">IF(OR(O26=0,O26=""),"",Z26-AE26)</f>
        <v>6000</v>
      </c>
      <c r="AK26" s="202">
        <f t="array" ref="AK26">IF(OR(O26=0,O26=""),"",IF(M26="",$AZ$2,$AZ$2+M26))</f>
        <v>6755</v>
      </c>
      <c r="AL26" s="203">
        <f t="array" ref="AL26">IF(OR(O26=0,O26=""),"",$AQ$2)</f>
        <v>4500</v>
      </c>
      <c r="AM26" s="204">
        <f t="array" ref="AM26">IF(OR(O26=0,O26=""),"",AK26-AL26)</f>
        <v>2255</v>
      </c>
      <c r="AN26" s="3">
        <f t="array" ref="AN26">IF(OR(O25=0,O25="",AN25="",AN25=""),"",AN25)</f>
        <v>3000</v>
      </c>
      <c r="AO26" s="2">
        <f t="array" ref="AO26">IF(OR(O25=0,O25="",AO25="",AO25=""),"",AO25)</f>
        <v>3000</v>
      </c>
      <c r="AP26" s="204">
        <f t="array" ref="AP26">IF(OR(O26=0,O26=""),"",SUM(AN26-AO26))</f>
        <v>0</v>
      </c>
      <c r="AQ26" s="106" t="str">
        <f t="array" ref="AQ26">IF(OR(O26=0,O26=""),"",IF(AND('Basic Data Entry'!$C$10="state Service",'Arear Table Protected'!T26=2020,S26=3),ROUND(V26/31*5,0),IF(AND('Basic Data Entry'!$C$10="state Service",'Arear Table Protected'!T26=2020,S26=9),ROUND(Z26/30*2,0),IF(AND('Basic Data Entry'!$C$10="state Service",'Arear Table Protected'!T26=2020,S26=10),ROUND(Z26/31*2,0),IF(AND('Basic Data Entry'!$C$10="subordinate",'Arear Table Protected'!T26=2020,S26=3),ROUND(V26/31*3,0),IF(AND('Basic Data Entry'!$C$10="subordinate",'Arear Table Protected'!T26=2020,S26=9),ROUND(Z26/30*1,0),IF(AND('Basic Data Entry'!$C$10="subordinate",'Arear Table Protected'!T26=2020,S26=10),ROUND(Z26/31*1,0),IF(AND('Basic Data Entry'!$C$10="ministrial",'Arear Table Protected'!T26=2020,S26=3),ROUND(V26/31*1,0),""))))))))</f>
        <v/>
      </c>
      <c r="AR26" s="107" t="str">
        <f t="array" ref="AR26">IF(OR(O26=0,O26=""),"",IF(AND('Basic Data Entry'!$C$10="state Service",'Arear Table Protected'!T26=2020,S26=3),ROUND(AA26/31*5,0),IF(AND('Basic Data Entry'!$C$10="state Service",'Arear Table Protected'!T26=2020,S26=9),ROUND(AE26/30*2,0),IF(AND('Basic Data Entry'!$C$10="state Service",'Arear Table Protected'!T26=2020,S26=10),ROUND(AE26/31*2,0),IF(AND('Basic Data Entry'!$C$10="subordinate",'Arear Table Protected'!T26=2020,S26=3),ROUND(AA26/31*3,0),IF(AND('Basic Data Entry'!$C$10="subordinate",'Arear Table Protected'!T26=2020,S26=9),ROUND(AE26/30*1,0),IF(AND('Basic Data Entry'!$C$10="subordinate",'Arear Table Protected'!T26=2020,S26=10),ROUND(AE26/31*1,0),IF(AND('Basic Data Entry'!$C$10="ministrial",'Arear Table Protected'!T26=2020,S26=3),ROUND(AA26/31*1,0),""))))))))</f>
        <v/>
      </c>
      <c r="AS26" s="205" t="str">
        <f t="array" ref="AS26">IF(OR(O26=0,O26="",AQ26="",AR26=""),"",AQ26-AR26)</f>
        <v/>
      </c>
      <c r="AT26" s="44">
        <f t="array" ref="AT26">IF(OR(O25=0,O25=""),"",AT25)</f>
        <v>0</v>
      </c>
      <c r="AU26" s="45">
        <f t="array" ref="AU26">IF(OR(O25=0,O25=""),"",AU25)</f>
        <v>0</v>
      </c>
      <c r="AV26" s="206">
        <f t="array" ref="AV26">IF(OR(O26=0,O26=""),"",SUM(AT26-AU26))</f>
        <v>0</v>
      </c>
      <c r="AW26" s="207">
        <f t="array" ref="AW26">IF(OR(O26=0,O26=""),"",ROUND((AJ26)*$E$3,0))</f>
        <v>600</v>
      </c>
      <c r="AX26" s="207">
        <f t="array" ref="AX26">IF(OR(O26=0,O26=""),"",SUM(AM26,AP26,AS26,AV26,AW26))</f>
        <v>2855</v>
      </c>
      <c r="AY26" s="208">
        <f t="array" ref="AY26">IF(OR(O26=0,O26=""),"",AJ26-AX26)</f>
        <v>3145</v>
      </c>
      <c r="AZ26" s="46"/>
      <c r="BA26" s="24"/>
      <c r="BB26" s="24"/>
      <c r="BC26" s="11">
        <f t="shared" si="20"/>
        <v>43869</v>
      </c>
      <c r="BD26" s="84">
        <f t="shared" si="12"/>
        <v>2</v>
      </c>
      <c r="BE26" s="84">
        <f t="shared" si="18"/>
        <v>45100</v>
      </c>
      <c r="BI26" s="22">
        <f t="shared" si="19"/>
        <v>43869</v>
      </c>
      <c r="BK26" s="19">
        <f t="shared" si="13"/>
        <v>1</v>
      </c>
      <c r="BL26" s="20" t="str">
        <f t="array" ref="BL26">IF(OR(O26=0,O26=""),"",U26)</f>
        <v>22020</v>
      </c>
      <c r="BM26" s="19">
        <f t="array" ref="BM26">IF(OR(O26=0,O26=""),"",BK26+BL26)</f>
        <v>22021</v>
      </c>
      <c r="BN26" s="21">
        <f t="shared" si="21"/>
        <v>0</v>
      </c>
      <c r="BO26" s="21">
        <f t="shared" si="22"/>
        <v>0</v>
      </c>
      <c r="BP26" s="23">
        <f t="shared" si="16"/>
        <v>0</v>
      </c>
      <c r="BQ26" s="21" t="str">
        <f t="shared" si="23"/>
        <v>00</v>
      </c>
      <c r="BW26" s="81" t="str">
        <f>IF(OR(O26=0,O26=""),"",IF('Basic Data Entry'!$C$9="fixation","yes",""))</f>
        <v/>
      </c>
      <c r="BX26" s="81" t="str">
        <f>IF(OR(O26=0,O26=""),"",IF('Basic Data Entry'!$G$12="yes","yes","no"))</f>
        <v>no</v>
      </c>
    </row>
    <row r="27" spans="1:76" ht="18" customHeight="1" thickBot="1">
      <c r="A27" s="10">
        <f t="shared" si="6"/>
        <v>45100</v>
      </c>
      <c r="B27" s="305"/>
      <c r="C27" s="305"/>
      <c r="D27" s="305"/>
      <c r="E27" s="305"/>
      <c r="F27" s="108">
        <f t="shared" si="1"/>
        <v>43900</v>
      </c>
      <c r="G27" s="165">
        <f t="shared" si="2"/>
        <v>0.17</v>
      </c>
      <c r="H27" s="166">
        <f t="shared" si="3"/>
        <v>0.17</v>
      </c>
      <c r="I27" s="166">
        <f>IF(OR($E$2="fixation",O27="",O27=0),"",IF(AND('Basic Data Entry'!$G$11="Z-Rural",'Arear Table Protected'!T27&lt;2021),0.08,IF(AND('Basic Data Entry'!$G$11="Y-Urban",'Arear Table Protected'!T27&lt;2021),0.16,IF(AND('Basic Data Entry'!$G$11="Z-Rural",'Arear Table Protected'!T27=2021,S27&gt;=7),0.09,IF(AND('Basic Data Entry'!$G$11="Y-Urban",'Arear Table Protected'!T27=2021,'Arear Table Protected'!S27&gt;=7),0.18,IF(AND('Basic Data Entry'!$G$11="Z-Rural",'Arear Table Protected'!T27=2021,S27&lt;7),0.08,IF(AND('Basic Data Entry'!$G$11="Y-Urban",'Arear Table Protected'!T27=2021,'Arear Table Protected'!S27&lt;7),0.16,IF(AND('Basic Data Entry'!$G$11="Z-Rural",'Arear Table Protected'!T27=2022),0.09,IF(AND('Basic Data Entry'!$G$11="Y-Urban",'Arear Table Protected'!T27=2022),0.18,IF(AND('Basic Data Entry'!$G$11="Z-Rural",'Arear Table Protected'!T27=2023),0.09,IF(AND('Basic Data Entry'!$G$11="Y-Urban",'Arear Table Protected'!T27=2023),0.18,"")))))))))))</f>
        <v>0.08</v>
      </c>
      <c r="J27" s="167">
        <f>IF(OR(O27="",O27=0),"",IF(AND('Basic Data Entry'!$G$11="Z-Rural",'Arear Table Protected'!T27&lt;2021),0.08,IF(AND('Basic Data Entry'!$G$11="Y-Urban",'Arear Table Protected'!T27&lt;2021),0.16,IF(AND('Basic Data Entry'!$G$11="Z-Rural",'Arear Table Protected'!T27=2021,S27&gt;=7),0.09,IF(AND('Basic Data Entry'!$G$11="Y-Urban",'Arear Table Protected'!T27=2021,'Arear Table Protected'!S27&gt;=7),0.18,IF(AND('Basic Data Entry'!$G$11="Z-Rural",'Arear Table Protected'!T27=2021,S27&lt;7),0.08,IF(AND('Basic Data Entry'!$G$11="Y-Urban",'Arear Table Protected'!T27=2021,'Arear Table Protected'!S27&lt;7),0.16,IF(AND('Basic Data Entry'!$G$11="Z-Rural",'Arear Table Protected'!T27=2022),0.09,IF(AND('Basic Data Entry'!$G$11="Y-Urban",'Arear Table Protected'!T27=2022),0.18,IF(AND('Basic Data Entry'!$G$11="Z-Rural",'Arear Table Protected'!T27=2023),0.09,IF(AND('Basic Data Entry'!$G$11="Y-Urban",'Arear Table Protected'!T27=2023),0.18,"")))))))))))</f>
        <v>0.08</v>
      </c>
      <c r="K27" s="168" t="str">
        <f t="shared" si="4"/>
        <v/>
      </c>
      <c r="L27" s="169" t="str">
        <f t="shared" si="5"/>
        <v/>
      </c>
      <c r="M27" s="170" t="str">
        <f t="shared" si="7"/>
        <v/>
      </c>
      <c r="N27" s="196">
        <v>15</v>
      </c>
      <c r="O27" s="327">
        <f t="shared" si="8"/>
        <v>43900</v>
      </c>
      <c r="P27" s="328"/>
      <c r="Q27" s="328"/>
      <c r="R27" s="329"/>
      <c r="S27" s="161">
        <f t="array" ref="S27">IF(OR(O27=0,O27=""),"",MONTH(O27))</f>
        <v>3</v>
      </c>
      <c r="T27" s="161">
        <f t="array" ref="T27">IF(OR(O27=0,O27=""),"",YEAR(O27))</f>
        <v>2020</v>
      </c>
      <c r="U27" s="161" t="str">
        <f t="shared" si="9"/>
        <v>32020</v>
      </c>
      <c r="V27" s="197">
        <f t="array" ref="V27">IF(OR(O27=0,O27=""),"",BE27)</f>
        <v>45100</v>
      </c>
      <c r="W27" s="163">
        <f t="array" ref="W27">IF(OR(O27=0,O27=""),"",ROUND(V27*H27,0))</f>
        <v>7667</v>
      </c>
      <c r="X27" s="222">
        <f t="shared" si="10"/>
        <v>0</v>
      </c>
      <c r="Y27" s="163">
        <f t="array" ref="Y27">IF(OR(O27=0,O27=""),"",ROUND(V27*J27,0))</f>
        <v>3608</v>
      </c>
      <c r="Z27" s="198">
        <f t="array" ref="Z27">IF(OR(O27=0,O27=""),"",SUM(V27:Y27))</f>
        <v>56375</v>
      </c>
      <c r="AA27" s="199">
        <f t="array" ref="AA27">IF(OR(O27=0,O27=""),"",IF(V27=0,0,IF($E$2="FIXATION",$B$5,IF(V27=0,0,IF(BD27=7,ROUND(AA26*1.03,-2),AA26)))))</f>
        <v>40300</v>
      </c>
      <c r="AB27" s="200">
        <f t="array" ref="AB27">IF(OR(O27=0,O27=""),"",IF($E$2="fixation",0,ROUND(AA27*G27,0)))</f>
        <v>6851</v>
      </c>
      <c r="AC27" s="222">
        <f t="array" ref="AC27">IF(OR(O27=0,O27=""),"",AC26)</f>
        <v>0</v>
      </c>
      <c r="AD27" s="200">
        <f t="array" ref="AD27">IF(OR(O27=0,O27=""),"",IF($E$2="fixation",0,ROUND(AA27*I27,0)))</f>
        <v>3224</v>
      </c>
      <c r="AE27" s="198">
        <f t="array" ref="AE27">IF(OR(O27=0,O27=""),"",SUM(AA27:AD27))</f>
        <v>50375</v>
      </c>
      <c r="AF27" s="199">
        <f t="array" ref="AF27">IF(OR(O27=0,O27=""),"",V27-AA27)</f>
        <v>4800</v>
      </c>
      <c r="AG27" s="200">
        <f t="array" ref="AG27">IF(OR(O27=0,O27=""),"",W27-AB27)</f>
        <v>816</v>
      </c>
      <c r="AH27" s="200">
        <f t="array" ref="AH27">IF(OR(O27=0,O27=""),"",X27-AC27)</f>
        <v>0</v>
      </c>
      <c r="AI27" s="200">
        <f t="array" ref="AI27">IF(OR(O27=0,O27=""),"",Y27-AD27)</f>
        <v>384</v>
      </c>
      <c r="AJ27" s="201">
        <f t="array" ref="AJ27">IF(OR(O27=0,O27=""),"",Z27-AE27)</f>
        <v>6000</v>
      </c>
      <c r="AK27" s="202">
        <f t="array" ref="AK27">IF(OR(O27=0,O27=""),"",IF(M27="",$AZ$2,$AZ$2+M27))</f>
        <v>4500</v>
      </c>
      <c r="AL27" s="203">
        <f t="array" ref="AL27">IF(OR(O27=0,O27=""),"",$AQ$2)</f>
        <v>4500</v>
      </c>
      <c r="AM27" s="204">
        <f t="array" ref="AM27">IF(OR(O27=0,O27=""),"",AK27-AL27)</f>
        <v>0</v>
      </c>
      <c r="AN27" s="3">
        <f t="array" ref="AN27">IF(OR(O26=0,O26="",AN26="",AN26=""),"",AN26)</f>
        <v>3000</v>
      </c>
      <c r="AO27" s="2">
        <f t="array" ref="AO27">IF(OR(O26=0,O26="",AO26="",AO26=""),"",AO26)</f>
        <v>3000</v>
      </c>
      <c r="AP27" s="204">
        <f t="array" ref="AP27">IF(OR(O27=0,O27=""),"",SUM(AN27-AO27))</f>
        <v>0</v>
      </c>
      <c r="AQ27" s="106">
        <f t="array" ref="AQ27">IF(OR(O27=0,O27=""),"",IF(AND('Basic Data Entry'!$C$10="state Service",'Arear Table Protected'!T27=2020,S27=3),ROUND(V27/31*5,0),IF(AND('Basic Data Entry'!$C$10="state Service",'Arear Table Protected'!T27=2020,S27=9),ROUND(Z27/30*2,0),IF(AND('Basic Data Entry'!$C$10="state Service",'Arear Table Protected'!T27=2020,S27=10),ROUND(Z27/31*2,0),IF(AND('Basic Data Entry'!$C$10="subordinate",'Arear Table Protected'!T27=2020,S27=3),ROUND(V27/31*3,0),IF(AND('Basic Data Entry'!$C$10="subordinate",'Arear Table Protected'!T27=2020,S27=9),ROUND(Z27/30*1,0),IF(AND('Basic Data Entry'!$C$10="subordinate",'Arear Table Protected'!T27=2020,S27=10),ROUND(Z27/31*1,0),IF(AND('Basic Data Entry'!$C$10="ministrial",'Arear Table Protected'!T27=2020,S27=3),ROUND(V27/31*1,0),""))))))))</f>
        <v>4365</v>
      </c>
      <c r="AR27" s="107">
        <f t="array" ref="AR27">IF(OR(O27=0,O27=""),"",IF(AND('Basic Data Entry'!$C$10="state Service",'Arear Table Protected'!T27=2020,S27=3),ROUND(AA27/31*5,0),IF(AND('Basic Data Entry'!$C$10="state Service",'Arear Table Protected'!T27=2020,S27=9),ROUND(AE27/30*2,0),IF(AND('Basic Data Entry'!$C$10="state Service",'Arear Table Protected'!T27=2020,S27=10),ROUND(AE27/31*2,0),IF(AND('Basic Data Entry'!$C$10="subordinate",'Arear Table Protected'!T27=2020,S27=3),ROUND(AA27/31*3,0),IF(AND('Basic Data Entry'!$C$10="subordinate",'Arear Table Protected'!T27=2020,S27=9),ROUND(AE27/30*1,0),IF(AND('Basic Data Entry'!$C$10="subordinate",'Arear Table Protected'!T27=2020,S27=10),ROUND(AE27/31*1,0),IF(AND('Basic Data Entry'!$C$10="ministrial",'Arear Table Protected'!T27=2020,S27=3),ROUND(AA27/31*1,0),""))))))))</f>
        <v>3900</v>
      </c>
      <c r="AS27" s="205">
        <f t="array" ref="AS27">IF(OR(O27=0,O27="",AQ27="",AR27=""),"",AQ27-AR27)</f>
        <v>465</v>
      </c>
      <c r="AT27" s="44">
        <f t="array" ref="AT27">IF(OR(O26=0,O26=""),"",AT26)</f>
        <v>0</v>
      </c>
      <c r="AU27" s="45">
        <f t="array" ref="AU27">IF(OR(O26=0,O26=""),"",AU26)</f>
        <v>0</v>
      </c>
      <c r="AV27" s="206">
        <f t="array" ref="AV27">IF(OR(O27=0,O27=""),"",SUM(AT27-AU27))</f>
        <v>0</v>
      </c>
      <c r="AW27" s="207">
        <f t="array" ref="AW27">IF(OR(O27=0,O27=""),"",ROUND((AJ27)*$E$3,0))</f>
        <v>600</v>
      </c>
      <c r="AX27" s="207">
        <f t="array" ref="AX27">IF(OR(O27=0,O27=""),"",SUM(AM27,AP27,AS27,AV27,AW27))</f>
        <v>1065</v>
      </c>
      <c r="AY27" s="208">
        <f t="array" ref="AY27">IF(OR(O27=0,O27=""),"",AJ27-AX27)</f>
        <v>4935</v>
      </c>
      <c r="AZ27" s="46"/>
      <c r="BA27" s="24"/>
      <c r="BB27" s="24"/>
      <c r="BC27" s="11">
        <f t="shared" si="20"/>
        <v>43900</v>
      </c>
      <c r="BD27" s="84">
        <f t="shared" si="12"/>
        <v>3</v>
      </c>
      <c r="BE27" s="84">
        <f t="shared" si="18"/>
        <v>45100</v>
      </c>
      <c r="BI27" s="22">
        <f t="shared" si="19"/>
        <v>43900</v>
      </c>
      <c r="BK27" s="19">
        <f t="shared" si="13"/>
        <v>1</v>
      </c>
      <c r="BL27" s="20" t="str">
        <f t="array" ref="BL27">IF(OR(O27=0,O27=""),"",U27)</f>
        <v>32020</v>
      </c>
      <c r="BM27" s="19">
        <f t="array" ref="BM27">IF(OR(O27=0,O27=""),"",BK27+BL27)</f>
        <v>32021</v>
      </c>
      <c r="BN27" s="21" t="str">
        <f t="shared" si="21"/>
        <v>FM</v>
      </c>
      <c r="BO27" s="21" t="str">
        <f t="shared" si="22"/>
        <v>M</v>
      </c>
      <c r="BP27" s="23" t="str">
        <f t="shared" si="16"/>
        <v>ss</v>
      </c>
      <c r="BQ27" s="21" t="str">
        <f t="shared" si="23"/>
        <v>Mss</v>
      </c>
      <c r="BW27" s="81" t="str">
        <f>IF(OR(O27=0,O27=""),"",IF('Basic Data Entry'!$C$9="fixation","yes",""))</f>
        <v/>
      </c>
      <c r="BX27" s="81" t="str">
        <f>IF(OR(O27=0,O27=""),"",IF('Basic Data Entry'!$G$12="yes","yes","no"))</f>
        <v>no</v>
      </c>
    </row>
    <row r="28" spans="1:76" ht="18" customHeight="1" thickBot="1">
      <c r="A28" s="10">
        <f t="shared" si="6"/>
        <v>45100</v>
      </c>
      <c r="B28" s="305"/>
      <c r="C28" s="305"/>
      <c r="D28" s="305"/>
      <c r="E28" s="305"/>
      <c r="F28" s="108">
        <f t="shared" si="1"/>
        <v>43931</v>
      </c>
      <c r="G28" s="165">
        <f t="shared" si="2"/>
        <v>0.17</v>
      </c>
      <c r="H28" s="166">
        <f t="shared" si="3"/>
        <v>0.17</v>
      </c>
      <c r="I28" s="166">
        <f>IF(OR($E$2="fixation",O28="",O28=0),"",IF(AND('Basic Data Entry'!$G$11="Z-Rural",'Arear Table Protected'!T28&lt;2021),0.08,IF(AND('Basic Data Entry'!$G$11="Y-Urban",'Arear Table Protected'!T28&lt;2021),0.16,IF(AND('Basic Data Entry'!$G$11="Z-Rural",'Arear Table Protected'!T28=2021,S28&gt;=7),0.09,IF(AND('Basic Data Entry'!$G$11="Y-Urban",'Arear Table Protected'!T28=2021,'Arear Table Protected'!S28&gt;=7),0.18,IF(AND('Basic Data Entry'!$G$11="Z-Rural",'Arear Table Protected'!T28=2021,S28&lt;7),0.08,IF(AND('Basic Data Entry'!$G$11="Y-Urban",'Arear Table Protected'!T28=2021,'Arear Table Protected'!S28&lt;7),0.16,IF(AND('Basic Data Entry'!$G$11="Z-Rural",'Arear Table Protected'!T28=2022),0.09,IF(AND('Basic Data Entry'!$G$11="Y-Urban",'Arear Table Protected'!T28=2022),0.18,IF(AND('Basic Data Entry'!$G$11="Z-Rural",'Arear Table Protected'!T28=2023),0.09,IF(AND('Basic Data Entry'!$G$11="Y-Urban",'Arear Table Protected'!T28=2023),0.18,"")))))))))))</f>
        <v>0.08</v>
      </c>
      <c r="J28" s="167">
        <f>IF(OR(O28="",O28=0),"",IF(AND('Basic Data Entry'!$G$11="Z-Rural",'Arear Table Protected'!T28&lt;2021),0.08,IF(AND('Basic Data Entry'!$G$11="Y-Urban",'Arear Table Protected'!T28&lt;2021),0.16,IF(AND('Basic Data Entry'!$G$11="Z-Rural",'Arear Table Protected'!T28=2021,S28&gt;=7),0.09,IF(AND('Basic Data Entry'!$G$11="Y-Urban",'Arear Table Protected'!T28=2021,'Arear Table Protected'!S28&gt;=7),0.18,IF(AND('Basic Data Entry'!$G$11="Z-Rural",'Arear Table Protected'!T28=2021,S28&lt;7),0.08,IF(AND('Basic Data Entry'!$G$11="Y-Urban",'Arear Table Protected'!T28=2021,'Arear Table Protected'!S28&lt;7),0.16,IF(AND('Basic Data Entry'!$G$11="Z-Rural",'Arear Table Protected'!T28=2022),0.09,IF(AND('Basic Data Entry'!$G$11="Y-Urban",'Arear Table Protected'!T28=2022),0.18,IF(AND('Basic Data Entry'!$G$11="Z-Rural",'Arear Table Protected'!T28=2023),0.09,IF(AND('Basic Data Entry'!$G$11="Y-Urban",'Arear Table Protected'!T28=2023),0.18,"")))))))))))</f>
        <v>0.08</v>
      </c>
      <c r="K28" s="168" t="str">
        <f t="shared" si="4"/>
        <v/>
      </c>
      <c r="L28" s="169" t="str">
        <f t="shared" si="5"/>
        <v/>
      </c>
      <c r="M28" s="170" t="str">
        <f t="shared" si="7"/>
        <v/>
      </c>
      <c r="N28" s="196">
        <v>16</v>
      </c>
      <c r="O28" s="327">
        <f t="shared" si="8"/>
        <v>43931</v>
      </c>
      <c r="P28" s="328"/>
      <c r="Q28" s="328"/>
      <c r="R28" s="329"/>
      <c r="S28" s="161">
        <f t="array" ref="S28">IF(OR(O28=0,O28=""),"",MONTH(O28))</f>
        <v>4</v>
      </c>
      <c r="T28" s="161">
        <f t="array" ref="T28">IF(OR(O28=0,O28=""),"",YEAR(O28))</f>
        <v>2020</v>
      </c>
      <c r="U28" s="161" t="str">
        <f t="shared" si="9"/>
        <v>42020</v>
      </c>
      <c r="V28" s="197">
        <f t="array" ref="V28">IF(OR(O28=0,O28=""),"",BE28)</f>
        <v>45100</v>
      </c>
      <c r="W28" s="163">
        <f t="array" ref="W28">IF(OR(O28=0,O28=""),"",ROUND(V28*H28,0))</f>
        <v>7667</v>
      </c>
      <c r="X28" s="222">
        <f t="shared" si="10"/>
        <v>0</v>
      </c>
      <c r="Y28" s="163">
        <f t="array" ref="Y28">IF(OR(O28=0,O28=""),"",ROUND(V28*J28,0))</f>
        <v>3608</v>
      </c>
      <c r="Z28" s="198">
        <f t="array" ref="Z28">IF(OR(O28=0,O28=""),"",SUM(V28:Y28))</f>
        <v>56375</v>
      </c>
      <c r="AA28" s="199">
        <f t="array" ref="AA28">IF(OR(O28=0,O28=""),"",IF(V28=0,0,IF($E$2="FIXATION",$B$5,IF(V28=0,0,IF(BD28=7,ROUND(AA27*1.03,-2),AA27)))))</f>
        <v>40300</v>
      </c>
      <c r="AB28" s="200">
        <f t="array" ref="AB28">IF(OR(O28=0,O28=""),"",IF($E$2="fixation",0,ROUND(AA28*G28,0)))</f>
        <v>6851</v>
      </c>
      <c r="AC28" s="222">
        <f t="array" ref="AC28">IF(OR(O28=0,O28=""),"",AC27)</f>
        <v>0</v>
      </c>
      <c r="AD28" s="200">
        <f t="array" ref="AD28">IF(OR(O28=0,O28=""),"",IF($E$2="fixation",0,ROUND(AA28*I28,0)))</f>
        <v>3224</v>
      </c>
      <c r="AE28" s="198">
        <f t="array" ref="AE28">IF(OR(O28=0,O28=""),"",SUM(AA28:AD28))</f>
        <v>50375</v>
      </c>
      <c r="AF28" s="199">
        <f t="array" ref="AF28">IF(OR(O28=0,O28=""),"",V28-AA28)</f>
        <v>4800</v>
      </c>
      <c r="AG28" s="200">
        <f t="array" ref="AG28">IF(OR(O28=0,O28=""),"",W28-AB28)</f>
        <v>816</v>
      </c>
      <c r="AH28" s="200">
        <f t="array" ref="AH28">IF(OR(O28=0,O28=""),"",X28-AC28)</f>
        <v>0</v>
      </c>
      <c r="AI28" s="200">
        <f t="array" ref="AI28">IF(OR(O28=0,O28=""),"",Y28-AD28)</f>
        <v>384</v>
      </c>
      <c r="AJ28" s="201">
        <f t="array" ref="AJ28">IF(OR(O28=0,O28=""),"",Z28-AE28)</f>
        <v>6000</v>
      </c>
      <c r="AK28" s="202">
        <f t="array" ref="AK28">IF(OR(O28=0,O28=""),"",IF(M28="",$AZ$2,$AZ$2+M28))</f>
        <v>4500</v>
      </c>
      <c r="AL28" s="203">
        <f t="array" ref="AL28">IF(OR(O28=0,O28=""),"",$AQ$2)</f>
        <v>4500</v>
      </c>
      <c r="AM28" s="204">
        <f t="array" ref="AM28">IF(OR(O28=0,O28=""),"",AK28-AL28)</f>
        <v>0</v>
      </c>
      <c r="AN28" s="3">
        <f t="array" ref="AN28">IF(OR(O27=0,O27="",AN27="",AN27=""),"",AN27)</f>
        <v>3000</v>
      </c>
      <c r="AO28" s="2">
        <f t="array" ref="AO28">IF(OR(O27=0,O27="",AO27="",AO27=""),"",AO27)</f>
        <v>3000</v>
      </c>
      <c r="AP28" s="204">
        <f t="array" ref="AP28">IF(OR(O28=0,O28=""),"",SUM(AN28-AO28))</f>
        <v>0</v>
      </c>
      <c r="AQ28" s="106" t="str">
        <f t="array" ref="AQ28">IF(OR(O28=0,O28=""),"",IF(AND('Basic Data Entry'!$C$10="state Service",'Arear Table Protected'!T28=2020,S28=3),ROUND(V28/31*5,0),IF(AND('Basic Data Entry'!$C$10="state Service",'Arear Table Protected'!T28=2020,S28=9),ROUND(Z28/30*2,0),IF(AND('Basic Data Entry'!$C$10="state Service",'Arear Table Protected'!T28=2020,S28=10),ROUND(Z28/31*2,0),IF(AND('Basic Data Entry'!$C$10="subordinate",'Arear Table Protected'!T28=2020,S28=3),ROUND(V28/31*3,0),IF(AND('Basic Data Entry'!$C$10="subordinate",'Arear Table Protected'!T28=2020,S28=9),ROUND(Z28/30*1,0),IF(AND('Basic Data Entry'!$C$10="subordinate",'Arear Table Protected'!T28=2020,S28=10),ROUND(Z28/31*1,0),IF(AND('Basic Data Entry'!$C$10="ministrial",'Arear Table Protected'!T28=2020,S28=3),ROUND(V28/31*1,0),""))))))))</f>
        <v/>
      </c>
      <c r="AR28" s="107" t="str">
        <f t="array" ref="AR28">IF(OR(O28=0,O28=""),"",IF(AND('Basic Data Entry'!$C$10="state Service",'Arear Table Protected'!T28=2020,S28=3),ROUND(AA28/31*5,0),IF(AND('Basic Data Entry'!$C$10="state Service",'Arear Table Protected'!T28=2020,S28=9),ROUND(AE28/30*2,0),IF(AND('Basic Data Entry'!$C$10="state Service",'Arear Table Protected'!T28=2020,S28=10),ROUND(AE28/31*2,0),IF(AND('Basic Data Entry'!$C$10="subordinate",'Arear Table Protected'!T28=2020,S28=3),ROUND(AA28/31*3,0),IF(AND('Basic Data Entry'!$C$10="subordinate",'Arear Table Protected'!T28=2020,S28=9),ROUND(AE28/30*1,0),IF(AND('Basic Data Entry'!$C$10="subordinate",'Arear Table Protected'!T28=2020,S28=10),ROUND(AE28/31*1,0),IF(AND('Basic Data Entry'!$C$10="ministrial",'Arear Table Protected'!T28=2020,S28=3),ROUND(AA28/31*1,0),""))))))))</f>
        <v/>
      </c>
      <c r="AS28" s="205" t="str">
        <f t="array" ref="AS28">IF(OR(O28=0,O28="",AQ28="",AR28=""),"",AQ28-AR28)</f>
        <v/>
      </c>
      <c r="AT28" s="44">
        <f t="array" ref="AT28">IF(OR(O27=0,O27=""),"",AT27)</f>
        <v>0</v>
      </c>
      <c r="AU28" s="45">
        <f t="array" ref="AU28">IF(OR(O27=0,O27=""),"",AU27)</f>
        <v>0</v>
      </c>
      <c r="AV28" s="206">
        <f t="array" ref="AV28">IF(OR(O28=0,O28=""),"",SUM(AT28-AU28))</f>
        <v>0</v>
      </c>
      <c r="AW28" s="207">
        <f t="array" ref="AW28">IF(OR(O28=0,O28=""),"",ROUND((AJ28)*$E$3,0))</f>
        <v>600</v>
      </c>
      <c r="AX28" s="207">
        <f t="array" ref="AX28">IF(OR(O28=0,O28=""),"",SUM(AM28,AP28,AS28,AV28,AW28))</f>
        <v>600</v>
      </c>
      <c r="AY28" s="208">
        <f t="array" ref="AY28">IF(OR(O28=0,O28=""),"",AJ28-AX28)</f>
        <v>5400</v>
      </c>
      <c r="AZ28" s="46"/>
      <c r="BA28" s="24"/>
      <c r="BB28" s="24"/>
      <c r="BC28" s="11">
        <f t="shared" si="20"/>
        <v>43931</v>
      </c>
      <c r="BD28" s="84">
        <f t="shared" si="12"/>
        <v>4</v>
      </c>
      <c r="BE28" s="84">
        <f t="shared" si="18"/>
        <v>45100</v>
      </c>
      <c r="BI28" s="22">
        <f t="shared" si="19"/>
        <v>43931</v>
      </c>
      <c r="BK28" s="19">
        <f t="shared" si="13"/>
        <v>1</v>
      </c>
      <c r="BL28" s="20" t="str">
        <f t="array" ref="BL28">IF(OR(O28=0,O28=""),"",U28)</f>
        <v>42020</v>
      </c>
      <c r="BM28" s="19">
        <f t="array" ref="BM28">IF(OR(O28=0,O28=""),"",BK28+BL28)</f>
        <v>42021</v>
      </c>
      <c r="BN28" s="21">
        <f t="shared" si="21"/>
        <v>0</v>
      </c>
      <c r="BO28" s="21">
        <f t="shared" si="22"/>
        <v>0</v>
      </c>
      <c r="BP28" s="23">
        <f t="shared" si="16"/>
        <v>0</v>
      </c>
      <c r="BQ28" s="21" t="str">
        <f t="shared" si="23"/>
        <v>00</v>
      </c>
      <c r="BW28" s="81" t="str">
        <f>IF(OR(O28=0,O28=""),"",IF('Basic Data Entry'!$C$9="fixation","yes",""))</f>
        <v/>
      </c>
      <c r="BX28" s="81" t="str">
        <f>IF(OR(O28=0,O28=""),"",IF('Basic Data Entry'!$G$12="yes","yes","no"))</f>
        <v>no</v>
      </c>
    </row>
    <row r="29" spans="1:76" ht="18" customHeight="1" thickBot="1">
      <c r="A29" s="10">
        <f t="shared" si="6"/>
        <v>45100</v>
      </c>
      <c r="B29" s="305"/>
      <c r="C29" s="305"/>
      <c r="D29" s="305"/>
      <c r="E29" s="305"/>
      <c r="F29" s="108">
        <f t="shared" si="1"/>
        <v>43962</v>
      </c>
      <c r="G29" s="165">
        <f t="shared" si="2"/>
        <v>0.17</v>
      </c>
      <c r="H29" s="166">
        <f t="shared" si="3"/>
        <v>0.17</v>
      </c>
      <c r="I29" s="166">
        <f>IF(OR($E$2="fixation",O29="",O29=0),"",IF(AND('Basic Data Entry'!$G$11="Z-Rural",'Arear Table Protected'!T29&lt;2021),0.08,IF(AND('Basic Data Entry'!$G$11="Y-Urban",'Arear Table Protected'!T29&lt;2021),0.16,IF(AND('Basic Data Entry'!$G$11="Z-Rural",'Arear Table Protected'!T29=2021,S29&gt;=7),0.09,IF(AND('Basic Data Entry'!$G$11="Y-Urban",'Arear Table Protected'!T29=2021,'Arear Table Protected'!S29&gt;=7),0.18,IF(AND('Basic Data Entry'!$G$11="Z-Rural",'Arear Table Protected'!T29=2021,S29&lt;7),0.08,IF(AND('Basic Data Entry'!$G$11="Y-Urban",'Arear Table Protected'!T29=2021,'Arear Table Protected'!S29&lt;7),0.16,IF(AND('Basic Data Entry'!$G$11="Z-Rural",'Arear Table Protected'!T29=2022),0.09,IF(AND('Basic Data Entry'!$G$11="Y-Urban",'Arear Table Protected'!T29=2022),0.18,IF(AND('Basic Data Entry'!$G$11="Z-Rural",'Arear Table Protected'!T29=2023),0.09,IF(AND('Basic Data Entry'!$G$11="Y-Urban",'Arear Table Protected'!T29=2023),0.18,"")))))))))))</f>
        <v>0.08</v>
      </c>
      <c r="J29" s="167">
        <f>IF(OR(O29="",O29=0),"",IF(AND('Basic Data Entry'!$G$11="Z-Rural",'Arear Table Protected'!T29&lt;2021),0.08,IF(AND('Basic Data Entry'!$G$11="Y-Urban",'Arear Table Protected'!T29&lt;2021),0.16,IF(AND('Basic Data Entry'!$G$11="Z-Rural",'Arear Table Protected'!T29=2021,S29&gt;=7),0.09,IF(AND('Basic Data Entry'!$G$11="Y-Urban",'Arear Table Protected'!T29=2021,'Arear Table Protected'!S29&gt;=7),0.18,IF(AND('Basic Data Entry'!$G$11="Z-Rural",'Arear Table Protected'!T29=2021,S29&lt;7),0.08,IF(AND('Basic Data Entry'!$G$11="Y-Urban",'Arear Table Protected'!T29=2021,'Arear Table Protected'!S29&lt;7),0.16,IF(AND('Basic Data Entry'!$G$11="Z-Rural",'Arear Table Protected'!T29=2022),0.09,IF(AND('Basic Data Entry'!$G$11="Y-Urban",'Arear Table Protected'!T29=2022),0.18,IF(AND('Basic Data Entry'!$G$11="Z-Rural",'Arear Table Protected'!T29=2023),0.09,IF(AND('Basic Data Entry'!$G$11="Y-Urban",'Arear Table Protected'!T29=2023),0.18,"")))))))))))</f>
        <v>0.08</v>
      </c>
      <c r="K29" s="168" t="str">
        <f t="shared" si="4"/>
        <v/>
      </c>
      <c r="L29" s="169" t="str">
        <f t="shared" si="5"/>
        <v/>
      </c>
      <c r="M29" s="170" t="str">
        <f t="shared" si="7"/>
        <v/>
      </c>
      <c r="N29" s="196">
        <v>17</v>
      </c>
      <c r="O29" s="327">
        <f t="shared" si="8"/>
        <v>43962</v>
      </c>
      <c r="P29" s="328"/>
      <c r="Q29" s="328"/>
      <c r="R29" s="329"/>
      <c r="S29" s="161">
        <f t="array" ref="S29">IF(OR(O29=0,O29=""),"",MONTH(O29))</f>
        <v>5</v>
      </c>
      <c r="T29" s="161">
        <f t="array" ref="T29">IF(OR(O29=0,O29=""),"",YEAR(O29))</f>
        <v>2020</v>
      </c>
      <c r="U29" s="161" t="str">
        <f t="shared" si="9"/>
        <v>52020</v>
      </c>
      <c r="V29" s="197">
        <f t="array" ref="V29">IF(OR(O29=0,O29=""),"",BE29)</f>
        <v>45100</v>
      </c>
      <c r="W29" s="163">
        <f t="array" ref="W29">IF(OR(O29=0,O29=""),"",ROUND(V29*H29,0))</f>
        <v>7667</v>
      </c>
      <c r="X29" s="222">
        <f t="shared" si="10"/>
        <v>0</v>
      </c>
      <c r="Y29" s="163">
        <f t="array" ref="Y29">IF(OR(O29=0,O29=""),"",ROUND(V29*J29,0))</f>
        <v>3608</v>
      </c>
      <c r="Z29" s="198">
        <f t="array" ref="Z29">IF(OR(O29=0,O29=""),"",SUM(V29:Y29))</f>
        <v>56375</v>
      </c>
      <c r="AA29" s="199">
        <f t="array" ref="AA29">IF(OR(O29=0,O29=""),"",IF(V29=0,0,IF($E$2="FIXATION",$B$5,IF(V29=0,0,IF(BD29=7,ROUND(AA28*1.03,-2),AA28)))))</f>
        <v>40300</v>
      </c>
      <c r="AB29" s="200">
        <f t="array" ref="AB29">IF(OR(O29=0,O29=""),"",IF($E$2="fixation",0,ROUND(AA29*G29,0)))</f>
        <v>6851</v>
      </c>
      <c r="AC29" s="222">
        <f t="array" ref="AC29">IF(OR(O29=0,O29=""),"",AC28)</f>
        <v>0</v>
      </c>
      <c r="AD29" s="200">
        <f t="array" ref="AD29">IF(OR(O29=0,O29=""),"",IF($E$2="fixation",0,ROUND(AA29*I29,0)))</f>
        <v>3224</v>
      </c>
      <c r="AE29" s="198">
        <f t="array" ref="AE29">IF(OR(O29=0,O29=""),"",SUM(AA29:AD29))</f>
        <v>50375</v>
      </c>
      <c r="AF29" s="199">
        <f t="array" ref="AF29">IF(OR(O29=0,O29=""),"",V29-AA29)</f>
        <v>4800</v>
      </c>
      <c r="AG29" s="200">
        <f t="array" ref="AG29">IF(OR(O29=0,O29=""),"",W29-AB29)</f>
        <v>816</v>
      </c>
      <c r="AH29" s="200">
        <f t="array" ref="AH29">IF(OR(O29=0,O29=""),"",X29-AC29)</f>
        <v>0</v>
      </c>
      <c r="AI29" s="200">
        <f t="array" ref="AI29">IF(OR(O29=0,O29=""),"",Y29-AD29)</f>
        <v>384</v>
      </c>
      <c r="AJ29" s="201">
        <f t="array" ref="AJ29">IF(OR(O29=0,O29=""),"",Z29-AE29)</f>
        <v>6000</v>
      </c>
      <c r="AK29" s="202">
        <f t="array" ref="AK29">IF(OR(O29=0,O29=""),"",IF(M29="",$AZ$2,$AZ$2+M29))</f>
        <v>4500</v>
      </c>
      <c r="AL29" s="203">
        <f t="array" ref="AL29">IF(OR(O29=0,O29=""),"",$AQ$2)</f>
        <v>4500</v>
      </c>
      <c r="AM29" s="204">
        <f t="array" ref="AM29">IF(OR(O29=0,O29=""),"",AK29-AL29)</f>
        <v>0</v>
      </c>
      <c r="AN29" s="3">
        <f t="array" ref="AN29">IF(OR(O28=0,O28="",AN28="",AN28=""),"",AN28)</f>
        <v>3000</v>
      </c>
      <c r="AO29" s="2">
        <f t="array" ref="AO29">IF(OR(O28=0,O28="",AO28="",AO28=""),"",AO28)</f>
        <v>3000</v>
      </c>
      <c r="AP29" s="204">
        <f t="array" ref="AP29">IF(OR(O29=0,O29=""),"",SUM(AN29-AO29))</f>
        <v>0</v>
      </c>
      <c r="AQ29" s="106" t="str">
        <f t="array" ref="AQ29">IF(OR(O29=0,O29=""),"",IF(AND('Basic Data Entry'!$C$10="state Service",'Arear Table Protected'!T29=2020,S29=3),ROUND(V29/31*5,0),IF(AND('Basic Data Entry'!$C$10="state Service",'Arear Table Protected'!T29=2020,S29=9),ROUND(Z29/30*2,0),IF(AND('Basic Data Entry'!$C$10="state Service",'Arear Table Protected'!T29=2020,S29=10),ROUND(Z29/31*2,0),IF(AND('Basic Data Entry'!$C$10="subordinate",'Arear Table Protected'!T29=2020,S29=3),ROUND(V29/31*3,0),IF(AND('Basic Data Entry'!$C$10="subordinate",'Arear Table Protected'!T29=2020,S29=9),ROUND(Z29/30*1,0),IF(AND('Basic Data Entry'!$C$10="subordinate",'Arear Table Protected'!T29=2020,S29=10),ROUND(Z29/31*1,0),IF(AND('Basic Data Entry'!$C$10="ministrial",'Arear Table Protected'!T29=2020,S29=3),ROUND(V29/31*1,0),""))))))))</f>
        <v/>
      </c>
      <c r="AR29" s="107" t="str">
        <f t="array" ref="AR29">IF(OR(O29=0,O29=""),"",IF(AND('Basic Data Entry'!$C$10="state Service",'Arear Table Protected'!T29=2020,S29=3),ROUND(AA29/31*5,0),IF(AND('Basic Data Entry'!$C$10="state Service",'Arear Table Protected'!T29=2020,S29=9),ROUND(AE29/30*2,0),IF(AND('Basic Data Entry'!$C$10="state Service",'Arear Table Protected'!T29=2020,S29=10),ROUND(AE29/31*2,0),IF(AND('Basic Data Entry'!$C$10="subordinate",'Arear Table Protected'!T29=2020,S29=3),ROUND(AA29/31*3,0),IF(AND('Basic Data Entry'!$C$10="subordinate",'Arear Table Protected'!T29=2020,S29=9),ROUND(AE29/30*1,0),IF(AND('Basic Data Entry'!$C$10="subordinate",'Arear Table Protected'!T29=2020,S29=10),ROUND(AE29/31*1,0),IF(AND('Basic Data Entry'!$C$10="ministrial",'Arear Table Protected'!T29=2020,S29=3),ROUND(AA29/31*1,0),""))))))))</f>
        <v/>
      </c>
      <c r="AS29" s="205" t="str">
        <f t="array" ref="AS29">IF(OR(O29=0,O29="",AQ29="",AR29=""),"",AQ29-AR29)</f>
        <v/>
      </c>
      <c r="AT29" s="44">
        <f t="array" ref="AT29">IF(OR(O28=0,O28=""),"",AT28)</f>
        <v>0</v>
      </c>
      <c r="AU29" s="45">
        <f t="array" ref="AU29">IF(OR(O28=0,O28=""),"",AU28)</f>
        <v>0</v>
      </c>
      <c r="AV29" s="206">
        <f t="array" ref="AV29">IF(OR(O29=0,O29=""),"",SUM(AT29-AU29))</f>
        <v>0</v>
      </c>
      <c r="AW29" s="207">
        <f t="array" ref="AW29">IF(OR(O29=0,O29=""),"",ROUND((AJ29)*$E$3,0))</f>
        <v>600</v>
      </c>
      <c r="AX29" s="207">
        <f t="array" ref="AX29">IF(OR(O29=0,O29=""),"",SUM(AM29,AP29,AS29,AV29,AW29))</f>
        <v>600</v>
      </c>
      <c r="AY29" s="208">
        <f t="array" ref="AY29">IF(OR(O29=0,O29=""),"",AJ29-AX29)</f>
        <v>5400</v>
      </c>
      <c r="AZ29" s="46"/>
      <c r="BA29" s="24"/>
      <c r="BB29" s="24"/>
      <c r="BC29" s="11">
        <f t="shared" si="20"/>
        <v>43962</v>
      </c>
      <c r="BD29" s="84">
        <f t="shared" si="12"/>
        <v>5</v>
      </c>
      <c r="BE29" s="84">
        <f t="shared" si="18"/>
        <v>45100</v>
      </c>
      <c r="BI29" s="22">
        <f t="shared" si="19"/>
        <v>43962</v>
      </c>
      <c r="BK29" s="19">
        <f t="shared" si="13"/>
        <v>1</v>
      </c>
      <c r="BL29" s="20" t="str">
        <f t="array" ref="BL29">IF(OR(O29=0,O29=""),"",U29)</f>
        <v>52020</v>
      </c>
      <c r="BM29" s="19">
        <f t="array" ref="BM29">IF(OR(O29=0,O29=""),"",BK29+BL29)</f>
        <v>52021</v>
      </c>
      <c r="BN29" s="21">
        <f t="shared" si="21"/>
        <v>0</v>
      </c>
      <c r="BO29" s="21">
        <f t="shared" si="22"/>
        <v>0</v>
      </c>
      <c r="BP29" s="23">
        <f t="shared" si="16"/>
        <v>0</v>
      </c>
      <c r="BQ29" s="21" t="str">
        <f t="shared" si="23"/>
        <v>00</v>
      </c>
      <c r="BW29" s="81" t="str">
        <f>IF(OR(O29=0,O29=""),"",IF('Basic Data Entry'!$C$9="fixation","yes",""))</f>
        <v/>
      </c>
      <c r="BX29" s="81" t="str">
        <f>IF(OR(O29=0,O29=""),"",IF('Basic Data Entry'!$G$12="yes","yes","no"))</f>
        <v>no</v>
      </c>
    </row>
    <row r="30" spans="1:76" ht="18" customHeight="1" thickBot="1">
      <c r="A30" s="10">
        <f t="shared" si="6"/>
        <v>45100</v>
      </c>
      <c r="B30" s="305"/>
      <c r="C30" s="305"/>
      <c r="D30" s="305"/>
      <c r="E30" s="305"/>
      <c r="F30" s="108">
        <f t="shared" si="1"/>
        <v>43993</v>
      </c>
      <c r="G30" s="165">
        <f t="shared" si="2"/>
        <v>0.17</v>
      </c>
      <c r="H30" s="166">
        <f t="shared" si="3"/>
        <v>0.17</v>
      </c>
      <c r="I30" s="166">
        <f>IF(OR($E$2="fixation",O30="",O30=0),"",IF(AND('Basic Data Entry'!$G$11="Z-Rural",'Arear Table Protected'!T30&lt;2021),0.08,IF(AND('Basic Data Entry'!$G$11="Y-Urban",'Arear Table Protected'!T30&lt;2021),0.16,IF(AND('Basic Data Entry'!$G$11="Z-Rural",'Arear Table Protected'!T30=2021,S30&gt;=7),0.09,IF(AND('Basic Data Entry'!$G$11="Y-Urban",'Arear Table Protected'!T30=2021,'Arear Table Protected'!S30&gt;=7),0.18,IF(AND('Basic Data Entry'!$G$11="Z-Rural",'Arear Table Protected'!T30=2021,S30&lt;7),0.08,IF(AND('Basic Data Entry'!$G$11="Y-Urban",'Arear Table Protected'!T30=2021,'Arear Table Protected'!S30&lt;7),0.16,IF(AND('Basic Data Entry'!$G$11="Z-Rural",'Arear Table Protected'!T30=2022),0.09,IF(AND('Basic Data Entry'!$G$11="Y-Urban",'Arear Table Protected'!T30=2022),0.18,IF(AND('Basic Data Entry'!$G$11="Z-Rural",'Arear Table Protected'!T30=2023),0.09,IF(AND('Basic Data Entry'!$G$11="Y-Urban",'Arear Table Protected'!T30=2023),0.18,"")))))))))))</f>
        <v>0.08</v>
      </c>
      <c r="J30" s="167">
        <f>IF(OR(O30="",O30=0),"",IF(AND('Basic Data Entry'!$G$11="Z-Rural",'Arear Table Protected'!T30&lt;2021),0.08,IF(AND('Basic Data Entry'!$G$11="Y-Urban",'Arear Table Protected'!T30&lt;2021),0.16,IF(AND('Basic Data Entry'!$G$11="Z-Rural",'Arear Table Protected'!T30=2021,S30&gt;=7),0.09,IF(AND('Basic Data Entry'!$G$11="Y-Urban",'Arear Table Protected'!T30=2021,'Arear Table Protected'!S30&gt;=7),0.18,IF(AND('Basic Data Entry'!$G$11="Z-Rural",'Arear Table Protected'!T30=2021,S30&lt;7),0.08,IF(AND('Basic Data Entry'!$G$11="Y-Urban",'Arear Table Protected'!T30=2021,'Arear Table Protected'!S30&lt;7),0.16,IF(AND('Basic Data Entry'!$G$11="Z-Rural",'Arear Table Protected'!T30=2022),0.09,IF(AND('Basic Data Entry'!$G$11="Y-Urban",'Arear Table Protected'!T30=2022),0.18,IF(AND('Basic Data Entry'!$G$11="Z-Rural",'Arear Table Protected'!T30=2023),0.09,IF(AND('Basic Data Entry'!$G$11="Y-Urban",'Arear Table Protected'!T30=2023),0.18,"")))))))))))</f>
        <v>0.08</v>
      </c>
      <c r="K30" s="168" t="str">
        <f t="shared" si="4"/>
        <v/>
      </c>
      <c r="L30" s="169" t="str">
        <f t="shared" si="5"/>
        <v/>
      </c>
      <c r="M30" s="170" t="str">
        <f t="shared" si="7"/>
        <v/>
      </c>
      <c r="N30" s="196">
        <v>18</v>
      </c>
      <c r="O30" s="327">
        <f t="shared" si="8"/>
        <v>43993</v>
      </c>
      <c r="P30" s="328"/>
      <c r="Q30" s="328"/>
      <c r="R30" s="329"/>
      <c r="S30" s="161">
        <f t="array" ref="S30">IF(OR(O30=0,O30=""),"",MONTH(O30))</f>
        <v>6</v>
      </c>
      <c r="T30" s="161">
        <f t="array" ref="T30">IF(OR(O30=0,O30=""),"",YEAR(O30))</f>
        <v>2020</v>
      </c>
      <c r="U30" s="161" t="str">
        <f t="shared" si="9"/>
        <v>62020</v>
      </c>
      <c r="V30" s="197">
        <f t="array" ref="V30">IF(OR(O30=0,O30=""),"",BE30)</f>
        <v>45100</v>
      </c>
      <c r="W30" s="163">
        <f t="array" ref="W30">IF(OR(O30=0,O30=""),"",ROUND(V30*H30,0))</f>
        <v>7667</v>
      </c>
      <c r="X30" s="222">
        <f t="shared" si="10"/>
        <v>0</v>
      </c>
      <c r="Y30" s="163">
        <f t="array" ref="Y30">IF(OR(O30=0,O30=""),"",ROUND(V30*J30,0))</f>
        <v>3608</v>
      </c>
      <c r="Z30" s="198">
        <f t="array" ref="Z30">IF(OR(O30=0,O30=""),"",SUM(V30:Y30))</f>
        <v>56375</v>
      </c>
      <c r="AA30" s="199">
        <f t="array" ref="AA30">IF(OR(O30=0,O30=""),"",IF(V30=0,0,IF($E$2="FIXATION",$B$5,IF(V30=0,0,IF(BD30=7,ROUND(AA29*1.03,-2),AA29)))))</f>
        <v>40300</v>
      </c>
      <c r="AB30" s="200">
        <f t="array" ref="AB30">IF(OR(O30=0,O30=""),"",IF($E$2="fixation",0,ROUND(AA30*G30,0)))</f>
        <v>6851</v>
      </c>
      <c r="AC30" s="222">
        <f t="array" ref="AC30">IF(OR(O30=0,O30=""),"",AC29)</f>
        <v>0</v>
      </c>
      <c r="AD30" s="200">
        <f t="array" ref="AD30">IF(OR(O30=0,O30=""),"",IF($E$2="fixation",0,ROUND(AA30*I30,0)))</f>
        <v>3224</v>
      </c>
      <c r="AE30" s="198">
        <f t="array" ref="AE30">IF(OR(O30=0,O30=""),"",SUM(AA30:AD30))</f>
        <v>50375</v>
      </c>
      <c r="AF30" s="199">
        <f t="array" ref="AF30">IF(OR(O30=0,O30=""),"",V30-AA30)</f>
        <v>4800</v>
      </c>
      <c r="AG30" s="200">
        <f t="array" ref="AG30">IF(OR(O30=0,O30=""),"",W30-AB30)</f>
        <v>816</v>
      </c>
      <c r="AH30" s="200">
        <f t="array" ref="AH30">IF(OR(O30=0,O30=""),"",X30-AC30)</f>
        <v>0</v>
      </c>
      <c r="AI30" s="200">
        <f t="array" ref="AI30">IF(OR(O30=0,O30=""),"",Y30-AD30)</f>
        <v>384</v>
      </c>
      <c r="AJ30" s="201">
        <f t="array" ref="AJ30">IF(OR(O30=0,O30=""),"",Z30-AE30)</f>
        <v>6000</v>
      </c>
      <c r="AK30" s="202">
        <f t="array" ref="AK30">IF(OR(O30=0,O30=""),"",IF(M30="",$AZ$2,$AZ$2+M30))</f>
        <v>4500</v>
      </c>
      <c r="AL30" s="203">
        <f t="array" ref="AL30">IF(OR(O30=0,O30=""),"",$AQ$2)</f>
        <v>4500</v>
      </c>
      <c r="AM30" s="204">
        <f t="array" ref="AM30">IF(OR(O30=0,O30=""),"",AK30-AL30)</f>
        <v>0</v>
      </c>
      <c r="AN30" s="3">
        <f t="array" ref="AN30">IF(OR(O29=0,O29="",AN29="",AN29=""),"",AN29)</f>
        <v>3000</v>
      </c>
      <c r="AO30" s="2">
        <f t="array" ref="AO30">IF(OR(O29=0,O29="",AO29="",AO29=""),"",AO29)</f>
        <v>3000</v>
      </c>
      <c r="AP30" s="204">
        <f t="array" ref="AP30">IF(OR(O30=0,O30=""),"",SUM(AN30-AO30))</f>
        <v>0</v>
      </c>
      <c r="AQ30" s="106" t="str">
        <f t="array" ref="AQ30">IF(OR(O30=0,O30=""),"",IF(AND('Basic Data Entry'!$C$10="state Service",'Arear Table Protected'!T30=2020,S30=3),ROUND(V30/31*5,0),IF(AND('Basic Data Entry'!$C$10="state Service",'Arear Table Protected'!T30=2020,S30=9),ROUND(Z30/30*2,0),IF(AND('Basic Data Entry'!$C$10="state Service",'Arear Table Protected'!T30=2020,S30=10),ROUND(Z30/31*2,0),IF(AND('Basic Data Entry'!$C$10="subordinate",'Arear Table Protected'!T30=2020,S30=3),ROUND(V30/31*3,0),IF(AND('Basic Data Entry'!$C$10="subordinate",'Arear Table Protected'!T30=2020,S30=9),ROUND(Z30/30*1,0),IF(AND('Basic Data Entry'!$C$10="subordinate",'Arear Table Protected'!T30=2020,S30=10),ROUND(Z30/31*1,0),IF(AND('Basic Data Entry'!$C$10="ministrial",'Arear Table Protected'!T30=2020,S30=3),ROUND(V30/31*1,0),""))))))))</f>
        <v/>
      </c>
      <c r="AR30" s="107" t="str">
        <f t="array" ref="AR30">IF(OR(O30=0,O30=""),"",IF(AND('Basic Data Entry'!$C$10="state Service",'Arear Table Protected'!T30=2020,S30=3),ROUND(AA30/31*5,0),IF(AND('Basic Data Entry'!$C$10="state Service",'Arear Table Protected'!T30=2020,S30=9),ROUND(AE30/30*2,0),IF(AND('Basic Data Entry'!$C$10="state Service",'Arear Table Protected'!T30=2020,S30=10),ROUND(AE30/31*2,0),IF(AND('Basic Data Entry'!$C$10="subordinate",'Arear Table Protected'!T30=2020,S30=3),ROUND(AA30/31*3,0),IF(AND('Basic Data Entry'!$C$10="subordinate",'Arear Table Protected'!T30=2020,S30=9),ROUND(AE30/30*1,0),IF(AND('Basic Data Entry'!$C$10="subordinate",'Arear Table Protected'!T30=2020,S30=10),ROUND(AE30/31*1,0),IF(AND('Basic Data Entry'!$C$10="ministrial",'Arear Table Protected'!T30=2020,S30=3),ROUND(AA30/31*1,0),""))))))))</f>
        <v/>
      </c>
      <c r="AS30" s="205" t="str">
        <f t="array" ref="AS30">IF(OR(O30=0,O30="",AQ30="",AR30=""),"",AQ30-AR30)</f>
        <v/>
      </c>
      <c r="AT30" s="44">
        <f t="array" ref="AT30">IF(OR(O29=0,O29=""),"",AT29)</f>
        <v>0</v>
      </c>
      <c r="AU30" s="45">
        <f t="array" ref="AU30">IF(OR(O29=0,O29=""),"",AU29)</f>
        <v>0</v>
      </c>
      <c r="AV30" s="206">
        <f t="array" ref="AV30">IF(OR(O30=0,O30=""),"",SUM(AT30-AU30))</f>
        <v>0</v>
      </c>
      <c r="AW30" s="207">
        <f t="array" ref="AW30">IF(OR(O30=0,O30=""),"",ROUND((AJ30)*$E$3,0))</f>
        <v>600</v>
      </c>
      <c r="AX30" s="207">
        <f t="array" ref="AX30">IF(OR(O30=0,O30=""),"",SUM(AM30,AP30,AS30,AV30,AW30))</f>
        <v>600</v>
      </c>
      <c r="AY30" s="208">
        <f t="array" ref="AY30">IF(OR(O30=0,O30=""),"",AJ30-AX30)</f>
        <v>5400</v>
      </c>
      <c r="AZ30" s="46"/>
      <c r="BA30" s="24"/>
      <c r="BB30" s="24"/>
      <c r="BC30" s="11">
        <f t="shared" si="20"/>
        <v>43993</v>
      </c>
      <c r="BD30" s="84">
        <f t="shared" si="12"/>
        <v>6</v>
      </c>
      <c r="BE30" s="84">
        <f t="shared" si="18"/>
        <v>45100</v>
      </c>
      <c r="BI30" s="22">
        <f t="shared" si="19"/>
        <v>43993</v>
      </c>
      <c r="BK30" s="19">
        <f t="shared" si="13"/>
        <v>1</v>
      </c>
      <c r="BL30" s="20" t="str">
        <f t="array" ref="BL30">IF(OR(O30=0,O30=""),"",U30)</f>
        <v>62020</v>
      </c>
      <c r="BM30" s="19">
        <f t="array" ref="BM30">IF(OR(O30=0,O30=""),"",BK30+BL30)</f>
        <v>62021</v>
      </c>
      <c r="BN30" s="21">
        <f t="shared" si="21"/>
        <v>0</v>
      </c>
      <c r="BO30" s="21">
        <f t="shared" si="22"/>
        <v>0</v>
      </c>
      <c r="BP30" s="23">
        <f t="shared" si="16"/>
        <v>0</v>
      </c>
      <c r="BQ30" s="21" t="str">
        <f t="shared" si="23"/>
        <v>00</v>
      </c>
      <c r="BW30" s="81" t="str">
        <f>IF(OR(O30=0,O30=""),"",IF('Basic Data Entry'!$C$9="fixation","yes",""))</f>
        <v/>
      </c>
      <c r="BX30" s="81" t="str">
        <f>IF(OR(O30=0,O30=""),"",IF('Basic Data Entry'!$G$12="yes","yes","no"))</f>
        <v>no</v>
      </c>
    </row>
    <row r="31" spans="1:76" ht="18" customHeight="1" thickBot="1">
      <c r="A31" s="10">
        <f t="shared" si="6"/>
        <v>46500</v>
      </c>
      <c r="B31" s="305"/>
      <c r="C31" s="305"/>
      <c r="D31" s="305"/>
      <c r="E31" s="305"/>
      <c r="F31" s="108">
        <f t="shared" si="1"/>
        <v>44024</v>
      </c>
      <c r="G31" s="165">
        <f t="shared" si="2"/>
        <v>0.17</v>
      </c>
      <c r="H31" s="166">
        <f t="shared" si="3"/>
        <v>0.17</v>
      </c>
      <c r="I31" s="166">
        <f>IF(OR($E$2="fixation",O31="",O31=0),"",IF(AND('Basic Data Entry'!$G$11="Z-Rural",'Arear Table Protected'!T31&lt;2021),0.08,IF(AND('Basic Data Entry'!$G$11="Y-Urban",'Arear Table Protected'!T31&lt;2021),0.16,IF(AND('Basic Data Entry'!$G$11="Z-Rural",'Arear Table Protected'!T31=2021,S31&gt;=7),0.09,IF(AND('Basic Data Entry'!$G$11="Y-Urban",'Arear Table Protected'!T31=2021,'Arear Table Protected'!S31&gt;=7),0.18,IF(AND('Basic Data Entry'!$G$11="Z-Rural",'Arear Table Protected'!T31=2021,S31&lt;7),0.08,IF(AND('Basic Data Entry'!$G$11="Y-Urban",'Arear Table Protected'!T31=2021,'Arear Table Protected'!S31&lt;7),0.16,IF(AND('Basic Data Entry'!$G$11="Z-Rural",'Arear Table Protected'!T31=2022),0.09,IF(AND('Basic Data Entry'!$G$11="Y-Urban",'Arear Table Protected'!T31=2022),0.18,IF(AND('Basic Data Entry'!$G$11="Z-Rural",'Arear Table Protected'!T31=2023),0.09,IF(AND('Basic Data Entry'!$G$11="Y-Urban",'Arear Table Protected'!T31=2023),0.18,"")))))))))))</f>
        <v>0.08</v>
      </c>
      <c r="J31" s="167">
        <f>IF(OR(O31="",O31=0),"",IF(AND('Basic Data Entry'!$G$11="Z-Rural",'Arear Table Protected'!T31&lt;2021),0.08,IF(AND('Basic Data Entry'!$G$11="Y-Urban",'Arear Table Protected'!T31&lt;2021),0.16,IF(AND('Basic Data Entry'!$G$11="Z-Rural",'Arear Table Protected'!T31=2021,S31&gt;=7),0.09,IF(AND('Basic Data Entry'!$G$11="Y-Urban",'Arear Table Protected'!T31=2021,'Arear Table Protected'!S31&gt;=7),0.18,IF(AND('Basic Data Entry'!$G$11="Z-Rural",'Arear Table Protected'!T31=2021,S31&lt;7),0.08,IF(AND('Basic Data Entry'!$G$11="Y-Urban",'Arear Table Protected'!T31=2021,'Arear Table Protected'!S31&lt;7),0.16,IF(AND('Basic Data Entry'!$G$11="Z-Rural",'Arear Table Protected'!T31=2022),0.09,IF(AND('Basic Data Entry'!$G$11="Y-Urban",'Arear Table Protected'!T31=2022),0.18,IF(AND('Basic Data Entry'!$G$11="Z-Rural",'Arear Table Protected'!T31=2023),0.09,IF(AND('Basic Data Entry'!$G$11="Y-Urban",'Arear Table Protected'!T31=2023),0.18,"")))))))))))</f>
        <v>0.08</v>
      </c>
      <c r="K31" s="168" t="str">
        <f t="shared" si="4"/>
        <v/>
      </c>
      <c r="L31" s="169" t="str">
        <f t="shared" si="5"/>
        <v/>
      </c>
      <c r="M31" s="170" t="str">
        <f t="shared" si="7"/>
        <v/>
      </c>
      <c r="N31" s="196">
        <v>19</v>
      </c>
      <c r="O31" s="327">
        <f t="shared" si="8"/>
        <v>44024</v>
      </c>
      <c r="P31" s="328"/>
      <c r="Q31" s="328"/>
      <c r="R31" s="329"/>
      <c r="S31" s="161">
        <f t="array" ref="S31">IF(OR(O31=0,O31=""),"",MONTH(O31))</f>
        <v>7</v>
      </c>
      <c r="T31" s="161">
        <f t="array" ref="T31">IF(OR(O31=0,O31=""),"",YEAR(O31))</f>
        <v>2020</v>
      </c>
      <c r="U31" s="161" t="str">
        <f t="shared" si="9"/>
        <v>72020</v>
      </c>
      <c r="V31" s="197">
        <f t="array" ref="V31">IF(OR(O31=0,O31=""),"",BE31)</f>
        <v>46500</v>
      </c>
      <c r="W31" s="163">
        <f t="array" ref="W31">IF(OR(O31=0,O31=""),"",ROUND(V31*H31,0))</f>
        <v>7905</v>
      </c>
      <c r="X31" s="222">
        <f t="shared" si="10"/>
        <v>0</v>
      </c>
      <c r="Y31" s="163">
        <f t="array" ref="Y31">IF(OR(O31=0,O31=""),"",ROUND(V31*J31,0))</f>
        <v>3720</v>
      </c>
      <c r="Z31" s="198">
        <f t="array" ref="Z31">IF(OR(O31=0,O31=""),"",SUM(V31:Y31))</f>
        <v>58125</v>
      </c>
      <c r="AA31" s="199">
        <f t="array" ref="AA31">IF(OR(O31=0,O31=""),"",IF(V31=0,0,IF($E$2="FIXATION",$B$5,IF(V31=0,0,IF(BD31=7,ROUND(AA30*1.03,-2),AA30)))))</f>
        <v>41500</v>
      </c>
      <c r="AB31" s="200">
        <f t="array" ref="AB31">IF(OR(O31=0,O31=""),"",IF($E$2="fixation",0,ROUND(AA31*G31,0)))</f>
        <v>7055</v>
      </c>
      <c r="AC31" s="222">
        <f t="array" ref="AC31">IF(OR(O31=0,O31=""),"",AC30)</f>
        <v>0</v>
      </c>
      <c r="AD31" s="200">
        <f t="array" ref="AD31">IF(OR(O31=0,O31=""),"",IF($E$2="fixation",0,ROUND(AA31*I31,0)))</f>
        <v>3320</v>
      </c>
      <c r="AE31" s="198">
        <f t="array" ref="AE31">IF(OR(O31=0,O31=""),"",SUM(AA31:AD31))</f>
        <v>51875</v>
      </c>
      <c r="AF31" s="199">
        <f t="array" ref="AF31">IF(OR(O31=0,O31=""),"",V31-AA31)</f>
        <v>5000</v>
      </c>
      <c r="AG31" s="200">
        <f t="array" ref="AG31">IF(OR(O31=0,O31=""),"",W31-AB31)</f>
        <v>850</v>
      </c>
      <c r="AH31" s="200">
        <f t="array" ref="AH31">IF(OR(O31=0,O31=""),"",X31-AC31)</f>
        <v>0</v>
      </c>
      <c r="AI31" s="200">
        <f t="array" ref="AI31">IF(OR(O31=0,O31=""),"",Y31-AD31)</f>
        <v>400</v>
      </c>
      <c r="AJ31" s="201">
        <f t="array" ref="AJ31">IF(OR(O31=0,O31=""),"",Z31-AE31)</f>
        <v>6250</v>
      </c>
      <c r="AK31" s="202">
        <f t="array" ref="AK31">IF(OR(O31=0,O31=""),"",IF(M31="",$AZ$2,$AZ$2+M31))</f>
        <v>4500</v>
      </c>
      <c r="AL31" s="203">
        <f t="array" ref="AL31">IF(OR(O31=0,O31=""),"",$AQ$2)</f>
        <v>4500</v>
      </c>
      <c r="AM31" s="204">
        <f t="array" ref="AM31">IF(OR(O31=0,O31=""),"",AK31-AL31)</f>
        <v>0</v>
      </c>
      <c r="AN31" s="3">
        <f t="array" ref="AN31">IF(OR(O30=0,O30="",AN30="",AN30=""),"",AN30)</f>
        <v>3000</v>
      </c>
      <c r="AO31" s="2">
        <f t="array" ref="AO31">IF(OR(O30=0,O30="",AO30="",AO30=""),"",AO30)</f>
        <v>3000</v>
      </c>
      <c r="AP31" s="204">
        <f t="array" ref="AP31">IF(OR(O31=0,O31=""),"",SUM(AN31-AO31))</f>
        <v>0</v>
      </c>
      <c r="AQ31" s="106" t="str">
        <f t="array" ref="AQ31">IF(OR(O31=0,O31=""),"",IF(AND('Basic Data Entry'!$C$10="state Service",'Arear Table Protected'!T31=2020,S31=3),ROUND(V31/31*5,0),IF(AND('Basic Data Entry'!$C$10="state Service",'Arear Table Protected'!T31=2020,S31=9),ROUND(Z31/30*2,0),IF(AND('Basic Data Entry'!$C$10="state Service",'Arear Table Protected'!T31=2020,S31=10),ROUND(Z31/31*2,0),IF(AND('Basic Data Entry'!$C$10="subordinate",'Arear Table Protected'!T31=2020,S31=3),ROUND(V31/31*3,0),IF(AND('Basic Data Entry'!$C$10="subordinate",'Arear Table Protected'!T31=2020,S31=9),ROUND(Z31/30*1,0),IF(AND('Basic Data Entry'!$C$10="subordinate",'Arear Table Protected'!T31=2020,S31=10),ROUND(Z31/31*1,0),IF(AND('Basic Data Entry'!$C$10="ministrial",'Arear Table Protected'!T31=2020,S31=3),ROUND(V31/31*1,0),""))))))))</f>
        <v/>
      </c>
      <c r="AR31" s="107" t="str">
        <f t="array" ref="AR31">IF(OR(O31=0,O31=""),"",IF(AND('Basic Data Entry'!$C$10="state Service",'Arear Table Protected'!T31=2020,S31=3),ROUND(AA31/31*5,0),IF(AND('Basic Data Entry'!$C$10="state Service",'Arear Table Protected'!T31=2020,S31=9),ROUND(AE31/30*2,0),IF(AND('Basic Data Entry'!$C$10="state Service",'Arear Table Protected'!T31=2020,S31=10),ROUND(AE31/31*2,0),IF(AND('Basic Data Entry'!$C$10="subordinate",'Arear Table Protected'!T31=2020,S31=3),ROUND(AA31/31*3,0),IF(AND('Basic Data Entry'!$C$10="subordinate",'Arear Table Protected'!T31=2020,S31=9),ROUND(AE31/30*1,0),IF(AND('Basic Data Entry'!$C$10="subordinate",'Arear Table Protected'!T31=2020,S31=10),ROUND(AE31/31*1,0),IF(AND('Basic Data Entry'!$C$10="ministrial",'Arear Table Protected'!T31=2020,S31=3),ROUND(AA31/31*1,0),""))))))))</f>
        <v/>
      </c>
      <c r="AS31" s="205" t="str">
        <f t="array" ref="AS31">IF(OR(O31=0,O31="",AQ31="",AR31=""),"",AQ31-AR31)</f>
        <v/>
      </c>
      <c r="AT31" s="44">
        <f t="array" ref="AT31">IF(OR(O30=0,O30=""),"",AT30)</f>
        <v>0</v>
      </c>
      <c r="AU31" s="45">
        <f t="array" ref="AU31">IF(OR(O30=0,O30=""),"",AU30)</f>
        <v>0</v>
      </c>
      <c r="AV31" s="206">
        <f t="array" ref="AV31">IF(OR(O31=0,O31=""),"",SUM(AT31-AU31))</f>
        <v>0</v>
      </c>
      <c r="AW31" s="207">
        <f t="array" ref="AW31">IF(OR(O31=0,O31=""),"",ROUND((AJ31)*$E$3,0))</f>
        <v>625</v>
      </c>
      <c r="AX31" s="207">
        <f t="array" ref="AX31">IF(OR(O31=0,O31=""),"",SUM(AM31,AP31,AS31,AV31,AW31))</f>
        <v>625</v>
      </c>
      <c r="AY31" s="208">
        <f t="array" ref="AY31">IF(OR(O31=0,O31=""),"",AJ31-AX31)</f>
        <v>5625</v>
      </c>
      <c r="AZ31" s="46"/>
      <c r="BA31" s="24"/>
      <c r="BB31" s="24"/>
      <c r="BC31" s="11">
        <f t="shared" si="20"/>
        <v>44024</v>
      </c>
      <c r="BD31" s="84">
        <f t="shared" si="12"/>
        <v>7</v>
      </c>
      <c r="BE31" s="84">
        <f t="shared" si="18"/>
        <v>46500</v>
      </c>
      <c r="BI31" s="22">
        <f t="shared" si="19"/>
        <v>44024</v>
      </c>
      <c r="BK31" s="19">
        <f t="shared" si="13"/>
        <v>1</v>
      </c>
      <c r="BL31" s="20" t="str">
        <f t="array" ref="BL31">IF(OR(O31=0,O31=""),"",U31)</f>
        <v>72020</v>
      </c>
      <c r="BM31" s="19">
        <f t="array" ref="BM31">IF(OR(O31=0,O31=""),"",BK31+BL31)</f>
        <v>72021</v>
      </c>
      <c r="BN31" s="21">
        <f t="shared" si="21"/>
        <v>0</v>
      </c>
      <c r="BO31" s="21">
        <f t="shared" si="22"/>
        <v>0</v>
      </c>
      <c r="BP31" s="23">
        <f t="shared" si="16"/>
        <v>0</v>
      </c>
      <c r="BQ31" s="21" t="str">
        <f t="shared" si="23"/>
        <v>00</v>
      </c>
      <c r="BW31" s="81" t="str">
        <f>IF(OR(O31=0,O31=""),"",IF('Basic Data Entry'!$C$9="fixation","yes",""))</f>
        <v/>
      </c>
      <c r="BX31" s="81" t="str">
        <f>IF(OR(O31=0,O31=""),"",IF('Basic Data Entry'!$G$12="yes","yes","no"))</f>
        <v>no</v>
      </c>
    </row>
    <row r="32" spans="1:76" ht="18" customHeight="1" thickBot="1">
      <c r="A32" s="10">
        <f t="shared" si="6"/>
        <v>46500</v>
      </c>
      <c r="B32" s="305"/>
      <c r="C32" s="305"/>
      <c r="D32" s="305"/>
      <c r="E32" s="305"/>
      <c r="F32" s="108">
        <f t="shared" si="1"/>
        <v>44055</v>
      </c>
      <c r="G32" s="165">
        <f t="shared" si="2"/>
        <v>0.17</v>
      </c>
      <c r="H32" s="166">
        <f t="shared" si="3"/>
        <v>0.17</v>
      </c>
      <c r="I32" s="166">
        <f>IF(OR($E$2="fixation",O32="",O32=0),"",IF(AND('Basic Data Entry'!$G$11="Z-Rural",'Arear Table Protected'!T32&lt;2021),0.08,IF(AND('Basic Data Entry'!$G$11="Y-Urban",'Arear Table Protected'!T32&lt;2021),0.16,IF(AND('Basic Data Entry'!$G$11="Z-Rural",'Arear Table Protected'!T32=2021,S32&gt;=7),0.09,IF(AND('Basic Data Entry'!$G$11="Y-Urban",'Arear Table Protected'!T32=2021,'Arear Table Protected'!S32&gt;=7),0.18,IF(AND('Basic Data Entry'!$G$11="Z-Rural",'Arear Table Protected'!T32=2021,S32&lt;7),0.08,IF(AND('Basic Data Entry'!$G$11="Y-Urban",'Arear Table Protected'!T32=2021,'Arear Table Protected'!S32&lt;7),0.16,IF(AND('Basic Data Entry'!$G$11="Z-Rural",'Arear Table Protected'!T32=2022),0.09,IF(AND('Basic Data Entry'!$G$11="Y-Urban",'Arear Table Protected'!T32=2022),0.18,IF(AND('Basic Data Entry'!$G$11="Z-Rural",'Arear Table Protected'!T32=2023),0.09,IF(AND('Basic Data Entry'!$G$11="Y-Urban",'Arear Table Protected'!T32=2023),0.18,"")))))))))))</f>
        <v>0.08</v>
      </c>
      <c r="J32" s="167">
        <f>IF(OR(O32="",O32=0),"",IF(AND('Basic Data Entry'!$G$11="Z-Rural",'Arear Table Protected'!T32&lt;2021),0.08,IF(AND('Basic Data Entry'!$G$11="Y-Urban",'Arear Table Protected'!T32&lt;2021),0.16,IF(AND('Basic Data Entry'!$G$11="Z-Rural",'Arear Table Protected'!T32=2021,S32&gt;=7),0.09,IF(AND('Basic Data Entry'!$G$11="Y-Urban",'Arear Table Protected'!T32=2021,'Arear Table Protected'!S32&gt;=7),0.18,IF(AND('Basic Data Entry'!$G$11="Z-Rural",'Arear Table Protected'!T32=2021,S32&lt;7),0.08,IF(AND('Basic Data Entry'!$G$11="Y-Urban",'Arear Table Protected'!T32=2021,'Arear Table Protected'!S32&lt;7),0.16,IF(AND('Basic Data Entry'!$G$11="Z-Rural",'Arear Table Protected'!T32=2022),0.09,IF(AND('Basic Data Entry'!$G$11="Y-Urban",'Arear Table Protected'!T32=2022),0.18,IF(AND('Basic Data Entry'!$G$11="Z-Rural",'Arear Table Protected'!T32=2023),0.09,IF(AND('Basic Data Entry'!$G$11="Y-Urban",'Arear Table Protected'!T32=2023),0.18,"")))))))))))</f>
        <v>0.08</v>
      </c>
      <c r="K32" s="168" t="str">
        <f t="shared" si="4"/>
        <v/>
      </c>
      <c r="L32" s="169" t="str">
        <f t="shared" si="5"/>
        <v/>
      </c>
      <c r="M32" s="170" t="str">
        <f t="shared" si="7"/>
        <v/>
      </c>
      <c r="N32" s="196">
        <v>20</v>
      </c>
      <c r="O32" s="327">
        <f t="shared" si="8"/>
        <v>44055</v>
      </c>
      <c r="P32" s="328"/>
      <c r="Q32" s="328"/>
      <c r="R32" s="329"/>
      <c r="S32" s="161">
        <f t="array" ref="S32">IF(OR(O32=0,O32=""),"",MONTH(O32))</f>
        <v>8</v>
      </c>
      <c r="T32" s="161">
        <f t="array" ref="T32">IF(OR(O32=0,O32=""),"",YEAR(O32))</f>
        <v>2020</v>
      </c>
      <c r="U32" s="161" t="str">
        <f t="shared" si="9"/>
        <v>82020</v>
      </c>
      <c r="V32" s="197">
        <f t="array" ref="V32">IF(OR(O32=0,O32=""),"",BE32)</f>
        <v>46500</v>
      </c>
      <c r="W32" s="163">
        <f t="array" ref="W32">IF(OR(O32=0,O32=""),"",ROUND(V32*H32,0))</f>
        <v>7905</v>
      </c>
      <c r="X32" s="222">
        <f t="shared" si="10"/>
        <v>0</v>
      </c>
      <c r="Y32" s="163">
        <f t="array" ref="Y32">IF(OR(O32=0,O32=""),"",ROUND(V32*J32,0))</f>
        <v>3720</v>
      </c>
      <c r="Z32" s="198">
        <f t="array" ref="Z32">IF(OR(O32=0,O32=""),"",SUM(V32:Y32))</f>
        <v>58125</v>
      </c>
      <c r="AA32" s="199">
        <f t="array" ref="AA32">IF(OR(O32=0,O32=""),"",IF(V32=0,0,IF($E$2="FIXATION",$B$5,IF(V32=0,0,IF(BD32=7,ROUND(AA31*1.03,-2),AA31)))))</f>
        <v>41500</v>
      </c>
      <c r="AB32" s="200">
        <f t="array" ref="AB32">IF(OR(O32=0,O32=""),"",IF($E$2="fixation",0,ROUND(AA32*G32,0)))</f>
        <v>7055</v>
      </c>
      <c r="AC32" s="222">
        <f t="array" ref="AC32">IF(OR(O32=0,O32=""),"",AC31)</f>
        <v>0</v>
      </c>
      <c r="AD32" s="200">
        <f t="array" ref="AD32">IF(OR(O32=0,O32=""),"",IF($E$2="fixation",0,ROUND(AA32*I32,0)))</f>
        <v>3320</v>
      </c>
      <c r="AE32" s="198">
        <f t="array" ref="AE32">IF(OR(O32=0,O32=""),"",SUM(AA32:AD32))</f>
        <v>51875</v>
      </c>
      <c r="AF32" s="199">
        <f t="array" ref="AF32">IF(OR(O32=0,O32=""),"",V32-AA32)</f>
        <v>5000</v>
      </c>
      <c r="AG32" s="200">
        <f t="array" ref="AG32">IF(OR(O32=0,O32=""),"",W32-AB32)</f>
        <v>850</v>
      </c>
      <c r="AH32" s="200">
        <f t="array" ref="AH32">IF(OR(O32=0,O32=""),"",X32-AC32)</f>
        <v>0</v>
      </c>
      <c r="AI32" s="200">
        <f t="array" ref="AI32">IF(OR(O32=0,O32=""),"",Y32-AD32)</f>
        <v>400</v>
      </c>
      <c r="AJ32" s="201">
        <f t="array" ref="AJ32">IF(OR(O32=0,O32=""),"",Z32-AE32)</f>
        <v>6250</v>
      </c>
      <c r="AK32" s="202">
        <f t="array" ref="AK32">IF(OR(O32=0,O32=""),"",IF(M32="",$AZ$2,$AZ$2+M32))</f>
        <v>4500</v>
      </c>
      <c r="AL32" s="203">
        <f t="array" ref="AL32">IF(OR(O32=0,O32=""),"",$AQ$2)</f>
        <v>4500</v>
      </c>
      <c r="AM32" s="204">
        <f t="array" ref="AM32">IF(OR(O32=0,O32=""),"",AK32-AL32)</f>
        <v>0</v>
      </c>
      <c r="AN32" s="3">
        <f t="array" ref="AN32">IF(OR(O31=0,O31="",AN31="",AN31=""),"",AN31)</f>
        <v>3000</v>
      </c>
      <c r="AO32" s="2">
        <f t="array" ref="AO32">IF(OR(O31=0,O31="",AO31="",AO31=""),"",AO31)</f>
        <v>3000</v>
      </c>
      <c r="AP32" s="204">
        <f t="array" ref="AP32">IF(OR(O32=0,O32=""),"",SUM(AN32-AO32))</f>
        <v>0</v>
      </c>
      <c r="AQ32" s="106" t="str">
        <f t="array" ref="AQ32">IF(OR(O32=0,O32=""),"",IF(AND('Basic Data Entry'!$C$10="state Service",'Arear Table Protected'!T32=2020,S32=3),ROUND(V32/31*5,0),IF(AND('Basic Data Entry'!$C$10="state Service",'Arear Table Protected'!T32=2020,S32=9),ROUND(Z32/30*2,0),IF(AND('Basic Data Entry'!$C$10="state Service",'Arear Table Protected'!T32=2020,S32=10),ROUND(Z32/31*2,0),IF(AND('Basic Data Entry'!$C$10="subordinate",'Arear Table Protected'!T32=2020,S32=3),ROUND(V32/31*3,0),IF(AND('Basic Data Entry'!$C$10="subordinate",'Arear Table Protected'!T32=2020,S32=9),ROUND(Z32/30*1,0),IF(AND('Basic Data Entry'!$C$10="subordinate",'Arear Table Protected'!T32=2020,S32=10),ROUND(Z32/31*1,0),IF(AND('Basic Data Entry'!$C$10="ministrial",'Arear Table Protected'!T32=2020,S32=3),ROUND(V32/31*1,0),""))))))))</f>
        <v/>
      </c>
      <c r="AR32" s="107" t="str">
        <f t="array" ref="AR32">IF(OR(O32=0,O32=""),"",IF(AND('Basic Data Entry'!$C$10="state Service",'Arear Table Protected'!T32=2020,S32=3),ROUND(AA32/31*5,0),IF(AND('Basic Data Entry'!$C$10="state Service",'Arear Table Protected'!T32=2020,S32=9),ROUND(AE32/30*2,0),IF(AND('Basic Data Entry'!$C$10="state Service",'Arear Table Protected'!T32=2020,S32=10),ROUND(AE32/31*2,0),IF(AND('Basic Data Entry'!$C$10="subordinate",'Arear Table Protected'!T32=2020,S32=3),ROUND(AA32/31*3,0),IF(AND('Basic Data Entry'!$C$10="subordinate",'Arear Table Protected'!T32=2020,S32=9),ROUND(AE32/30*1,0),IF(AND('Basic Data Entry'!$C$10="subordinate",'Arear Table Protected'!T32=2020,S32=10),ROUND(AE32/31*1,0),IF(AND('Basic Data Entry'!$C$10="ministrial",'Arear Table Protected'!T32=2020,S32=3),ROUND(AA32/31*1,0),""))))))))</f>
        <v/>
      </c>
      <c r="AS32" s="205" t="str">
        <f t="array" ref="AS32">IF(OR(O32=0,O32="",AQ32="",AR32=""),"",AQ32-AR32)</f>
        <v/>
      </c>
      <c r="AT32" s="44">
        <f t="array" ref="AT32">IF(OR(O31=0,O31=""),"",AT31)</f>
        <v>0</v>
      </c>
      <c r="AU32" s="45">
        <f t="array" ref="AU32">IF(OR(O31=0,O31=""),"",AU31)</f>
        <v>0</v>
      </c>
      <c r="AV32" s="206">
        <f t="array" ref="AV32">IF(OR(O32=0,O32=""),"",SUM(AT32-AU32))</f>
        <v>0</v>
      </c>
      <c r="AW32" s="207">
        <f t="array" ref="AW32">IF(OR(O32=0,O32=""),"",ROUND((AJ32)*$E$3,0))</f>
        <v>625</v>
      </c>
      <c r="AX32" s="207">
        <f t="array" ref="AX32">IF(OR(O32=0,O32=""),"",SUM(AM32,AP32,AS32,AV32,AW32))</f>
        <v>625</v>
      </c>
      <c r="AY32" s="208">
        <f t="array" ref="AY32">IF(OR(O32=0,O32=""),"",AJ32-AX32)</f>
        <v>5625</v>
      </c>
      <c r="AZ32" s="46"/>
      <c r="BA32" s="24"/>
      <c r="BB32" s="24"/>
      <c r="BC32" s="11">
        <f t="shared" si="20"/>
        <v>44055</v>
      </c>
      <c r="BD32" s="84">
        <f t="shared" si="12"/>
        <v>8</v>
      </c>
      <c r="BE32" s="84">
        <f t="shared" si="18"/>
        <v>46500</v>
      </c>
      <c r="BI32" s="22">
        <f t="shared" si="19"/>
        <v>44055</v>
      </c>
      <c r="BK32" s="19">
        <f t="shared" si="13"/>
        <v>1</v>
      </c>
      <c r="BL32" s="20" t="str">
        <f t="array" ref="BL32">IF(OR(O32=0,O32=""),"",U32)</f>
        <v>82020</v>
      </c>
      <c r="BM32" s="19">
        <f t="array" ref="BM32">IF(OR(O32=0,O32=""),"",BK32+BL32)</f>
        <v>82021</v>
      </c>
      <c r="BN32" s="21">
        <f t="shared" si="21"/>
        <v>0</v>
      </c>
      <c r="BO32" s="21">
        <f t="shared" si="22"/>
        <v>0</v>
      </c>
      <c r="BP32" s="23">
        <f t="shared" si="16"/>
        <v>0</v>
      </c>
      <c r="BQ32" s="21" t="str">
        <f t="shared" si="23"/>
        <v>00</v>
      </c>
      <c r="BW32" s="81" t="str">
        <f>IF(OR(O32=0,O32=""),"",IF('Basic Data Entry'!$C$9="fixation","yes",""))</f>
        <v/>
      </c>
      <c r="BX32" s="81" t="str">
        <f>IF(OR(O32=0,O32=""),"",IF('Basic Data Entry'!$G$12="yes","yes","no"))</f>
        <v>no</v>
      </c>
    </row>
    <row r="33" spans="1:76" ht="18" customHeight="1" thickBot="1">
      <c r="A33" s="10">
        <f t="shared" si="6"/>
        <v>46500</v>
      </c>
      <c r="B33" s="305"/>
      <c r="C33" s="305"/>
      <c r="D33" s="305"/>
      <c r="E33" s="305"/>
      <c r="F33" s="108">
        <f t="shared" si="1"/>
        <v>44086</v>
      </c>
      <c r="G33" s="165">
        <f t="shared" si="2"/>
        <v>0.17</v>
      </c>
      <c r="H33" s="166">
        <f t="shared" si="3"/>
        <v>0.17</v>
      </c>
      <c r="I33" s="166">
        <f>IF(OR($E$2="fixation",O33="",O33=0),"",IF(AND('Basic Data Entry'!$G$11="Z-Rural",'Arear Table Protected'!T33&lt;2021),0.08,IF(AND('Basic Data Entry'!$G$11="Y-Urban",'Arear Table Protected'!T33&lt;2021),0.16,IF(AND('Basic Data Entry'!$G$11="Z-Rural",'Arear Table Protected'!T33=2021,S33&gt;=7),0.09,IF(AND('Basic Data Entry'!$G$11="Y-Urban",'Arear Table Protected'!T33=2021,'Arear Table Protected'!S33&gt;=7),0.18,IF(AND('Basic Data Entry'!$G$11="Z-Rural",'Arear Table Protected'!T33=2021,S33&lt;7),0.08,IF(AND('Basic Data Entry'!$G$11="Y-Urban",'Arear Table Protected'!T33=2021,'Arear Table Protected'!S33&lt;7),0.16,IF(AND('Basic Data Entry'!$G$11="Z-Rural",'Arear Table Protected'!T33=2022),0.09,IF(AND('Basic Data Entry'!$G$11="Y-Urban",'Arear Table Protected'!T33=2022),0.18,IF(AND('Basic Data Entry'!$G$11="Z-Rural",'Arear Table Protected'!T33=2023),0.09,IF(AND('Basic Data Entry'!$G$11="Y-Urban",'Arear Table Protected'!T33=2023),0.18,"")))))))))))</f>
        <v>0.08</v>
      </c>
      <c r="J33" s="167">
        <f>IF(OR(O33="",O33=0),"",IF(AND('Basic Data Entry'!$G$11="Z-Rural",'Arear Table Protected'!T33&lt;2021),0.08,IF(AND('Basic Data Entry'!$G$11="Y-Urban",'Arear Table Protected'!T33&lt;2021),0.16,IF(AND('Basic Data Entry'!$G$11="Z-Rural",'Arear Table Protected'!T33=2021,S33&gt;=7),0.09,IF(AND('Basic Data Entry'!$G$11="Y-Urban",'Arear Table Protected'!T33=2021,'Arear Table Protected'!S33&gt;=7),0.18,IF(AND('Basic Data Entry'!$G$11="Z-Rural",'Arear Table Protected'!T33=2021,S33&lt;7),0.08,IF(AND('Basic Data Entry'!$G$11="Y-Urban",'Arear Table Protected'!T33=2021,'Arear Table Protected'!S33&lt;7),0.16,IF(AND('Basic Data Entry'!$G$11="Z-Rural",'Arear Table Protected'!T33=2022),0.09,IF(AND('Basic Data Entry'!$G$11="Y-Urban",'Arear Table Protected'!T33=2022),0.18,IF(AND('Basic Data Entry'!$G$11="Z-Rural",'Arear Table Protected'!T33=2023),0.09,IF(AND('Basic Data Entry'!$G$11="Y-Urban",'Arear Table Protected'!T33=2023),0.18,"")))))))))))</f>
        <v>0.08</v>
      </c>
      <c r="K33" s="168" t="str">
        <f t="shared" si="4"/>
        <v/>
      </c>
      <c r="L33" s="169" t="str">
        <f t="shared" si="5"/>
        <v/>
      </c>
      <c r="M33" s="170" t="str">
        <f t="shared" si="7"/>
        <v/>
      </c>
      <c r="N33" s="196">
        <v>21</v>
      </c>
      <c r="O33" s="327">
        <f t="shared" si="8"/>
        <v>44086</v>
      </c>
      <c r="P33" s="328"/>
      <c r="Q33" s="328"/>
      <c r="R33" s="329"/>
      <c r="S33" s="161">
        <f t="array" ref="S33">IF(OR(O33=0,O33=""),"",MONTH(O33))</f>
        <v>9</v>
      </c>
      <c r="T33" s="161">
        <f t="array" ref="T33">IF(OR(O33=0,O33=""),"",YEAR(O33))</f>
        <v>2020</v>
      </c>
      <c r="U33" s="161" t="str">
        <f t="shared" si="9"/>
        <v>92020</v>
      </c>
      <c r="V33" s="197">
        <f t="array" ref="V33">IF(OR(O33=0,O33=""),"",BE33)</f>
        <v>46500</v>
      </c>
      <c r="W33" s="163">
        <f t="array" ref="W33">IF(OR(O33=0,O33=""),"",ROUND(V33*H33,0))</f>
        <v>7905</v>
      </c>
      <c r="X33" s="222">
        <f t="shared" si="10"/>
        <v>0</v>
      </c>
      <c r="Y33" s="163">
        <f t="array" ref="Y33">IF(OR(O33=0,O33=""),"",ROUND(V33*J33,0))</f>
        <v>3720</v>
      </c>
      <c r="Z33" s="198">
        <f t="array" ref="Z33">IF(OR(O33=0,O33=""),"",SUM(V33:Y33))</f>
        <v>58125</v>
      </c>
      <c r="AA33" s="199">
        <f t="array" ref="AA33">IF(OR(O33=0,O33=""),"",IF(V33=0,0,IF($E$2="FIXATION",$B$5,IF(V33=0,0,IF(BD33=7,ROUND(AA32*1.03,-2),AA32)))))</f>
        <v>41500</v>
      </c>
      <c r="AB33" s="200">
        <f t="array" ref="AB33">IF(OR(O33=0,O33=""),"",IF($E$2="fixation",0,ROUND(AA33*G33,0)))</f>
        <v>7055</v>
      </c>
      <c r="AC33" s="222">
        <f t="array" ref="AC33">IF(OR(O33=0,O33=""),"",AC32)</f>
        <v>0</v>
      </c>
      <c r="AD33" s="200">
        <f t="array" ref="AD33">IF(OR(O33=0,O33=""),"",IF($E$2="fixation",0,ROUND(AA33*I33,0)))</f>
        <v>3320</v>
      </c>
      <c r="AE33" s="198">
        <f t="array" ref="AE33">IF(OR(O33=0,O33=""),"",SUM(AA33:AD33))</f>
        <v>51875</v>
      </c>
      <c r="AF33" s="199">
        <f t="array" ref="AF33">IF(OR(O33=0,O33=""),"",V33-AA33)</f>
        <v>5000</v>
      </c>
      <c r="AG33" s="200">
        <f t="array" ref="AG33">IF(OR(O33=0,O33=""),"",W33-AB33)</f>
        <v>850</v>
      </c>
      <c r="AH33" s="200">
        <f t="array" ref="AH33">IF(OR(O33=0,O33=""),"",X33-AC33)</f>
        <v>0</v>
      </c>
      <c r="AI33" s="200">
        <f t="array" ref="AI33">IF(OR(O33=0,O33=""),"",Y33-AD33)</f>
        <v>400</v>
      </c>
      <c r="AJ33" s="201">
        <f t="array" ref="AJ33">IF(OR(O33=0,O33=""),"",Z33-AE33)</f>
        <v>6250</v>
      </c>
      <c r="AK33" s="202">
        <f t="array" ref="AK33">IF(OR(O33=0,O33=""),"",IF(M33="",$AZ$2,$AZ$2+M33))</f>
        <v>4500</v>
      </c>
      <c r="AL33" s="203">
        <f t="array" ref="AL33">IF(OR(O33=0,O33=""),"",$AQ$2)</f>
        <v>4500</v>
      </c>
      <c r="AM33" s="204">
        <f t="array" ref="AM33">IF(OR(O33=0,O33=""),"",AK33-AL33)</f>
        <v>0</v>
      </c>
      <c r="AN33" s="3">
        <f t="array" ref="AN33">IF(OR(O32=0,O32="",AN32="",AN32=""),"",AN32)</f>
        <v>3000</v>
      </c>
      <c r="AO33" s="2">
        <f t="array" ref="AO33">IF(OR(O32=0,O32="",AO32="",AO32=""),"",AO32)</f>
        <v>3000</v>
      </c>
      <c r="AP33" s="204">
        <f t="array" ref="AP33">IF(OR(O33=0,O33=""),"",SUM(AN33-AO33))</f>
        <v>0</v>
      </c>
      <c r="AQ33" s="106">
        <f t="array" ref="AQ33">IF(OR(O33=0,O33=""),"",IF(AND('Basic Data Entry'!$C$10="state Service",'Arear Table Protected'!T33=2020,S33=3),ROUND(V33/31*5,0),IF(AND('Basic Data Entry'!$C$10="state Service",'Arear Table Protected'!T33=2020,S33=9),ROUND(Z33/30*2,0),IF(AND('Basic Data Entry'!$C$10="state Service",'Arear Table Protected'!T33=2020,S33=10),ROUND(Z33/31*2,0),IF(AND('Basic Data Entry'!$C$10="subordinate",'Arear Table Protected'!T33=2020,S33=3),ROUND(V33/31*3,0),IF(AND('Basic Data Entry'!$C$10="subordinate",'Arear Table Protected'!T33=2020,S33=9),ROUND(Z33/30*1,0),IF(AND('Basic Data Entry'!$C$10="subordinate",'Arear Table Protected'!T33=2020,S33=10),ROUND(Z33/31*1,0),IF(AND('Basic Data Entry'!$C$10="ministrial",'Arear Table Protected'!T33=2020,S33=3),ROUND(V33/31*1,0),""))))))))</f>
        <v>1938</v>
      </c>
      <c r="AR33" s="107">
        <f t="array" ref="AR33">IF(OR(O33=0,O33=""),"",IF(AND('Basic Data Entry'!$C$10="state Service",'Arear Table Protected'!T33=2020,S33=3),ROUND(AA33/31*5,0),IF(AND('Basic Data Entry'!$C$10="state Service",'Arear Table Protected'!T33=2020,S33=9),ROUND(AE33/30*2,0),IF(AND('Basic Data Entry'!$C$10="state Service",'Arear Table Protected'!T33=2020,S33=10),ROUND(AE33/31*2,0),IF(AND('Basic Data Entry'!$C$10="subordinate",'Arear Table Protected'!T33=2020,S33=3),ROUND(AA33/31*3,0),IF(AND('Basic Data Entry'!$C$10="subordinate",'Arear Table Protected'!T33=2020,S33=9),ROUND(AE33/30*1,0),IF(AND('Basic Data Entry'!$C$10="subordinate",'Arear Table Protected'!T33=2020,S33=10),ROUND(AE33/31*1,0),IF(AND('Basic Data Entry'!$C$10="ministrial",'Arear Table Protected'!T33=2020,S33=3),ROUND(AA33/31*1,0),""))))))))</f>
        <v>1729</v>
      </c>
      <c r="AS33" s="205">
        <f t="array" ref="AS33">IF(OR(O33=0,O33="",AQ33="",AR33=""),"",AQ33-AR33)</f>
        <v>209</v>
      </c>
      <c r="AT33" s="44">
        <f t="array" ref="AT33">IF(OR(O32=0,O32=""),"",AT32)</f>
        <v>0</v>
      </c>
      <c r="AU33" s="45">
        <f t="array" ref="AU33">IF(OR(O32=0,O32=""),"",AU32)</f>
        <v>0</v>
      </c>
      <c r="AV33" s="206">
        <f t="array" ref="AV33">IF(OR(O33=0,O33=""),"",SUM(AT33-AU33))</f>
        <v>0</v>
      </c>
      <c r="AW33" s="207">
        <f t="array" ref="AW33">IF(OR(O33=0,O33=""),"",ROUND((AJ33)*$E$3,0))</f>
        <v>625</v>
      </c>
      <c r="AX33" s="207">
        <f t="array" ref="AX33">IF(OR(O33=0,O33=""),"",SUM(AM33,AP33,AS33,AV33,AW33))</f>
        <v>834</v>
      </c>
      <c r="AY33" s="208">
        <f t="array" ref="AY33">IF(OR(O33=0,O33=""),"",AJ33-AX33)</f>
        <v>5416</v>
      </c>
      <c r="AZ33" s="46"/>
      <c r="BA33" s="24"/>
      <c r="BB33" s="24"/>
      <c r="BC33" s="11">
        <f t="shared" si="20"/>
        <v>44086</v>
      </c>
      <c r="BD33" s="84">
        <f t="shared" si="12"/>
        <v>9</v>
      </c>
      <c r="BE33" s="84">
        <f t="shared" si="18"/>
        <v>46500</v>
      </c>
      <c r="BI33" s="22">
        <f t="shared" si="19"/>
        <v>44086</v>
      </c>
      <c r="BK33" s="19">
        <f t="shared" si="13"/>
        <v>1</v>
      </c>
      <c r="BL33" s="20" t="str">
        <f t="array" ref="BL33">IF(OR(O33=0,O33=""),"",U33)</f>
        <v>92020</v>
      </c>
      <c r="BM33" s="19">
        <f t="array" ref="BM33">IF(OR(O33=0,O33=""),"",BK33+BL33)</f>
        <v>92021</v>
      </c>
      <c r="BN33" s="21" t="str">
        <f t="shared" si="21"/>
        <v>FS</v>
      </c>
      <c r="BO33" s="21" t="str">
        <f t="shared" si="22"/>
        <v>S</v>
      </c>
      <c r="BP33" s="23" t="str">
        <f t="shared" si="16"/>
        <v>ss</v>
      </c>
      <c r="BQ33" s="21" t="str">
        <f t="shared" si="23"/>
        <v>Sss</v>
      </c>
      <c r="BW33" s="81" t="str">
        <f>IF(OR(O33=0,O33=""),"",IF('Basic Data Entry'!$C$9="fixation","yes",""))</f>
        <v/>
      </c>
      <c r="BX33" s="81" t="str">
        <f>IF(OR(O33=0,O33=""),"",IF('Basic Data Entry'!$G$12="yes","yes","no"))</f>
        <v>no</v>
      </c>
    </row>
    <row r="34" spans="1:76" ht="18" customHeight="1" thickBot="1">
      <c r="A34" s="10">
        <f t="shared" si="6"/>
        <v>46500</v>
      </c>
      <c r="B34" s="305"/>
      <c r="C34" s="305"/>
      <c r="D34" s="305"/>
      <c r="E34" s="305"/>
      <c r="F34" s="108">
        <f t="shared" si="1"/>
        <v>44117</v>
      </c>
      <c r="G34" s="165">
        <f t="shared" si="2"/>
        <v>0.17</v>
      </c>
      <c r="H34" s="166">
        <f t="shared" si="3"/>
        <v>0.17</v>
      </c>
      <c r="I34" s="166">
        <f>IF(OR($E$2="fixation",O34="",O34=0),"",IF(AND('Basic Data Entry'!$G$11="Z-Rural",'Arear Table Protected'!T34&lt;2021),0.08,IF(AND('Basic Data Entry'!$G$11="Y-Urban",'Arear Table Protected'!T34&lt;2021),0.16,IF(AND('Basic Data Entry'!$G$11="Z-Rural",'Arear Table Protected'!T34=2021,S34&gt;=7),0.09,IF(AND('Basic Data Entry'!$G$11="Y-Urban",'Arear Table Protected'!T34=2021,'Arear Table Protected'!S34&gt;=7),0.18,IF(AND('Basic Data Entry'!$G$11="Z-Rural",'Arear Table Protected'!T34=2021,S34&lt;7),0.08,IF(AND('Basic Data Entry'!$G$11="Y-Urban",'Arear Table Protected'!T34=2021,'Arear Table Protected'!S34&lt;7),0.16,IF(AND('Basic Data Entry'!$G$11="Z-Rural",'Arear Table Protected'!T34=2022),0.09,IF(AND('Basic Data Entry'!$G$11="Y-Urban",'Arear Table Protected'!T34=2022),0.18,IF(AND('Basic Data Entry'!$G$11="Z-Rural",'Arear Table Protected'!T34=2023),0.09,IF(AND('Basic Data Entry'!$G$11="Y-Urban",'Arear Table Protected'!T34=2023),0.18,"")))))))))))</f>
        <v>0.08</v>
      </c>
      <c r="J34" s="167">
        <f>IF(OR(O34="",O34=0),"",IF(AND('Basic Data Entry'!$G$11="Z-Rural",'Arear Table Protected'!T34&lt;2021),0.08,IF(AND('Basic Data Entry'!$G$11="Y-Urban",'Arear Table Protected'!T34&lt;2021),0.16,IF(AND('Basic Data Entry'!$G$11="Z-Rural",'Arear Table Protected'!T34=2021,S34&gt;=7),0.09,IF(AND('Basic Data Entry'!$G$11="Y-Urban",'Arear Table Protected'!T34=2021,'Arear Table Protected'!S34&gt;=7),0.18,IF(AND('Basic Data Entry'!$G$11="Z-Rural",'Arear Table Protected'!T34=2021,S34&lt;7),0.08,IF(AND('Basic Data Entry'!$G$11="Y-Urban",'Arear Table Protected'!T34=2021,'Arear Table Protected'!S34&lt;7),0.16,IF(AND('Basic Data Entry'!$G$11="Z-Rural",'Arear Table Protected'!T34=2022),0.09,IF(AND('Basic Data Entry'!$G$11="Y-Urban",'Arear Table Protected'!T34=2022),0.18,IF(AND('Basic Data Entry'!$G$11="Z-Rural",'Arear Table Protected'!T34=2023),0.09,IF(AND('Basic Data Entry'!$G$11="Y-Urban",'Arear Table Protected'!T34=2023),0.18,"")))))))))))</f>
        <v>0.08</v>
      </c>
      <c r="K34" s="168" t="str">
        <f t="shared" si="4"/>
        <v/>
      </c>
      <c r="L34" s="169" t="str">
        <f t="shared" si="5"/>
        <v/>
      </c>
      <c r="M34" s="170" t="str">
        <f t="shared" si="7"/>
        <v/>
      </c>
      <c r="N34" s="196">
        <v>22</v>
      </c>
      <c r="O34" s="327">
        <f t="shared" si="8"/>
        <v>44117</v>
      </c>
      <c r="P34" s="328"/>
      <c r="Q34" s="328"/>
      <c r="R34" s="329"/>
      <c r="S34" s="161">
        <f t="array" ref="S34">IF(OR(O34=0,O34=""),"",MONTH(O34))</f>
        <v>10</v>
      </c>
      <c r="T34" s="161">
        <f t="array" ref="T34">IF(OR(O34=0,O34=""),"",YEAR(O34))</f>
        <v>2020</v>
      </c>
      <c r="U34" s="161" t="str">
        <f t="shared" si="9"/>
        <v>102020</v>
      </c>
      <c r="V34" s="197">
        <f t="array" ref="V34">IF(OR(O34=0,O34=""),"",BE34)</f>
        <v>46500</v>
      </c>
      <c r="W34" s="163">
        <f t="array" ref="W34">IF(OR(O34=0,O34=""),"",ROUND(V34*H34,0))</f>
        <v>7905</v>
      </c>
      <c r="X34" s="222">
        <f t="shared" si="10"/>
        <v>0</v>
      </c>
      <c r="Y34" s="163">
        <f t="array" ref="Y34">IF(OR(O34=0,O34=""),"",ROUND(V34*J34,0))</f>
        <v>3720</v>
      </c>
      <c r="Z34" s="198">
        <f t="array" ref="Z34">IF(OR(O34=0,O34=""),"",SUM(V34:Y34))</f>
        <v>58125</v>
      </c>
      <c r="AA34" s="199">
        <f t="array" ref="AA34">IF(OR(O34=0,O34=""),"",IF(V34=0,0,IF($E$2="FIXATION",$B$5,IF(V34=0,0,IF(BD34=7,ROUND(AA33*1.03,-2),AA33)))))</f>
        <v>41500</v>
      </c>
      <c r="AB34" s="200">
        <f t="array" ref="AB34">IF(OR(O34=0,O34=""),"",IF($E$2="fixation",0,ROUND(AA34*G34,0)))</f>
        <v>7055</v>
      </c>
      <c r="AC34" s="222">
        <f t="array" ref="AC34">IF(OR(O34=0,O34=""),"",AC33)</f>
        <v>0</v>
      </c>
      <c r="AD34" s="200">
        <f t="array" ref="AD34">IF(OR(O34=0,O34=""),"",IF($E$2="fixation",0,ROUND(AA34*I34,0)))</f>
        <v>3320</v>
      </c>
      <c r="AE34" s="198">
        <f t="array" ref="AE34">IF(OR(O34=0,O34=""),"",SUM(AA34:AD34))</f>
        <v>51875</v>
      </c>
      <c r="AF34" s="199">
        <f t="array" ref="AF34">IF(OR(O34=0,O34=""),"",V34-AA34)</f>
        <v>5000</v>
      </c>
      <c r="AG34" s="200">
        <f t="array" ref="AG34">IF(OR(O34=0,O34=""),"",W34-AB34)</f>
        <v>850</v>
      </c>
      <c r="AH34" s="200">
        <f t="array" ref="AH34">IF(OR(O34=0,O34=""),"",X34-AC34)</f>
        <v>0</v>
      </c>
      <c r="AI34" s="200">
        <f t="array" ref="AI34">IF(OR(O34=0,O34=""),"",Y34-AD34)</f>
        <v>400</v>
      </c>
      <c r="AJ34" s="201">
        <f t="array" ref="AJ34">IF(OR(O34=0,O34=""),"",Z34-AE34)</f>
        <v>6250</v>
      </c>
      <c r="AK34" s="202">
        <f t="array" ref="AK34">IF(OR(O34=0,O34=""),"",IF(M34="",$AZ$2,$AZ$2+M34))</f>
        <v>4500</v>
      </c>
      <c r="AL34" s="203">
        <f t="array" ref="AL34">IF(OR(O34=0,O34=""),"",$AQ$2)</f>
        <v>4500</v>
      </c>
      <c r="AM34" s="204">
        <f t="array" ref="AM34">IF(OR(O34=0,O34=""),"",AK34-AL34)</f>
        <v>0</v>
      </c>
      <c r="AN34" s="3">
        <f t="array" ref="AN34">IF(OR(O33=0,O33="",AN33="",AN33=""),"",AN33)</f>
        <v>3000</v>
      </c>
      <c r="AO34" s="2">
        <f t="array" ref="AO34">IF(OR(O33=0,O33="",AO33="",AO33=""),"",AO33)</f>
        <v>3000</v>
      </c>
      <c r="AP34" s="204">
        <f t="array" ref="AP34">IF(OR(O34=0,O34=""),"",SUM(AN34-AO34))</f>
        <v>0</v>
      </c>
      <c r="AQ34" s="106">
        <f t="array" ref="AQ34">IF(OR(O34=0,O34=""),"",IF(AND('Basic Data Entry'!$C$10="state Service",'Arear Table Protected'!T34=2020,S34=3),ROUND(V34/31*5,0),IF(AND('Basic Data Entry'!$C$10="state Service",'Arear Table Protected'!T34=2020,S34=9),ROUND(Z34/30*2,0),IF(AND('Basic Data Entry'!$C$10="state Service",'Arear Table Protected'!T34=2020,S34=10),ROUND(Z34/31*2,0),IF(AND('Basic Data Entry'!$C$10="subordinate",'Arear Table Protected'!T34=2020,S34=3),ROUND(V34/31*3,0),IF(AND('Basic Data Entry'!$C$10="subordinate",'Arear Table Protected'!T34=2020,S34=9),ROUND(Z34/30*1,0),IF(AND('Basic Data Entry'!$C$10="subordinate",'Arear Table Protected'!T34=2020,S34=10),ROUND(Z34/31*1,0),IF(AND('Basic Data Entry'!$C$10="ministrial",'Arear Table Protected'!T34=2020,S34=3),ROUND(V34/31*1,0),""))))))))</f>
        <v>1875</v>
      </c>
      <c r="AR34" s="107">
        <f t="array" ref="AR34">IF(OR(O34=0,O34=""),"",IF(AND('Basic Data Entry'!$C$10="state Service",'Arear Table Protected'!T34=2020,S34=3),ROUND(AA34/31*5,0),IF(AND('Basic Data Entry'!$C$10="state Service",'Arear Table Protected'!T34=2020,S34=9),ROUND(AE34/30*2,0),IF(AND('Basic Data Entry'!$C$10="state Service",'Arear Table Protected'!T34=2020,S34=10),ROUND(AE34/31*2,0),IF(AND('Basic Data Entry'!$C$10="subordinate",'Arear Table Protected'!T34=2020,S34=3),ROUND(AA34/31*3,0),IF(AND('Basic Data Entry'!$C$10="subordinate",'Arear Table Protected'!T34=2020,S34=9),ROUND(AE34/30*1,0),IF(AND('Basic Data Entry'!$C$10="subordinate",'Arear Table Protected'!T34=2020,S34=10),ROUND(AE34/31*1,0),IF(AND('Basic Data Entry'!$C$10="ministrial",'Arear Table Protected'!T34=2020,S34=3),ROUND(AA34/31*1,0),""))))))))</f>
        <v>1673</v>
      </c>
      <c r="AS34" s="205">
        <f t="array" ref="AS34">IF(OR(O34=0,O34="",AQ34="",AR34=""),"",AQ34-AR34)</f>
        <v>202</v>
      </c>
      <c r="AT34" s="44">
        <f t="array" ref="AT34">IF(OR(O33=0,O33=""),"",AT33)</f>
        <v>0</v>
      </c>
      <c r="AU34" s="45">
        <f t="array" ref="AU34">IF(OR(O33=0,O33=""),"",AU33)</f>
        <v>0</v>
      </c>
      <c r="AV34" s="206">
        <f t="array" ref="AV34">IF(OR(O34=0,O34=""),"",SUM(AT34-AU34))</f>
        <v>0</v>
      </c>
      <c r="AW34" s="207">
        <f t="array" ref="AW34">IF(OR(O34=0,O34=""),"",ROUND((AJ34)*$E$3,0))</f>
        <v>625</v>
      </c>
      <c r="AX34" s="207">
        <f t="array" ref="AX34">IF(OR(O34=0,O34=""),"",SUM(AM34,AP34,AS34,AV34,AW34))</f>
        <v>827</v>
      </c>
      <c r="AY34" s="208">
        <f t="array" ref="AY34">IF(OR(O34=0,O34=""),"",AJ34-AX34)</f>
        <v>5423</v>
      </c>
      <c r="AZ34" s="46"/>
      <c r="BA34" s="24"/>
      <c r="BB34" s="24"/>
      <c r="BC34" s="11">
        <f t="shared" si="20"/>
        <v>44117</v>
      </c>
      <c r="BD34" s="84">
        <f t="shared" si="12"/>
        <v>10</v>
      </c>
      <c r="BE34" s="84">
        <f t="shared" si="18"/>
        <v>46500</v>
      </c>
      <c r="BI34" s="22">
        <f t="shared" si="19"/>
        <v>44117</v>
      </c>
      <c r="BK34" s="19">
        <f t="shared" si="13"/>
        <v>1</v>
      </c>
      <c r="BL34" s="20" t="str">
        <f t="array" ref="BL34">IF(OR(O34=0,O34=""),"",U34)</f>
        <v>102020</v>
      </c>
      <c r="BM34" s="19">
        <f t="array" ref="BM34">IF(OR(O34=0,O34=""),"",BK34+BL34)</f>
        <v>102021</v>
      </c>
      <c r="BN34" s="21" t="str">
        <f t="shared" si="21"/>
        <v>FO</v>
      </c>
      <c r="BO34" s="21" t="str">
        <f t="shared" si="22"/>
        <v>O</v>
      </c>
      <c r="BP34" s="23" t="str">
        <f t="shared" si="16"/>
        <v>ss</v>
      </c>
      <c r="BQ34" s="21" t="str">
        <f t="shared" si="23"/>
        <v>Oss</v>
      </c>
      <c r="BW34" s="81" t="str">
        <f>IF(OR(O34=0,O34=""),"",IF('Basic Data Entry'!$C$9="fixation","yes",""))</f>
        <v/>
      </c>
      <c r="BX34" s="81" t="str">
        <f>IF(OR(O34=0,O34=""),"",IF('Basic Data Entry'!$G$12="yes","yes","no"))</f>
        <v>no</v>
      </c>
    </row>
    <row r="35" spans="1:76" ht="18" customHeight="1" thickBot="1">
      <c r="A35" s="10">
        <f t="shared" si="6"/>
        <v>46500</v>
      </c>
      <c r="B35" s="305"/>
      <c r="C35" s="305"/>
      <c r="D35" s="305"/>
      <c r="E35" s="305"/>
      <c r="F35" s="108">
        <f t="shared" si="1"/>
        <v>44148</v>
      </c>
      <c r="G35" s="165">
        <f t="shared" si="2"/>
        <v>0.17</v>
      </c>
      <c r="H35" s="166">
        <f t="shared" si="3"/>
        <v>0.17</v>
      </c>
      <c r="I35" s="166">
        <f>IF(OR($E$2="fixation",O35="",O35=0),"",IF(AND('Basic Data Entry'!$G$11="Z-Rural",'Arear Table Protected'!T35&lt;2021),0.08,IF(AND('Basic Data Entry'!$G$11="Y-Urban",'Arear Table Protected'!T35&lt;2021),0.16,IF(AND('Basic Data Entry'!$G$11="Z-Rural",'Arear Table Protected'!T35=2021,S35&gt;=7),0.09,IF(AND('Basic Data Entry'!$G$11="Y-Urban",'Arear Table Protected'!T35=2021,'Arear Table Protected'!S35&gt;=7),0.18,IF(AND('Basic Data Entry'!$G$11="Z-Rural",'Arear Table Protected'!T35=2021,S35&lt;7),0.08,IF(AND('Basic Data Entry'!$G$11="Y-Urban",'Arear Table Protected'!T35=2021,'Arear Table Protected'!S35&lt;7),0.16,IF(AND('Basic Data Entry'!$G$11="Z-Rural",'Arear Table Protected'!T35=2022),0.09,IF(AND('Basic Data Entry'!$G$11="Y-Urban",'Arear Table Protected'!T35=2022),0.18,IF(AND('Basic Data Entry'!$G$11="Z-Rural",'Arear Table Protected'!T35=2023),0.09,IF(AND('Basic Data Entry'!$G$11="Y-Urban",'Arear Table Protected'!T35=2023),0.18,"")))))))))))</f>
        <v>0.08</v>
      </c>
      <c r="J35" s="167">
        <f>IF(OR(O35="",O35=0),"",IF(AND('Basic Data Entry'!$G$11="Z-Rural",'Arear Table Protected'!T35&lt;2021),0.08,IF(AND('Basic Data Entry'!$G$11="Y-Urban",'Arear Table Protected'!T35&lt;2021),0.16,IF(AND('Basic Data Entry'!$G$11="Z-Rural",'Arear Table Protected'!T35=2021,S35&gt;=7),0.09,IF(AND('Basic Data Entry'!$G$11="Y-Urban",'Arear Table Protected'!T35=2021,'Arear Table Protected'!S35&gt;=7),0.18,IF(AND('Basic Data Entry'!$G$11="Z-Rural",'Arear Table Protected'!T35=2021,S35&lt;7),0.08,IF(AND('Basic Data Entry'!$G$11="Y-Urban",'Arear Table Protected'!T35=2021,'Arear Table Protected'!S35&lt;7),0.16,IF(AND('Basic Data Entry'!$G$11="Z-Rural",'Arear Table Protected'!T35=2022),0.09,IF(AND('Basic Data Entry'!$G$11="Y-Urban",'Arear Table Protected'!T35=2022),0.18,IF(AND('Basic Data Entry'!$G$11="Z-Rural",'Arear Table Protected'!T35=2023),0.09,IF(AND('Basic Data Entry'!$G$11="Y-Urban",'Arear Table Protected'!T35=2023),0.18,"")))))))))))</f>
        <v>0.08</v>
      </c>
      <c r="K35" s="168" t="str">
        <f t="shared" si="4"/>
        <v/>
      </c>
      <c r="L35" s="169" t="str">
        <f t="shared" si="5"/>
        <v/>
      </c>
      <c r="M35" s="170" t="str">
        <f t="shared" si="7"/>
        <v/>
      </c>
      <c r="N35" s="196">
        <v>23</v>
      </c>
      <c r="O35" s="327">
        <f t="shared" si="8"/>
        <v>44148</v>
      </c>
      <c r="P35" s="328"/>
      <c r="Q35" s="328"/>
      <c r="R35" s="329"/>
      <c r="S35" s="161">
        <f t="array" ref="S35">IF(OR(O35=0,O35=""),"",MONTH(O35))</f>
        <v>11</v>
      </c>
      <c r="T35" s="161">
        <f t="array" ref="T35">IF(OR(O35=0,O35=""),"",YEAR(O35))</f>
        <v>2020</v>
      </c>
      <c r="U35" s="161" t="str">
        <f t="shared" si="9"/>
        <v>112020</v>
      </c>
      <c r="V35" s="197">
        <f t="array" ref="V35">IF(OR(O35=0,O35=""),"",BE35)</f>
        <v>46500</v>
      </c>
      <c r="W35" s="163">
        <f t="array" ref="W35">IF(OR(O35=0,O35=""),"",ROUND(V35*H35,0))</f>
        <v>7905</v>
      </c>
      <c r="X35" s="222">
        <f t="shared" si="10"/>
        <v>0</v>
      </c>
      <c r="Y35" s="163">
        <f t="array" ref="Y35">IF(OR(O35=0,O35=""),"",ROUND(V35*J35,0))</f>
        <v>3720</v>
      </c>
      <c r="Z35" s="198">
        <f t="array" ref="Z35">IF(OR(O35=0,O35=""),"",SUM(V35:Y35))</f>
        <v>58125</v>
      </c>
      <c r="AA35" s="199">
        <f t="array" ref="AA35">IF(OR(O35=0,O35=""),"",IF(V35=0,0,IF($E$2="FIXATION",$B$5,IF(V35=0,0,IF(BD35=7,ROUND(AA34*1.03,-2),AA34)))))</f>
        <v>41500</v>
      </c>
      <c r="AB35" s="200">
        <f t="array" ref="AB35">IF(OR(O35=0,O35=""),"",IF($E$2="fixation",0,ROUND(AA35*G35,0)))</f>
        <v>7055</v>
      </c>
      <c r="AC35" s="222">
        <f t="array" ref="AC35">IF(OR(O35=0,O35=""),"",AC34)</f>
        <v>0</v>
      </c>
      <c r="AD35" s="200">
        <f t="array" ref="AD35">IF(OR(O35=0,O35=""),"",IF($E$2="fixation",0,ROUND(AA35*I35,0)))</f>
        <v>3320</v>
      </c>
      <c r="AE35" s="198">
        <f t="array" ref="AE35">IF(OR(O35=0,O35=""),"",SUM(AA35:AD35))</f>
        <v>51875</v>
      </c>
      <c r="AF35" s="199">
        <f t="array" ref="AF35">IF(OR(O35=0,O35=""),"",V35-AA35)</f>
        <v>5000</v>
      </c>
      <c r="AG35" s="200">
        <f t="array" ref="AG35">IF(OR(O35=0,O35=""),"",W35-AB35)</f>
        <v>850</v>
      </c>
      <c r="AH35" s="200">
        <f t="array" ref="AH35">IF(OR(O35=0,O35=""),"",X35-AC35)</f>
        <v>0</v>
      </c>
      <c r="AI35" s="200">
        <f t="array" ref="AI35">IF(OR(O35=0,O35=""),"",Y35-AD35)</f>
        <v>400</v>
      </c>
      <c r="AJ35" s="201">
        <f t="array" ref="AJ35">IF(OR(O35=0,O35=""),"",Z35-AE35)</f>
        <v>6250</v>
      </c>
      <c r="AK35" s="202">
        <f t="array" ref="AK35">IF(OR(O35=0,O35=""),"",IF(M35="",$AZ$2,$AZ$2+M35))</f>
        <v>4500</v>
      </c>
      <c r="AL35" s="203">
        <f t="array" ref="AL35">IF(OR(O35=0,O35=""),"",$AQ$2)</f>
        <v>4500</v>
      </c>
      <c r="AM35" s="204">
        <f t="array" ref="AM35">IF(OR(O35=0,O35=""),"",AK35-AL35)</f>
        <v>0</v>
      </c>
      <c r="AN35" s="3">
        <f t="array" ref="AN35">IF(OR(O34=0,O34="",AN34="",AN34=""),"",AN34)</f>
        <v>3000</v>
      </c>
      <c r="AO35" s="2">
        <f t="array" ref="AO35">IF(OR(O34=0,O34="",AO34="",AO34=""),"",AO34)</f>
        <v>3000</v>
      </c>
      <c r="AP35" s="204">
        <f t="array" ref="AP35">IF(OR(O35=0,O35=""),"",SUM(AN35-AO35))</f>
        <v>0</v>
      </c>
      <c r="AQ35" s="106" t="str">
        <f t="array" ref="AQ35">IF(OR(O35=0,O35=""),"",IF(AND('Basic Data Entry'!$C$10="state Service",'Arear Table Protected'!T35=2020,S35=3),ROUND(V35/31*5,0),IF(AND('Basic Data Entry'!$C$10="state Service",'Arear Table Protected'!T35=2020,S35=9),ROUND(Z35/30*2,0),IF(AND('Basic Data Entry'!$C$10="state Service",'Arear Table Protected'!T35=2020,S35=10),ROUND(Z35/31*2,0),IF(AND('Basic Data Entry'!$C$10="subordinate",'Arear Table Protected'!T35=2020,S35=3),ROUND(V35/31*3,0),IF(AND('Basic Data Entry'!$C$10="subordinate",'Arear Table Protected'!T35=2020,S35=9),ROUND(Z35/30*1,0),IF(AND('Basic Data Entry'!$C$10="subordinate",'Arear Table Protected'!T35=2020,S35=10),ROUND(Z35/31*1,0),IF(AND('Basic Data Entry'!$C$10="ministrial",'Arear Table Protected'!T35=2020,S35=3),ROUND(V35/31*1,0),""))))))))</f>
        <v/>
      </c>
      <c r="AR35" s="107" t="str">
        <f t="array" ref="AR35">IF(OR(O35=0,O35=""),"",IF(AND('Basic Data Entry'!$C$10="state Service",'Arear Table Protected'!T35=2020,S35=3),ROUND(AA35/31*5,0),IF(AND('Basic Data Entry'!$C$10="state Service",'Arear Table Protected'!T35=2020,S35=9),ROUND(AE35/30*2,0),IF(AND('Basic Data Entry'!$C$10="state Service",'Arear Table Protected'!T35=2020,S35=10),ROUND(AE35/31*2,0),IF(AND('Basic Data Entry'!$C$10="subordinate",'Arear Table Protected'!T35=2020,S35=3),ROUND(AA35/31*3,0),IF(AND('Basic Data Entry'!$C$10="subordinate",'Arear Table Protected'!T35=2020,S35=9),ROUND(AE35/30*1,0),IF(AND('Basic Data Entry'!$C$10="subordinate",'Arear Table Protected'!T35=2020,S35=10),ROUND(AE35/31*1,0),IF(AND('Basic Data Entry'!$C$10="ministrial",'Arear Table Protected'!T35=2020,S35=3),ROUND(AA35/31*1,0),""))))))))</f>
        <v/>
      </c>
      <c r="AS35" s="205" t="str">
        <f t="array" ref="AS35">IF(OR(O35=0,O35="",AQ35="",AR35=""),"",AQ35-AR35)</f>
        <v/>
      </c>
      <c r="AT35" s="44">
        <f t="array" ref="AT35">IF(OR(O34=0,O34=""),"",AT34)</f>
        <v>0</v>
      </c>
      <c r="AU35" s="45">
        <f t="array" ref="AU35">IF(OR(O34=0,O34=""),"",AU34)</f>
        <v>0</v>
      </c>
      <c r="AV35" s="206">
        <f t="array" ref="AV35">IF(OR(O35=0,O35=""),"",SUM(AT35-AU35))</f>
        <v>0</v>
      </c>
      <c r="AW35" s="207">
        <f t="array" ref="AW35">IF(OR(O35=0,O35=""),"",ROUND((AJ35)*$E$3,0))</f>
        <v>625</v>
      </c>
      <c r="AX35" s="207">
        <f t="array" ref="AX35">IF(OR(O35=0,O35=""),"",SUM(AM35,AP35,AS35,AV35,AW35))</f>
        <v>625</v>
      </c>
      <c r="AY35" s="208">
        <f t="array" ref="AY35">IF(OR(O35=0,O35=""),"",AJ35-AX35)</f>
        <v>5625</v>
      </c>
      <c r="AZ35" s="46"/>
      <c r="BA35" s="24"/>
      <c r="BB35" s="24"/>
      <c r="BC35" s="11">
        <f t="shared" si="20"/>
        <v>44148</v>
      </c>
      <c r="BD35" s="84">
        <f t="shared" si="12"/>
        <v>11</v>
      </c>
      <c r="BE35" s="84">
        <f t="shared" si="18"/>
        <v>46500</v>
      </c>
      <c r="BI35" s="22">
        <f t="shared" si="19"/>
        <v>44148</v>
      </c>
      <c r="BK35" s="19">
        <f t="shared" si="13"/>
        <v>1</v>
      </c>
      <c r="BL35" s="20" t="str">
        <f t="array" ref="BL35">IF(OR(O35=0,O35=""),"",U35)</f>
        <v>112020</v>
      </c>
      <c r="BM35" s="19">
        <f t="array" ref="BM35">IF(OR(O35=0,O35=""),"",BK35+BL35)</f>
        <v>112021</v>
      </c>
      <c r="BN35" s="21">
        <f t="shared" si="21"/>
        <v>0</v>
      </c>
      <c r="BO35" s="21">
        <f t="shared" si="22"/>
        <v>0</v>
      </c>
      <c r="BP35" s="23">
        <f t="shared" si="16"/>
        <v>0</v>
      </c>
      <c r="BQ35" s="21" t="str">
        <f t="shared" si="23"/>
        <v>00</v>
      </c>
      <c r="BW35" s="81" t="str">
        <f>IF(OR(O35=0,O35=""),"",IF('Basic Data Entry'!$C$9="fixation","yes",""))</f>
        <v/>
      </c>
      <c r="BX35" s="81" t="str">
        <f>IF(OR(O35=0,O35=""),"",IF('Basic Data Entry'!$G$12="yes","yes","no"))</f>
        <v>no</v>
      </c>
    </row>
    <row r="36" spans="1:76" ht="18" customHeight="1" thickBot="1">
      <c r="A36" s="10">
        <f t="shared" si="6"/>
        <v>46500</v>
      </c>
      <c r="B36" s="305"/>
      <c r="C36" s="305"/>
      <c r="D36" s="305"/>
      <c r="E36" s="305"/>
      <c r="F36" s="108">
        <f t="shared" si="1"/>
        <v>44179</v>
      </c>
      <c r="G36" s="165">
        <f t="shared" si="2"/>
        <v>0.17</v>
      </c>
      <c r="H36" s="166">
        <f t="shared" si="3"/>
        <v>0.17</v>
      </c>
      <c r="I36" s="166">
        <f>IF(OR($E$2="fixation",O36="",O36=0),"",IF(AND('Basic Data Entry'!$G$11="Z-Rural",'Arear Table Protected'!T36&lt;2021),0.08,IF(AND('Basic Data Entry'!$G$11="Y-Urban",'Arear Table Protected'!T36&lt;2021),0.16,IF(AND('Basic Data Entry'!$G$11="Z-Rural",'Arear Table Protected'!T36=2021,S36&gt;=7),0.09,IF(AND('Basic Data Entry'!$G$11="Y-Urban",'Arear Table Protected'!T36=2021,'Arear Table Protected'!S36&gt;=7),0.18,IF(AND('Basic Data Entry'!$G$11="Z-Rural",'Arear Table Protected'!T36=2021,S36&lt;7),0.08,IF(AND('Basic Data Entry'!$G$11="Y-Urban",'Arear Table Protected'!T36=2021,'Arear Table Protected'!S36&lt;7),0.16,IF(AND('Basic Data Entry'!$G$11="Z-Rural",'Arear Table Protected'!T36=2022),0.09,IF(AND('Basic Data Entry'!$G$11="Y-Urban",'Arear Table Protected'!T36=2022),0.18,IF(AND('Basic Data Entry'!$G$11="Z-Rural",'Arear Table Protected'!T36=2023),0.09,IF(AND('Basic Data Entry'!$G$11="Y-Urban",'Arear Table Protected'!T36=2023),0.18,"")))))))))))</f>
        <v>0.08</v>
      </c>
      <c r="J36" s="167">
        <f>IF(OR(O36="",O36=0),"",IF(AND('Basic Data Entry'!$G$11="Z-Rural",'Arear Table Protected'!T36&lt;2021),0.08,IF(AND('Basic Data Entry'!$G$11="Y-Urban",'Arear Table Protected'!T36&lt;2021),0.16,IF(AND('Basic Data Entry'!$G$11="Z-Rural",'Arear Table Protected'!T36=2021,S36&gt;=7),0.09,IF(AND('Basic Data Entry'!$G$11="Y-Urban",'Arear Table Protected'!T36=2021,'Arear Table Protected'!S36&gt;=7),0.18,IF(AND('Basic Data Entry'!$G$11="Z-Rural",'Arear Table Protected'!T36=2021,S36&lt;7),0.08,IF(AND('Basic Data Entry'!$G$11="Y-Urban",'Arear Table Protected'!T36=2021,'Arear Table Protected'!S36&lt;7),0.16,IF(AND('Basic Data Entry'!$G$11="Z-Rural",'Arear Table Protected'!T36=2022),0.09,IF(AND('Basic Data Entry'!$G$11="Y-Urban",'Arear Table Protected'!T36=2022),0.18,IF(AND('Basic Data Entry'!$G$11="Z-Rural",'Arear Table Protected'!T36=2023),0.09,IF(AND('Basic Data Entry'!$G$11="Y-Urban",'Arear Table Protected'!T36=2023),0.18,"")))))))))))</f>
        <v>0.08</v>
      </c>
      <c r="K36" s="168" t="str">
        <f t="shared" si="4"/>
        <v/>
      </c>
      <c r="L36" s="169" t="str">
        <f t="shared" si="5"/>
        <v/>
      </c>
      <c r="M36" s="170" t="str">
        <f t="shared" si="7"/>
        <v/>
      </c>
      <c r="N36" s="196">
        <v>24</v>
      </c>
      <c r="O36" s="327">
        <f t="shared" si="8"/>
        <v>44179</v>
      </c>
      <c r="P36" s="328"/>
      <c r="Q36" s="328"/>
      <c r="R36" s="329"/>
      <c r="S36" s="161">
        <f t="array" ref="S36">IF(OR(O36=0,O36=""),"",MONTH(O36))</f>
        <v>12</v>
      </c>
      <c r="T36" s="161">
        <f t="array" ref="T36">IF(OR(O36=0,O36=""),"",YEAR(O36))</f>
        <v>2020</v>
      </c>
      <c r="U36" s="161" t="str">
        <f t="shared" si="9"/>
        <v>122020</v>
      </c>
      <c r="V36" s="197">
        <f t="array" ref="V36">IF(OR(O36=0,O36=""),"",BE36)</f>
        <v>46500</v>
      </c>
      <c r="W36" s="163">
        <f t="array" ref="W36">IF(OR(O36=0,O36=""),"",ROUND(V36*H36,0))</f>
        <v>7905</v>
      </c>
      <c r="X36" s="222">
        <f t="shared" si="10"/>
        <v>0</v>
      </c>
      <c r="Y36" s="163">
        <f t="array" ref="Y36">IF(OR(O36=0,O36=""),"",ROUND(V36*J36,0))</f>
        <v>3720</v>
      </c>
      <c r="Z36" s="198">
        <f t="array" ref="Z36">IF(OR(O36=0,O36=""),"",SUM(V36:Y36))</f>
        <v>58125</v>
      </c>
      <c r="AA36" s="199">
        <f t="array" ref="AA36">IF(OR(O36=0,O36=""),"",IF(V36=0,0,IF($E$2="FIXATION",$B$5,IF(V36=0,0,IF(BD36=7,ROUND(AA35*1.03,-2),AA35)))))</f>
        <v>41500</v>
      </c>
      <c r="AB36" s="200">
        <f t="array" ref="AB36">IF(OR(O36=0,O36=""),"",IF($E$2="fixation",0,ROUND(AA36*G36,0)))</f>
        <v>7055</v>
      </c>
      <c r="AC36" s="222">
        <f t="array" ref="AC36">IF(OR(O36=0,O36=""),"",AC35)</f>
        <v>0</v>
      </c>
      <c r="AD36" s="200">
        <f t="array" ref="AD36">IF(OR(O36=0,O36=""),"",IF($E$2="fixation",0,ROUND(AA36*I36,0)))</f>
        <v>3320</v>
      </c>
      <c r="AE36" s="198">
        <f t="array" ref="AE36">IF(OR(O36=0,O36=""),"",SUM(AA36:AD36))</f>
        <v>51875</v>
      </c>
      <c r="AF36" s="199">
        <f t="array" ref="AF36">IF(OR(O36=0,O36=""),"",V36-AA36)</f>
        <v>5000</v>
      </c>
      <c r="AG36" s="200">
        <f t="array" ref="AG36">IF(OR(O36=0,O36=""),"",W36-AB36)</f>
        <v>850</v>
      </c>
      <c r="AH36" s="200">
        <f t="array" ref="AH36">IF(OR(O36=0,O36=""),"",X36-AC36)</f>
        <v>0</v>
      </c>
      <c r="AI36" s="200">
        <f t="array" ref="AI36">IF(OR(O36=0,O36=""),"",Y36-AD36)</f>
        <v>400</v>
      </c>
      <c r="AJ36" s="201">
        <f t="array" ref="AJ36">IF(OR(O36=0,O36=""),"",Z36-AE36)</f>
        <v>6250</v>
      </c>
      <c r="AK36" s="202">
        <f t="array" ref="AK36">IF(OR(O36=0,O36=""),"",IF(M36="",$AZ$2,$AZ$2+M36))</f>
        <v>4500</v>
      </c>
      <c r="AL36" s="203">
        <f t="array" ref="AL36">IF(OR(O36=0,O36=""),"",$AQ$2)</f>
        <v>4500</v>
      </c>
      <c r="AM36" s="204">
        <f t="array" ref="AM36">IF(OR(O36=0,O36=""),"",AK36-AL36)</f>
        <v>0</v>
      </c>
      <c r="AN36" s="3">
        <f t="array" ref="AN36">IF(OR(O35=0,O35="",AN35="",AN35=""),"",AN35)</f>
        <v>3000</v>
      </c>
      <c r="AO36" s="2">
        <f t="array" ref="AO36">IF(OR(O35=0,O35="",AO35="",AO35=""),"",AO35)</f>
        <v>3000</v>
      </c>
      <c r="AP36" s="204">
        <f t="array" ref="AP36">IF(OR(O36=0,O36=""),"",SUM(AN36-AO36))</f>
        <v>0</v>
      </c>
      <c r="AQ36" s="106" t="str">
        <f t="array" ref="AQ36">IF(OR(O36=0,O36=""),"",IF(AND('Basic Data Entry'!$C$10="state Service",'Arear Table Protected'!T36=2020,S36=3),ROUND(V36/31*5,0),IF(AND('Basic Data Entry'!$C$10="state Service",'Arear Table Protected'!T36=2020,S36=9),ROUND(Z36/30*2,0),IF(AND('Basic Data Entry'!$C$10="state Service",'Arear Table Protected'!T36=2020,S36=10),ROUND(Z36/31*2,0),IF(AND('Basic Data Entry'!$C$10="subordinate",'Arear Table Protected'!T36=2020,S36=3),ROUND(V36/31*3,0),IF(AND('Basic Data Entry'!$C$10="subordinate",'Arear Table Protected'!T36=2020,S36=9),ROUND(Z36/30*1,0),IF(AND('Basic Data Entry'!$C$10="subordinate",'Arear Table Protected'!T36=2020,S36=10),ROUND(Z36/31*1,0),IF(AND('Basic Data Entry'!$C$10="ministrial",'Arear Table Protected'!T36=2020,S36=3),ROUND(V36/31*1,0),""))))))))</f>
        <v/>
      </c>
      <c r="AR36" s="107" t="str">
        <f t="array" ref="AR36">IF(OR(O36=0,O36=""),"",IF(AND('Basic Data Entry'!$C$10="state Service",'Arear Table Protected'!T36=2020,S36=3),ROUND(AA36/31*5,0),IF(AND('Basic Data Entry'!$C$10="state Service",'Arear Table Protected'!T36=2020,S36=9),ROUND(AE36/30*2,0),IF(AND('Basic Data Entry'!$C$10="state Service",'Arear Table Protected'!T36=2020,S36=10),ROUND(AE36/31*2,0),IF(AND('Basic Data Entry'!$C$10="subordinate",'Arear Table Protected'!T36=2020,S36=3),ROUND(AA36/31*3,0),IF(AND('Basic Data Entry'!$C$10="subordinate",'Arear Table Protected'!T36=2020,S36=9),ROUND(AE36/30*1,0),IF(AND('Basic Data Entry'!$C$10="subordinate",'Arear Table Protected'!T36=2020,S36=10),ROUND(AE36/31*1,0),IF(AND('Basic Data Entry'!$C$10="ministrial",'Arear Table Protected'!T36=2020,S36=3),ROUND(AA36/31*1,0),""))))))))</f>
        <v/>
      </c>
      <c r="AS36" s="205" t="str">
        <f t="array" ref="AS36">IF(OR(O36=0,O36="",AQ36="",AR36=""),"",AQ36-AR36)</f>
        <v/>
      </c>
      <c r="AT36" s="44">
        <f t="array" ref="AT36">IF(OR(O35=0,O35=""),"",AT35)</f>
        <v>0</v>
      </c>
      <c r="AU36" s="45">
        <f t="array" ref="AU36">IF(OR(O35=0,O35=""),"",AU35)</f>
        <v>0</v>
      </c>
      <c r="AV36" s="206">
        <f t="array" ref="AV36">IF(OR(O36=0,O36=""),"",SUM(AT36-AU36))</f>
        <v>0</v>
      </c>
      <c r="AW36" s="207">
        <f t="array" ref="AW36">IF(OR(O36=0,O36=""),"",ROUND((AJ36)*$E$3,0))</f>
        <v>625</v>
      </c>
      <c r="AX36" s="207">
        <f t="array" ref="AX36">IF(OR(O36=0,O36=""),"",SUM(AM36,AP36,AS36,AV36,AW36))</f>
        <v>625</v>
      </c>
      <c r="AY36" s="208">
        <f t="array" ref="AY36">IF(OR(O36=0,O36=""),"",AJ36-AX36)</f>
        <v>5625</v>
      </c>
      <c r="AZ36" s="46"/>
      <c r="BA36" s="24"/>
      <c r="BB36" s="24"/>
      <c r="BC36" s="11">
        <f t="shared" si="20"/>
        <v>44179</v>
      </c>
      <c r="BD36" s="84">
        <f t="shared" si="12"/>
        <v>12</v>
      </c>
      <c r="BE36" s="84">
        <f t="shared" si="18"/>
        <v>46500</v>
      </c>
      <c r="BI36" s="22">
        <f t="shared" si="19"/>
        <v>44179</v>
      </c>
      <c r="BK36" s="19">
        <f t="shared" si="13"/>
        <v>1</v>
      </c>
      <c r="BL36" s="20" t="str">
        <f t="array" ref="BL36">IF(OR(O36=0,O36=""),"",U36)</f>
        <v>122020</v>
      </c>
      <c r="BM36" s="19">
        <f t="array" ref="BM36">IF(OR(O36=0,O36=""),"",BK36+BL36)</f>
        <v>122021</v>
      </c>
      <c r="BN36" s="21">
        <f t="shared" si="21"/>
        <v>0</v>
      </c>
      <c r="BO36" s="21">
        <f t="shared" si="22"/>
        <v>0</v>
      </c>
      <c r="BP36" s="23">
        <f t="shared" si="16"/>
        <v>0</v>
      </c>
      <c r="BQ36" s="21" t="str">
        <f t="shared" si="23"/>
        <v>00</v>
      </c>
      <c r="BW36" s="81" t="str">
        <f>IF(OR(O36=0,O36=""),"",IF('Basic Data Entry'!$C$9="fixation","yes",""))</f>
        <v/>
      </c>
      <c r="BX36" s="81" t="str">
        <f>IF(OR(O36=0,O36=""),"",IF('Basic Data Entry'!$G$12="yes","yes","no"))</f>
        <v>no</v>
      </c>
    </row>
    <row r="37" spans="1:76" ht="18" customHeight="1" thickBot="1">
      <c r="A37" s="10">
        <f t="shared" si="6"/>
        <v>46500</v>
      </c>
      <c r="B37" s="305"/>
      <c r="C37" s="305"/>
      <c r="D37" s="305"/>
      <c r="E37" s="305"/>
      <c r="F37" s="108">
        <f t="shared" si="1"/>
        <v>44210</v>
      </c>
      <c r="G37" s="165">
        <f t="shared" si="2"/>
        <v>0.17</v>
      </c>
      <c r="H37" s="166">
        <f t="shared" si="3"/>
        <v>0.17</v>
      </c>
      <c r="I37" s="166">
        <f>IF(OR($E$2="fixation",O37="",O37=0),"",IF(AND('Basic Data Entry'!$G$11="Z-Rural",'Arear Table Protected'!T37&lt;2021),0.08,IF(AND('Basic Data Entry'!$G$11="Y-Urban",'Arear Table Protected'!T37&lt;2021),0.16,IF(AND('Basic Data Entry'!$G$11="Z-Rural",'Arear Table Protected'!T37=2021,S37&gt;=7),0.09,IF(AND('Basic Data Entry'!$G$11="Y-Urban",'Arear Table Protected'!T37=2021,'Arear Table Protected'!S37&gt;=7),0.18,IF(AND('Basic Data Entry'!$G$11="Z-Rural",'Arear Table Protected'!T37=2021,S37&lt;7),0.08,IF(AND('Basic Data Entry'!$G$11="Y-Urban",'Arear Table Protected'!T37=2021,'Arear Table Protected'!S37&lt;7),0.16,IF(AND('Basic Data Entry'!$G$11="Z-Rural",'Arear Table Protected'!T37=2022),0.09,IF(AND('Basic Data Entry'!$G$11="Y-Urban",'Arear Table Protected'!T37=2022),0.18,IF(AND('Basic Data Entry'!$G$11="Z-Rural",'Arear Table Protected'!T37=2023),0.09,IF(AND('Basic Data Entry'!$G$11="Y-Urban",'Arear Table Protected'!T37=2023),0.18,"")))))))))))</f>
        <v>0.08</v>
      </c>
      <c r="J37" s="167">
        <f>IF(OR(O37="",O37=0),"",IF(AND('Basic Data Entry'!$G$11="Z-Rural",'Arear Table Protected'!T37&lt;2021),0.08,IF(AND('Basic Data Entry'!$G$11="Y-Urban",'Arear Table Protected'!T37&lt;2021),0.16,IF(AND('Basic Data Entry'!$G$11="Z-Rural",'Arear Table Protected'!T37=2021,S37&gt;=7),0.09,IF(AND('Basic Data Entry'!$G$11="Y-Urban",'Arear Table Protected'!T37=2021,'Arear Table Protected'!S37&gt;=7),0.18,IF(AND('Basic Data Entry'!$G$11="Z-Rural",'Arear Table Protected'!T37=2021,S37&lt;7),0.08,IF(AND('Basic Data Entry'!$G$11="Y-Urban",'Arear Table Protected'!T37=2021,'Arear Table Protected'!S37&lt;7),0.16,IF(AND('Basic Data Entry'!$G$11="Z-Rural",'Arear Table Protected'!T37=2022),0.09,IF(AND('Basic Data Entry'!$G$11="Y-Urban",'Arear Table Protected'!T37=2022),0.18,IF(AND('Basic Data Entry'!$G$11="Z-Rural",'Arear Table Protected'!T37=2023),0.09,IF(AND('Basic Data Entry'!$G$11="Y-Urban",'Arear Table Protected'!T37=2023),0.18,"")))))))))))</f>
        <v>0.08</v>
      </c>
      <c r="K37" s="168" t="str">
        <f t="shared" si="4"/>
        <v/>
      </c>
      <c r="L37" s="169" t="str">
        <f t="shared" si="5"/>
        <v/>
      </c>
      <c r="M37" s="170" t="str">
        <f t="shared" si="7"/>
        <v/>
      </c>
      <c r="N37" s="196">
        <v>25</v>
      </c>
      <c r="O37" s="327">
        <f t="shared" si="8"/>
        <v>44210</v>
      </c>
      <c r="P37" s="328"/>
      <c r="Q37" s="328"/>
      <c r="R37" s="329"/>
      <c r="S37" s="161">
        <f t="array" ref="S37">IF(OR(O37=0,O37=""),"",MONTH(O37))</f>
        <v>1</v>
      </c>
      <c r="T37" s="161">
        <f t="array" ref="T37">IF(OR(O37=0,O37=""),"",YEAR(O37))</f>
        <v>2021</v>
      </c>
      <c r="U37" s="161" t="str">
        <f t="shared" si="9"/>
        <v>12021</v>
      </c>
      <c r="V37" s="197">
        <f t="array" ref="V37">IF(OR(O37=0,O37=""),"",BE37)</f>
        <v>46500</v>
      </c>
      <c r="W37" s="163">
        <f t="array" ref="W37">IF(OR(O37=0,O37=""),"",ROUND(V37*H37,0))</f>
        <v>7905</v>
      </c>
      <c r="X37" s="222">
        <f t="shared" si="10"/>
        <v>0</v>
      </c>
      <c r="Y37" s="163">
        <f t="array" ref="Y37">IF(OR(O37=0,O37=""),"",ROUND(V37*J37,0))</f>
        <v>3720</v>
      </c>
      <c r="Z37" s="198">
        <f t="array" ref="Z37">IF(OR(O37=0,O37=""),"",SUM(V37:Y37))</f>
        <v>58125</v>
      </c>
      <c r="AA37" s="199">
        <f t="array" ref="AA37">IF(OR(O37=0,O37=""),"",IF(V37=0,0,IF($E$2="FIXATION",$B$5,IF(V37=0,0,IF(BD37=7,ROUND(AA36*1.03,-2),AA36)))))</f>
        <v>41500</v>
      </c>
      <c r="AB37" s="200">
        <f t="array" ref="AB37">IF(OR(O37=0,O37=""),"",IF($E$2="fixation",0,ROUND(AA37*G37,0)))</f>
        <v>7055</v>
      </c>
      <c r="AC37" s="222">
        <f t="array" ref="AC37">IF(OR(O37=0,O37=""),"",AC36)</f>
        <v>0</v>
      </c>
      <c r="AD37" s="200">
        <f t="array" ref="AD37">IF(OR(O37=0,O37=""),"",IF($E$2="fixation",0,ROUND(AA37*I37,0)))</f>
        <v>3320</v>
      </c>
      <c r="AE37" s="198">
        <f t="array" ref="AE37">IF(OR(O37=0,O37=""),"",SUM(AA37:AD37))</f>
        <v>51875</v>
      </c>
      <c r="AF37" s="199">
        <f t="array" ref="AF37">IF(OR(O37=0,O37=""),"",V37-AA37)</f>
        <v>5000</v>
      </c>
      <c r="AG37" s="200">
        <f t="array" ref="AG37">IF(OR(O37=0,O37=""),"",W37-AB37)</f>
        <v>850</v>
      </c>
      <c r="AH37" s="200">
        <f t="array" ref="AH37">IF(OR(O37=0,O37=""),"",X37-AC37)</f>
        <v>0</v>
      </c>
      <c r="AI37" s="200">
        <f t="array" ref="AI37">IF(OR(O37=0,O37=""),"",Y37-AD37)</f>
        <v>400</v>
      </c>
      <c r="AJ37" s="201">
        <f t="array" ref="AJ37">IF(OR(O37=0,O37=""),"",Z37-AE37)</f>
        <v>6250</v>
      </c>
      <c r="AK37" s="202">
        <f t="array" ref="AK37">IF(OR(O37=0,O37=""),"",IF(M37="",$AZ$2,$AZ$2+M37))</f>
        <v>4500</v>
      </c>
      <c r="AL37" s="203">
        <f t="array" ref="AL37">IF(OR(O37=0,O37=""),"",$AQ$2)</f>
        <v>4500</v>
      </c>
      <c r="AM37" s="204">
        <f t="array" ref="AM37">IF(OR(O37=0,O37=""),"",AK37-AL37)</f>
        <v>0</v>
      </c>
      <c r="AN37" s="3">
        <f t="array" ref="AN37">IF(OR(O36=0,O36="",AN36="",AN36=""),"",AN36)</f>
        <v>3000</v>
      </c>
      <c r="AO37" s="2">
        <f t="array" ref="AO37">IF(OR(O36=0,O36="",AO36="",AO36=""),"",AO36)</f>
        <v>3000</v>
      </c>
      <c r="AP37" s="204">
        <f t="array" ref="AP37">IF(OR(O37=0,O37=""),"",SUM(AN37-AO37))</f>
        <v>0</v>
      </c>
      <c r="AQ37" s="106" t="str">
        <f t="array" ref="AQ37">IF(OR(O37=0,O37=""),"",IF(AND('Basic Data Entry'!$C$10="state Service",'Arear Table Protected'!T37=2020,S37=3),ROUND(V37/31*5,0),IF(AND('Basic Data Entry'!$C$10="state Service",'Arear Table Protected'!T37=2020,S37=9),ROUND(Z37/30*2,0),IF(AND('Basic Data Entry'!$C$10="state Service",'Arear Table Protected'!T37=2020,S37=10),ROUND(Z37/31*2,0),IF(AND('Basic Data Entry'!$C$10="subordinate",'Arear Table Protected'!T37=2020,S37=3),ROUND(V37/31*3,0),IF(AND('Basic Data Entry'!$C$10="subordinate",'Arear Table Protected'!T37=2020,S37=9),ROUND(Z37/30*1,0),IF(AND('Basic Data Entry'!$C$10="subordinate",'Arear Table Protected'!T37=2020,S37=10),ROUND(Z37/31*1,0),IF(AND('Basic Data Entry'!$C$10="ministrial",'Arear Table Protected'!T37=2020,S37=3),ROUND(V37/31*1,0),""))))))))</f>
        <v/>
      </c>
      <c r="AR37" s="107" t="str">
        <f t="array" ref="AR37">IF(OR(O37=0,O37=""),"",IF(AND('Basic Data Entry'!$C$10="state Service",'Arear Table Protected'!T37=2020,S37=3),ROUND(AA37/31*5,0),IF(AND('Basic Data Entry'!$C$10="state Service",'Arear Table Protected'!T37=2020,S37=9),ROUND(AE37/30*2,0),IF(AND('Basic Data Entry'!$C$10="state Service",'Arear Table Protected'!T37=2020,S37=10),ROUND(AE37/31*2,0),IF(AND('Basic Data Entry'!$C$10="subordinate",'Arear Table Protected'!T37=2020,S37=3),ROUND(AA37/31*3,0),IF(AND('Basic Data Entry'!$C$10="subordinate",'Arear Table Protected'!T37=2020,S37=9),ROUND(AE37/30*1,0),IF(AND('Basic Data Entry'!$C$10="subordinate",'Arear Table Protected'!T37=2020,S37=10),ROUND(AE37/31*1,0),IF(AND('Basic Data Entry'!$C$10="ministrial",'Arear Table Protected'!T37=2020,S37=3),ROUND(AA37/31*1,0),""))))))))</f>
        <v/>
      </c>
      <c r="AS37" s="205" t="str">
        <f t="array" ref="AS37">IF(OR(O37=0,O37="",AQ37="",AR37=""),"",AQ37-AR37)</f>
        <v/>
      </c>
      <c r="AT37" s="44">
        <f t="array" ref="AT37">IF(OR(O36=0,O36=""),"",AT36)</f>
        <v>0</v>
      </c>
      <c r="AU37" s="45">
        <f t="array" ref="AU37">IF(OR(O36=0,O36=""),"",AU36)</f>
        <v>0</v>
      </c>
      <c r="AV37" s="206">
        <f t="array" ref="AV37">IF(OR(O37=0,O37=""),"",SUM(AT37-AU37))</f>
        <v>0</v>
      </c>
      <c r="AW37" s="207">
        <f t="array" ref="AW37">IF(OR(O37=0,O37=""),"",ROUND((AJ37)*$E$3,0))</f>
        <v>625</v>
      </c>
      <c r="AX37" s="207">
        <f t="array" ref="AX37">IF(OR(O37=0,O37=""),"",SUM(AM37,AP37,AS37,AV37,AW37))</f>
        <v>625</v>
      </c>
      <c r="AY37" s="208">
        <f t="array" ref="AY37">IF(OR(O37=0,O37=""),"",AJ37-AX37)</f>
        <v>5625</v>
      </c>
      <c r="AZ37" s="46"/>
      <c r="BA37" s="24"/>
      <c r="BB37" s="24"/>
      <c r="BC37" s="11">
        <f t="shared" si="20"/>
        <v>44210</v>
      </c>
      <c r="BD37" s="84">
        <f t="shared" si="12"/>
        <v>1</v>
      </c>
      <c r="BE37" s="84">
        <f t="shared" si="18"/>
        <v>46500</v>
      </c>
      <c r="BI37" s="22">
        <f t="shared" si="19"/>
        <v>44210</v>
      </c>
      <c r="BK37" s="19">
        <f t="shared" si="13"/>
        <v>1</v>
      </c>
      <c r="BL37" s="20" t="str">
        <f t="array" ref="BL37">IF(OR(O37=0,O37=""),"",U37)</f>
        <v>12021</v>
      </c>
      <c r="BM37" s="19">
        <f t="array" ref="BM37">IF(OR(O37=0,O37=""),"",BK37+BL37)</f>
        <v>12022</v>
      </c>
      <c r="BN37" s="21">
        <f t="shared" si="21"/>
        <v>0</v>
      </c>
      <c r="BO37" s="21">
        <f t="shared" si="22"/>
        <v>0</v>
      </c>
      <c r="BP37" s="23">
        <f t="shared" si="16"/>
        <v>0</v>
      </c>
      <c r="BQ37" s="21" t="str">
        <f t="shared" si="23"/>
        <v>00</v>
      </c>
      <c r="BW37" s="81" t="str">
        <f>IF(OR(O37=0,O37=""),"",IF('Basic Data Entry'!$C$9="fixation","yes",""))</f>
        <v/>
      </c>
      <c r="BX37" s="81" t="str">
        <f>IF(OR(O37=0,O37=""),"",IF('Basic Data Entry'!$G$12="yes","yes","no"))</f>
        <v>no</v>
      </c>
    </row>
    <row r="38" spans="1:76" ht="18" customHeight="1" thickBot="1">
      <c r="A38" s="10">
        <f t="shared" si="6"/>
        <v>46500</v>
      </c>
      <c r="B38" s="305"/>
      <c r="C38" s="305"/>
      <c r="D38" s="305"/>
      <c r="E38" s="305"/>
      <c r="F38" s="108">
        <f t="shared" si="1"/>
        <v>44241</v>
      </c>
      <c r="G38" s="165">
        <f t="shared" si="2"/>
        <v>0.17</v>
      </c>
      <c r="H38" s="166">
        <f t="shared" si="3"/>
        <v>0.17</v>
      </c>
      <c r="I38" s="166">
        <f>IF(OR($E$2="fixation",O38="",O38=0),"",IF(AND('Basic Data Entry'!$G$11="Z-Rural",'Arear Table Protected'!T38&lt;2021),0.08,IF(AND('Basic Data Entry'!$G$11="Y-Urban",'Arear Table Protected'!T38&lt;2021),0.16,IF(AND('Basic Data Entry'!$G$11="Z-Rural",'Arear Table Protected'!T38=2021,S38&gt;=7),0.09,IF(AND('Basic Data Entry'!$G$11="Y-Urban",'Arear Table Protected'!T38=2021,'Arear Table Protected'!S38&gt;=7),0.18,IF(AND('Basic Data Entry'!$G$11="Z-Rural",'Arear Table Protected'!T38=2021,S38&lt;7),0.08,IF(AND('Basic Data Entry'!$G$11="Y-Urban",'Arear Table Protected'!T38=2021,'Arear Table Protected'!S38&lt;7),0.16,IF(AND('Basic Data Entry'!$G$11="Z-Rural",'Arear Table Protected'!T38=2022),0.09,IF(AND('Basic Data Entry'!$G$11="Y-Urban",'Arear Table Protected'!T38=2022),0.18,IF(AND('Basic Data Entry'!$G$11="Z-Rural",'Arear Table Protected'!T38=2023),0.09,IF(AND('Basic Data Entry'!$G$11="Y-Urban",'Arear Table Protected'!T38=2023),0.18,"")))))))))))</f>
        <v>0.08</v>
      </c>
      <c r="J38" s="167">
        <f>IF(OR(O38="",O38=0),"",IF(AND('Basic Data Entry'!$G$11="Z-Rural",'Arear Table Protected'!T38&lt;2021),0.08,IF(AND('Basic Data Entry'!$G$11="Y-Urban",'Arear Table Protected'!T38&lt;2021),0.16,IF(AND('Basic Data Entry'!$G$11="Z-Rural",'Arear Table Protected'!T38=2021,S38&gt;=7),0.09,IF(AND('Basic Data Entry'!$G$11="Y-Urban",'Arear Table Protected'!T38=2021,'Arear Table Protected'!S38&gt;=7),0.18,IF(AND('Basic Data Entry'!$G$11="Z-Rural",'Arear Table Protected'!T38=2021,S38&lt;7),0.08,IF(AND('Basic Data Entry'!$G$11="Y-Urban",'Arear Table Protected'!T38=2021,'Arear Table Protected'!S38&lt;7),0.16,IF(AND('Basic Data Entry'!$G$11="Z-Rural",'Arear Table Protected'!T38=2022),0.09,IF(AND('Basic Data Entry'!$G$11="Y-Urban",'Arear Table Protected'!T38=2022),0.18,IF(AND('Basic Data Entry'!$G$11="Z-Rural",'Arear Table Protected'!T38=2023),0.09,IF(AND('Basic Data Entry'!$G$11="Y-Urban",'Arear Table Protected'!T38=2023),0.18,"")))))))))))</f>
        <v>0.08</v>
      </c>
      <c r="K38" s="168" t="str">
        <f t="shared" si="4"/>
        <v/>
      </c>
      <c r="L38" s="169" t="str">
        <f t="shared" si="5"/>
        <v/>
      </c>
      <c r="M38" s="170" t="str">
        <f t="shared" si="7"/>
        <v/>
      </c>
      <c r="N38" s="196">
        <v>26</v>
      </c>
      <c r="O38" s="327">
        <f t="shared" si="8"/>
        <v>44241</v>
      </c>
      <c r="P38" s="328"/>
      <c r="Q38" s="328"/>
      <c r="R38" s="329"/>
      <c r="S38" s="161">
        <f t="array" ref="S38">IF(OR(O38=0,O38=""),"",MONTH(O38))</f>
        <v>2</v>
      </c>
      <c r="T38" s="161">
        <f t="array" ref="T38">IF(OR(O38=0,O38=""),"",YEAR(O38))</f>
        <v>2021</v>
      </c>
      <c r="U38" s="161" t="str">
        <f t="shared" si="9"/>
        <v>22021</v>
      </c>
      <c r="V38" s="197">
        <f t="array" ref="V38">IF(OR(O38=0,O38=""),"",BE38)</f>
        <v>46500</v>
      </c>
      <c r="W38" s="163">
        <f t="array" ref="W38">IF(OR(O38=0,O38=""),"",ROUND(V38*H38,0))</f>
        <v>7905</v>
      </c>
      <c r="X38" s="222">
        <f t="shared" si="10"/>
        <v>0</v>
      </c>
      <c r="Y38" s="163">
        <f t="array" ref="Y38">IF(OR(O38=0,O38=""),"",ROUND(V38*J38,0))</f>
        <v>3720</v>
      </c>
      <c r="Z38" s="198">
        <f t="array" ref="Z38">IF(OR(O38=0,O38=""),"",SUM(V38:Y38))</f>
        <v>58125</v>
      </c>
      <c r="AA38" s="199">
        <f t="array" ref="AA38">IF(OR(O38=0,O38=""),"",IF(V38=0,0,IF($E$2="FIXATION",$B$5,IF(V38=0,0,IF(BD38=7,ROUND(AA37*1.03,-2),AA37)))))</f>
        <v>41500</v>
      </c>
      <c r="AB38" s="200">
        <f t="array" ref="AB38">IF(OR(O38=0,O38=""),"",IF($E$2="fixation",0,ROUND(AA38*G38,0)))</f>
        <v>7055</v>
      </c>
      <c r="AC38" s="222">
        <f t="array" ref="AC38">IF(OR(O38=0,O38=""),"",AC37)</f>
        <v>0</v>
      </c>
      <c r="AD38" s="200">
        <f t="array" ref="AD38">IF(OR(O38=0,O38=""),"",IF($E$2="fixation",0,ROUND(AA38*I38,0)))</f>
        <v>3320</v>
      </c>
      <c r="AE38" s="198">
        <f t="array" ref="AE38">IF(OR(O38=0,O38=""),"",SUM(AA38:AD38))</f>
        <v>51875</v>
      </c>
      <c r="AF38" s="199">
        <f t="array" ref="AF38">IF(OR(O38=0,O38=""),"",V38-AA38)</f>
        <v>5000</v>
      </c>
      <c r="AG38" s="200">
        <f t="array" ref="AG38">IF(OR(O38=0,O38=""),"",W38-AB38)</f>
        <v>850</v>
      </c>
      <c r="AH38" s="200">
        <f t="array" ref="AH38">IF(OR(O38=0,O38=""),"",X38-AC38)</f>
        <v>0</v>
      </c>
      <c r="AI38" s="200">
        <f t="array" ref="AI38">IF(OR(O38=0,O38=""),"",Y38-AD38)</f>
        <v>400</v>
      </c>
      <c r="AJ38" s="201">
        <f t="array" ref="AJ38">IF(OR(O38=0,O38=""),"",Z38-AE38)</f>
        <v>6250</v>
      </c>
      <c r="AK38" s="202">
        <f t="array" ref="AK38">IF(OR(O38=0,O38=""),"",IF(M38="",$AZ$2,$AZ$2+M38))</f>
        <v>4500</v>
      </c>
      <c r="AL38" s="203">
        <f t="array" ref="AL38">IF(OR(O38=0,O38=""),"",$AQ$2)</f>
        <v>4500</v>
      </c>
      <c r="AM38" s="204">
        <f t="array" ref="AM38">IF(OR(O38=0,O38=""),"",AK38-AL38)</f>
        <v>0</v>
      </c>
      <c r="AN38" s="3">
        <f t="array" ref="AN38">IF(OR(O37=0,O37="",AN37="",AN37=""),"",AN37)</f>
        <v>3000</v>
      </c>
      <c r="AO38" s="2">
        <f t="array" ref="AO38">IF(OR(O37=0,O37="",AO37="",AO37=""),"",AO37)</f>
        <v>3000</v>
      </c>
      <c r="AP38" s="204">
        <f t="array" ref="AP38">IF(OR(O38=0,O38=""),"",SUM(AN38-AO38))</f>
        <v>0</v>
      </c>
      <c r="AQ38" s="106" t="str">
        <f t="array" ref="AQ38">IF(OR(O38=0,O38=""),"",IF(AND('Basic Data Entry'!$C$10="state Service",'Arear Table Protected'!T38=2020,S38=3),ROUND(V38/31*5,0),IF(AND('Basic Data Entry'!$C$10="state Service",'Arear Table Protected'!T38=2020,S38=9),ROUND(Z38/30*2,0),IF(AND('Basic Data Entry'!$C$10="state Service",'Arear Table Protected'!T38=2020,S38=10),ROUND(Z38/31*2,0),IF(AND('Basic Data Entry'!$C$10="subordinate",'Arear Table Protected'!T38=2020,S38=3),ROUND(V38/31*3,0),IF(AND('Basic Data Entry'!$C$10="subordinate",'Arear Table Protected'!T38=2020,S38=9),ROUND(Z38/30*1,0),IF(AND('Basic Data Entry'!$C$10="subordinate",'Arear Table Protected'!T38=2020,S38=10),ROUND(Z38/31*1,0),IF(AND('Basic Data Entry'!$C$10="ministrial",'Arear Table Protected'!T38=2020,S38=3),ROUND(V38/31*1,0),""))))))))</f>
        <v/>
      </c>
      <c r="AR38" s="107" t="str">
        <f t="array" ref="AR38">IF(OR(O38=0,O38=""),"",IF(AND('Basic Data Entry'!$C$10="state Service",'Arear Table Protected'!T38=2020,S38=3),ROUND(AA38/31*5,0),IF(AND('Basic Data Entry'!$C$10="state Service",'Arear Table Protected'!T38=2020,S38=9),ROUND(AE38/30*2,0),IF(AND('Basic Data Entry'!$C$10="state Service",'Arear Table Protected'!T38=2020,S38=10),ROUND(AE38/31*2,0),IF(AND('Basic Data Entry'!$C$10="subordinate",'Arear Table Protected'!T38=2020,S38=3),ROUND(AA38/31*3,0),IF(AND('Basic Data Entry'!$C$10="subordinate",'Arear Table Protected'!T38=2020,S38=9),ROUND(AE38/30*1,0),IF(AND('Basic Data Entry'!$C$10="subordinate",'Arear Table Protected'!T38=2020,S38=10),ROUND(AE38/31*1,0),IF(AND('Basic Data Entry'!$C$10="ministrial",'Arear Table Protected'!T38=2020,S38=3),ROUND(AA38/31*1,0),""))))))))</f>
        <v/>
      </c>
      <c r="AS38" s="205" t="str">
        <f t="array" ref="AS38">IF(OR(O38=0,O38="",AQ38="",AR38=""),"",AQ38-AR38)</f>
        <v/>
      </c>
      <c r="AT38" s="44">
        <f t="array" ref="AT38">IF(OR(O37=0,O37=""),"",AT37)</f>
        <v>0</v>
      </c>
      <c r="AU38" s="45">
        <f t="array" ref="AU38">IF(OR(O37=0,O37=""),"",AU37)</f>
        <v>0</v>
      </c>
      <c r="AV38" s="206">
        <f t="array" ref="AV38">IF(OR(O38=0,O38=""),"",SUM(AT38-AU38))</f>
        <v>0</v>
      </c>
      <c r="AW38" s="207">
        <f t="array" ref="AW38">IF(OR(O38=0,O38=""),"",ROUND((AJ38)*$E$3,0))</f>
        <v>625</v>
      </c>
      <c r="AX38" s="207">
        <f t="array" ref="AX38">IF(OR(O38=0,O38=""),"",SUM(AM38,AP38,AS38,AV38,AW38))</f>
        <v>625</v>
      </c>
      <c r="AY38" s="208">
        <f t="array" ref="AY38">IF(OR(O38=0,O38=""),"",AJ38-AX38)</f>
        <v>5625</v>
      </c>
      <c r="AZ38" s="46"/>
      <c r="BA38" s="24"/>
      <c r="BB38" s="24"/>
      <c r="BC38" s="11">
        <f t="shared" si="20"/>
        <v>44241</v>
      </c>
      <c r="BD38" s="84">
        <f t="shared" si="12"/>
        <v>2</v>
      </c>
      <c r="BE38" s="84">
        <f t="shared" si="18"/>
        <v>46500</v>
      </c>
      <c r="BI38" s="22">
        <f t="shared" si="19"/>
        <v>44241</v>
      </c>
      <c r="BK38" s="19">
        <f t="shared" si="13"/>
        <v>1</v>
      </c>
      <c r="BL38" s="20" t="str">
        <f t="array" ref="BL38">IF(OR(O38=0,O38=""),"",U38)</f>
        <v>22021</v>
      </c>
      <c r="BM38" s="19">
        <f t="array" ref="BM38">IF(OR(O38=0,O38=""),"",BK38+BL38)</f>
        <v>22022</v>
      </c>
      <c r="BN38" s="21">
        <f t="shared" si="21"/>
        <v>0</v>
      </c>
      <c r="BO38" s="21">
        <f t="shared" si="22"/>
        <v>0</v>
      </c>
      <c r="BP38" s="23">
        <f t="shared" si="16"/>
        <v>0</v>
      </c>
      <c r="BQ38" s="21" t="str">
        <f t="shared" si="23"/>
        <v>00</v>
      </c>
      <c r="BW38" s="81" t="str">
        <f>IF(OR(O38=0,O38=""),"",IF('Basic Data Entry'!$C$9="fixation","yes",""))</f>
        <v/>
      </c>
      <c r="BX38" s="81" t="str">
        <f>IF(OR(O38=0,O38=""),"",IF('Basic Data Entry'!$G$12="yes","yes","no"))</f>
        <v>no</v>
      </c>
    </row>
    <row r="39" spans="1:76" ht="18" customHeight="1" thickBot="1">
      <c r="A39" s="10">
        <f t="shared" si="6"/>
        <v>46500</v>
      </c>
      <c r="B39" s="305"/>
      <c r="C39" s="305"/>
      <c r="D39" s="305"/>
      <c r="E39" s="305"/>
      <c r="F39" s="108">
        <f t="shared" si="1"/>
        <v>44272</v>
      </c>
      <c r="G39" s="165">
        <f t="shared" si="2"/>
        <v>0.17</v>
      </c>
      <c r="H39" s="166">
        <f t="shared" si="3"/>
        <v>0.17</v>
      </c>
      <c r="I39" s="166">
        <f>IF(OR($E$2="fixation",O39="",O39=0),"",IF(AND('Basic Data Entry'!$G$11="Z-Rural",'Arear Table Protected'!T39&lt;2021),0.08,IF(AND('Basic Data Entry'!$G$11="Y-Urban",'Arear Table Protected'!T39&lt;2021),0.16,IF(AND('Basic Data Entry'!$G$11="Z-Rural",'Arear Table Protected'!T39=2021,S39&gt;=7),0.09,IF(AND('Basic Data Entry'!$G$11="Y-Urban",'Arear Table Protected'!T39=2021,'Arear Table Protected'!S39&gt;=7),0.18,IF(AND('Basic Data Entry'!$G$11="Z-Rural",'Arear Table Protected'!T39=2021,S39&lt;7),0.08,IF(AND('Basic Data Entry'!$G$11="Y-Urban",'Arear Table Protected'!T39=2021,'Arear Table Protected'!S39&lt;7),0.16,IF(AND('Basic Data Entry'!$G$11="Z-Rural",'Arear Table Protected'!T39=2022),0.09,IF(AND('Basic Data Entry'!$G$11="Y-Urban",'Arear Table Protected'!T39=2022),0.18,IF(AND('Basic Data Entry'!$G$11="Z-Rural",'Arear Table Protected'!T39=2023),0.09,IF(AND('Basic Data Entry'!$G$11="Y-Urban",'Arear Table Protected'!T39=2023),0.18,"")))))))))))</f>
        <v>0.08</v>
      </c>
      <c r="J39" s="167">
        <f>IF(OR(O39="",O39=0),"",IF(AND('Basic Data Entry'!$G$11="Z-Rural",'Arear Table Protected'!T39&lt;2021),0.08,IF(AND('Basic Data Entry'!$G$11="Y-Urban",'Arear Table Protected'!T39&lt;2021),0.16,IF(AND('Basic Data Entry'!$G$11="Z-Rural",'Arear Table Protected'!T39=2021,S39&gt;=7),0.09,IF(AND('Basic Data Entry'!$G$11="Y-Urban",'Arear Table Protected'!T39=2021,'Arear Table Protected'!S39&gt;=7),0.18,IF(AND('Basic Data Entry'!$G$11="Z-Rural",'Arear Table Protected'!T39=2021,S39&lt;7),0.08,IF(AND('Basic Data Entry'!$G$11="Y-Urban",'Arear Table Protected'!T39=2021,'Arear Table Protected'!S39&lt;7),0.16,IF(AND('Basic Data Entry'!$G$11="Z-Rural",'Arear Table Protected'!T39=2022),0.09,IF(AND('Basic Data Entry'!$G$11="Y-Urban",'Arear Table Protected'!T39=2022),0.18,IF(AND('Basic Data Entry'!$G$11="Z-Rural",'Arear Table Protected'!T39=2023),0.09,IF(AND('Basic Data Entry'!$G$11="Y-Urban",'Arear Table Protected'!T39=2023),0.18,"")))))))))))</f>
        <v>0.08</v>
      </c>
      <c r="K39" s="168" t="str">
        <f t="shared" si="4"/>
        <v/>
      </c>
      <c r="L39" s="169" t="str">
        <f t="shared" si="5"/>
        <v/>
      </c>
      <c r="M39" s="170" t="str">
        <f t="shared" si="7"/>
        <v/>
      </c>
      <c r="N39" s="196">
        <v>27</v>
      </c>
      <c r="O39" s="327">
        <f t="shared" si="8"/>
        <v>44272</v>
      </c>
      <c r="P39" s="328"/>
      <c r="Q39" s="328"/>
      <c r="R39" s="329"/>
      <c r="S39" s="161">
        <f t="array" ref="S39">IF(OR(O39=0,O39=""),"",MONTH(O39))</f>
        <v>3</v>
      </c>
      <c r="T39" s="161">
        <f t="array" ref="T39">IF(OR(O39=0,O39=""),"",YEAR(O39))</f>
        <v>2021</v>
      </c>
      <c r="U39" s="161" t="str">
        <f t="shared" si="9"/>
        <v>32021</v>
      </c>
      <c r="V39" s="197">
        <f t="array" ref="V39">IF(OR(O39=0,O39=""),"",BE39)</f>
        <v>46500</v>
      </c>
      <c r="W39" s="163">
        <f t="array" ref="W39">IF(OR(O39=0,O39=""),"",ROUND(V39*H39,0))</f>
        <v>7905</v>
      </c>
      <c r="X39" s="222">
        <f t="shared" si="10"/>
        <v>0</v>
      </c>
      <c r="Y39" s="163">
        <f t="array" ref="Y39">IF(OR(O39=0,O39=""),"",ROUND(V39*J39,0))</f>
        <v>3720</v>
      </c>
      <c r="Z39" s="198">
        <f t="array" ref="Z39">IF(OR(O39=0,O39=""),"",SUM(V39:Y39))</f>
        <v>58125</v>
      </c>
      <c r="AA39" s="199">
        <f t="array" ref="AA39">IF(OR(O39=0,O39=""),"",IF(V39=0,0,IF($E$2="FIXATION",$B$5,IF(V39=0,0,IF(BD39=7,ROUND(AA38*1.03,-2),AA38)))))</f>
        <v>41500</v>
      </c>
      <c r="AB39" s="200">
        <f t="array" ref="AB39">IF(OR(O39=0,O39=""),"",IF($E$2="fixation",0,ROUND(AA39*G39,0)))</f>
        <v>7055</v>
      </c>
      <c r="AC39" s="222">
        <f t="array" ref="AC39">IF(OR(O39=0,O39=""),"",AC38)</f>
        <v>0</v>
      </c>
      <c r="AD39" s="200">
        <f t="array" ref="AD39">IF(OR(O39=0,O39=""),"",IF($E$2="fixation",0,ROUND(AA39*I39,0)))</f>
        <v>3320</v>
      </c>
      <c r="AE39" s="198">
        <f t="array" ref="AE39">IF(OR(O39=0,O39=""),"",SUM(AA39:AD39))</f>
        <v>51875</v>
      </c>
      <c r="AF39" s="199">
        <f t="array" ref="AF39">IF(OR(O39=0,O39=""),"",V39-AA39)</f>
        <v>5000</v>
      </c>
      <c r="AG39" s="200">
        <f t="array" ref="AG39">IF(OR(O39=0,O39=""),"",W39-AB39)</f>
        <v>850</v>
      </c>
      <c r="AH39" s="200">
        <f t="array" ref="AH39">IF(OR(O39=0,O39=""),"",X39-AC39)</f>
        <v>0</v>
      </c>
      <c r="AI39" s="200">
        <f t="array" ref="AI39">IF(OR(O39=0,O39=""),"",Y39-AD39)</f>
        <v>400</v>
      </c>
      <c r="AJ39" s="201">
        <f t="array" ref="AJ39">IF(OR(O39=0,O39=""),"",Z39-AE39)</f>
        <v>6250</v>
      </c>
      <c r="AK39" s="202">
        <f t="array" ref="AK39">IF(OR(O39=0,O39=""),"",IF(M39="",$AZ$2,$AZ$2+M39))</f>
        <v>4500</v>
      </c>
      <c r="AL39" s="203">
        <f t="array" ref="AL39">IF(OR(O39=0,O39=""),"",$AQ$2)</f>
        <v>4500</v>
      </c>
      <c r="AM39" s="204">
        <f t="array" ref="AM39">IF(OR(O39=0,O39=""),"",AK39-AL39)</f>
        <v>0</v>
      </c>
      <c r="AN39" s="3">
        <f t="array" ref="AN39">IF(OR(O38=0,O38="",AN38="",AN38=""),"",AN38)</f>
        <v>3000</v>
      </c>
      <c r="AO39" s="2">
        <f t="array" ref="AO39">IF(OR(O38=0,O38="",AO38="",AO38=""),"",AO38)</f>
        <v>3000</v>
      </c>
      <c r="AP39" s="204">
        <f t="array" ref="AP39">IF(OR(O39=0,O39=""),"",SUM(AN39-AO39))</f>
        <v>0</v>
      </c>
      <c r="AQ39" s="106" t="str">
        <f t="array" ref="AQ39">IF(OR(O39=0,O39=""),"",IF(AND('Basic Data Entry'!$C$10="state Service",'Arear Table Protected'!T39=2020,S39=3),ROUND(V39/31*5,0),IF(AND('Basic Data Entry'!$C$10="state Service",'Arear Table Protected'!T39=2020,S39=9),ROUND(Z39/30*2,0),IF(AND('Basic Data Entry'!$C$10="state Service",'Arear Table Protected'!T39=2020,S39=10),ROUND(Z39/31*2,0),IF(AND('Basic Data Entry'!$C$10="subordinate",'Arear Table Protected'!T39=2020,S39=3),ROUND(V39/31*3,0),IF(AND('Basic Data Entry'!$C$10="subordinate",'Arear Table Protected'!T39=2020,S39=9),ROUND(Z39/30*1,0),IF(AND('Basic Data Entry'!$C$10="subordinate",'Arear Table Protected'!T39=2020,S39=10),ROUND(Z39/31*1,0),IF(AND('Basic Data Entry'!$C$10="ministrial",'Arear Table Protected'!T39=2020,S39=3),ROUND(V39/31*1,0),""))))))))</f>
        <v/>
      </c>
      <c r="AR39" s="107" t="str">
        <f t="array" ref="AR39">IF(OR(O39=0,O39=""),"",IF(AND('Basic Data Entry'!$C$10="state Service",'Arear Table Protected'!T39=2020,S39=3),ROUND(AA39/31*5,0),IF(AND('Basic Data Entry'!$C$10="state Service",'Arear Table Protected'!T39=2020,S39=9),ROUND(AE39/30*2,0),IF(AND('Basic Data Entry'!$C$10="state Service",'Arear Table Protected'!T39=2020,S39=10),ROUND(AE39/31*2,0),IF(AND('Basic Data Entry'!$C$10="subordinate",'Arear Table Protected'!T39=2020,S39=3),ROUND(AA39/31*3,0),IF(AND('Basic Data Entry'!$C$10="subordinate",'Arear Table Protected'!T39=2020,S39=9),ROUND(AE39/30*1,0),IF(AND('Basic Data Entry'!$C$10="subordinate",'Arear Table Protected'!T39=2020,S39=10),ROUND(AE39/31*1,0),IF(AND('Basic Data Entry'!$C$10="ministrial",'Arear Table Protected'!T39=2020,S39=3),ROUND(AA39/31*1,0),""))))))))</f>
        <v/>
      </c>
      <c r="AS39" s="205" t="str">
        <f t="array" ref="AS39">IF(OR(O39=0,O39="",AQ39="",AR39=""),"",AQ39-AR39)</f>
        <v/>
      </c>
      <c r="AT39" s="44">
        <f t="array" ref="AT39">IF(OR(O38=0,O38=""),"",AT38)</f>
        <v>0</v>
      </c>
      <c r="AU39" s="45">
        <f t="array" ref="AU39">IF(OR(O38=0,O38=""),"",AU38)</f>
        <v>0</v>
      </c>
      <c r="AV39" s="206">
        <f t="array" ref="AV39">IF(OR(O39=0,O39=""),"",SUM(AT39-AU39))</f>
        <v>0</v>
      </c>
      <c r="AW39" s="207">
        <f t="array" ref="AW39">IF(OR(O39=0,O39=""),"",ROUND((AJ39)*$E$3,0))</f>
        <v>625</v>
      </c>
      <c r="AX39" s="207">
        <f t="array" ref="AX39">IF(OR(O39=0,O39=""),"",SUM(AM39,AP39,AS39,AV39,AW39))</f>
        <v>625</v>
      </c>
      <c r="AY39" s="208">
        <f t="array" ref="AY39">IF(OR(O39=0,O39=""),"",AJ39-AX39)</f>
        <v>5625</v>
      </c>
      <c r="AZ39" s="46"/>
      <c r="BA39" s="24"/>
      <c r="BB39" s="24"/>
      <c r="BC39" s="11">
        <f t="shared" si="20"/>
        <v>44272</v>
      </c>
      <c r="BD39" s="84">
        <f t="shared" si="12"/>
        <v>3</v>
      </c>
      <c r="BE39" s="84">
        <f t="shared" si="18"/>
        <v>46500</v>
      </c>
      <c r="BI39" s="22">
        <f t="shared" si="19"/>
        <v>44272</v>
      </c>
      <c r="BK39" s="19">
        <f t="shared" si="13"/>
        <v>1</v>
      </c>
      <c r="BL39" s="20" t="str">
        <f t="array" ref="BL39">IF(OR(O39=0,O39=""),"",U39)</f>
        <v>32021</v>
      </c>
      <c r="BM39" s="19">
        <f t="array" ref="BM39">IF(OR(O39=0,O39=""),"",BK39+BL39)</f>
        <v>32022</v>
      </c>
      <c r="BN39" s="21" t="str">
        <f t="shared" si="21"/>
        <v>MM</v>
      </c>
      <c r="BO39" s="21">
        <f t="shared" si="22"/>
        <v>0</v>
      </c>
      <c r="BP39" s="23">
        <f t="shared" si="16"/>
        <v>0</v>
      </c>
      <c r="BQ39" s="21" t="str">
        <f t="shared" si="23"/>
        <v>00</v>
      </c>
      <c r="BW39" s="81" t="str">
        <f>IF(OR(O39=0,O39=""),"",IF('Basic Data Entry'!$C$9="fixation","yes",""))</f>
        <v/>
      </c>
      <c r="BX39" s="81" t="str">
        <f>IF(OR(O39=0,O39=""),"",IF('Basic Data Entry'!$G$12="yes","yes","no"))</f>
        <v>no</v>
      </c>
    </row>
    <row r="40" spans="1:76" ht="18" customHeight="1" thickBot="1">
      <c r="A40" s="10">
        <f t="shared" si="6"/>
        <v>46500</v>
      </c>
      <c r="B40" s="305"/>
      <c r="C40" s="305"/>
      <c r="D40" s="305"/>
      <c r="E40" s="305"/>
      <c r="F40" s="108">
        <f t="shared" si="1"/>
        <v>44303</v>
      </c>
      <c r="G40" s="165">
        <f t="shared" si="2"/>
        <v>0.17</v>
      </c>
      <c r="H40" s="166">
        <f t="shared" si="3"/>
        <v>0.17</v>
      </c>
      <c r="I40" s="166">
        <f>IF(OR($E$2="fixation",O40="",O40=0),"",IF(AND('Basic Data Entry'!$G$11="Z-Rural",'Arear Table Protected'!T40&lt;2021),0.08,IF(AND('Basic Data Entry'!$G$11="Y-Urban",'Arear Table Protected'!T40&lt;2021),0.16,IF(AND('Basic Data Entry'!$G$11="Z-Rural",'Arear Table Protected'!T40=2021,S40&gt;=7),0.09,IF(AND('Basic Data Entry'!$G$11="Y-Urban",'Arear Table Protected'!T40=2021,'Arear Table Protected'!S40&gt;=7),0.18,IF(AND('Basic Data Entry'!$G$11="Z-Rural",'Arear Table Protected'!T40=2021,S40&lt;7),0.08,IF(AND('Basic Data Entry'!$G$11="Y-Urban",'Arear Table Protected'!T40=2021,'Arear Table Protected'!S40&lt;7),0.16,IF(AND('Basic Data Entry'!$G$11="Z-Rural",'Arear Table Protected'!T40=2022),0.09,IF(AND('Basic Data Entry'!$G$11="Y-Urban",'Arear Table Protected'!T40=2022),0.18,IF(AND('Basic Data Entry'!$G$11="Z-Rural",'Arear Table Protected'!T40=2023),0.09,IF(AND('Basic Data Entry'!$G$11="Y-Urban",'Arear Table Protected'!T40=2023),0.18,"")))))))))))</f>
        <v>0.08</v>
      </c>
      <c r="J40" s="167">
        <f>IF(OR(O40="",O40=0),"",IF(AND('Basic Data Entry'!$G$11="Z-Rural",'Arear Table Protected'!T40&lt;2021),0.08,IF(AND('Basic Data Entry'!$G$11="Y-Urban",'Arear Table Protected'!T40&lt;2021),0.16,IF(AND('Basic Data Entry'!$G$11="Z-Rural",'Arear Table Protected'!T40=2021,S40&gt;=7),0.09,IF(AND('Basic Data Entry'!$G$11="Y-Urban",'Arear Table Protected'!T40=2021,'Arear Table Protected'!S40&gt;=7),0.18,IF(AND('Basic Data Entry'!$G$11="Z-Rural",'Arear Table Protected'!T40=2021,S40&lt;7),0.08,IF(AND('Basic Data Entry'!$G$11="Y-Urban",'Arear Table Protected'!T40=2021,'Arear Table Protected'!S40&lt;7),0.16,IF(AND('Basic Data Entry'!$G$11="Z-Rural",'Arear Table Protected'!T40=2022),0.09,IF(AND('Basic Data Entry'!$G$11="Y-Urban",'Arear Table Protected'!T40=2022),0.18,IF(AND('Basic Data Entry'!$G$11="Z-Rural",'Arear Table Protected'!T40=2023),0.09,IF(AND('Basic Data Entry'!$G$11="Y-Urban",'Arear Table Protected'!T40=2023),0.18,"")))))))))))</f>
        <v>0.08</v>
      </c>
      <c r="K40" s="168" t="str">
        <f t="shared" si="4"/>
        <v/>
      </c>
      <c r="L40" s="169" t="str">
        <f t="shared" si="5"/>
        <v/>
      </c>
      <c r="M40" s="170" t="str">
        <f t="shared" si="7"/>
        <v/>
      </c>
      <c r="N40" s="196">
        <v>28</v>
      </c>
      <c r="O40" s="327">
        <f t="shared" si="8"/>
        <v>44303</v>
      </c>
      <c r="P40" s="328"/>
      <c r="Q40" s="328"/>
      <c r="R40" s="329"/>
      <c r="S40" s="161">
        <f t="array" ref="S40">IF(OR(O40=0,O40=""),"",MONTH(O40))</f>
        <v>4</v>
      </c>
      <c r="T40" s="161">
        <f t="array" ref="T40">IF(OR(O40=0,O40=""),"",YEAR(O40))</f>
        <v>2021</v>
      </c>
      <c r="U40" s="161" t="str">
        <f t="shared" si="9"/>
        <v>42021</v>
      </c>
      <c r="V40" s="197">
        <f t="array" ref="V40">IF(OR(O40=0,O40=""),"",BE40)</f>
        <v>46500</v>
      </c>
      <c r="W40" s="163">
        <f t="array" ref="W40">IF(OR(O40=0,O40=""),"",ROUND(V40*H40,0))</f>
        <v>7905</v>
      </c>
      <c r="X40" s="222">
        <f t="shared" si="10"/>
        <v>0</v>
      </c>
      <c r="Y40" s="163">
        <f t="array" ref="Y40">IF(OR(O40=0,O40=""),"",ROUND(V40*J40,0))</f>
        <v>3720</v>
      </c>
      <c r="Z40" s="198">
        <f t="array" ref="Z40">IF(OR(O40=0,O40=""),"",SUM(V40:Y40))</f>
        <v>58125</v>
      </c>
      <c r="AA40" s="199">
        <f t="array" ref="AA40">IF(OR(O40=0,O40=""),"",IF(V40=0,0,IF($E$2="FIXATION",$B$5,IF(V40=0,0,IF(BD40=7,ROUND(AA39*1.03,-2),AA39)))))</f>
        <v>41500</v>
      </c>
      <c r="AB40" s="200">
        <f t="array" ref="AB40">IF(OR(O40=0,O40=""),"",IF($E$2="fixation",0,ROUND(AA40*G40,0)))</f>
        <v>7055</v>
      </c>
      <c r="AC40" s="222">
        <f t="array" ref="AC40">IF(OR(O40=0,O40=""),"",AC39)</f>
        <v>0</v>
      </c>
      <c r="AD40" s="200">
        <f t="array" ref="AD40">IF(OR(O40=0,O40=""),"",IF($E$2="fixation",0,ROUND(AA40*I40,0)))</f>
        <v>3320</v>
      </c>
      <c r="AE40" s="198">
        <f t="array" ref="AE40">IF(OR(O40=0,O40=""),"",SUM(AA40:AD40))</f>
        <v>51875</v>
      </c>
      <c r="AF40" s="199">
        <f t="array" ref="AF40">IF(OR(O40=0,O40=""),"",V40-AA40)</f>
        <v>5000</v>
      </c>
      <c r="AG40" s="200">
        <f t="array" ref="AG40">IF(OR(O40=0,O40=""),"",W40-AB40)</f>
        <v>850</v>
      </c>
      <c r="AH40" s="200">
        <f t="array" ref="AH40">IF(OR(O40=0,O40=""),"",X40-AC40)</f>
        <v>0</v>
      </c>
      <c r="AI40" s="200">
        <f t="array" ref="AI40">IF(OR(O40=0,O40=""),"",Y40-AD40)</f>
        <v>400</v>
      </c>
      <c r="AJ40" s="201">
        <f t="array" ref="AJ40">IF(OR(O40=0,O40=""),"",Z40-AE40)</f>
        <v>6250</v>
      </c>
      <c r="AK40" s="202">
        <f t="array" ref="AK40">IF(OR(O40=0,O40=""),"",IF(M40="",$AZ$2,$AZ$2+M40))</f>
        <v>4500</v>
      </c>
      <c r="AL40" s="203">
        <f t="array" ref="AL40">IF(OR(O40=0,O40=""),"",$AQ$2)</f>
        <v>4500</v>
      </c>
      <c r="AM40" s="204">
        <f t="array" ref="AM40">IF(OR(O40=0,O40=""),"",AK40-AL40)</f>
        <v>0</v>
      </c>
      <c r="AN40" s="3">
        <f t="array" ref="AN40">IF(OR(O39=0,O39="",AN39="",AN39=""),"",AN39)</f>
        <v>3000</v>
      </c>
      <c r="AO40" s="2">
        <f t="array" ref="AO40">IF(OR(O39=0,O39="",AO39="",AO39=""),"",AO39)</f>
        <v>3000</v>
      </c>
      <c r="AP40" s="204">
        <f t="array" ref="AP40">IF(OR(O40=0,O40=""),"",SUM(AN40-AO40))</f>
        <v>0</v>
      </c>
      <c r="AQ40" s="106" t="str">
        <f t="array" ref="AQ40">IF(OR(O40=0,O40=""),"",IF(AND('Basic Data Entry'!$C$10="state Service",'Arear Table Protected'!T40=2020,S40=3),ROUND(V40/31*5,0),IF(AND('Basic Data Entry'!$C$10="state Service",'Arear Table Protected'!T40=2020,S40=9),ROUND(Z40/30*2,0),IF(AND('Basic Data Entry'!$C$10="state Service",'Arear Table Protected'!T40=2020,S40=10),ROUND(Z40/31*2,0),IF(AND('Basic Data Entry'!$C$10="subordinate",'Arear Table Protected'!T40=2020,S40=3),ROUND(V40/31*3,0),IF(AND('Basic Data Entry'!$C$10="subordinate",'Arear Table Protected'!T40=2020,S40=9),ROUND(Z40/30*1,0),IF(AND('Basic Data Entry'!$C$10="subordinate",'Arear Table Protected'!T40=2020,S40=10),ROUND(Z40/31*1,0),IF(AND('Basic Data Entry'!$C$10="ministrial",'Arear Table Protected'!T40=2020,S40=3),ROUND(V40/31*1,0),""))))))))</f>
        <v/>
      </c>
      <c r="AR40" s="107" t="str">
        <f t="array" ref="AR40">IF(OR(O40=0,O40=""),"",IF(AND('Basic Data Entry'!$C$10="state Service",'Arear Table Protected'!T40=2020,S40=3),ROUND(AA40/31*5,0),IF(AND('Basic Data Entry'!$C$10="state Service",'Arear Table Protected'!T40=2020,S40=9),ROUND(AE40/30*2,0),IF(AND('Basic Data Entry'!$C$10="state Service",'Arear Table Protected'!T40=2020,S40=10),ROUND(AE40/31*2,0),IF(AND('Basic Data Entry'!$C$10="subordinate",'Arear Table Protected'!T40=2020,S40=3),ROUND(AA40/31*3,0),IF(AND('Basic Data Entry'!$C$10="subordinate",'Arear Table Protected'!T40=2020,S40=9),ROUND(AE40/30*1,0),IF(AND('Basic Data Entry'!$C$10="subordinate",'Arear Table Protected'!T40=2020,S40=10),ROUND(AE40/31*1,0),IF(AND('Basic Data Entry'!$C$10="ministrial",'Arear Table Protected'!T40=2020,S40=3),ROUND(AA40/31*1,0),""))))))))</f>
        <v/>
      </c>
      <c r="AS40" s="205" t="str">
        <f t="array" ref="AS40">IF(OR(O40=0,O40="",AQ40="",AR40=""),"",AQ40-AR40)</f>
        <v/>
      </c>
      <c r="AT40" s="44">
        <f t="array" ref="AT40">IF(OR(O39=0,O39=""),"",AT39)</f>
        <v>0</v>
      </c>
      <c r="AU40" s="45">
        <f t="array" ref="AU40">IF(OR(O39=0,O39=""),"",AU39)</f>
        <v>0</v>
      </c>
      <c r="AV40" s="206">
        <f t="array" ref="AV40">IF(OR(O40=0,O40=""),"",SUM(AT40-AU40))</f>
        <v>0</v>
      </c>
      <c r="AW40" s="207">
        <f t="array" ref="AW40">IF(OR(O40=0,O40=""),"",ROUND((AJ40)*$E$3,0))</f>
        <v>625</v>
      </c>
      <c r="AX40" s="207">
        <f t="array" ref="AX40">IF(OR(O40=0,O40=""),"",SUM(AM40,AP40,AS40,AV40,AW40))</f>
        <v>625</v>
      </c>
      <c r="AY40" s="208">
        <f t="array" ref="AY40">IF(OR(O40=0,O40=""),"",AJ40-AX40)</f>
        <v>5625</v>
      </c>
      <c r="AZ40" s="46"/>
      <c r="BA40" s="24"/>
      <c r="BB40" s="24"/>
      <c r="BC40" s="11">
        <f t="shared" si="20"/>
        <v>44303</v>
      </c>
      <c r="BD40" s="84">
        <f t="shared" si="12"/>
        <v>4</v>
      </c>
      <c r="BE40" s="84">
        <f t="shared" si="18"/>
        <v>46500</v>
      </c>
      <c r="BI40" s="22">
        <f t="shared" si="19"/>
        <v>44303</v>
      </c>
      <c r="BK40" s="19">
        <f t="shared" si="13"/>
        <v>1</v>
      </c>
      <c r="BL40" s="20" t="str">
        <f t="array" ref="BL40">IF(OR(O40=0,O40=""),"",U40)</f>
        <v>42021</v>
      </c>
      <c r="BM40" s="19">
        <f t="array" ref="BM40">IF(OR(O40=0,O40=""),"",BK40+BL40)</f>
        <v>42022</v>
      </c>
      <c r="BN40" s="21">
        <f t="shared" si="21"/>
        <v>0</v>
      </c>
      <c r="BO40" s="21">
        <f t="shared" si="22"/>
        <v>0</v>
      </c>
      <c r="BP40" s="23">
        <f t="shared" si="16"/>
        <v>0</v>
      </c>
      <c r="BQ40" s="21" t="str">
        <f t="shared" si="23"/>
        <v>00</v>
      </c>
      <c r="BW40" s="81" t="str">
        <f>IF(OR(O40=0,O40=""),"",IF('Basic Data Entry'!$C$9="fixation","yes",""))</f>
        <v/>
      </c>
      <c r="BX40" s="81" t="str">
        <f>IF(OR(O40=0,O40=""),"",IF('Basic Data Entry'!$G$12="yes","yes","no"))</f>
        <v>no</v>
      </c>
    </row>
    <row r="41" spans="1:76" ht="18" customHeight="1" thickBot="1">
      <c r="A41" s="10">
        <f t="shared" si="6"/>
        <v>46500</v>
      </c>
      <c r="B41" s="305"/>
      <c r="C41" s="305"/>
      <c r="D41" s="305"/>
      <c r="E41" s="305"/>
      <c r="F41" s="108">
        <f t="shared" si="1"/>
        <v>44334</v>
      </c>
      <c r="G41" s="165">
        <f t="shared" si="2"/>
        <v>0.17</v>
      </c>
      <c r="H41" s="166">
        <f t="shared" si="3"/>
        <v>0.17</v>
      </c>
      <c r="I41" s="166">
        <f>IF(OR($E$2="fixation",O41="",O41=0),"",IF(AND('Basic Data Entry'!$G$11="Z-Rural",'Arear Table Protected'!T41&lt;2021),0.08,IF(AND('Basic Data Entry'!$G$11="Y-Urban",'Arear Table Protected'!T41&lt;2021),0.16,IF(AND('Basic Data Entry'!$G$11="Z-Rural",'Arear Table Protected'!T41=2021,S41&gt;=7),0.09,IF(AND('Basic Data Entry'!$G$11="Y-Urban",'Arear Table Protected'!T41=2021,'Arear Table Protected'!S41&gt;=7),0.18,IF(AND('Basic Data Entry'!$G$11="Z-Rural",'Arear Table Protected'!T41=2021,S41&lt;7),0.08,IF(AND('Basic Data Entry'!$G$11="Y-Urban",'Arear Table Protected'!T41=2021,'Arear Table Protected'!S41&lt;7),0.16,IF(AND('Basic Data Entry'!$G$11="Z-Rural",'Arear Table Protected'!T41=2022),0.09,IF(AND('Basic Data Entry'!$G$11="Y-Urban",'Arear Table Protected'!T41=2022),0.18,IF(AND('Basic Data Entry'!$G$11="Z-Rural",'Arear Table Protected'!T41=2023),0.09,IF(AND('Basic Data Entry'!$G$11="Y-Urban",'Arear Table Protected'!T41=2023),0.18,"")))))))))))</f>
        <v>0.08</v>
      </c>
      <c r="J41" s="167">
        <f>IF(OR(O41="",O41=0),"",IF(AND('Basic Data Entry'!$G$11="Z-Rural",'Arear Table Protected'!T41&lt;2021),0.08,IF(AND('Basic Data Entry'!$G$11="Y-Urban",'Arear Table Protected'!T41&lt;2021),0.16,IF(AND('Basic Data Entry'!$G$11="Z-Rural",'Arear Table Protected'!T41=2021,S41&gt;=7),0.09,IF(AND('Basic Data Entry'!$G$11="Y-Urban",'Arear Table Protected'!T41=2021,'Arear Table Protected'!S41&gt;=7),0.18,IF(AND('Basic Data Entry'!$G$11="Z-Rural",'Arear Table Protected'!T41=2021,S41&lt;7),0.08,IF(AND('Basic Data Entry'!$G$11="Y-Urban",'Arear Table Protected'!T41=2021,'Arear Table Protected'!S41&lt;7),0.16,IF(AND('Basic Data Entry'!$G$11="Z-Rural",'Arear Table Protected'!T41=2022),0.09,IF(AND('Basic Data Entry'!$G$11="Y-Urban",'Arear Table Protected'!T41=2022),0.18,IF(AND('Basic Data Entry'!$G$11="Z-Rural",'Arear Table Protected'!T41=2023),0.09,IF(AND('Basic Data Entry'!$G$11="Y-Urban",'Arear Table Protected'!T41=2023),0.18,"")))))))))))</f>
        <v>0.08</v>
      </c>
      <c r="K41" s="168" t="str">
        <f t="shared" si="4"/>
        <v/>
      </c>
      <c r="L41" s="169" t="str">
        <f t="shared" si="5"/>
        <v/>
      </c>
      <c r="M41" s="170" t="str">
        <f t="shared" si="7"/>
        <v/>
      </c>
      <c r="N41" s="196">
        <v>29</v>
      </c>
      <c r="O41" s="327">
        <f t="shared" si="8"/>
        <v>44334</v>
      </c>
      <c r="P41" s="328"/>
      <c r="Q41" s="328"/>
      <c r="R41" s="329"/>
      <c r="S41" s="161">
        <f t="array" ref="S41">IF(OR(O41=0,O41=""),"",MONTH(O41))</f>
        <v>5</v>
      </c>
      <c r="T41" s="161">
        <f t="array" ref="T41">IF(OR(O41=0,O41=""),"",YEAR(O41))</f>
        <v>2021</v>
      </c>
      <c r="U41" s="161" t="str">
        <f t="shared" si="9"/>
        <v>52021</v>
      </c>
      <c r="V41" s="197">
        <f t="array" ref="V41">IF(OR(O41=0,O41=""),"",BE41)</f>
        <v>46500</v>
      </c>
      <c r="W41" s="163">
        <f t="array" ref="W41">IF(OR(O41=0,O41=""),"",ROUND(V41*H41,0))</f>
        <v>7905</v>
      </c>
      <c r="X41" s="222">
        <f t="shared" si="10"/>
        <v>0</v>
      </c>
      <c r="Y41" s="163">
        <f t="array" ref="Y41">IF(OR(O41=0,O41=""),"",ROUND(V41*J41,0))</f>
        <v>3720</v>
      </c>
      <c r="Z41" s="198">
        <f t="array" ref="Z41">IF(OR(O41=0,O41=""),"",SUM(V41:Y41))</f>
        <v>58125</v>
      </c>
      <c r="AA41" s="199">
        <f t="array" ref="AA41">IF(OR(O41=0,O41=""),"",IF(V41=0,0,IF($E$2="FIXATION",$B$5,IF(V41=0,0,IF(BD41=7,ROUND(AA40*1.03,-2),AA40)))))</f>
        <v>41500</v>
      </c>
      <c r="AB41" s="200">
        <f t="array" ref="AB41">IF(OR(O41=0,O41=""),"",IF($E$2="fixation",0,ROUND(AA41*G41,0)))</f>
        <v>7055</v>
      </c>
      <c r="AC41" s="222">
        <f t="array" ref="AC41">IF(OR(O41=0,O41=""),"",AC40)</f>
        <v>0</v>
      </c>
      <c r="AD41" s="200">
        <f t="array" ref="AD41">IF(OR(O41=0,O41=""),"",IF($E$2="fixation",0,ROUND(AA41*I41,0)))</f>
        <v>3320</v>
      </c>
      <c r="AE41" s="198">
        <f t="array" ref="AE41">IF(OR(O41=0,O41=""),"",SUM(AA41:AD41))</f>
        <v>51875</v>
      </c>
      <c r="AF41" s="199">
        <f t="array" ref="AF41">IF(OR(O41=0,O41=""),"",V41-AA41)</f>
        <v>5000</v>
      </c>
      <c r="AG41" s="200">
        <f t="array" ref="AG41">IF(OR(O41=0,O41=""),"",W41-AB41)</f>
        <v>850</v>
      </c>
      <c r="AH41" s="200">
        <f t="array" ref="AH41">IF(OR(O41=0,O41=""),"",X41-AC41)</f>
        <v>0</v>
      </c>
      <c r="AI41" s="200">
        <f t="array" ref="AI41">IF(OR(O41=0,O41=""),"",Y41-AD41)</f>
        <v>400</v>
      </c>
      <c r="AJ41" s="201">
        <f t="array" ref="AJ41">IF(OR(O41=0,O41=""),"",Z41-AE41)</f>
        <v>6250</v>
      </c>
      <c r="AK41" s="202">
        <f t="array" ref="AK41">IF(OR(O41=0,O41=""),"",IF(M41="",$AZ$2,$AZ$2+M41))</f>
        <v>4500</v>
      </c>
      <c r="AL41" s="203">
        <f t="array" ref="AL41">IF(OR(O41=0,O41=""),"",$AQ$2)</f>
        <v>4500</v>
      </c>
      <c r="AM41" s="204">
        <f t="array" ref="AM41">IF(OR(O41=0,O41=""),"",AK41-AL41)</f>
        <v>0</v>
      </c>
      <c r="AN41" s="3">
        <f t="array" ref="AN41">IF(OR(O40=0,O40="",AN40="",AN40=""),"",AN40)</f>
        <v>3000</v>
      </c>
      <c r="AO41" s="2">
        <f t="array" ref="AO41">IF(OR(O40=0,O40="",AO40="",AO40=""),"",AO40)</f>
        <v>3000</v>
      </c>
      <c r="AP41" s="204">
        <f t="array" ref="AP41">IF(OR(O41=0,O41=""),"",SUM(AN41-AO41))</f>
        <v>0</v>
      </c>
      <c r="AQ41" s="106" t="str">
        <f t="array" ref="AQ41">IF(OR(O41=0,O41=""),"",IF(AND('Basic Data Entry'!$C$10="state Service",'Arear Table Protected'!T41=2020,S41=3),ROUND(V41/31*5,0),IF(AND('Basic Data Entry'!$C$10="state Service",'Arear Table Protected'!T41=2020,S41=9),ROUND(Z41/30*2,0),IF(AND('Basic Data Entry'!$C$10="state Service",'Arear Table Protected'!T41=2020,S41=10),ROUND(Z41/31*2,0),IF(AND('Basic Data Entry'!$C$10="subordinate",'Arear Table Protected'!T41=2020,S41=3),ROUND(V41/31*3,0),IF(AND('Basic Data Entry'!$C$10="subordinate",'Arear Table Protected'!T41=2020,S41=9),ROUND(Z41/30*1,0),IF(AND('Basic Data Entry'!$C$10="subordinate",'Arear Table Protected'!T41=2020,S41=10),ROUND(Z41/31*1,0),IF(AND('Basic Data Entry'!$C$10="ministrial",'Arear Table Protected'!T41=2020,S41=3),ROUND(V41/31*1,0),""))))))))</f>
        <v/>
      </c>
      <c r="AR41" s="107" t="str">
        <f t="array" ref="AR41">IF(OR(O41=0,O41=""),"",IF(AND('Basic Data Entry'!$C$10="state Service",'Arear Table Protected'!T41=2020,S41=3),ROUND(AA41/31*5,0),IF(AND('Basic Data Entry'!$C$10="state Service",'Arear Table Protected'!T41=2020,S41=9),ROUND(AE41/30*2,0),IF(AND('Basic Data Entry'!$C$10="state Service",'Arear Table Protected'!T41=2020,S41=10),ROUND(AE41/31*2,0),IF(AND('Basic Data Entry'!$C$10="subordinate",'Arear Table Protected'!T41=2020,S41=3),ROUND(AA41/31*3,0),IF(AND('Basic Data Entry'!$C$10="subordinate",'Arear Table Protected'!T41=2020,S41=9),ROUND(AE41/30*1,0),IF(AND('Basic Data Entry'!$C$10="subordinate",'Arear Table Protected'!T41=2020,S41=10),ROUND(AE41/31*1,0),IF(AND('Basic Data Entry'!$C$10="ministrial",'Arear Table Protected'!T41=2020,S41=3),ROUND(AA41/31*1,0),""))))))))</f>
        <v/>
      </c>
      <c r="AS41" s="205" t="str">
        <f t="array" ref="AS41">IF(OR(O41=0,O41="",AQ41="",AR41=""),"",AQ41-AR41)</f>
        <v/>
      </c>
      <c r="AT41" s="44">
        <f t="array" ref="AT41">IF(OR(O40=0,O40=""),"",AT40)</f>
        <v>0</v>
      </c>
      <c r="AU41" s="45">
        <f t="array" ref="AU41">IF(OR(O40=0,O40=""),"",AU40)</f>
        <v>0</v>
      </c>
      <c r="AV41" s="206">
        <f t="array" ref="AV41">IF(OR(O41=0,O41=""),"",SUM(AT41-AU41))</f>
        <v>0</v>
      </c>
      <c r="AW41" s="207">
        <f t="array" ref="AW41">IF(OR(O41=0,O41=""),"",ROUND((AJ41)*$E$3,0))</f>
        <v>625</v>
      </c>
      <c r="AX41" s="207">
        <f t="array" ref="AX41">IF(OR(O41=0,O41=""),"",SUM(AM41,AP41,AS41,AV41,AW41))</f>
        <v>625</v>
      </c>
      <c r="AY41" s="208">
        <f t="array" ref="AY41">IF(OR(O41=0,O41=""),"",AJ41-AX41)</f>
        <v>5625</v>
      </c>
      <c r="AZ41" s="46"/>
      <c r="BA41" s="24"/>
      <c r="BB41" s="24"/>
      <c r="BC41" s="11">
        <f t="shared" si="20"/>
        <v>44334</v>
      </c>
      <c r="BD41" s="84">
        <f t="shared" si="12"/>
        <v>5</v>
      </c>
      <c r="BE41" s="84">
        <f t="shared" si="18"/>
        <v>46500</v>
      </c>
      <c r="BI41" s="22">
        <f t="shared" si="19"/>
        <v>44334</v>
      </c>
      <c r="BK41" s="19">
        <f t="shared" si="13"/>
        <v>1</v>
      </c>
      <c r="BL41" s="20" t="str">
        <f t="array" ref="BL41">IF(OR(O41=0,O41=""),"",U41)</f>
        <v>52021</v>
      </c>
      <c r="BM41" s="19">
        <f t="array" ref="BM41">IF(OR(O41=0,O41=""),"",BK41+BL41)</f>
        <v>52022</v>
      </c>
      <c r="BN41" s="21">
        <f t="shared" si="21"/>
        <v>0</v>
      </c>
      <c r="BO41" s="21">
        <f t="shared" si="22"/>
        <v>0</v>
      </c>
      <c r="BP41" s="23">
        <f t="shared" si="16"/>
        <v>0</v>
      </c>
      <c r="BQ41" s="21" t="str">
        <f t="shared" si="23"/>
        <v>00</v>
      </c>
      <c r="BW41" s="81" t="str">
        <f>IF(OR(O41=0,O41=""),"",IF('Basic Data Entry'!$C$9="fixation","yes",""))</f>
        <v/>
      </c>
      <c r="BX41" s="81" t="str">
        <f>IF(OR(O41=0,O41=""),"",IF('Basic Data Entry'!$G$12="yes","yes","no"))</f>
        <v>no</v>
      </c>
    </row>
    <row r="42" spans="1:76" ht="18" customHeight="1" thickBot="1">
      <c r="A42" s="10">
        <f t="shared" si="6"/>
        <v>46500</v>
      </c>
      <c r="B42" s="305"/>
      <c r="C42" s="305"/>
      <c r="D42" s="305"/>
      <c r="E42" s="305"/>
      <c r="F42" s="108">
        <f t="shared" si="1"/>
        <v>44365</v>
      </c>
      <c r="G42" s="165">
        <f t="shared" si="2"/>
        <v>0.17</v>
      </c>
      <c r="H42" s="166">
        <f t="shared" si="3"/>
        <v>0.17</v>
      </c>
      <c r="I42" s="166">
        <f>IF(OR($E$2="fixation",O42="",O42=0),"",IF(AND('Basic Data Entry'!$G$11="Z-Rural",'Arear Table Protected'!T42&lt;2021),0.08,IF(AND('Basic Data Entry'!$G$11="Y-Urban",'Arear Table Protected'!T42&lt;2021),0.16,IF(AND('Basic Data Entry'!$G$11="Z-Rural",'Arear Table Protected'!T42=2021,S42&gt;=7),0.09,IF(AND('Basic Data Entry'!$G$11="Y-Urban",'Arear Table Protected'!T42=2021,'Arear Table Protected'!S42&gt;=7),0.18,IF(AND('Basic Data Entry'!$G$11="Z-Rural",'Arear Table Protected'!T42=2021,S42&lt;7),0.08,IF(AND('Basic Data Entry'!$G$11="Y-Urban",'Arear Table Protected'!T42=2021,'Arear Table Protected'!S42&lt;7),0.16,IF(AND('Basic Data Entry'!$G$11="Z-Rural",'Arear Table Protected'!T42=2022),0.09,IF(AND('Basic Data Entry'!$G$11="Y-Urban",'Arear Table Protected'!T42=2022),0.18,IF(AND('Basic Data Entry'!$G$11="Z-Rural",'Arear Table Protected'!T42=2023),0.09,IF(AND('Basic Data Entry'!$G$11="Y-Urban",'Arear Table Protected'!T42=2023),0.18,"")))))))))))</f>
        <v>0.08</v>
      </c>
      <c r="J42" s="167">
        <f>IF(OR(O42="",O42=0),"",IF(AND('Basic Data Entry'!$G$11="Z-Rural",'Arear Table Protected'!T42&lt;2021),0.08,IF(AND('Basic Data Entry'!$G$11="Y-Urban",'Arear Table Protected'!T42&lt;2021),0.16,IF(AND('Basic Data Entry'!$G$11="Z-Rural",'Arear Table Protected'!T42=2021,S42&gt;=7),0.09,IF(AND('Basic Data Entry'!$G$11="Y-Urban",'Arear Table Protected'!T42=2021,'Arear Table Protected'!S42&gt;=7),0.18,IF(AND('Basic Data Entry'!$G$11="Z-Rural",'Arear Table Protected'!T42=2021,S42&lt;7),0.08,IF(AND('Basic Data Entry'!$G$11="Y-Urban",'Arear Table Protected'!T42=2021,'Arear Table Protected'!S42&lt;7),0.16,IF(AND('Basic Data Entry'!$G$11="Z-Rural",'Arear Table Protected'!T42=2022),0.09,IF(AND('Basic Data Entry'!$G$11="Y-Urban",'Arear Table Protected'!T42=2022),0.18,IF(AND('Basic Data Entry'!$G$11="Z-Rural",'Arear Table Protected'!T42=2023),0.09,IF(AND('Basic Data Entry'!$G$11="Y-Urban",'Arear Table Protected'!T42=2023),0.18,"")))))))))))</f>
        <v>0.08</v>
      </c>
      <c r="K42" s="168" t="str">
        <f t="shared" si="4"/>
        <v/>
      </c>
      <c r="L42" s="169" t="str">
        <f t="shared" si="5"/>
        <v/>
      </c>
      <c r="M42" s="170" t="str">
        <f t="shared" si="7"/>
        <v/>
      </c>
      <c r="N42" s="196">
        <v>30</v>
      </c>
      <c r="O42" s="327">
        <f t="shared" si="8"/>
        <v>44365</v>
      </c>
      <c r="P42" s="328"/>
      <c r="Q42" s="328"/>
      <c r="R42" s="329"/>
      <c r="S42" s="161">
        <f t="array" ref="S42">IF(OR(O42=0,O42=""),"",MONTH(O42))</f>
        <v>6</v>
      </c>
      <c r="T42" s="161">
        <f t="array" ref="T42">IF(OR(O42=0,O42=""),"",YEAR(O42))</f>
        <v>2021</v>
      </c>
      <c r="U42" s="161" t="str">
        <f t="shared" si="9"/>
        <v>62021</v>
      </c>
      <c r="V42" s="197">
        <f t="array" ref="V42">IF(OR(O42=0,O42=""),"",BE42)</f>
        <v>46500</v>
      </c>
      <c r="W42" s="163">
        <f t="array" ref="W42">IF(OR(O42=0,O42=""),"",ROUND(V42*H42,0))</f>
        <v>7905</v>
      </c>
      <c r="X42" s="222">
        <f t="shared" si="10"/>
        <v>0</v>
      </c>
      <c r="Y42" s="163">
        <f t="array" ref="Y42">IF(OR(O42=0,O42=""),"",ROUND(V42*J42,0))</f>
        <v>3720</v>
      </c>
      <c r="Z42" s="198">
        <f t="array" ref="Z42">IF(OR(O42=0,O42=""),"",SUM(V42:Y42))</f>
        <v>58125</v>
      </c>
      <c r="AA42" s="199">
        <f t="array" ref="AA42">IF(OR(O42=0,O42=""),"",IF(V42=0,0,IF($E$2="FIXATION",$B$5,IF(V42=0,0,IF(BD42=7,ROUND(AA41*1.03,-2),AA41)))))</f>
        <v>41500</v>
      </c>
      <c r="AB42" s="200">
        <f t="array" ref="AB42">IF(OR(O42=0,O42=""),"",IF($E$2="fixation",0,ROUND(AA42*G42,0)))</f>
        <v>7055</v>
      </c>
      <c r="AC42" s="222">
        <f t="array" ref="AC42">IF(OR(O42=0,O42=""),"",AC41)</f>
        <v>0</v>
      </c>
      <c r="AD42" s="200">
        <f t="array" ref="AD42">IF(OR(O42=0,O42=""),"",IF($E$2="fixation",0,ROUND(AA42*I42,0)))</f>
        <v>3320</v>
      </c>
      <c r="AE42" s="198">
        <f t="array" ref="AE42">IF(OR(O42=0,O42=""),"",SUM(AA42:AD42))</f>
        <v>51875</v>
      </c>
      <c r="AF42" s="199">
        <f t="array" ref="AF42">IF(OR(O42=0,O42=""),"",V42-AA42)</f>
        <v>5000</v>
      </c>
      <c r="AG42" s="200">
        <f t="array" ref="AG42">IF(OR(O42=0,O42=""),"",W42-AB42)</f>
        <v>850</v>
      </c>
      <c r="AH42" s="200">
        <f t="array" ref="AH42">IF(OR(O42=0,O42=""),"",X42-AC42)</f>
        <v>0</v>
      </c>
      <c r="AI42" s="200">
        <f t="array" ref="AI42">IF(OR(O42=0,O42=""),"",Y42-AD42)</f>
        <v>400</v>
      </c>
      <c r="AJ42" s="201">
        <f t="array" ref="AJ42">IF(OR(O42=0,O42=""),"",Z42-AE42)</f>
        <v>6250</v>
      </c>
      <c r="AK42" s="202">
        <f t="array" ref="AK42">IF(OR(O42=0,O42=""),"",IF(M42="",$AZ$2,$AZ$2+M42))</f>
        <v>4500</v>
      </c>
      <c r="AL42" s="203">
        <f t="array" ref="AL42">IF(OR(O42=0,O42=""),"",$AQ$2)</f>
        <v>4500</v>
      </c>
      <c r="AM42" s="204">
        <f t="array" ref="AM42">IF(OR(O42=0,O42=""),"",AK42-AL42)</f>
        <v>0</v>
      </c>
      <c r="AN42" s="3">
        <f t="array" ref="AN42">IF(OR(O41=0,O41="",AN41="",AN41=""),"",AN41)</f>
        <v>3000</v>
      </c>
      <c r="AO42" s="2">
        <f t="array" ref="AO42">IF(OR(O41=0,O41="",AO41="",AO41=""),"",AO41)</f>
        <v>3000</v>
      </c>
      <c r="AP42" s="204">
        <f t="array" ref="AP42">IF(OR(O42=0,O42=""),"",SUM(AN42-AO42))</f>
        <v>0</v>
      </c>
      <c r="AQ42" s="106" t="str">
        <f t="array" ref="AQ42">IF(OR(O42=0,O42=""),"",IF(AND('Basic Data Entry'!$C$10="state Service",'Arear Table Protected'!T42=2020,S42=3),ROUND(V42/31*5,0),IF(AND('Basic Data Entry'!$C$10="state Service",'Arear Table Protected'!T42=2020,S42=9),ROUND(Z42/30*2,0),IF(AND('Basic Data Entry'!$C$10="state Service",'Arear Table Protected'!T42=2020,S42=10),ROUND(Z42/31*2,0),IF(AND('Basic Data Entry'!$C$10="subordinate",'Arear Table Protected'!T42=2020,S42=3),ROUND(V42/31*3,0),IF(AND('Basic Data Entry'!$C$10="subordinate",'Arear Table Protected'!T42=2020,S42=9),ROUND(Z42/30*1,0),IF(AND('Basic Data Entry'!$C$10="subordinate",'Arear Table Protected'!T42=2020,S42=10),ROUND(Z42/31*1,0),IF(AND('Basic Data Entry'!$C$10="ministrial",'Arear Table Protected'!T42=2020,S42=3),ROUND(V42/31*1,0),""))))))))</f>
        <v/>
      </c>
      <c r="AR42" s="107" t="str">
        <f t="array" ref="AR42">IF(OR(O42=0,O42=""),"",IF(AND('Basic Data Entry'!$C$10="state Service",'Arear Table Protected'!T42=2020,S42=3),ROUND(AA42/31*5,0),IF(AND('Basic Data Entry'!$C$10="state Service",'Arear Table Protected'!T42=2020,S42=9),ROUND(AE42/30*2,0),IF(AND('Basic Data Entry'!$C$10="state Service",'Arear Table Protected'!T42=2020,S42=10),ROUND(AE42/31*2,0),IF(AND('Basic Data Entry'!$C$10="subordinate",'Arear Table Protected'!T42=2020,S42=3),ROUND(AA42/31*3,0),IF(AND('Basic Data Entry'!$C$10="subordinate",'Arear Table Protected'!T42=2020,S42=9),ROUND(AE42/30*1,0),IF(AND('Basic Data Entry'!$C$10="subordinate",'Arear Table Protected'!T42=2020,S42=10),ROUND(AE42/31*1,0),IF(AND('Basic Data Entry'!$C$10="ministrial",'Arear Table Protected'!T42=2020,S42=3),ROUND(AA42/31*1,0),""))))))))</f>
        <v/>
      </c>
      <c r="AS42" s="205" t="str">
        <f t="array" ref="AS42">IF(OR(O42=0,O42="",AQ42="",AR42=""),"",AQ42-AR42)</f>
        <v/>
      </c>
      <c r="AT42" s="44">
        <f t="array" ref="AT42">IF(OR(O41=0,O41=""),"",AT41)</f>
        <v>0</v>
      </c>
      <c r="AU42" s="45">
        <f t="array" ref="AU42">IF(OR(O41=0,O41=""),"",AU41)</f>
        <v>0</v>
      </c>
      <c r="AV42" s="206">
        <f t="array" ref="AV42">IF(OR(O42=0,O42=""),"",SUM(AT42-AU42))</f>
        <v>0</v>
      </c>
      <c r="AW42" s="207">
        <f t="array" ref="AW42">IF(OR(O42=0,O42=""),"",ROUND((AJ42)*$E$3,0))</f>
        <v>625</v>
      </c>
      <c r="AX42" s="207">
        <f t="array" ref="AX42">IF(OR(O42=0,O42=""),"",SUM(AM42,AP42,AS42,AV42,AW42))</f>
        <v>625</v>
      </c>
      <c r="AY42" s="208">
        <f t="array" ref="AY42">IF(OR(O42=0,O42=""),"",AJ42-AX42)</f>
        <v>5625</v>
      </c>
      <c r="AZ42" s="46"/>
      <c r="BA42" s="24"/>
      <c r="BB42" s="24"/>
      <c r="BC42" s="11">
        <f t="shared" si="20"/>
        <v>44365</v>
      </c>
      <c r="BD42" s="84">
        <f t="shared" si="12"/>
        <v>6</v>
      </c>
      <c r="BE42" s="84">
        <f t="shared" si="18"/>
        <v>46500</v>
      </c>
      <c r="BI42" s="22">
        <f t="shared" si="19"/>
        <v>44365</v>
      </c>
      <c r="BK42" s="19">
        <f t="shared" si="13"/>
        <v>1</v>
      </c>
      <c r="BL42" s="20" t="str">
        <f t="array" ref="BL42">IF(OR(O42=0,O42=""),"",U42)</f>
        <v>62021</v>
      </c>
      <c r="BM42" s="19">
        <f t="array" ref="BM42">IF(OR(O42=0,O42=""),"",BK42+BL42)</f>
        <v>62022</v>
      </c>
      <c r="BN42" s="21">
        <f t="shared" si="21"/>
        <v>0</v>
      </c>
      <c r="BO42" s="21">
        <f t="shared" si="22"/>
        <v>0</v>
      </c>
      <c r="BP42" s="23">
        <f t="shared" si="16"/>
        <v>0</v>
      </c>
      <c r="BQ42" s="21" t="str">
        <f t="shared" si="23"/>
        <v>00</v>
      </c>
      <c r="BW42" s="81" t="str">
        <f>IF(OR(O42=0,O42=""),"",IF('Basic Data Entry'!$C$9="fixation","yes",""))</f>
        <v/>
      </c>
      <c r="BX42" s="81" t="str">
        <f>IF(OR(O42=0,O42=""),"",IF('Basic Data Entry'!$G$12="yes","yes","no"))</f>
        <v>no</v>
      </c>
    </row>
    <row r="43" spans="1:76" ht="18" customHeight="1" thickBot="1">
      <c r="A43" s="10">
        <f t="shared" si="6"/>
        <v>47900</v>
      </c>
      <c r="B43" s="305"/>
      <c r="C43" s="305"/>
      <c r="D43" s="305"/>
      <c r="E43" s="305"/>
      <c r="F43" s="108">
        <f t="shared" si="1"/>
        <v>44396</v>
      </c>
      <c r="G43" s="165">
        <f t="shared" si="2"/>
        <v>0.31</v>
      </c>
      <c r="H43" s="166">
        <f t="shared" si="3"/>
        <v>0.31</v>
      </c>
      <c r="I43" s="166">
        <f>IF(OR($E$2="fixation",O43="",O43=0),"",IF(AND('Basic Data Entry'!$G$11="Z-Rural",'Arear Table Protected'!T43&lt;2021),0.08,IF(AND('Basic Data Entry'!$G$11="Y-Urban",'Arear Table Protected'!T43&lt;2021),0.16,IF(AND('Basic Data Entry'!$G$11="Z-Rural",'Arear Table Protected'!T43=2021,S43&gt;=7),0.09,IF(AND('Basic Data Entry'!$G$11="Y-Urban",'Arear Table Protected'!T43=2021,'Arear Table Protected'!S43&gt;=7),0.18,IF(AND('Basic Data Entry'!$G$11="Z-Rural",'Arear Table Protected'!T43=2021,S43&lt;7),0.08,IF(AND('Basic Data Entry'!$G$11="Y-Urban",'Arear Table Protected'!T43=2021,'Arear Table Protected'!S43&lt;7),0.16,IF(AND('Basic Data Entry'!$G$11="Z-Rural",'Arear Table Protected'!T43=2022),0.09,IF(AND('Basic Data Entry'!$G$11="Y-Urban",'Arear Table Protected'!T43=2022),0.18,IF(AND('Basic Data Entry'!$G$11="Z-Rural",'Arear Table Protected'!T43=2023),0.09,IF(AND('Basic Data Entry'!$G$11="Y-Urban",'Arear Table Protected'!T43=2023),0.18,"")))))))))))</f>
        <v>0.09</v>
      </c>
      <c r="J43" s="167">
        <f>IF(OR(O43="",O43=0),"",IF(AND('Basic Data Entry'!$G$11="Z-Rural",'Arear Table Protected'!T43&lt;2021),0.08,IF(AND('Basic Data Entry'!$G$11="Y-Urban",'Arear Table Protected'!T43&lt;2021),0.16,IF(AND('Basic Data Entry'!$G$11="Z-Rural",'Arear Table Protected'!T43=2021,S43&gt;=7),0.09,IF(AND('Basic Data Entry'!$G$11="Y-Urban",'Arear Table Protected'!T43=2021,'Arear Table Protected'!S43&gt;=7),0.18,IF(AND('Basic Data Entry'!$G$11="Z-Rural",'Arear Table Protected'!T43=2021,S43&lt;7),0.08,IF(AND('Basic Data Entry'!$G$11="Y-Urban",'Arear Table Protected'!T43=2021,'Arear Table Protected'!S43&lt;7),0.16,IF(AND('Basic Data Entry'!$G$11="Z-Rural",'Arear Table Protected'!T43=2022),0.09,IF(AND('Basic Data Entry'!$G$11="Y-Urban",'Arear Table Protected'!T43=2022),0.18,IF(AND('Basic Data Entry'!$G$11="Z-Rural",'Arear Table Protected'!T43=2023),0.09,IF(AND('Basic Data Entry'!$G$11="Y-Urban",'Arear Table Protected'!T43=2023),0.18,"")))))))))))</f>
        <v>0.09</v>
      </c>
      <c r="K43" s="168" t="str">
        <f t="shared" si="4"/>
        <v/>
      </c>
      <c r="L43" s="169" t="str">
        <f t="shared" si="5"/>
        <v/>
      </c>
      <c r="M43" s="170" t="str">
        <f t="shared" si="7"/>
        <v/>
      </c>
      <c r="N43" s="196">
        <v>31</v>
      </c>
      <c r="O43" s="327">
        <f t="shared" si="8"/>
        <v>44396</v>
      </c>
      <c r="P43" s="328"/>
      <c r="Q43" s="328"/>
      <c r="R43" s="329"/>
      <c r="S43" s="161">
        <f t="array" ref="S43">IF(OR(O43=0,O43=""),"",MONTH(O43))</f>
        <v>7</v>
      </c>
      <c r="T43" s="161">
        <f t="array" ref="T43">IF(OR(O43=0,O43=""),"",YEAR(O43))</f>
        <v>2021</v>
      </c>
      <c r="U43" s="161" t="str">
        <f t="shared" si="9"/>
        <v>72021</v>
      </c>
      <c r="V43" s="197">
        <f t="array" ref="V43">IF(OR(O43=0,O43=""),"",BE43)</f>
        <v>47900</v>
      </c>
      <c r="W43" s="163">
        <f t="array" ref="W43">IF(OR(O43=0,O43=""),"",ROUND(V43*H43,0))</f>
        <v>14849</v>
      </c>
      <c r="X43" s="222">
        <f t="shared" si="10"/>
        <v>0</v>
      </c>
      <c r="Y43" s="163">
        <f t="array" ref="Y43">IF(OR(O43=0,O43=""),"",ROUND(V43*J43,0))</f>
        <v>4311</v>
      </c>
      <c r="Z43" s="198">
        <f t="array" ref="Z43">IF(OR(O43=0,O43=""),"",SUM(V43:Y43))</f>
        <v>67060</v>
      </c>
      <c r="AA43" s="199">
        <f t="array" ref="AA43">IF(OR(O43=0,O43=""),"",IF(V43=0,0,IF($E$2="FIXATION",$B$5,IF(V43=0,0,IF(BD43=7,ROUND(AA42*1.03,-2),AA42)))))</f>
        <v>42700</v>
      </c>
      <c r="AB43" s="200">
        <f t="array" ref="AB43">IF(OR(O43=0,O43=""),"",IF($E$2="fixation",0,ROUND(AA43*G43,0)))</f>
        <v>13237</v>
      </c>
      <c r="AC43" s="222">
        <f t="array" ref="AC43">IF(OR(O43=0,O43=""),"",AC42)</f>
        <v>0</v>
      </c>
      <c r="AD43" s="200">
        <f t="array" ref="AD43">IF(OR(O43=0,O43=""),"",IF($E$2="fixation",0,ROUND(AA43*I43,0)))</f>
        <v>3843</v>
      </c>
      <c r="AE43" s="198">
        <f t="array" ref="AE43">IF(OR(O43=0,O43=""),"",SUM(AA43:AD43))</f>
        <v>59780</v>
      </c>
      <c r="AF43" s="199">
        <f t="array" ref="AF43">IF(OR(O43=0,O43=""),"",V43-AA43)</f>
        <v>5200</v>
      </c>
      <c r="AG43" s="200">
        <f t="array" ref="AG43">IF(OR(O43=0,O43=""),"",W43-AB43)</f>
        <v>1612</v>
      </c>
      <c r="AH43" s="200">
        <f t="array" ref="AH43">IF(OR(O43=0,O43=""),"",X43-AC43)</f>
        <v>0</v>
      </c>
      <c r="AI43" s="200">
        <f t="array" ref="AI43">IF(OR(O43=0,O43=""),"",Y43-AD43)</f>
        <v>468</v>
      </c>
      <c r="AJ43" s="201">
        <f t="array" ref="AJ43">IF(OR(O43=0,O43=""),"",Z43-AE43)</f>
        <v>7280</v>
      </c>
      <c r="AK43" s="202">
        <f t="array" ref="AK43">IF(OR(O43=0,O43=""),"",IF(M43="",$AZ$2,$AZ$2+M43))</f>
        <v>4500</v>
      </c>
      <c r="AL43" s="203">
        <f t="array" ref="AL43">IF(OR(O43=0,O43=""),"",$AQ$2)</f>
        <v>4500</v>
      </c>
      <c r="AM43" s="204">
        <f t="array" ref="AM43">IF(OR(O43=0,O43=""),"",AK43-AL43)</f>
        <v>0</v>
      </c>
      <c r="AN43" s="3">
        <f t="array" ref="AN43">IF(OR(O42=0,O42="",AN42="",AN42=""),"",AN42)</f>
        <v>3000</v>
      </c>
      <c r="AO43" s="2">
        <f t="array" ref="AO43">IF(OR(O42=0,O42="",AO42="",AO42=""),"",AO42)</f>
        <v>3000</v>
      </c>
      <c r="AP43" s="204">
        <f t="array" ref="AP43">IF(OR(O43=0,O43=""),"",SUM(AN43-AO43))</f>
        <v>0</v>
      </c>
      <c r="AQ43" s="106" t="str">
        <f t="array" ref="AQ43">IF(OR(O43=0,O43=""),"",IF(AND('Basic Data Entry'!$C$10="state Service",'Arear Table Protected'!T43=2020,S43=3),ROUND(V43/31*5,0),IF(AND('Basic Data Entry'!$C$10="state Service",'Arear Table Protected'!T43=2020,S43=9),ROUND(Z43/30*2,0),IF(AND('Basic Data Entry'!$C$10="state Service",'Arear Table Protected'!T43=2020,S43=10),ROUND(Z43/31*2,0),IF(AND('Basic Data Entry'!$C$10="subordinate",'Arear Table Protected'!T43=2020,S43=3),ROUND(V43/31*3,0),IF(AND('Basic Data Entry'!$C$10="subordinate",'Arear Table Protected'!T43=2020,S43=9),ROUND(Z43/30*1,0),IF(AND('Basic Data Entry'!$C$10="subordinate",'Arear Table Protected'!T43=2020,S43=10),ROUND(Z43/31*1,0),IF(AND('Basic Data Entry'!$C$10="ministrial",'Arear Table Protected'!T43=2020,S43=3),ROUND(V43/31*1,0),""))))))))</f>
        <v/>
      </c>
      <c r="AR43" s="107" t="str">
        <f t="array" ref="AR43">IF(OR(O43=0,O43=""),"",IF(AND('Basic Data Entry'!$C$10="state Service",'Arear Table Protected'!T43=2020,S43=3),ROUND(AA43/31*5,0),IF(AND('Basic Data Entry'!$C$10="state Service",'Arear Table Protected'!T43=2020,S43=9),ROUND(AE43/30*2,0),IF(AND('Basic Data Entry'!$C$10="state Service",'Arear Table Protected'!T43=2020,S43=10),ROUND(AE43/31*2,0),IF(AND('Basic Data Entry'!$C$10="subordinate",'Arear Table Protected'!T43=2020,S43=3),ROUND(AA43/31*3,0),IF(AND('Basic Data Entry'!$C$10="subordinate",'Arear Table Protected'!T43=2020,S43=9),ROUND(AE43/30*1,0),IF(AND('Basic Data Entry'!$C$10="subordinate",'Arear Table Protected'!T43=2020,S43=10),ROUND(AE43/31*1,0),IF(AND('Basic Data Entry'!$C$10="ministrial",'Arear Table Protected'!T43=2020,S43=3),ROUND(AA43/31*1,0),""))))))))</f>
        <v/>
      </c>
      <c r="AS43" s="205" t="str">
        <f t="array" ref="AS43">IF(OR(O43=0,O43="",AQ43="",AR43=""),"",AQ43-AR43)</f>
        <v/>
      </c>
      <c r="AT43" s="44">
        <f t="array" ref="AT43">IF(OR(O42=0,O42=""),"",AT42)</f>
        <v>0</v>
      </c>
      <c r="AU43" s="45">
        <f t="array" ref="AU43">IF(OR(O42=0,O42=""),"",AU42)</f>
        <v>0</v>
      </c>
      <c r="AV43" s="206">
        <f t="array" ref="AV43">IF(OR(O43=0,O43=""),"",SUM(AT43-AU43))</f>
        <v>0</v>
      </c>
      <c r="AW43" s="207">
        <f t="array" ref="AW43">IF(OR(O43=0,O43=""),"",ROUND((AJ43)*$E$3,0))</f>
        <v>728</v>
      </c>
      <c r="AX43" s="207">
        <f t="array" ref="AX43">IF(OR(O43=0,O43=""),"",SUM(AM43,AP43,AS43,AV43,AW43))</f>
        <v>728</v>
      </c>
      <c r="AY43" s="208">
        <f t="array" ref="AY43">IF(OR(O43=0,O43=""),"",AJ43-AX43)</f>
        <v>6552</v>
      </c>
      <c r="AZ43" s="46"/>
      <c r="BA43" s="24"/>
      <c r="BB43" s="24"/>
      <c r="BC43" s="11">
        <f t="shared" si="20"/>
        <v>44396</v>
      </c>
      <c r="BD43" s="84">
        <f t="shared" si="12"/>
        <v>7</v>
      </c>
      <c r="BE43" s="84">
        <f t="shared" si="18"/>
        <v>47900</v>
      </c>
      <c r="BI43" s="22">
        <f t="shared" si="19"/>
        <v>44396</v>
      </c>
      <c r="BK43" s="19">
        <f t="shared" si="13"/>
        <v>1</v>
      </c>
      <c r="BL43" s="20" t="str">
        <f t="array" ref="BL43">IF(OR(O43=0,O43=""),"",U43)</f>
        <v>72021</v>
      </c>
      <c r="BM43" s="19">
        <f t="array" ref="BM43">IF(OR(O43=0,O43=""),"",BK43+BL43)</f>
        <v>72022</v>
      </c>
      <c r="BN43" s="21">
        <f t="shared" si="21"/>
        <v>0</v>
      </c>
      <c r="BO43" s="21">
        <f t="shared" si="22"/>
        <v>0</v>
      </c>
      <c r="BP43" s="23">
        <f t="shared" si="16"/>
        <v>0</v>
      </c>
      <c r="BQ43" s="21" t="str">
        <f t="shared" si="23"/>
        <v>00</v>
      </c>
      <c r="BW43" s="81" t="str">
        <f>IF(OR(O43=0,O43=""),"",IF('Basic Data Entry'!$C$9="fixation","yes",""))</f>
        <v/>
      </c>
      <c r="BX43" s="81" t="str">
        <f>IF(OR(O43=0,O43=""),"",IF('Basic Data Entry'!$G$12="yes","yes","no"))</f>
        <v>no</v>
      </c>
    </row>
    <row r="44" spans="1:76" ht="18" customHeight="1" thickBot="1">
      <c r="A44" s="10">
        <f t="shared" si="6"/>
        <v>47900</v>
      </c>
      <c r="B44" s="305"/>
      <c r="C44" s="305"/>
      <c r="D44" s="305"/>
      <c r="E44" s="305"/>
      <c r="F44" s="108">
        <f t="shared" si="1"/>
        <v>44427</v>
      </c>
      <c r="G44" s="165">
        <f t="shared" si="2"/>
        <v>0.31</v>
      </c>
      <c r="H44" s="166">
        <f t="shared" si="3"/>
        <v>0.31</v>
      </c>
      <c r="I44" s="166">
        <f>IF(OR($E$2="fixation",O44="",O44=0),"",IF(AND('Basic Data Entry'!$G$11="Z-Rural",'Arear Table Protected'!T44&lt;2021),0.08,IF(AND('Basic Data Entry'!$G$11="Y-Urban",'Arear Table Protected'!T44&lt;2021),0.16,IF(AND('Basic Data Entry'!$G$11="Z-Rural",'Arear Table Protected'!T44=2021,S44&gt;=7),0.09,IF(AND('Basic Data Entry'!$G$11="Y-Urban",'Arear Table Protected'!T44=2021,'Arear Table Protected'!S44&gt;=7),0.18,IF(AND('Basic Data Entry'!$G$11="Z-Rural",'Arear Table Protected'!T44=2021,S44&lt;7),0.08,IF(AND('Basic Data Entry'!$G$11="Y-Urban",'Arear Table Protected'!T44=2021,'Arear Table Protected'!S44&lt;7),0.16,IF(AND('Basic Data Entry'!$G$11="Z-Rural",'Arear Table Protected'!T44=2022),0.09,IF(AND('Basic Data Entry'!$G$11="Y-Urban",'Arear Table Protected'!T44=2022),0.18,IF(AND('Basic Data Entry'!$G$11="Z-Rural",'Arear Table Protected'!T44=2023),0.09,IF(AND('Basic Data Entry'!$G$11="Y-Urban",'Arear Table Protected'!T44=2023),0.18,"")))))))))))</f>
        <v>0.09</v>
      </c>
      <c r="J44" s="167">
        <f>IF(OR(O44="",O44=0),"",IF(AND('Basic Data Entry'!$G$11="Z-Rural",'Arear Table Protected'!T44&lt;2021),0.08,IF(AND('Basic Data Entry'!$G$11="Y-Urban",'Arear Table Protected'!T44&lt;2021),0.16,IF(AND('Basic Data Entry'!$G$11="Z-Rural",'Arear Table Protected'!T44=2021,S44&gt;=7),0.09,IF(AND('Basic Data Entry'!$G$11="Y-Urban",'Arear Table Protected'!T44=2021,'Arear Table Protected'!S44&gt;=7),0.18,IF(AND('Basic Data Entry'!$G$11="Z-Rural",'Arear Table Protected'!T44=2021,S44&lt;7),0.08,IF(AND('Basic Data Entry'!$G$11="Y-Urban",'Arear Table Protected'!T44=2021,'Arear Table Protected'!S44&lt;7),0.16,IF(AND('Basic Data Entry'!$G$11="Z-Rural",'Arear Table Protected'!T44=2022),0.09,IF(AND('Basic Data Entry'!$G$11="Y-Urban",'Arear Table Protected'!T44=2022),0.18,IF(AND('Basic Data Entry'!$G$11="Z-Rural",'Arear Table Protected'!T44=2023),0.09,IF(AND('Basic Data Entry'!$G$11="Y-Urban",'Arear Table Protected'!T44=2023),0.18,"")))))))))))</f>
        <v>0.09</v>
      </c>
      <c r="K44" s="168" t="str">
        <f t="shared" si="4"/>
        <v/>
      </c>
      <c r="L44" s="169" t="str">
        <f t="shared" si="5"/>
        <v/>
      </c>
      <c r="M44" s="170" t="str">
        <f t="shared" si="7"/>
        <v/>
      </c>
      <c r="N44" s="196">
        <v>32</v>
      </c>
      <c r="O44" s="327">
        <f t="shared" si="8"/>
        <v>44427</v>
      </c>
      <c r="P44" s="328"/>
      <c r="Q44" s="328"/>
      <c r="R44" s="329"/>
      <c r="S44" s="161">
        <f t="array" ref="S44">IF(OR(O44=0,O44=""),"",MONTH(O44))</f>
        <v>8</v>
      </c>
      <c r="T44" s="161">
        <f t="array" ref="T44">IF(OR(O44=0,O44=""),"",YEAR(O44))</f>
        <v>2021</v>
      </c>
      <c r="U44" s="161" t="str">
        <f t="shared" si="9"/>
        <v>82021</v>
      </c>
      <c r="V44" s="197">
        <f t="array" ref="V44">IF(OR(O44=0,O44=""),"",BE44)</f>
        <v>47900</v>
      </c>
      <c r="W44" s="163">
        <f t="array" ref="W44">IF(OR(O44=0,O44=""),"",ROUND(V44*H44,0))</f>
        <v>14849</v>
      </c>
      <c r="X44" s="222">
        <f t="shared" si="10"/>
        <v>0</v>
      </c>
      <c r="Y44" s="163">
        <f t="array" ref="Y44">IF(OR(O44=0,O44=""),"",ROUND(V44*J44,0))</f>
        <v>4311</v>
      </c>
      <c r="Z44" s="198">
        <f t="array" ref="Z44">IF(OR(O44=0,O44=""),"",SUM(V44:Y44))</f>
        <v>67060</v>
      </c>
      <c r="AA44" s="199">
        <f t="array" ref="AA44">IF(OR(O44=0,O44=""),"",IF(V44=0,0,IF($E$2="FIXATION",$B$5,IF(V44=0,0,IF(BD44=7,ROUND(AA43*1.03,-2),AA43)))))</f>
        <v>42700</v>
      </c>
      <c r="AB44" s="200">
        <f t="array" ref="AB44">IF(OR(O44=0,O44=""),"",IF($E$2="fixation",0,ROUND(AA44*G44,0)))</f>
        <v>13237</v>
      </c>
      <c r="AC44" s="222">
        <f t="array" ref="AC44">IF(OR(O44=0,O44=""),"",AC43)</f>
        <v>0</v>
      </c>
      <c r="AD44" s="200">
        <f t="array" ref="AD44">IF(OR(O44=0,O44=""),"",IF($E$2="fixation",0,ROUND(AA44*I44,0)))</f>
        <v>3843</v>
      </c>
      <c r="AE44" s="198">
        <f t="array" ref="AE44">IF(OR(O44=0,O44=""),"",SUM(AA44:AD44))</f>
        <v>59780</v>
      </c>
      <c r="AF44" s="199">
        <f t="array" ref="AF44">IF(OR(O44=0,O44=""),"",V44-AA44)</f>
        <v>5200</v>
      </c>
      <c r="AG44" s="200">
        <f t="array" ref="AG44">IF(OR(O44=0,O44=""),"",W44-AB44)</f>
        <v>1612</v>
      </c>
      <c r="AH44" s="200">
        <f t="array" ref="AH44">IF(OR(O44=0,O44=""),"",X44-AC44)</f>
        <v>0</v>
      </c>
      <c r="AI44" s="200">
        <f t="array" ref="AI44">IF(OR(O44=0,O44=""),"",Y44-AD44)</f>
        <v>468</v>
      </c>
      <c r="AJ44" s="201">
        <f t="array" ref="AJ44">IF(OR(O44=0,O44=""),"",Z44-AE44)</f>
        <v>7280</v>
      </c>
      <c r="AK44" s="202">
        <f t="array" ref="AK44">IF(OR(O44=0,O44=""),"",IF(M44="",$AZ$2,$AZ$2+M44))</f>
        <v>4500</v>
      </c>
      <c r="AL44" s="203">
        <f t="array" ref="AL44">IF(OR(O44=0,O44=""),"",$AQ$2)</f>
        <v>4500</v>
      </c>
      <c r="AM44" s="204">
        <f t="array" ref="AM44">IF(OR(O44=0,O44=""),"",AK44-AL44)</f>
        <v>0</v>
      </c>
      <c r="AN44" s="3">
        <f t="array" ref="AN44">IF(OR(O43=0,O43="",AN43="",AN43=""),"",AN43)</f>
        <v>3000</v>
      </c>
      <c r="AO44" s="2">
        <f t="array" ref="AO44">IF(OR(O43=0,O43="",AO43="",AO43=""),"",AO43)</f>
        <v>3000</v>
      </c>
      <c r="AP44" s="204">
        <f t="array" ref="AP44">IF(OR(O44=0,O44=""),"",SUM(AN44-AO44))</f>
        <v>0</v>
      </c>
      <c r="AQ44" s="106" t="str">
        <f t="array" ref="AQ44">IF(OR(O44=0,O44=""),"",IF(AND('Basic Data Entry'!$C$10="state Service",'Arear Table Protected'!T44=2020,S44=3),ROUND(V44/31*5,0),IF(AND('Basic Data Entry'!$C$10="state Service",'Arear Table Protected'!T44=2020,S44=9),ROUND(Z44/30*2,0),IF(AND('Basic Data Entry'!$C$10="state Service",'Arear Table Protected'!T44=2020,S44=10),ROUND(Z44/31*2,0),IF(AND('Basic Data Entry'!$C$10="subordinate",'Arear Table Protected'!T44=2020,S44=3),ROUND(V44/31*3,0),IF(AND('Basic Data Entry'!$C$10="subordinate",'Arear Table Protected'!T44=2020,S44=9),ROUND(Z44/30*1,0),IF(AND('Basic Data Entry'!$C$10="subordinate",'Arear Table Protected'!T44=2020,S44=10),ROUND(Z44/31*1,0),IF(AND('Basic Data Entry'!$C$10="ministrial",'Arear Table Protected'!T44=2020,S44=3),ROUND(V44/31*1,0),""))))))))</f>
        <v/>
      </c>
      <c r="AR44" s="107" t="str">
        <f t="array" ref="AR44">IF(OR(O44=0,O44=""),"",IF(AND('Basic Data Entry'!$C$10="state Service",'Arear Table Protected'!T44=2020,S44=3),ROUND(AA44/31*5,0),IF(AND('Basic Data Entry'!$C$10="state Service",'Arear Table Protected'!T44=2020,S44=9),ROUND(AE44/30*2,0),IF(AND('Basic Data Entry'!$C$10="state Service",'Arear Table Protected'!T44=2020,S44=10),ROUND(AE44/31*2,0),IF(AND('Basic Data Entry'!$C$10="subordinate",'Arear Table Protected'!T44=2020,S44=3),ROUND(AA44/31*3,0),IF(AND('Basic Data Entry'!$C$10="subordinate",'Arear Table Protected'!T44=2020,S44=9),ROUND(AE44/30*1,0),IF(AND('Basic Data Entry'!$C$10="subordinate",'Arear Table Protected'!T44=2020,S44=10),ROUND(AE44/31*1,0),IF(AND('Basic Data Entry'!$C$10="ministrial",'Arear Table Protected'!T44=2020,S44=3),ROUND(AA44/31*1,0),""))))))))</f>
        <v/>
      </c>
      <c r="AS44" s="205" t="str">
        <f t="array" ref="AS44">IF(OR(O44=0,O44="",AQ44="",AR44=""),"",AQ44-AR44)</f>
        <v/>
      </c>
      <c r="AT44" s="44">
        <f t="array" ref="AT44">IF(OR(O43=0,O43=""),"",AT43)</f>
        <v>0</v>
      </c>
      <c r="AU44" s="45">
        <f t="array" ref="AU44">IF(OR(O43=0,O43=""),"",AU43)</f>
        <v>0</v>
      </c>
      <c r="AV44" s="206">
        <f t="array" ref="AV44">IF(OR(O44=0,O44=""),"",SUM(AT44-AU44))</f>
        <v>0</v>
      </c>
      <c r="AW44" s="207">
        <f t="array" ref="AW44">IF(OR(O44=0,O44=""),"",ROUND((AJ44)*$E$3,0))</f>
        <v>728</v>
      </c>
      <c r="AX44" s="207">
        <f t="array" ref="AX44">IF(OR(O44=0,O44=""),"",SUM(AM44,AP44,AS44,AV44,AW44))</f>
        <v>728</v>
      </c>
      <c r="AY44" s="208">
        <f t="array" ref="AY44">IF(OR(O44=0,O44=""),"",AJ44-AX44)</f>
        <v>6552</v>
      </c>
      <c r="AZ44" s="46"/>
      <c r="BA44" s="24"/>
      <c r="BB44" s="24"/>
      <c r="BC44" s="11">
        <f t="shared" si="20"/>
        <v>44427</v>
      </c>
      <c r="BD44" s="84">
        <f t="shared" si="12"/>
        <v>8</v>
      </c>
      <c r="BE44" s="84">
        <f t="shared" si="18"/>
        <v>47900</v>
      </c>
      <c r="BI44" s="22">
        <f t="shared" si="19"/>
        <v>44427</v>
      </c>
      <c r="BK44" s="19">
        <f t="shared" si="13"/>
        <v>1</v>
      </c>
      <c r="BL44" s="20" t="str">
        <f t="array" ref="BL44">IF(OR(O44=0,O44=""),"",U44)</f>
        <v>82021</v>
      </c>
      <c r="BM44" s="19">
        <f t="array" ref="BM44">IF(OR(O44=0,O44=""),"",BK44+BL44)</f>
        <v>82022</v>
      </c>
      <c r="BN44" s="21">
        <f t="shared" si="21"/>
        <v>0</v>
      </c>
      <c r="BO44" s="21">
        <f t="shared" si="22"/>
        <v>0</v>
      </c>
      <c r="BP44" s="23">
        <f t="shared" si="16"/>
        <v>0</v>
      </c>
      <c r="BQ44" s="21" t="str">
        <f t="shared" si="23"/>
        <v>00</v>
      </c>
      <c r="BW44" s="81" t="str">
        <f>IF(OR(O44=0,O44=""),"",IF('Basic Data Entry'!$C$9="fixation","yes",""))</f>
        <v/>
      </c>
      <c r="BX44" s="81" t="str">
        <f>IF(OR(O44=0,O44=""),"",IF('Basic Data Entry'!$G$12="yes","yes","no"))</f>
        <v>no</v>
      </c>
    </row>
    <row r="45" spans="1:76" ht="18" customHeight="1" thickBot="1">
      <c r="A45" s="10">
        <f t="shared" si="6"/>
        <v>47900</v>
      </c>
      <c r="B45" s="305"/>
      <c r="C45" s="305"/>
      <c r="D45" s="305"/>
      <c r="E45" s="305"/>
      <c r="F45" s="108">
        <f t="shared" si="1"/>
        <v>44458</v>
      </c>
      <c r="G45" s="165">
        <f t="shared" si="2"/>
        <v>0.31</v>
      </c>
      <c r="H45" s="166">
        <f t="shared" si="3"/>
        <v>0.31</v>
      </c>
      <c r="I45" s="166">
        <f>IF(OR($E$2="fixation",O45="",O45=0),"",IF(AND('Basic Data Entry'!$G$11="Z-Rural",'Arear Table Protected'!T45&lt;2021),0.08,IF(AND('Basic Data Entry'!$G$11="Y-Urban",'Arear Table Protected'!T45&lt;2021),0.16,IF(AND('Basic Data Entry'!$G$11="Z-Rural",'Arear Table Protected'!T45=2021,S45&gt;=7),0.09,IF(AND('Basic Data Entry'!$G$11="Y-Urban",'Arear Table Protected'!T45=2021,'Arear Table Protected'!S45&gt;=7),0.18,IF(AND('Basic Data Entry'!$G$11="Z-Rural",'Arear Table Protected'!T45=2021,S45&lt;7),0.08,IF(AND('Basic Data Entry'!$G$11="Y-Urban",'Arear Table Protected'!T45=2021,'Arear Table Protected'!S45&lt;7),0.16,IF(AND('Basic Data Entry'!$G$11="Z-Rural",'Arear Table Protected'!T45=2022),0.09,IF(AND('Basic Data Entry'!$G$11="Y-Urban",'Arear Table Protected'!T45=2022),0.18,IF(AND('Basic Data Entry'!$G$11="Z-Rural",'Arear Table Protected'!T45=2023),0.09,IF(AND('Basic Data Entry'!$G$11="Y-Urban",'Arear Table Protected'!T45=2023),0.18,"")))))))))))</f>
        <v>0.09</v>
      </c>
      <c r="J45" s="167">
        <f>IF(OR(O45="",O45=0),"",IF(AND('Basic Data Entry'!$G$11="Z-Rural",'Arear Table Protected'!T45&lt;2021),0.08,IF(AND('Basic Data Entry'!$G$11="Y-Urban",'Arear Table Protected'!T45&lt;2021),0.16,IF(AND('Basic Data Entry'!$G$11="Z-Rural",'Arear Table Protected'!T45=2021,S45&gt;=7),0.09,IF(AND('Basic Data Entry'!$G$11="Y-Urban",'Arear Table Protected'!T45=2021,'Arear Table Protected'!S45&gt;=7),0.18,IF(AND('Basic Data Entry'!$G$11="Z-Rural",'Arear Table Protected'!T45=2021,S45&lt;7),0.08,IF(AND('Basic Data Entry'!$G$11="Y-Urban",'Arear Table Protected'!T45=2021,'Arear Table Protected'!S45&lt;7),0.16,IF(AND('Basic Data Entry'!$G$11="Z-Rural",'Arear Table Protected'!T45=2022),0.09,IF(AND('Basic Data Entry'!$G$11="Y-Urban",'Arear Table Protected'!T45=2022),0.18,IF(AND('Basic Data Entry'!$G$11="Z-Rural",'Arear Table Protected'!T45=2023),0.09,IF(AND('Basic Data Entry'!$G$11="Y-Urban",'Arear Table Protected'!T45=2023),0.18,"")))))))))))</f>
        <v>0.09</v>
      </c>
      <c r="K45" s="168" t="str">
        <f t="shared" si="4"/>
        <v/>
      </c>
      <c r="L45" s="169" t="str">
        <f t="shared" si="5"/>
        <v/>
      </c>
      <c r="M45" s="170" t="str">
        <f t="shared" si="7"/>
        <v/>
      </c>
      <c r="N45" s="196">
        <v>33</v>
      </c>
      <c r="O45" s="327">
        <f t="shared" si="8"/>
        <v>44458</v>
      </c>
      <c r="P45" s="328"/>
      <c r="Q45" s="328"/>
      <c r="R45" s="329"/>
      <c r="S45" s="161">
        <f t="array" ref="S45">IF(OR(O45=0,O45=""),"",MONTH(O45))</f>
        <v>9</v>
      </c>
      <c r="T45" s="161">
        <f t="array" ref="T45">IF(OR(O45=0,O45=""),"",YEAR(O45))</f>
        <v>2021</v>
      </c>
      <c r="U45" s="161" t="str">
        <f t="shared" si="9"/>
        <v>92021</v>
      </c>
      <c r="V45" s="197">
        <f t="array" ref="V45">IF(OR(O45=0,O45=""),"",BE45)</f>
        <v>47900</v>
      </c>
      <c r="W45" s="163">
        <f t="array" ref="W45">IF(OR(O45=0,O45=""),"",ROUND(V45*H45,0))</f>
        <v>14849</v>
      </c>
      <c r="X45" s="222">
        <f t="shared" si="10"/>
        <v>0</v>
      </c>
      <c r="Y45" s="163">
        <f t="array" ref="Y45">IF(OR(O45=0,O45=""),"",ROUND(V45*J45,0))</f>
        <v>4311</v>
      </c>
      <c r="Z45" s="198">
        <f t="array" ref="Z45">IF(OR(O45=0,O45=""),"",SUM(V45:Y45))</f>
        <v>67060</v>
      </c>
      <c r="AA45" s="199">
        <f t="array" ref="AA45">IF(OR(O45=0,O45=""),"",IF(V45=0,0,IF($E$2="FIXATION",$B$5,IF(V45=0,0,IF(BD45=7,ROUND(AA44*1.03,-2),AA44)))))</f>
        <v>42700</v>
      </c>
      <c r="AB45" s="200">
        <f t="array" ref="AB45">IF(OR(O45=0,O45=""),"",IF($E$2="fixation",0,ROUND(AA45*G45,0)))</f>
        <v>13237</v>
      </c>
      <c r="AC45" s="222">
        <f t="array" ref="AC45">IF(OR(O45=0,O45=""),"",AC44)</f>
        <v>0</v>
      </c>
      <c r="AD45" s="200">
        <f t="array" ref="AD45">IF(OR(O45=0,O45=""),"",IF($E$2="fixation",0,ROUND(AA45*I45,0)))</f>
        <v>3843</v>
      </c>
      <c r="AE45" s="198">
        <f t="array" ref="AE45">IF(OR(O45=0,O45=""),"",SUM(AA45:AD45))</f>
        <v>59780</v>
      </c>
      <c r="AF45" s="199">
        <f t="array" ref="AF45">IF(OR(O45=0,O45=""),"",V45-AA45)</f>
        <v>5200</v>
      </c>
      <c r="AG45" s="200">
        <f t="array" ref="AG45">IF(OR(O45=0,O45=""),"",W45-AB45)</f>
        <v>1612</v>
      </c>
      <c r="AH45" s="200">
        <f t="array" ref="AH45">IF(OR(O45=0,O45=""),"",X45-AC45)</f>
        <v>0</v>
      </c>
      <c r="AI45" s="200">
        <f t="array" ref="AI45">IF(OR(O45=0,O45=""),"",Y45-AD45)</f>
        <v>468</v>
      </c>
      <c r="AJ45" s="201">
        <f t="array" ref="AJ45">IF(OR(O45=0,O45=""),"",Z45-AE45)</f>
        <v>7280</v>
      </c>
      <c r="AK45" s="202">
        <f t="array" ref="AK45">IF(OR(O45=0,O45=""),"",IF(M45="",$AZ$2,$AZ$2+M45))</f>
        <v>4500</v>
      </c>
      <c r="AL45" s="203">
        <f t="array" ref="AL45">IF(OR(O45=0,O45=""),"",$AQ$2)</f>
        <v>4500</v>
      </c>
      <c r="AM45" s="204">
        <f t="array" ref="AM45">IF(OR(O45=0,O45=""),"",AK45-AL45)</f>
        <v>0</v>
      </c>
      <c r="AN45" s="3">
        <f t="array" ref="AN45">IF(OR(O44=0,O44="",AN44="",AN44=""),"",AN44)</f>
        <v>3000</v>
      </c>
      <c r="AO45" s="2">
        <f t="array" ref="AO45">IF(OR(O44=0,O44="",AO44="",AO44=""),"",AO44)</f>
        <v>3000</v>
      </c>
      <c r="AP45" s="204">
        <f t="array" ref="AP45">IF(OR(O45=0,O45=""),"",SUM(AN45-AO45))</f>
        <v>0</v>
      </c>
      <c r="AQ45" s="106" t="str">
        <f t="array" ref="AQ45">IF(OR(O45=0,O45=""),"",IF(AND('Basic Data Entry'!$C$10="state Service",'Arear Table Protected'!T45=2020,S45=3),ROUND(V45/31*5,0),IF(AND('Basic Data Entry'!$C$10="state Service",'Arear Table Protected'!T45=2020,S45=9),ROUND(Z45/30*2,0),IF(AND('Basic Data Entry'!$C$10="state Service",'Arear Table Protected'!T45=2020,S45=10),ROUND(Z45/31*2,0),IF(AND('Basic Data Entry'!$C$10="subordinate",'Arear Table Protected'!T45=2020,S45=3),ROUND(V45/31*3,0),IF(AND('Basic Data Entry'!$C$10="subordinate",'Arear Table Protected'!T45=2020,S45=9),ROUND(Z45/30*1,0),IF(AND('Basic Data Entry'!$C$10="subordinate",'Arear Table Protected'!T45=2020,S45=10),ROUND(Z45/31*1,0),IF(AND('Basic Data Entry'!$C$10="ministrial",'Arear Table Protected'!T45=2020,S45=3),ROUND(V45/31*1,0),""))))))))</f>
        <v/>
      </c>
      <c r="AR45" s="107" t="str">
        <f t="array" ref="AR45">IF(OR(O45=0,O45=""),"",IF(AND('Basic Data Entry'!$C$10="state Service",'Arear Table Protected'!T45=2020,S45=3),ROUND(AA45/31*5,0),IF(AND('Basic Data Entry'!$C$10="state Service",'Arear Table Protected'!T45=2020,S45=9),ROUND(AE45/30*2,0),IF(AND('Basic Data Entry'!$C$10="state Service",'Arear Table Protected'!T45=2020,S45=10),ROUND(AE45/31*2,0),IF(AND('Basic Data Entry'!$C$10="subordinate",'Arear Table Protected'!T45=2020,S45=3),ROUND(AA45/31*3,0),IF(AND('Basic Data Entry'!$C$10="subordinate",'Arear Table Protected'!T45=2020,S45=9),ROUND(AE45/30*1,0),IF(AND('Basic Data Entry'!$C$10="subordinate",'Arear Table Protected'!T45=2020,S45=10),ROUND(AE45/31*1,0),IF(AND('Basic Data Entry'!$C$10="ministrial",'Arear Table Protected'!T45=2020,S45=3),ROUND(AA45/31*1,0),""))))))))</f>
        <v/>
      </c>
      <c r="AS45" s="205" t="str">
        <f t="array" ref="AS45">IF(OR(O45=0,O45="",AQ45="",AR45=""),"",AQ45-AR45)</f>
        <v/>
      </c>
      <c r="AT45" s="44">
        <f t="array" ref="AT45">IF(OR(O44=0,O44=""),"",AT44)</f>
        <v>0</v>
      </c>
      <c r="AU45" s="45">
        <f t="array" ref="AU45">IF(OR(O44=0,O44=""),"",AU44)</f>
        <v>0</v>
      </c>
      <c r="AV45" s="206">
        <f t="array" ref="AV45">IF(OR(O45=0,O45=""),"",SUM(AT45-AU45))</f>
        <v>0</v>
      </c>
      <c r="AW45" s="207">
        <f t="array" ref="AW45">IF(OR(O45=0,O45=""),"",ROUND((AJ45)*$E$3,0))</f>
        <v>728</v>
      </c>
      <c r="AX45" s="207">
        <f t="array" ref="AX45">IF(OR(O45=0,O45=""),"",SUM(AM45,AP45,AS45,AV45,AW45))</f>
        <v>728</v>
      </c>
      <c r="AY45" s="208">
        <f t="array" ref="AY45">IF(OR(O45=0,O45=""),"",AJ45-AX45)</f>
        <v>6552</v>
      </c>
      <c r="AZ45" s="46"/>
      <c r="BA45" s="24"/>
      <c r="BB45" s="24"/>
      <c r="BC45" s="11">
        <f t="shared" si="20"/>
        <v>44458</v>
      </c>
      <c r="BD45" s="84">
        <f t="shared" si="12"/>
        <v>9</v>
      </c>
      <c r="BE45" s="84">
        <f t="shared" si="18"/>
        <v>47900</v>
      </c>
      <c r="BI45" s="22">
        <f t="shared" si="19"/>
        <v>44458</v>
      </c>
      <c r="BK45" s="19">
        <f t="shared" si="13"/>
        <v>1</v>
      </c>
      <c r="BL45" s="20" t="str">
        <f t="array" ref="BL45">IF(OR(O45=0,O45=""),"",U45)</f>
        <v>92021</v>
      </c>
      <c r="BM45" s="19">
        <f t="array" ref="BM45">IF(OR(O45=0,O45=""),"",BK45+BL45)</f>
        <v>92022</v>
      </c>
      <c r="BN45" s="21" t="str">
        <f t="shared" si="21"/>
        <v>MS</v>
      </c>
      <c r="BO45" s="21">
        <f t="shared" si="22"/>
        <v>0</v>
      </c>
      <c r="BP45" s="23">
        <f t="shared" si="16"/>
        <v>0</v>
      </c>
      <c r="BQ45" s="21" t="str">
        <f t="shared" si="23"/>
        <v>00</v>
      </c>
      <c r="BW45" s="81" t="str">
        <f>IF(OR(O45=0,O45=""),"",IF('Basic Data Entry'!$C$9="fixation","yes",""))</f>
        <v/>
      </c>
      <c r="BX45" s="81" t="str">
        <f>IF(OR(O45=0,O45=""),"",IF('Basic Data Entry'!$G$12="yes","yes","no"))</f>
        <v>no</v>
      </c>
    </row>
    <row r="46" spans="1:76" ht="18" customHeight="1" thickBot="1">
      <c r="A46" s="10">
        <f t="shared" si="6"/>
        <v>47900</v>
      </c>
      <c r="B46" s="305"/>
      <c r="C46" s="305"/>
      <c r="D46" s="305"/>
      <c r="E46" s="305"/>
      <c r="F46" s="108">
        <f t="shared" si="1"/>
        <v>44489</v>
      </c>
      <c r="G46" s="165">
        <f t="shared" si="2"/>
        <v>0.31</v>
      </c>
      <c r="H46" s="166">
        <f t="shared" si="3"/>
        <v>0.31</v>
      </c>
      <c r="I46" s="166">
        <f>IF(OR($E$2="fixation",O46="",O46=0),"",IF(AND('Basic Data Entry'!$G$11="Z-Rural",'Arear Table Protected'!T46&lt;2021),0.08,IF(AND('Basic Data Entry'!$G$11="Y-Urban",'Arear Table Protected'!T46&lt;2021),0.16,IF(AND('Basic Data Entry'!$G$11="Z-Rural",'Arear Table Protected'!T46=2021,S46&gt;=7),0.09,IF(AND('Basic Data Entry'!$G$11="Y-Urban",'Arear Table Protected'!T46=2021,'Arear Table Protected'!S46&gt;=7),0.18,IF(AND('Basic Data Entry'!$G$11="Z-Rural",'Arear Table Protected'!T46=2021,S46&lt;7),0.08,IF(AND('Basic Data Entry'!$G$11="Y-Urban",'Arear Table Protected'!T46=2021,'Arear Table Protected'!S46&lt;7),0.16,IF(AND('Basic Data Entry'!$G$11="Z-Rural",'Arear Table Protected'!T46=2022),0.09,IF(AND('Basic Data Entry'!$G$11="Y-Urban",'Arear Table Protected'!T46=2022),0.18,IF(AND('Basic Data Entry'!$G$11="Z-Rural",'Arear Table Protected'!T46=2023),0.09,IF(AND('Basic Data Entry'!$G$11="Y-Urban",'Arear Table Protected'!T46=2023),0.18,"")))))))))))</f>
        <v>0.09</v>
      </c>
      <c r="J46" s="167">
        <f>IF(OR(O46="",O46=0),"",IF(AND('Basic Data Entry'!$G$11="Z-Rural",'Arear Table Protected'!T46&lt;2021),0.08,IF(AND('Basic Data Entry'!$G$11="Y-Urban",'Arear Table Protected'!T46&lt;2021),0.16,IF(AND('Basic Data Entry'!$G$11="Z-Rural",'Arear Table Protected'!T46=2021,S46&gt;=7),0.09,IF(AND('Basic Data Entry'!$G$11="Y-Urban",'Arear Table Protected'!T46=2021,'Arear Table Protected'!S46&gt;=7),0.18,IF(AND('Basic Data Entry'!$G$11="Z-Rural",'Arear Table Protected'!T46=2021,S46&lt;7),0.08,IF(AND('Basic Data Entry'!$G$11="Y-Urban",'Arear Table Protected'!T46=2021,'Arear Table Protected'!S46&lt;7),0.16,IF(AND('Basic Data Entry'!$G$11="Z-Rural",'Arear Table Protected'!T46=2022),0.09,IF(AND('Basic Data Entry'!$G$11="Y-Urban",'Arear Table Protected'!T46=2022),0.18,IF(AND('Basic Data Entry'!$G$11="Z-Rural",'Arear Table Protected'!T46=2023),0.09,IF(AND('Basic Data Entry'!$G$11="Y-Urban",'Arear Table Protected'!T46=2023),0.18,"")))))))))))</f>
        <v>0.09</v>
      </c>
      <c r="K46" s="168" t="str">
        <f t="shared" si="4"/>
        <v/>
      </c>
      <c r="L46" s="169" t="str">
        <f t="shared" si="5"/>
        <v/>
      </c>
      <c r="M46" s="170" t="str">
        <f t="shared" si="7"/>
        <v/>
      </c>
      <c r="N46" s="196">
        <v>34</v>
      </c>
      <c r="O46" s="327">
        <f t="shared" si="8"/>
        <v>44489</v>
      </c>
      <c r="P46" s="328"/>
      <c r="Q46" s="328"/>
      <c r="R46" s="329"/>
      <c r="S46" s="161">
        <f t="array" ref="S46">IF(OR(O46=0,O46=""),"",MONTH(O46))</f>
        <v>10</v>
      </c>
      <c r="T46" s="161">
        <f t="array" ref="T46">IF(OR(O46=0,O46=""),"",YEAR(O46))</f>
        <v>2021</v>
      </c>
      <c r="U46" s="161" t="str">
        <f t="shared" si="9"/>
        <v>102021</v>
      </c>
      <c r="V46" s="197">
        <f t="array" ref="V46">IF(OR(O46=0,O46=""),"",BE46)</f>
        <v>47900</v>
      </c>
      <c r="W46" s="163">
        <f t="array" ref="W46">IF(OR(O46=0,O46=""),"",ROUND(V46*H46,0))</f>
        <v>14849</v>
      </c>
      <c r="X46" s="222">
        <f t="shared" si="10"/>
        <v>0</v>
      </c>
      <c r="Y46" s="163">
        <f t="array" ref="Y46">IF(OR(O46=0,O46=""),"",ROUND(V46*J46,0))</f>
        <v>4311</v>
      </c>
      <c r="Z46" s="198">
        <f t="array" ref="Z46">IF(OR(O46=0,O46=""),"",SUM(V46:Y46))</f>
        <v>67060</v>
      </c>
      <c r="AA46" s="199">
        <f t="array" ref="AA46">IF(OR(O46=0,O46=""),"",IF(V46=0,0,IF($E$2="FIXATION",$B$5,IF(V46=0,0,IF(BD46=7,ROUND(AA45*1.03,-2),AA45)))))</f>
        <v>42700</v>
      </c>
      <c r="AB46" s="200">
        <f t="array" ref="AB46">IF(OR(O46=0,O46=""),"",IF($E$2="fixation",0,ROUND(AA46*G46,0)))</f>
        <v>13237</v>
      </c>
      <c r="AC46" s="222">
        <f t="array" ref="AC46">IF(OR(O46=0,O46=""),"",AC45)</f>
        <v>0</v>
      </c>
      <c r="AD46" s="200">
        <f t="array" ref="AD46">IF(OR(O46=0,O46=""),"",IF($E$2="fixation",0,ROUND(AA46*I46,0)))</f>
        <v>3843</v>
      </c>
      <c r="AE46" s="198">
        <f t="array" ref="AE46">IF(OR(O46=0,O46=""),"",SUM(AA46:AD46))</f>
        <v>59780</v>
      </c>
      <c r="AF46" s="199">
        <f t="array" ref="AF46">IF(OR(O46=0,O46=""),"",V46-AA46)</f>
        <v>5200</v>
      </c>
      <c r="AG46" s="200">
        <f t="array" ref="AG46">IF(OR(O46=0,O46=""),"",W46-AB46)</f>
        <v>1612</v>
      </c>
      <c r="AH46" s="200">
        <f t="array" ref="AH46">IF(OR(O46=0,O46=""),"",X46-AC46)</f>
        <v>0</v>
      </c>
      <c r="AI46" s="200">
        <f t="array" ref="AI46">IF(OR(O46=0,O46=""),"",Y46-AD46)</f>
        <v>468</v>
      </c>
      <c r="AJ46" s="201">
        <f t="array" ref="AJ46">IF(OR(O46=0,O46=""),"",Z46-AE46)</f>
        <v>7280</v>
      </c>
      <c r="AK46" s="202">
        <f t="array" ref="AK46">IF(OR(O46=0,O46=""),"",IF(M46="",$AZ$2,$AZ$2+M46))</f>
        <v>4500</v>
      </c>
      <c r="AL46" s="203">
        <f t="array" ref="AL46">IF(OR(O46=0,O46=""),"",$AQ$2)</f>
        <v>4500</v>
      </c>
      <c r="AM46" s="204">
        <f t="array" ref="AM46">IF(OR(O46=0,O46=""),"",AK46-AL46)</f>
        <v>0</v>
      </c>
      <c r="AN46" s="3">
        <f t="array" ref="AN46">IF(OR(O45=0,O45="",AN45="",AN45=""),"",AN45)</f>
        <v>3000</v>
      </c>
      <c r="AO46" s="2">
        <f t="array" ref="AO46">IF(OR(O45=0,O45="",AO45="",AO45=""),"",AO45)</f>
        <v>3000</v>
      </c>
      <c r="AP46" s="204">
        <f t="array" ref="AP46">IF(OR(O46=0,O46=""),"",SUM(AN46-AO46))</f>
        <v>0</v>
      </c>
      <c r="AQ46" s="106" t="str">
        <f t="array" ref="AQ46">IF(OR(O46=0,O46=""),"",IF(AND('Basic Data Entry'!$C$10="state Service",'Arear Table Protected'!T46=2020,S46=3),ROUND(V46/31*5,0),IF(AND('Basic Data Entry'!$C$10="state Service",'Arear Table Protected'!T46=2020,S46=9),ROUND(Z46/30*2,0),IF(AND('Basic Data Entry'!$C$10="state Service",'Arear Table Protected'!T46=2020,S46=10),ROUND(Z46/31*2,0),IF(AND('Basic Data Entry'!$C$10="subordinate",'Arear Table Protected'!T46=2020,S46=3),ROUND(V46/31*3,0),IF(AND('Basic Data Entry'!$C$10="subordinate",'Arear Table Protected'!T46=2020,S46=9),ROUND(Z46/30*1,0),IF(AND('Basic Data Entry'!$C$10="subordinate",'Arear Table Protected'!T46=2020,S46=10),ROUND(Z46/31*1,0),IF(AND('Basic Data Entry'!$C$10="ministrial",'Arear Table Protected'!T46=2020,S46=3),ROUND(V46/31*1,0),""))))))))</f>
        <v/>
      </c>
      <c r="AR46" s="107" t="str">
        <f t="array" ref="AR46">IF(OR(O46=0,O46=""),"",IF(AND('Basic Data Entry'!$C$10="state Service",'Arear Table Protected'!T46=2020,S46=3),ROUND(AA46/31*5,0),IF(AND('Basic Data Entry'!$C$10="state Service",'Arear Table Protected'!T46=2020,S46=9),ROUND(AE46/30*2,0),IF(AND('Basic Data Entry'!$C$10="state Service",'Arear Table Protected'!T46=2020,S46=10),ROUND(AE46/31*2,0),IF(AND('Basic Data Entry'!$C$10="subordinate",'Arear Table Protected'!T46=2020,S46=3),ROUND(AA46/31*3,0),IF(AND('Basic Data Entry'!$C$10="subordinate",'Arear Table Protected'!T46=2020,S46=9),ROUND(AE46/30*1,0),IF(AND('Basic Data Entry'!$C$10="subordinate",'Arear Table Protected'!T46=2020,S46=10),ROUND(AE46/31*1,0),IF(AND('Basic Data Entry'!$C$10="ministrial",'Arear Table Protected'!T46=2020,S46=3),ROUND(AA46/31*1,0),""))))))))</f>
        <v/>
      </c>
      <c r="AS46" s="205" t="str">
        <f t="array" ref="AS46">IF(OR(O46=0,O46="",AQ46="",AR46=""),"",AQ46-AR46)</f>
        <v/>
      </c>
      <c r="AT46" s="44">
        <f t="array" ref="AT46">IF(OR(O45=0,O45=""),"",AT45)</f>
        <v>0</v>
      </c>
      <c r="AU46" s="45">
        <f t="array" ref="AU46">IF(OR(O45=0,O45=""),"",AU45)</f>
        <v>0</v>
      </c>
      <c r="AV46" s="206">
        <f t="array" ref="AV46">IF(OR(O46=0,O46=""),"",SUM(AT46-AU46))</f>
        <v>0</v>
      </c>
      <c r="AW46" s="207">
        <f t="array" ref="AW46">IF(OR(O46=0,O46=""),"",ROUND((AJ46)*$E$3,0))</f>
        <v>728</v>
      </c>
      <c r="AX46" s="207">
        <f t="array" ref="AX46">IF(OR(O46=0,O46=""),"",SUM(AM46,AP46,AS46,AV46,AW46))</f>
        <v>728</v>
      </c>
      <c r="AY46" s="208">
        <f t="array" ref="AY46">IF(OR(O46=0,O46=""),"",AJ46-AX46)</f>
        <v>6552</v>
      </c>
      <c r="AZ46" s="46"/>
      <c r="BA46" s="24"/>
      <c r="BB46" s="24"/>
      <c r="BC46" s="11">
        <f t="shared" si="20"/>
        <v>44489</v>
      </c>
      <c r="BD46" s="84">
        <f t="shared" si="12"/>
        <v>10</v>
      </c>
      <c r="BE46" s="84">
        <f t="shared" si="18"/>
        <v>47900</v>
      </c>
      <c r="BI46" s="22">
        <f t="shared" si="19"/>
        <v>44489</v>
      </c>
      <c r="BK46" s="19">
        <f t="shared" si="13"/>
        <v>1</v>
      </c>
      <c r="BL46" s="20" t="str">
        <f t="array" ref="BL46">IF(OR(O46=0,O46=""),"",U46)</f>
        <v>102021</v>
      </c>
      <c r="BM46" s="19">
        <f t="array" ref="BM46">IF(OR(O46=0,O46=""),"",BK46+BL46)</f>
        <v>102022</v>
      </c>
      <c r="BN46" s="21" t="str">
        <f t="shared" si="21"/>
        <v>MO</v>
      </c>
      <c r="BO46" s="21">
        <f t="shared" si="22"/>
        <v>0</v>
      </c>
      <c r="BP46" s="23">
        <f t="shared" si="16"/>
        <v>0</v>
      </c>
      <c r="BQ46" s="21" t="str">
        <f t="shared" si="23"/>
        <v>00</v>
      </c>
      <c r="BW46" s="81" t="str">
        <f>IF(OR(O46=0,O46=""),"",IF('Basic Data Entry'!$C$9="fixation","yes",""))</f>
        <v/>
      </c>
      <c r="BX46" s="81" t="str">
        <f>IF(OR(O46=0,O46=""),"",IF('Basic Data Entry'!$G$12="yes","yes","no"))</f>
        <v>no</v>
      </c>
    </row>
    <row r="47" spans="1:76" ht="18" customHeight="1" thickBot="1">
      <c r="A47" s="10" t="str">
        <f t="shared" si="6"/>
        <v/>
      </c>
      <c r="B47" s="305"/>
      <c r="C47" s="305"/>
      <c r="D47" s="305"/>
      <c r="E47" s="305"/>
      <c r="F47" s="108" t="str">
        <f t="shared" si="1"/>
        <v/>
      </c>
      <c r="G47" s="165" t="str">
        <f t="shared" si="2"/>
        <v/>
      </c>
      <c r="H47" s="166" t="str">
        <f t="shared" si="3"/>
        <v/>
      </c>
      <c r="I47" s="166" t="str">
        <f>IF(OR($E$2="fixation",O47="",O47=0),"",IF(AND('Basic Data Entry'!$G$11="Z-Rural",'Arear Table Protected'!T47&lt;2021),0.08,IF(AND('Basic Data Entry'!$G$11="Y-Urban",'Arear Table Protected'!T47&lt;2021),0.16,IF(AND('Basic Data Entry'!$G$11="Z-Rural",'Arear Table Protected'!T47=2021,S47&gt;=7),0.09,IF(AND('Basic Data Entry'!$G$11="Y-Urban",'Arear Table Protected'!T47=2021,'Arear Table Protected'!S47&gt;=7),0.18,IF(AND('Basic Data Entry'!$G$11="Z-Rural",'Arear Table Protected'!T47=2021,S47&lt;7),0.08,IF(AND('Basic Data Entry'!$G$11="Y-Urban",'Arear Table Protected'!T47=2021,'Arear Table Protected'!S47&lt;7),0.16,IF(AND('Basic Data Entry'!$G$11="Z-Rural",'Arear Table Protected'!T47=2022),0.09,IF(AND('Basic Data Entry'!$G$11="Y-Urban",'Arear Table Protected'!T47=2022),0.18,IF(AND('Basic Data Entry'!$G$11="Z-Rural",'Arear Table Protected'!T47=2023),0.09,IF(AND('Basic Data Entry'!$G$11="Y-Urban",'Arear Table Protected'!T47=2023),0.18,"")))))))))))</f>
        <v/>
      </c>
      <c r="J47" s="167" t="str">
        <f>IF(OR(O47="",O47=0),"",IF(AND('Basic Data Entry'!$G$11="Z-Rural",'Arear Table Protected'!T47&lt;2021),0.08,IF(AND('Basic Data Entry'!$G$11="Y-Urban",'Arear Table Protected'!T47&lt;2021),0.16,IF(AND('Basic Data Entry'!$G$11="Z-Rural",'Arear Table Protected'!T47=2021,S47&gt;=7),0.09,IF(AND('Basic Data Entry'!$G$11="Y-Urban",'Arear Table Protected'!T47=2021,'Arear Table Protected'!S47&gt;=7),0.18,IF(AND('Basic Data Entry'!$G$11="Z-Rural",'Arear Table Protected'!T47=2021,S47&lt;7),0.08,IF(AND('Basic Data Entry'!$G$11="Y-Urban",'Arear Table Protected'!T47=2021,'Arear Table Protected'!S47&lt;7),0.16,IF(AND('Basic Data Entry'!$G$11="Z-Rural",'Arear Table Protected'!T47=2022),0.09,IF(AND('Basic Data Entry'!$G$11="Y-Urban",'Arear Table Protected'!T47=2022),0.18,IF(AND('Basic Data Entry'!$G$11="Z-Rural",'Arear Table Protected'!T47=2023),0.09,IF(AND('Basic Data Entry'!$G$11="Y-Urban",'Arear Table Protected'!T47=2023),0.18,"")))))))))))</f>
        <v/>
      </c>
      <c r="K47" s="168" t="str">
        <f t="shared" si="4"/>
        <v/>
      </c>
      <c r="L47" s="169" t="str">
        <f t="shared" si="5"/>
        <v/>
      </c>
      <c r="M47" s="170" t="str">
        <f t="shared" si="7"/>
        <v/>
      </c>
      <c r="N47" s="196">
        <v>35</v>
      </c>
      <c r="O47" s="327">
        <f t="shared" si="8"/>
        <v>0</v>
      </c>
      <c r="P47" s="328"/>
      <c r="Q47" s="328"/>
      <c r="R47" s="329"/>
      <c r="S47" s="161" t="str">
        <f t="array" ref="S47">IF(OR(O47=0,O47=""),"",MONTH(O47))</f>
        <v/>
      </c>
      <c r="T47" s="161" t="str">
        <f t="array" ref="T47">IF(OR(O47=0,O47=""),"",YEAR(O47))</f>
        <v/>
      </c>
      <c r="U47" s="161" t="str">
        <f t="shared" si="9"/>
        <v/>
      </c>
      <c r="V47" s="197" t="str">
        <f t="array" ref="V47">IF(OR(O47=0,O47=""),"",BE47)</f>
        <v/>
      </c>
      <c r="W47" s="163" t="str">
        <f t="array" ref="W47">IF(OR(O47=0,O47=""),"",ROUND(V47*H47,0))</f>
        <v/>
      </c>
      <c r="X47" s="222">
        <f t="shared" si="10"/>
        <v>0</v>
      </c>
      <c r="Y47" s="163" t="str">
        <f t="array" ref="Y47">IF(OR(O47=0,O47=""),"",ROUND(V47*J47,0))</f>
        <v/>
      </c>
      <c r="Z47" s="198" t="str">
        <f t="array" ref="Z47">IF(OR(O47=0,O47=""),"",SUM(V47:Y47))</f>
        <v/>
      </c>
      <c r="AA47" s="199" t="str">
        <f t="array" ref="AA47">IF(OR(O47=0,O47=""),"",IF(V47=0,0,IF($E$2="FIXATION",$B$5,IF(V47=0,0,IF(BD47=7,ROUND(AA46*1.03,-2),AA46)))))</f>
        <v/>
      </c>
      <c r="AB47" s="200" t="str">
        <f t="array" ref="AB47">IF(OR(O47=0,O47=""),"",IF($E$2="fixation",0,ROUND(AA47*G47,0)))</f>
        <v/>
      </c>
      <c r="AC47" s="222" t="str">
        <f t="array" ref="AC47">IF(OR(O47=0,O47=""),"",AC46)</f>
        <v/>
      </c>
      <c r="AD47" s="200" t="str">
        <f t="array" ref="AD47">IF(OR(O47=0,O47=""),"",IF($E$2="fixation",0,ROUND(AA47*I47,0)))</f>
        <v/>
      </c>
      <c r="AE47" s="198" t="str">
        <f t="array" ref="AE47">IF(OR(O47=0,O47=""),"",SUM(AA47:AD47))</f>
        <v/>
      </c>
      <c r="AF47" s="199" t="str">
        <f t="array" ref="AF47">IF(OR(O47=0,O47=""),"",V47-AA47)</f>
        <v/>
      </c>
      <c r="AG47" s="200" t="str">
        <f t="array" ref="AG47">IF(OR(O47=0,O47=""),"",W47-AB47)</f>
        <v/>
      </c>
      <c r="AH47" s="200" t="str">
        <f t="array" ref="AH47">IF(OR(O47=0,O47=""),"",X47-AC47)</f>
        <v/>
      </c>
      <c r="AI47" s="200" t="str">
        <f t="array" ref="AI47">IF(OR(O47=0,O47=""),"",Y47-AD47)</f>
        <v/>
      </c>
      <c r="AJ47" s="201" t="str">
        <f t="array" ref="AJ47">IF(OR(O47=0,O47=""),"",Z47-AE47)</f>
        <v/>
      </c>
      <c r="AK47" s="202" t="str">
        <f t="array" ref="AK47">IF(OR(O47=0,O47=""),"",IF(M47="",$AZ$2,$AZ$2+M47))</f>
        <v/>
      </c>
      <c r="AL47" s="203" t="str">
        <f t="array" ref="AL47">IF(OR(O47=0,O47=""),"",$AQ$2)</f>
        <v/>
      </c>
      <c r="AM47" s="204" t="str">
        <f t="array" ref="AM47">IF(OR(O47=0,O47=""),"",AK47-AL47)</f>
        <v/>
      </c>
      <c r="AN47" s="3">
        <f t="array" ref="AN47">IF(OR(O46=0,O46="",AN46="",AN46=""),"",AN46)</f>
        <v>3000</v>
      </c>
      <c r="AO47" s="2">
        <f t="array" ref="AO47">IF(OR(O46=0,O46="",AO46="",AO46=""),"",AO46)</f>
        <v>3000</v>
      </c>
      <c r="AP47" s="204" t="str">
        <f t="array" ref="AP47">IF(OR(O47=0,O47=""),"",SUM(AN47-AO47))</f>
        <v/>
      </c>
      <c r="AQ47" s="106" t="str">
        <f t="array" ref="AQ47">IF(OR(O47=0,O47=""),"",IF(AND('Basic Data Entry'!$C$10="state Service",'Arear Table Protected'!T47=2020,S47=3),ROUND(V47/31*5,0),IF(AND('Basic Data Entry'!$C$10="state Service",'Arear Table Protected'!T47=2020,S47=9),ROUND(Z47/30*2,0),IF(AND('Basic Data Entry'!$C$10="state Service",'Arear Table Protected'!T47=2020,S47=10),ROUND(Z47/31*2,0),IF(AND('Basic Data Entry'!$C$10="subordinate",'Arear Table Protected'!T47=2020,S47=3),ROUND(V47/31*3,0),IF(AND('Basic Data Entry'!$C$10="subordinate",'Arear Table Protected'!T47=2020,S47=9),ROUND(Z47/30*1,0),IF(AND('Basic Data Entry'!$C$10="subordinate",'Arear Table Protected'!T47=2020,S47=10),ROUND(Z47/31*1,0),IF(AND('Basic Data Entry'!$C$10="ministrial",'Arear Table Protected'!T47=2020,S47=3),ROUND(V47/31*1,0),""))))))))</f>
        <v/>
      </c>
      <c r="AR47" s="107" t="str">
        <f t="array" ref="AR47">IF(OR(O47=0,O47=""),"",IF(AND('Basic Data Entry'!$C$10="state Service",'Arear Table Protected'!T47=2020,S47=3),ROUND(AA47/31*5,0),IF(AND('Basic Data Entry'!$C$10="state Service",'Arear Table Protected'!T47=2020,S47=9),ROUND(AE47/30*2,0),IF(AND('Basic Data Entry'!$C$10="state Service",'Arear Table Protected'!T47=2020,S47=10),ROUND(AE47/31*2,0),IF(AND('Basic Data Entry'!$C$10="subordinate",'Arear Table Protected'!T47=2020,S47=3),ROUND(AA47/31*3,0),IF(AND('Basic Data Entry'!$C$10="subordinate",'Arear Table Protected'!T47=2020,S47=9),ROUND(AE47/30*1,0),IF(AND('Basic Data Entry'!$C$10="subordinate",'Arear Table Protected'!T47=2020,S47=10),ROUND(AE47/31*1,0),IF(AND('Basic Data Entry'!$C$10="ministrial",'Arear Table Protected'!T47=2020,S47=3),ROUND(AA47/31*1,0),""))))))))</f>
        <v/>
      </c>
      <c r="AS47" s="205" t="str">
        <f t="array" ref="AS47">IF(OR(O47=0,O47="",AQ47="",AR47=""),"",AQ47-AR47)</f>
        <v/>
      </c>
      <c r="AT47" s="44">
        <f t="array" ref="AT47">IF(OR(O46=0,O46=""),"",AT46)</f>
        <v>0</v>
      </c>
      <c r="AU47" s="45">
        <f t="array" ref="AU47">IF(OR(O46=0,O46=""),"",AU46)</f>
        <v>0</v>
      </c>
      <c r="AV47" s="206" t="str">
        <f t="array" ref="AV47">IF(OR(O47=0,O47=""),"",SUM(AT47-AU47))</f>
        <v/>
      </c>
      <c r="AW47" s="207" t="str">
        <f t="array" ref="AW47">IF(OR(O47=0,O47=""),"",ROUND((AJ47)*$E$3,0))</f>
        <v/>
      </c>
      <c r="AX47" s="207" t="str">
        <f t="array" ref="AX47">IF(OR(O47=0,O47=""),"",SUM(AM47,AP47,AS47,AV47,AW47))</f>
        <v/>
      </c>
      <c r="AY47" s="208" t="str">
        <f t="array" ref="AY47">IF(OR(O47=0,O47=""),"",AJ47-AX47)</f>
        <v/>
      </c>
      <c r="AZ47" s="46"/>
      <c r="BA47" s="24"/>
      <c r="BB47" s="24"/>
      <c r="BC47" s="11">
        <f t="shared" si="20"/>
        <v>0</v>
      </c>
      <c r="BD47" s="84">
        <f t="shared" si="12"/>
        <v>0</v>
      </c>
      <c r="BE47" s="84">
        <f t="shared" si="18"/>
        <v>0</v>
      </c>
      <c r="BI47" s="22">
        <f t="shared" si="19"/>
        <v>44520</v>
      </c>
      <c r="BK47" s="19">
        <f t="shared" si="13"/>
        <v>1</v>
      </c>
      <c r="BL47" s="20" t="str">
        <f t="array" ref="BL47">IF(OR(O47=0,O47=""),"",U47)</f>
        <v/>
      </c>
      <c r="BM47" s="19" t="str">
        <f t="array" ref="BM47">IF(OR(O47=0,O47=""),"",BK47+BL47)</f>
        <v/>
      </c>
      <c r="BN47" s="21">
        <f t="shared" ref="BN47:BN60" si="24">IF(BM47=32025,"SSM",IF(BM47=32023,"SM",IF(BM47=32022,"MM",IF(BM47=32021,"FM",IF(BM47=92025,"SSS",IF(BM47=92023,"SS",IF(BM47=92022,"MS",IF(BM47=92021,"FS",IF(BM47=102025,"SSO",IF(BM47=102023,"SO",IF(BM47=102022,"MO",IF(BM47=102021,"FO",0))))))))))))</f>
        <v>0</v>
      </c>
      <c r="BO47" s="21">
        <f t="shared" ref="BO47:BO60" si="25">IF(BL47="32020","M",IF(BL47="92020","S",IF(BL47="102020","O",0)))</f>
        <v>0</v>
      </c>
      <c r="BP47" s="23">
        <f t="shared" ref="BP47:BP60" si="26">IF(BO47=0,0,"ss")</f>
        <v>0</v>
      </c>
      <c r="BQ47" s="21" t="str">
        <f t="shared" ref="BQ47:BQ60" si="27">CONCATENATE(BO47,BP47)</f>
        <v>00</v>
      </c>
      <c r="BW47" s="81" t="str">
        <f>IF(OR(O47=0,O47=""),"",IF('Basic Data Entry'!$C$9="fixation","yes",""))</f>
        <v/>
      </c>
      <c r="BX47" s="81" t="str">
        <f>IF(OR(O47=0,O47=""),"",IF('Basic Data Entry'!$G$12="yes","yes","no"))</f>
        <v/>
      </c>
    </row>
    <row r="48" spans="1:76" ht="18" customHeight="1" thickBot="1">
      <c r="A48" s="10" t="str">
        <f t="shared" si="6"/>
        <v/>
      </c>
      <c r="B48" s="305"/>
      <c r="C48" s="305"/>
      <c r="D48" s="305"/>
      <c r="E48" s="305"/>
      <c r="F48" s="108" t="str">
        <f t="shared" si="1"/>
        <v/>
      </c>
      <c r="G48" s="165" t="str">
        <f t="shared" si="2"/>
        <v/>
      </c>
      <c r="H48" s="166" t="str">
        <f t="shared" si="3"/>
        <v/>
      </c>
      <c r="I48" s="166" t="str">
        <f>IF(OR($E$2="fixation",O48="",O48=0),"",IF(AND('Basic Data Entry'!$G$11="Z-Rural",'Arear Table Protected'!T48&lt;2021),0.08,IF(AND('Basic Data Entry'!$G$11="Y-Urban",'Arear Table Protected'!T48&lt;2021),0.16,IF(AND('Basic Data Entry'!$G$11="Z-Rural",'Arear Table Protected'!T48=2021,S48&gt;=7),0.09,IF(AND('Basic Data Entry'!$G$11="Y-Urban",'Arear Table Protected'!T48=2021,'Arear Table Protected'!S48&gt;=7),0.18,IF(AND('Basic Data Entry'!$G$11="Z-Rural",'Arear Table Protected'!T48=2021,S48&lt;7),0.08,IF(AND('Basic Data Entry'!$G$11="Y-Urban",'Arear Table Protected'!T48=2021,'Arear Table Protected'!S48&lt;7),0.16,IF(AND('Basic Data Entry'!$G$11="Z-Rural",'Arear Table Protected'!T48=2022),0.09,IF(AND('Basic Data Entry'!$G$11="Y-Urban",'Arear Table Protected'!T48=2022),0.18,IF(AND('Basic Data Entry'!$G$11="Z-Rural",'Arear Table Protected'!T48=2023),0.09,IF(AND('Basic Data Entry'!$G$11="Y-Urban",'Arear Table Protected'!T48=2023),0.18,"")))))))))))</f>
        <v/>
      </c>
      <c r="J48" s="167" t="str">
        <f>IF(OR(O48="",O48=0),"",IF(AND('Basic Data Entry'!$G$11="Z-Rural",'Arear Table Protected'!T48&lt;2021),0.08,IF(AND('Basic Data Entry'!$G$11="Y-Urban",'Arear Table Protected'!T48&lt;2021),0.16,IF(AND('Basic Data Entry'!$G$11="Z-Rural",'Arear Table Protected'!T48=2021,S48&gt;=7),0.09,IF(AND('Basic Data Entry'!$G$11="Y-Urban",'Arear Table Protected'!T48=2021,'Arear Table Protected'!S48&gt;=7),0.18,IF(AND('Basic Data Entry'!$G$11="Z-Rural",'Arear Table Protected'!T48=2021,S48&lt;7),0.08,IF(AND('Basic Data Entry'!$G$11="Y-Urban",'Arear Table Protected'!T48=2021,'Arear Table Protected'!S48&lt;7),0.16,IF(AND('Basic Data Entry'!$G$11="Z-Rural",'Arear Table Protected'!T48=2022),0.09,IF(AND('Basic Data Entry'!$G$11="Y-Urban",'Arear Table Protected'!T48=2022),0.18,IF(AND('Basic Data Entry'!$G$11="Z-Rural",'Arear Table Protected'!T48=2023),0.09,IF(AND('Basic Data Entry'!$G$11="Y-Urban",'Arear Table Protected'!T48=2023),0.18,"")))))))))))</f>
        <v/>
      </c>
      <c r="K48" s="168" t="str">
        <f t="shared" si="4"/>
        <v/>
      </c>
      <c r="L48" s="169" t="str">
        <f t="shared" si="5"/>
        <v/>
      </c>
      <c r="M48" s="170" t="str">
        <f t="shared" si="7"/>
        <v/>
      </c>
      <c r="N48" s="196">
        <v>36</v>
      </c>
      <c r="O48" s="327">
        <f t="shared" si="8"/>
        <v>0</v>
      </c>
      <c r="P48" s="328"/>
      <c r="Q48" s="328"/>
      <c r="R48" s="329"/>
      <c r="S48" s="161" t="str">
        <f t="array" ref="S48">IF(OR(O48=0,O48=""),"",MONTH(O48))</f>
        <v/>
      </c>
      <c r="T48" s="161" t="str">
        <f t="array" ref="T48">IF(OR(O48=0,O48=""),"",YEAR(O48))</f>
        <v/>
      </c>
      <c r="U48" s="161" t="str">
        <f t="shared" si="9"/>
        <v/>
      </c>
      <c r="V48" s="197" t="str">
        <f t="array" ref="V48">IF(OR(O48=0,O48=""),"",BE48)</f>
        <v/>
      </c>
      <c r="W48" s="163" t="str">
        <f t="array" ref="W48">IF(OR(O48=0,O48=""),"",ROUND(V48*H48,0))</f>
        <v/>
      </c>
      <c r="X48" s="222">
        <f t="shared" si="10"/>
        <v>0</v>
      </c>
      <c r="Y48" s="163" t="str">
        <f t="array" ref="Y48">IF(OR(O48=0,O48=""),"",ROUND(V48*J48,0))</f>
        <v/>
      </c>
      <c r="Z48" s="198" t="str">
        <f t="array" ref="Z48">IF(OR(O48=0,O48=""),"",SUM(V48:Y48))</f>
        <v/>
      </c>
      <c r="AA48" s="199" t="str">
        <f t="array" ref="AA48">IF(OR(O48=0,O48=""),"",IF(V48=0,0,IF($E$2="FIXATION",$B$5,IF(V48=0,0,IF(BD48=7,ROUND(AA47*1.03,-2),AA47)))))</f>
        <v/>
      </c>
      <c r="AB48" s="200" t="str">
        <f t="array" ref="AB48">IF(OR(O48=0,O48=""),"",IF($E$2="fixation",0,ROUND(AA48*G48,0)))</f>
        <v/>
      </c>
      <c r="AC48" s="222" t="str">
        <f t="array" ref="AC48">IF(OR(O48=0,O48=""),"",AC47)</f>
        <v/>
      </c>
      <c r="AD48" s="200" t="str">
        <f t="array" ref="AD48">IF(OR(O48=0,O48=""),"",IF($E$2="fixation",0,ROUND(AA48*I48,0)))</f>
        <v/>
      </c>
      <c r="AE48" s="198" t="str">
        <f t="array" ref="AE48">IF(OR(O48=0,O48=""),"",SUM(AA48:AD48))</f>
        <v/>
      </c>
      <c r="AF48" s="199" t="str">
        <f t="array" ref="AF48">IF(OR(O48=0,O48=""),"",V48-AA48)</f>
        <v/>
      </c>
      <c r="AG48" s="200" t="str">
        <f t="array" ref="AG48">IF(OR(O48=0,O48=""),"",W48-AB48)</f>
        <v/>
      </c>
      <c r="AH48" s="200" t="str">
        <f t="array" ref="AH48">IF(OR(O48=0,O48=""),"",X48-AC48)</f>
        <v/>
      </c>
      <c r="AI48" s="200" t="str">
        <f t="array" ref="AI48">IF(OR(O48=0,O48=""),"",Y48-AD48)</f>
        <v/>
      </c>
      <c r="AJ48" s="201" t="str">
        <f t="array" ref="AJ48">IF(OR(O48=0,O48=""),"",Z48-AE48)</f>
        <v/>
      </c>
      <c r="AK48" s="202" t="str">
        <f t="array" ref="AK48">IF(OR(O48=0,O48=""),"",IF(M48="",$AZ$2,$AZ$2+M48))</f>
        <v/>
      </c>
      <c r="AL48" s="203" t="str">
        <f t="array" ref="AL48">IF(OR(O48=0,O48=""),"",$AQ$2)</f>
        <v/>
      </c>
      <c r="AM48" s="204" t="str">
        <f t="array" ref="AM48">IF(OR(O48=0,O48=""),"",AK48-AL48)</f>
        <v/>
      </c>
      <c r="AN48" s="3" t="str">
        <f t="array" ref="AN48">IF(OR(O47=0,O47="",AN47="",AN47=""),"",AN47)</f>
        <v/>
      </c>
      <c r="AO48" s="2" t="str">
        <f t="array" ref="AO48">IF(OR(O47=0,O47="",AO47="",AO47=""),"",AO47)</f>
        <v/>
      </c>
      <c r="AP48" s="204" t="str">
        <f t="array" ref="AP48">IF(OR(O48=0,O48=""),"",SUM(AN48-AO48))</f>
        <v/>
      </c>
      <c r="AQ48" s="106" t="str">
        <f t="array" ref="AQ48">IF(OR(O48=0,O48=""),"",IF(AND('Basic Data Entry'!$C$10="state Service",'Arear Table Protected'!T48=2020,S48=3),ROUND(V48/31*5,0),IF(AND('Basic Data Entry'!$C$10="state Service",'Arear Table Protected'!T48=2020,S48=9),ROUND(Z48/30*2,0),IF(AND('Basic Data Entry'!$C$10="state Service",'Arear Table Protected'!T48=2020,S48=10),ROUND(Z48/31*2,0),IF(AND('Basic Data Entry'!$C$10="subordinate",'Arear Table Protected'!T48=2020,S48=3),ROUND(V48/31*3,0),IF(AND('Basic Data Entry'!$C$10="subordinate",'Arear Table Protected'!T48=2020,S48=9),ROUND(Z48/30*1,0),IF(AND('Basic Data Entry'!$C$10="subordinate",'Arear Table Protected'!T48=2020,S48=10),ROUND(Z48/31*1,0),IF(AND('Basic Data Entry'!$C$10="ministrial",'Arear Table Protected'!T48=2020,S48=3),ROUND(V48/31*1,0),""))))))))</f>
        <v/>
      </c>
      <c r="AR48" s="107" t="str">
        <f t="array" ref="AR48">IF(OR(O48=0,O48=""),"",IF(AND('Basic Data Entry'!$C$10="state Service",'Arear Table Protected'!T48=2020,S48=3),ROUND(AA48/31*5,0),IF(AND('Basic Data Entry'!$C$10="state Service",'Arear Table Protected'!T48=2020,S48=9),ROUND(AE48/30*2,0),IF(AND('Basic Data Entry'!$C$10="state Service",'Arear Table Protected'!T48=2020,S48=10),ROUND(AE48/31*2,0),IF(AND('Basic Data Entry'!$C$10="subordinate",'Arear Table Protected'!T48=2020,S48=3),ROUND(AA48/31*3,0),IF(AND('Basic Data Entry'!$C$10="subordinate",'Arear Table Protected'!T48=2020,S48=9),ROUND(AE48/30*1,0),IF(AND('Basic Data Entry'!$C$10="subordinate",'Arear Table Protected'!T48=2020,S48=10),ROUND(AE48/31*1,0),IF(AND('Basic Data Entry'!$C$10="ministrial",'Arear Table Protected'!T48=2020,S48=3),ROUND(AA48/31*1,0),""))))))))</f>
        <v/>
      </c>
      <c r="AS48" s="205" t="str">
        <f t="array" ref="AS48">IF(OR(O48=0,O48="",AQ48="",AR48=""),"",AQ48-AR48)</f>
        <v/>
      </c>
      <c r="AT48" s="44" t="str">
        <f t="array" ref="AT48">IF(OR(O47=0,O47=""),"",AT47)</f>
        <v/>
      </c>
      <c r="AU48" s="45" t="str">
        <f t="array" ref="AU48">IF(OR(O47=0,O47=""),"",AU47)</f>
        <v/>
      </c>
      <c r="AV48" s="206" t="str">
        <f t="array" ref="AV48">IF(OR(O48=0,O48=""),"",SUM(AT48-AU48))</f>
        <v/>
      </c>
      <c r="AW48" s="207" t="str">
        <f t="array" ref="AW48">IF(OR(O48=0,O48=""),"",ROUND((AJ48)*$E$3,0))</f>
        <v/>
      </c>
      <c r="AX48" s="207" t="str">
        <f t="array" ref="AX48">IF(OR(O48=0,O48=""),"",SUM(AM48,AP48,AS48,AV48,AW48))</f>
        <v/>
      </c>
      <c r="AY48" s="208" t="str">
        <f t="array" ref="AY48">IF(OR(O48=0,O48=""),"",AJ48-AX48)</f>
        <v/>
      </c>
      <c r="AZ48" s="46"/>
      <c r="BA48" s="24"/>
      <c r="BB48" s="24"/>
      <c r="BC48" s="11">
        <f t="shared" si="20"/>
        <v>0</v>
      </c>
      <c r="BD48" s="84">
        <f t="shared" si="12"/>
        <v>0</v>
      </c>
      <c r="BE48" s="84">
        <f t="shared" si="18"/>
        <v>0</v>
      </c>
      <c r="BI48" s="22">
        <f t="shared" si="19"/>
        <v>44551</v>
      </c>
      <c r="BK48" s="19">
        <f t="shared" si="13"/>
        <v>1</v>
      </c>
      <c r="BL48" s="20" t="str">
        <f t="array" ref="BL48">IF(OR(O48=0,O48=""),"",U48)</f>
        <v/>
      </c>
      <c r="BM48" s="19" t="str">
        <f t="array" ref="BM48">IF(OR(O48=0,O48=""),"",BK48+BL48)</f>
        <v/>
      </c>
      <c r="BN48" s="21">
        <f t="shared" si="24"/>
        <v>0</v>
      </c>
      <c r="BO48" s="21">
        <f t="shared" si="25"/>
        <v>0</v>
      </c>
      <c r="BP48" s="23">
        <f t="shared" si="26"/>
        <v>0</v>
      </c>
      <c r="BQ48" s="21" t="str">
        <f t="shared" si="27"/>
        <v>00</v>
      </c>
      <c r="BW48" s="81" t="str">
        <f>IF(OR(O48=0,O48=""),"",IF('Basic Data Entry'!$C$9="fixation","yes",""))</f>
        <v/>
      </c>
      <c r="BX48" s="81" t="str">
        <f>IF(OR(O48=0,O48=""),"",IF('Basic Data Entry'!$G$12="yes","yes","no"))</f>
        <v/>
      </c>
    </row>
    <row r="49" spans="1:76" ht="18" customHeight="1" thickBot="1">
      <c r="A49" s="10" t="str">
        <f t="shared" si="6"/>
        <v/>
      </c>
      <c r="B49" s="305"/>
      <c r="C49" s="305"/>
      <c r="D49" s="305"/>
      <c r="E49" s="305"/>
      <c r="F49" s="108" t="str">
        <f t="shared" si="1"/>
        <v/>
      </c>
      <c r="G49" s="165" t="str">
        <f t="shared" si="2"/>
        <v/>
      </c>
      <c r="H49" s="166" t="str">
        <f t="shared" si="3"/>
        <v/>
      </c>
      <c r="I49" s="166" t="str">
        <f>IF(OR($E$2="fixation",O49="",O49=0),"",IF(AND('Basic Data Entry'!$G$11="Z-Rural",'Arear Table Protected'!T49&lt;2021),0.08,IF(AND('Basic Data Entry'!$G$11="Y-Urban",'Arear Table Protected'!T49&lt;2021),0.16,IF(AND('Basic Data Entry'!$G$11="Z-Rural",'Arear Table Protected'!T49=2021,S49&gt;=7),0.09,IF(AND('Basic Data Entry'!$G$11="Y-Urban",'Arear Table Protected'!T49=2021,'Arear Table Protected'!S49&gt;=7),0.18,IF(AND('Basic Data Entry'!$G$11="Z-Rural",'Arear Table Protected'!T49=2021,S49&lt;7),0.08,IF(AND('Basic Data Entry'!$G$11="Y-Urban",'Arear Table Protected'!T49=2021,'Arear Table Protected'!S49&lt;7),0.16,IF(AND('Basic Data Entry'!$G$11="Z-Rural",'Arear Table Protected'!T49=2022),0.09,IF(AND('Basic Data Entry'!$G$11="Y-Urban",'Arear Table Protected'!T49=2022),0.18,IF(AND('Basic Data Entry'!$G$11="Z-Rural",'Arear Table Protected'!T49=2023),0.09,IF(AND('Basic Data Entry'!$G$11="Y-Urban",'Arear Table Protected'!T49=2023),0.18,"")))))))))))</f>
        <v/>
      </c>
      <c r="J49" s="167" t="str">
        <f>IF(OR(O49="",O49=0),"",IF(AND('Basic Data Entry'!$G$11="Z-Rural",'Arear Table Protected'!T49&lt;2021),0.08,IF(AND('Basic Data Entry'!$G$11="Y-Urban",'Arear Table Protected'!T49&lt;2021),0.16,IF(AND('Basic Data Entry'!$G$11="Z-Rural",'Arear Table Protected'!T49=2021,S49&gt;=7),0.09,IF(AND('Basic Data Entry'!$G$11="Y-Urban",'Arear Table Protected'!T49=2021,'Arear Table Protected'!S49&gt;=7),0.18,IF(AND('Basic Data Entry'!$G$11="Z-Rural",'Arear Table Protected'!T49=2021,S49&lt;7),0.08,IF(AND('Basic Data Entry'!$G$11="Y-Urban",'Arear Table Protected'!T49=2021,'Arear Table Protected'!S49&lt;7),0.16,IF(AND('Basic Data Entry'!$G$11="Z-Rural",'Arear Table Protected'!T49=2022),0.09,IF(AND('Basic Data Entry'!$G$11="Y-Urban",'Arear Table Protected'!T49=2022),0.18,IF(AND('Basic Data Entry'!$G$11="Z-Rural",'Arear Table Protected'!T49=2023),0.09,IF(AND('Basic Data Entry'!$G$11="Y-Urban",'Arear Table Protected'!T49=2023),0.18,"")))))))))))</f>
        <v/>
      </c>
      <c r="K49" s="168" t="str">
        <f t="shared" si="4"/>
        <v/>
      </c>
      <c r="L49" s="169" t="str">
        <f t="shared" si="5"/>
        <v/>
      </c>
      <c r="M49" s="170" t="str">
        <f t="shared" si="7"/>
        <v/>
      </c>
      <c r="N49" s="196">
        <v>37</v>
      </c>
      <c r="O49" s="327">
        <f t="shared" si="8"/>
        <v>0</v>
      </c>
      <c r="P49" s="328"/>
      <c r="Q49" s="328"/>
      <c r="R49" s="329"/>
      <c r="S49" s="161" t="str">
        <f t="array" ref="S49">IF(OR(O49=0,O49=""),"",MONTH(O49))</f>
        <v/>
      </c>
      <c r="T49" s="161" t="str">
        <f t="array" ref="T49">IF(OR(O49=0,O49=""),"",YEAR(O49))</f>
        <v/>
      </c>
      <c r="U49" s="161" t="str">
        <f t="shared" si="9"/>
        <v/>
      </c>
      <c r="V49" s="197" t="str">
        <f t="array" ref="V49">IF(OR(O49=0,O49=""),"",BE49)</f>
        <v/>
      </c>
      <c r="W49" s="163" t="str">
        <f t="array" ref="W49">IF(OR(O49=0,O49=""),"",ROUND(V49*H49,0))</f>
        <v/>
      </c>
      <c r="X49" s="222">
        <f t="shared" si="10"/>
        <v>0</v>
      </c>
      <c r="Y49" s="163" t="str">
        <f t="array" ref="Y49">IF(OR(O49=0,O49=""),"",ROUND(V49*J49,0))</f>
        <v/>
      </c>
      <c r="Z49" s="198" t="str">
        <f t="array" ref="Z49">IF(OR(O49=0,O49=""),"",SUM(V49:Y49))</f>
        <v/>
      </c>
      <c r="AA49" s="199" t="str">
        <f t="array" ref="AA49">IF(OR(O49=0,O49=""),"",IF(V49=0,0,IF($E$2="FIXATION",$B$5,IF(V49=0,0,IF(BD49=7,ROUND(AA48*1.03,-2),AA48)))))</f>
        <v/>
      </c>
      <c r="AB49" s="200" t="str">
        <f t="array" ref="AB49">IF(OR(O49=0,O49=""),"",IF($E$2="fixation",0,ROUND(AA49*G49,0)))</f>
        <v/>
      </c>
      <c r="AC49" s="222" t="str">
        <f t="array" ref="AC49">IF(OR(O49=0,O49=""),"",AC48)</f>
        <v/>
      </c>
      <c r="AD49" s="200" t="str">
        <f t="array" ref="AD49">IF(OR(O49=0,O49=""),"",IF($E$2="fixation",0,ROUND(AA49*I49,0)))</f>
        <v/>
      </c>
      <c r="AE49" s="198" t="str">
        <f t="array" ref="AE49">IF(OR(O49=0,O49=""),"",SUM(AA49:AD49))</f>
        <v/>
      </c>
      <c r="AF49" s="199" t="str">
        <f t="array" ref="AF49">IF(OR(O49=0,O49=""),"",V49-AA49)</f>
        <v/>
      </c>
      <c r="AG49" s="200" t="str">
        <f t="array" ref="AG49">IF(OR(O49=0,O49=""),"",W49-AB49)</f>
        <v/>
      </c>
      <c r="AH49" s="200" t="str">
        <f t="array" ref="AH49">IF(OR(O49=0,O49=""),"",X49-AC49)</f>
        <v/>
      </c>
      <c r="AI49" s="200" t="str">
        <f t="array" ref="AI49">IF(OR(O49=0,O49=""),"",Y49-AD49)</f>
        <v/>
      </c>
      <c r="AJ49" s="201" t="str">
        <f t="array" ref="AJ49">IF(OR(O49=0,O49=""),"",Z49-AE49)</f>
        <v/>
      </c>
      <c r="AK49" s="202" t="str">
        <f t="array" ref="AK49">IF(OR(O49=0,O49=""),"",IF(M49="",$AZ$2,$AZ$2+M49))</f>
        <v/>
      </c>
      <c r="AL49" s="203" t="str">
        <f t="array" ref="AL49">IF(OR(O49=0,O49=""),"",$AQ$2)</f>
        <v/>
      </c>
      <c r="AM49" s="204" t="str">
        <f t="array" ref="AM49">IF(OR(O49=0,O49=""),"",AK49-AL49)</f>
        <v/>
      </c>
      <c r="AN49" s="3" t="str">
        <f t="array" ref="AN49">IF(OR(O48=0,O48="",AN48="",AN48=""),"",AN48)</f>
        <v/>
      </c>
      <c r="AO49" s="2" t="str">
        <f t="array" ref="AO49">IF(OR(O48=0,O48="",AO48="",AO48=""),"",AO48)</f>
        <v/>
      </c>
      <c r="AP49" s="204" t="str">
        <f t="array" ref="AP49">IF(OR(O49=0,O49=""),"",SUM(AN49-AO49))</f>
        <v/>
      </c>
      <c r="AQ49" s="106" t="str">
        <f t="array" ref="AQ49">IF(OR(O49=0,O49=""),"",IF(AND('Basic Data Entry'!$C$10="state Service",'Arear Table Protected'!T49=2020,S49=3),ROUND(V49/31*5,0),IF(AND('Basic Data Entry'!$C$10="state Service",'Arear Table Protected'!T49=2020,S49=9),ROUND(Z49/30*2,0),IF(AND('Basic Data Entry'!$C$10="state Service",'Arear Table Protected'!T49=2020,S49=10),ROUND(Z49/31*2,0),IF(AND('Basic Data Entry'!$C$10="subordinate",'Arear Table Protected'!T49=2020,S49=3),ROUND(V49/31*3,0),IF(AND('Basic Data Entry'!$C$10="subordinate",'Arear Table Protected'!T49=2020,S49=9),ROUND(Z49/30*1,0),IF(AND('Basic Data Entry'!$C$10="subordinate",'Arear Table Protected'!T49=2020,S49=10),ROUND(Z49/31*1,0),IF(AND('Basic Data Entry'!$C$10="ministrial",'Arear Table Protected'!T49=2020,S49=3),ROUND(V49/31*1,0),""))))))))</f>
        <v/>
      </c>
      <c r="AR49" s="107" t="str">
        <f t="array" ref="AR49">IF(OR(O49=0,O49=""),"",IF(AND('Basic Data Entry'!$C$10="state Service",'Arear Table Protected'!T49=2020,S49=3),ROUND(AA49/31*5,0),IF(AND('Basic Data Entry'!$C$10="state Service",'Arear Table Protected'!T49=2020,S49=9),ROUND(AE49/30*2,0),IF(AND('Basic Data Entry'!$C$10="state Service",'Arear Table Protected'!T49=2020,S49=10),ROUND(AE49/31*2,0),IF(AND('Basic Data Entry'!$C$10="subordinate",'Arear Table Protected'!T49=2020,S49=3),ROUND(AA49/31*3,0),IF(AND('Basic Data Entry'!$C$10="subordinate",'Arear Table Protected'!T49=2020,S49=9),ROUND(AE49/30*1,0),IF(AND('Basic Data Entry'!$C$10="subordinate",'Arear Table Protected'!T49=2020,S49=10),ROUND(AE49/31*1,0),IF(AND('Basic Data Entry'!$C$10="ministrial",'Arear Table Protected'!T49=2020,S49=3),ROUND(AA49/31*1,0),""))))))))</f>
        <v/>
      </c>
      <c r="AS49" s="205" t="str">
        <f t="array" ref="AS49">IF(OR(O49=0,O49="",AQ49="",AR49=""),"",AQ49-AR49)</f>
        <v/>
      </c>
      <c r="AT49" s="44" t="str">
        <f t="array" ref="AT49">IF(OR(O48=0,O48=""),"",AT48)</f>
        <v/>
      </c>
      <c r="AU49" s="45" t="str">
        <f t="array" ref="AU49">IF(OR(O48=0,O48=""),"",AU48)</f>
        <v/>
      </c>
      <c r="AV49" s="206" t="str">
        <f t="array" ref="AV49">IF(OR(O49=0,O49=""),"",SUM(AT49-AU49))</f>
        <v/>
      </c>
      <c r="AW49" s="207" t="str">
        <f t="array" ref="AW49">IF(OR(O49=0,O49=""),"",ROUND((AJ49)*$E$3,0))</f>
        <v/>
      </c>
      <c r="AX49" s="207" t="str">
        <f t="array" ref="AX49">IF(OR(O49=0,O49=""),"",SUM(AM49,AP49,AS49,AV49,AW49))</f>
        <v/>
      </c>
      <c r="AY49" s="208" t="str">
        <f t="array" ref="AY49">IF(OR(O49=0,O49=""),"",AJ49-AX49)</f>
        <v/>
      </c>
      <c r="AZ49" s="46"/>
      <c r="BA49" s="24"/>
      <c r="BB49" s="24"/>
      <c r="BC49" s="11">
        <f t="shared" si="20"/>
        <v>0</v>
      </c>
      <c r="BD49" s="84">
        <f t="shared" si="12"/>
        <v>0</v>
      </c>
      <c r="BE49" s="84">
        <f t="shared" si="18"/>
        <v>0</v>
      </c>
      <c r="BI49" s="22">
        <f t="shared" si="19"/>
        <v>44582</v>
      </c>
      <c r="BK49" s="19">
        <f t="shared" si="13"/>
        <v>1</v>
      </c>
      <c r="BL49" s="20" t="str">
        <f t="array" ref="BL49">IF(OR(O49=0,O49=""),"",U49)</f>
        <v/>
      </c>
      <c r="BM49" s="19" t="str">
        <f t="array" ref="BM49">IF(OR(O49=0,O49=""),"",BK49+BL49)</f>
        <v/>
      </c>
      <c r="BN49" s="21">
        <f t="shared" si="24"/>
        <v>0</v>
      </c>
      <c r="BO49" s="21">
        <f t="shared" si="25"/>
        <v>0</v>
      </c>
      <c r="BP49" s="23">
        <f t="shared" si="26"/>
        <v>0</v>
      </c>
      <c r="BQ49" s="21" t="str">
        <f t="shared" si="27"/>
        <v>00</v>
      </c>
      <c r="BW49" s="81" t="str">
        <f>IF(OR(O49=0,O49=""),"",IF('Basic Data Entry'!$C$9="fixation","yes",""))</f>
        <v/>
      </c>
      <c r="BX49" s="81" t="str">
        <f>IF(OR(O49=0,O49=""),"",IF('Basic Data Entry'!$G$12="yes","yes","no"))</f>
        <v/>
      </c>
    </row>
    <row r="50" spans="1:76" ht="18" customHeight="1" thickBot="1">
      <c r="A50" s="10" t="str">
        <f t="shared" si="6"/>
        <v/>
      </c>
      <c r="B50" s="305"/>
      <c r="C50" s="305"/>
      <c r="D50" s="305"/>
      <c r="E50" s="305"/>
      <c r="F50" s="108" t="str">
        <f t="shared" si="1"/>
        <v/>
      </c>
      <c r="G50" s="165" t="str">
        <f t="shared" si="2"/>
        <v/>
      </c>
      <c r="H50" s="166" t="str">
        <f t="shared" si="3"/>
        <v/>
      </c>
      <c r="I50" s="166" t="str">
        <f>IF(OR($E$2="fixation",O50="",O50=0),"",IF(AND('Basic Data Entry'!$G$11="Z-Rural",'Arear Table Protected'!T50&lt;2021),0.08,IF(AND('Basic Data Entry'!$G$11="Y-Urban",'Arear Table Protected'!T50&lt;2021),0.16,IF(AND('Basic Data Entry'!$G$11="Z-Rural",'Arear Table Protected'!T50=2021,S50&gt;=7),0.09,IF(AND('Basic Data Entry'!$G$11="Y-Urban",'Arear Table Protected'!T50=2021,'Arear Table Protected'!S50&gt;=7),0.18,IF(AND('Basic Data Entry'!$G$11="Z-Rural",'Arear Table Protected'!T50=2021,S50&lt;7),0.08,IF(AND('Basic Data Entry'!$G$11="Y-Urban",'Arear Table Protected'!T50=2021,'Arear Table Protected'!S50&lt;7),0.16,IF(AND('Basic Data Entry'!$G$11="Z-Rural",'Arear Table Protected'!T50=2022),0.09,IF(AND('Basic Data Entry'!$G$11="Y-Urban",'Arear Table Protected'!T50=2022),0.18,IF(AND('Basic Data Entry'!$G$11="Z-Rural",'Arear Table Protected'!T50=2023),0.09,IF(AND('Basic Data Entry'!$G$11="Y-Urban",'Arear Table Protected'!T50=2023),0.18,"")))))))))))</f>
        <v/>
      </c>
      <c r="J50" s="167" t="str">
        <f>IF(OR(O50="",O50=0),"",IF(AND('Basic Data Entry'!$G$11="Z-Rural",'Arear Table Protected'!T50&lt;2021),0.08,IF(AND('Basic Data Entry'!$G$11="Y-Urban",'Arear Table Protected'!T50&lt;2021),0.16,IF(AND('Basic Data Entry'!$G$11="Z-Rural",'Arear Table Protected'!T50=2021,S50&gt;=7),0.09,IF(AND('Basic Data Entry'!$G$11="Y-Urban",'Arear Table Protected'!T50=2021,'Arear Table Protected'!S50&gt;=7),0.18,IF(AND('Basic Data Entry'!$G$11="Z-Rural",'Arear Table Protected'!T50=2021,S50&lt;7),0.08,IF(AND('Basic Data Entry'!$G$11="Y-Urban",'Arear Table Protected'!T50=2021,'Arear Table Protected'!S50&lt;7),0.16,IF(AND('Basic Data Entry'!$G$11="Z-Rural",'Arear Table Protected'!T50=2022),0.09,IF(AND('Basic Data Entry'!$G$11="Y-Urban",'Arear Table Protected'!T50=2022),0.18,IF(AND('Basic Data Entry'!$G$11="Z-Rural",'Arear Table Protected'!T50=2023),0.09,IF(AND('Basic Data Entry'!$G$11="Y-Urban",'Arear Table Protected'!T50=2023),0.18,"")))))))))))</f>
        <v/>
      </c>
      <c r="K50" s="168" t="str">
        <f t="shared" si="4"/>
        <v/>
      </c>
      <c r="L50" s="169" t="str">
        <f t="shared" si="5"/>
        <v/>
      </c>
      <c r="M50" s="170" t="str">
        <f t="shared" si="7"/>
        <v/>
      </c>
      <c r="N50" s="196">
        <v>38</v>
      </c>
      <c r="O50" s="327">
        <f t="shared" si="8"/>
        <v>0</v>
      </c>
      <c r="P50" s="328"/>
      <c r="Q50" s="328"/>
      <c r="R50" s="329"/>
      <c r="S50" s="161" t="str">
        <f t="array" ref="S50">IF(OR(O50=0,O50=""),"",MONTH(O50))</f>
        <v/>
      </c>
      <c r="T50" s="161" t="str">
        <f t="array" ref="T50">IF(OR(O50=0,O50=""),"",YEAR(O50))</f>
        <v/>
      </c>
      <c r="U50" s="161" t="str">
        <f t="shared" si="9"/>
        <v/>
      </c>
      <c r="V50" s="197" t="str">
        <f t="array" ref="V50">IF(OR(O50=0,O50=""),"",BE50)</f>
        <v/>
      </c>
      <c r="W50" s="163" t="str">
        <f t="array" ref="W50">IF(OR(O50=0,O50=""),"",ROUND(V50*H50,0))</f>
        <v/>
      </c>
      <c r="X50" s="222">
        <f t="shared" si="10"/>
        <v>0</v>
      </c>
      <c r="Y50" s="163" t="str">
        <f t="array" ref="Y50">IF(OR(O50=0,O50=""),"",ROUND(V50*J50,0))</f>
        <v/>
      </c>
      <c r="Z50" s="198" t="str">
        <f t="array" ref="Z50">IF(OR(O50=0,O50=""),"",SUM(V50:Y50))</f>
        <v/>
      </c>
      <c r="AA50" s="199" t="str">
        <f t="array" ref="AA50">IF(OR(O50=0,O50=""),"",IF(V50=0,0,IF($E$2="FIXATION",$B$5,IF(V50=0,0,IF(BD50=7,ROUND(AA49*1.03,-2),AA49)))))</f>
        <v/>
      </c>
      <c r="AB50" s="200" t="str">
        <f t="array" ref="AB50">IF(OR(O50=0,O50=""),"",IF($E$2="fixation",0,ROUND(AA50*G50,0)))</f>
        <v/>
      </c>
      <c r="AC50" s="222" t="str">
        <f t="array" ref="AC50">IF(OR(O50=0,O50=""),"",AC49)</f>
        <v/>
      </c>
      <c r="AD50" s="200" t="str">
        <f t="array" ref="AD50">IF(OR(O50=0,O50=""),"",IF($E$2="fixation",0,ROUND(AA50*I50,0)))</f>
        <v/>
      </c>
      <c r="AE50" s="198" t="str">
        <f t="array" ref="AE50">IF(OR(O50=0,O50=""),"",SUM(AA50:AD50))</f>
        <v/>
      </c>
      <c r="AF50" s="199" t="str">
        <f t="array" ref="AF50">IF(OR(O50=0,O50=""),"",V50-AA50)</f>
        <v/>
      </c>
      <c r="AG50" s="200" t="str">
        <f t="array" ref="AG50">IF(OR(O50=0,O50=""),"",W50-AB50)</f>
        <v/>
      </c>
      <c r="AH50" s="200" t="str">
        <f t="array" ref="AH50">IF(OR(O50=0,O50=""),"",X50-AC50)</f>
        <v/>
      </c>
      <c r="AI50" s="200" t="str">
        <f t="array" ref="AI50">IF(OR(O50=0,O50=""),"",Y50-AD50)</f>
        <v/>
      </c>
      <c r="AJ50" s="201" t="str">
        <f t="array" ref="AJ50">IF(OR(O50=0,O50=""),"",Z50-AE50)</f>
        <v/>
      </c>
      <c r="AK50" s="202" t="str">
        <f t="array" ref="AK50">IF(OR(O50=0,O50=""),"",IF(M50="",$AZ$2,$AZ$2+M50))</f>
        <v/>
      </c>
      <c r="AL50" s="203" t="str">
        <f t="array" ref="AL50">IF(OR(O50=0,O50=""),"",$AQ$2)</f>
        <v/>
      </c>
      <c r="AM50" s="204" t="str">
        <f t="array" ref="AM50">IF(OR(O50=0,O50=""),"",AK50-AL50)</f>
        <v/>
      </c>
      <c r="AN50" s="3" t="str">
        <f t="array" ref="AN50">IF(OR(O49=0,O49="",AN49="",AN49=""),"",AN49)</f>
        <v/>
      </c>
      <c r="AO50" s="2" t="str">
        <f t="array" ref="AO50">IF(OR(O49=0,O49="",AO49="",AO49=""),"",AO49)</f>
        <v/>
      </c>
      <c r="AP50" s="204" t="str">
        <f t="array" ref="AP50">IF(OR(O50=0,O50=""),"",SUM(AN50-AO50))</f>
        <v/>
      </c>
      <c r="AQ50" s="106" t="str">
        <f t="array" ref="AQ50">IF(OR(O50=0,O50=""),"",IF(AND('Basic Data Entry'!$C$10="state Service",'Arear Table Protected'!T50=2020,S50=3),ROUND(V50/31*5,0),IF(AND('Basic Data Entry'!$C$10="state Service",'Arear Table Protected'!T50=2020,S50=9),ROUND(Z50/30*2,0),IF(AND('Basic Data Entry'!$C$10="state Service",'Arear Table Protected'!T50=2020,S50=10),ROUND(Z50/31*2,0),IF(AND('Basic Data Entry'!$C$10="subordinate",'Arear Table Protected'!T50=2020,S50=3),ROUND(V50/31*3,0),IF(AND('Basic Data Entry'!$C$10="subordinate",'Arear Table Protected'!T50=2020,S50=9),ROUND(Z50/30*1,0),IF(AND('Basic Data Entry'!$C$10="subordinate",'Arear Table Protected'!T50=2020,S50=10),ROUND(Z50/31*1,0),IF(AND('Basic Data Entry'!$C$10="ministrial",'Arear Table Protected'!T50=2020,S50=3),ROUND(V50/31*1,0),""))))))))</f>
        <v/>
      </c>
      <c r="AR50" s="107" t="str">
        <f t="array" ref="AR50">IF(OR(O50=0,O50=""),"",IF(AND('Basic Data Entry'!$C$10="state Service",'Arear Table Protected'!T50=2020,S50=3),ROUND(AA50/31*5,0),IF(AND('Basic Data Entry'!$C$10="state Service",'Arear Table Protected'!T50=2020,S50=9),ROUND(AE50/30*2,0),IF(AND('Basic Data Entry'!$C$10="state Service",'Arear Table Protected'!T50=2020,S50=10),ROUND(AE50/31*2,0),IF(AND('Basic Data Entry'!$C$10="subordinate",'Arear Table Protected'!T50=2020,S50=3),ROUND(AA50/31*3,0),IF(AND('Basic Data Entry'!$C$10="subordinate",'Arear Table Protected'!T50=2020,S50=9),ROUND(AE50/30*1,0),IF(AND('Basic Data Entry'!$C$10="subordinate",'Arear Table Protected'!T50=2020,S50=10),ROUND(AE50/31*1,0),IF(AND('Basic Data Entry'!$C$10="ministrial",'Arear Table Protected'!T50=2020,S50=3),ROUND(AA50/31*1,0),""))))))))</f>
        <v/>
      </c>
      <c r="AS50" s="205" t="str">
        <f t="array" ref="AS50">IF(OR(O50=0,O50="",AQ50="",AR50=""),"",AQ50-AR50)</f>
        <v/>
      </c>
      <c r="AT50" s="44" t="str">
        <f t="array" ref="AT50">IF(OR(O49=0,O49=""),"",AT49)</f>
        <v/>
      </c>
      <c r="AU50" s="45" t="str">
        <f t="array" ref="AU50">IF(OR(O49=0,O49=""),"",AU49)</f>
        <v/>
      </c>
      <c r="AV50" s="206" t="str">
        <f t="array" ref="AV50">IF(OR(O50=0,O50=""),"",SUM(AT50-AU50))</f>
        <v/>
      </c>
      <c r="AW50" s="207" t="str">
        <f t="array" ref="AW50">IF(OR(O50=0,O50=""),"",ROUND((AJ50)*$E$3,0))</f>
        <v/>
      </c>
      <c r="AX50" s="207" t="str">
        <f t="array" ref="AX50">IF(OR(O50=0,O50=""),"",SUM(AM50,AP50,AS50,AV50,AW50))</f>
        <v/>
      </c>
      <c r="AY50" s="208" t="str">
        <f t="array" ref="AY50">IF(OR(O50=0,O50=""),"",AJ50-AX50)</f>
        <v/>
      </c>
      <c r="AZ50" s="46"/>
      <c r="BA50" s="24"/>
      <c r="BB50" s="24"/>
      <c r="BC50" s="11">
        <f t="shared" si="20"/>
        <v>0</v>
      </c>
      <c r="BD50" s="84">
        <f t="shared" si="12"/>
        <v>0</v>
      </c>
      <c r="BE50" s="84">
        <f t="shared" si="18"/>
        <v>0</v>
      </c>
      <c r="BI50" s="22">
        <f t="shared" si="19"/>
        <v>44613</v>
      </c>
      <c r="BK50" s="19">
        <f t="shared" si="13"/>
        <v>1</v>
      </c>
      <c r="BL50" s="20" t="str">
        <f t="array" ref="BL50">IF(OR(O50=0,O50=""),"",U50)</f>
        <v/>
      </c>
      <c r="BM50" s="19" t="str">
        <f t="array" ref="BM50">IF(OR(O50=0,O50=""),"",BK50+BL50)</f>
        <v/>
      </c>
      <c r="BN50" s="21">
        <f t="shared" si="24"/>
        <v>0</v>
      </c>
      <c r="BO50" s="21">
        <f t="shared" si="25"/>
        <v>0</v>
      </c>
      <c r="BP50" s="23">
        <f t="shared" si="26"/>
        <v>0</v>
      </c>
      <c r="BQ50" s="21" t="str">
        <f t="shared" si="27"/>
        <v>00</v>
      </c>
      <c r="BW50" s="81" t="str">
        <f>IF(OR(O50=0,O50=""),"",IF('Basic Data Entry'!$C$9="fixation","yes",""))</f>
        <v/>
      </c>
      <c r="BX50" s="81" t="str">
        <f>IF(OR(O50=0,O50=""),"",IF('Basic Data Entry'!$G$12="yes","yes","no"))</f>
        <v/>
      </c>
    </row>
    <row r="51" spans="1:76" ht="18" customHeight="1" thickBot="1">
      <c r="A51" s="10" t="str">
        <f t="shared" si="6"/>
        <v/>
      </c>
      <c r="B51" s="305"/>
      <c r="C51" s="305"/>
      <c r="D51" s="305"/>
      <c r="E51" s="305"/>
      <c r="F51" s="108" t="str">
        <f t="shared" si="1"/>
        <v/>
      </c>
      <c r="G51" s="165" t="str">
        <f t="shared" si="2"/>
        <v/>
      </c>
      <c r="H51" s="166" t="str">
        <f t="shared" si="3"/>
        <v/>
      </c>
      <c r="I51" s="166" t="str">
        <f>IF(OR($E$2="fixation",O51="",O51=0),"",IF(AND('Basic Data Entry'!$G$11="Z-Rural",'Arear Table Protected'!T51&lt;2021),0.08,IF(AND('Basic Data Entry'!$G$11="Y-Urban",'Arear Table Protected'!T51&lt;2021),0.16,IF(AND('Basic Data Entry'!$G$11="Z-Rural",'Arear Table Protected'!T51=2021,S51&gt;=7),0.09,IF(AND('Basic Data Entry'!$G$11="Y-Urban",'Arear Table Protected'!T51=2021,'Arear Table Protected'!S51&gt;=7),0.18,IF(AND('Basic Data Entry'!$G$11="Z-Rural",'Arear Table Protected'!T51=2021,S51&lt;7),0.08,IF(AND('Basic Data Entry'!$G$11="Y-Urban",'Arear Table Protected'!T51=2021,'Arear Table Protected'!S51&lt;7),0.16,IF(AND('Basic Data Entry'!$G$11="Z-Rural",'Arear Table Protected'!T51=2022),0.09,IF(AND('Basic Data Entry'!$G$11="Y-Urban",'Arear Table Protected'!T51=2022),0.18,IF(AND('Basic Data Entry'!$G$11="Z-Rural",'Arear Table Protected'!T51=2023),0.09,IF(AND('Basic Data Entry'!$G$11="Y-Urban",'Arear Table Protected'!T51=2023),0.18,"")))))))))))</f>
        <v/>
      </c>
      <c r="J51" s="167" t="str">
        <f>IF(OR(O51="",O51=0),"",IF(AND('Basic Data Entry'!$G$11="Z-Rural",'Arear Table Protected'!T51&lt;2021),0.08,IF(AND('Basic Data Entry'!$G$11="Y-Urban",'Arear Table Protected'!T51&lt;2021),0.16,IF(AND('Basic Data Entry'!$G$11="Z-Rural",'Arear Table Protected'!T51=2021,S51&gt;=7),0.09,IF(AND('Basic Data Entry'!$G$11="Y-Urban",'Arear Table Protected'!T51=2021,'Arear Table Protected'!S51&gt;=7),0.18,IF(AND('Basic Data Entry'!$G$11="Z-Rural",'Arear Table Protected'!T51=2021,S51&lt;7),0.08,IF(AND('Basic Data Entry'!$G$11="Y-Urban",'Arear Table Protected'!T51=2021,'Arear Table Protected'!S51&lt;7),0.16,IF(AND('Basic Data Entry'!$G$11="Z-Rural",'Arear Table Protected'!T51=2022),0.09,IF(AND('Basic Data Entry'!$G$11="Y-Urban",'Arear Table Protected'!T51=2022),0.18,IF(AND('Basic Data Entry'!$G$11="Z-Rural",'Arear Table Protected'!T51=2023),0.09,IF(AND('Basic Data Entry'!$G$11="Y-Urban",'Arear Table Protected'!T51=2023),0.18,"")))))))))))</f>
        <v/>
      </c>
      <c r="K51" s="168" t="str">
        <f t="shared" si="4"/>
        <v/>
      </c>
      <c r="L51" s="169" t="str">
        <f t="shared" si="5"/>
        <v/>
      </c>
      <c r="M51" s="170" t="str">
        <f t="shared" si="7"/>
        <v/>
      </c>
      <c r="N51" s="196">
        <v>39</v>
      </c>
      <c r="O51" s="327">
        <f t="shared" si="8"/>
        <v>0</v>
      </c>
      <c r="P51" s="328"/>
      <c r="Q51" s="328"/>
      <c r="R51" s="329"/>
      <c r="S51" s="161" t="str">
        <f t="array" ref="S51">IF(OR(O51=0,O51=""),"",MONTH(O51))</f>
        <v/>
      </c>
      <c r="T51" s="161" t="str">
        <f t="array" ref="T51">IF(OR(O51=0,O51=""),"",YEAR(O51))</f>
        <v/>
      </c>
      <c r="U51" s="161" t="str">
        <f t="shared" si="9"/>
        <v/>
      </c>
      <c r="V51" s="197" t="str">
        <f t="array" ref="V51">IF(OR(O51=0,O51=""),"",BE51)</f>
        <v/>
      </c>
      <c r="W51" s="163" t="str">
        <f t="array" ref="W51">IF(OR(O51=0,O51=""),"",ROUND(V51*H51,0))</f>
        <v/>
      </c>
      <c r="X51" s="222">
        <f t="shared" si="10"/>
        <v>0</v>
      </c>
      <c r="Y51" s="163" t="str">
        <f t="array" ref="Y51">IF(OR(O51=0,O51=""),"",ROUND(V51*J51,0))</f>
        <v/>
      </c>
      <c r="Z51" s="198" t="str">
        <f t="array" ref="Z51">IF(OR(O51=0,O51=""),"",SUM(V51:Y51))</f>
        <v/>
      </c>
      <c r="AA51" s="199" t="str">
        <f t="array" ref="AA51">IF(OR(O51=0,O51=""),"",IF(V51=0,0,IF($E$2="FIXATION",$B$5,IF(V51=0,0,IF(BD51=7,ROUND(AA50*1.03,-2),AA50)))))</f>
        <v/>
      </c>
      <c r="AB51" s="200" t="str">
        <f t="array" ref="AB51">IF(OR(O51=0,O51=""),"",IF($E$2="fixation",0,ROUND(AA51*G51,0)))</f>
        <v/>
      </c>
      <c r="AC51" s="222" t="str">
        <f t="array" ref="AC51">IF(OR(O51=0,O51=""),"",AC50)</f>
        <v/>
      </c>
      <c r="AD51" s="200" t="str">
        <f t="array" ref="AD51">IF(OR(O51=0,O51=""),"",IF($E$2="fixation",0,ROUND(AA51*I51,0)))</f>
        <v/>
      </c>
      <c r="AE51" s="198" t="str">
        <f t="array" ref="AE51">IF(OR(O51=0,O51=""),"",SUM(AA51:AD51))</f>
        <v/>
      </c>
      <c r="AF51" s="199" t="str">
        <f t="array" ref="AF51">IF(OR(O51=0,O51=""),"",V51-AA51)</f>
        <v/>
      </c>
      <c r="AG51" s="200" t="str">
        <f t="array" ref="AG51">IF(OR(O51=0,O51=""),"",W51-AB51)</f>
        <v/>
      </c>
      <c r="AH51" s="200" t="str">
        <f t="array" ref="AH51">IF(OR(O51=0,O51=""),"",X51-AC51)</f>
        <v/>
      </c>
      <c r="AI51" s="200" t="str">
        <f t="array" ref="AI51">IF(OR(O51=0,O51=""),"",Y51-AD51)</f>
        <v/>
      </c>
      <c r="AJ51" s="201" t="str">
        <f t="array" ref="AJ51">IF(OR(O51=0,O51=""),"",Z51-AE51)</f>
        <v/>
      </c>
      <c r="AK51" s="202" t="str">
        <f t="array" ref="AK51">IF(OR(O51=0,O51=""),"",IF(M51="",$AZ$2,$AZ$2+M51))</f>
        <v/>
      </c>
      <c r="AL51" s="203" t="str">
        <f t="array" ref="AL51">IF(OR(O51=0,O51=""),"",$AQ$2)</f>
        <v/>
      </c>
      <c r="AM51" s="204" t="str">
        <f t="array" ref="AM51">IF(OR(O51=0,O51=""),"",AK51-AL51)</f>
        <v/>
      </c>
      <c r="AN51" s="3" t="str">
        <f t="array" ref="AN51">IF(OR(O50=0,O50="",AN50="",AN50=""),"",AN50)</f>
        <v/>
      </c>
      <c r="AO51" s="2" t="str">
        <f t="array" ref="AO51">IF(OR(O50=0,O50="",AO50="",AO50=""),"",AO50)</f>
        <v/>
      </c>
      <c r="AP51" s="204" t="str">
        <f t="array" ref="AP51">IF(OR(O51=0,O51=""),"",SUM(AN51-AO51))</f>
        <v/>
      </c>
      <c r="AQ51" s="106" t="str">
        <f t="array" ref="AQ51">IF(OR(O51=0,O51=""),"",IF(AND('Basic Data Entry'!$C$10="state Service",'Arear Table Protected'!T51=2020,S51=3),ROUND(V51/31*5,0),IF(AND('Basic Data Entry'!$C$10="state Service",'Arear Table Protected'!T51=2020,S51=9),ROUND(Z51/30*2,0),IF(AND('Basic Data Entry'!$C$10="state Service",'Arear Table Protected'!T51=2020,S51=10),ROUND(Z51/31*2,0),IF(AND('Basic Data Entry'!$C$10="subordinate",'Arear Table Protected'!T51=2020,S51=3),ROUND(V51/31*3,0),IF(AND('Basic Data Entry'!$C$10="subordinate",'Arear Table Protected'!T51=2020,S51=9),ROUND(Z51/30*1,0),IF(AND('Basic Data Entry'!$C$10="subordinate",'Arear Table Protected'!T51=2020,S51=10),ROUND(Z51/31*1,0),IF(AND('Basic Data Entry'!$C$10="ministrial",'Arear Table Protected'!T51=2020,S51=3),ROUND(V51/31*1,0),""))))))))</f>
        <v/>
      </c>
      <c r="AR51" s="107" t="str">
        <f t="array" ref="AR51">IF(OR(O51=0,O51=""),"",IF(AND('Basic Data Entry'!$C$10="state Service",'Arear Table Protected'!T51=2020,S51=3),ROUND(AA51/31*5,0),IF(AND('Basic Data Entry'!$C$10="state Service",'Arear Table Protected'!T51=2020,S51=9),ROUND(AE51/30*2,0),IF(AND('Basic Data Entry'!$C$10="state Service",'Arear Table Protected'!T51=2020,S51=10),ROUND(AE51/31*2,0),IF(AND('Basic Data Entry'!$C$10="subordinate",'Arear Table Protected'!T51=2020,S51=3),ROUND(AA51/31*3,0),IF(AND('Basic Data Entry'!$C$10="subordinate",'Arear Table Protected'!T51=2020,S51=9),ROUND(AE51/30*1,0),IF(AND('Basic Data Entry'!$C$10="subordinate",'Arear Table Protected'!T51=2020,S51=10),ROUND(AE51/31*1,0),IF(AND('Basic Data Entry'!$C$10="ministrial",'Arear Table Protected'!T51=2020,S51=3),ROUND(AA51/31*1,0),""))))))))</f>
        <v/>
      </c>
      <c r="AS51" s="205" t="str">
        <f t="array" ref="AS51">IF(OR(O51=0,O51="",AQ51="",AR51=""),"",AQ51-AR51)</f>
        <v/>
      </c>
      <c r="AT51" s="44" t="str">
        <f t="array" ref="AT51">IF(OR(O50=0,O50=""),"",AT50)</f>
        <v/>
      </c>
      <c r="AU51" s="45" t="str">
        <f t="array" ref="AU51">IF(OR(O50=0,O50=""),"",AU50)</f>
        <v/>
      </c>
      <c r="AV51" s="206" t="str">
        <f t="array" ref="AV51">IF(OR(O51=0,O51=""),"",SUM(AT51-AU51))</f>
        <v/>
      </c>
      <c r="AW51" s="207" t="str">
        <f t="array" ref="AW51">IF(OR(O51=0,O51=""),"",ROUND((AJ51)*$E$3,0))</f>
        <v/>
      </c>
      <c r="AX51" s="207" t="str">
        <f t="array" ref="AX51">IF(OR(O51=0,O51=""),"",SUM(AM51,AP51,AS51,AV51,AW51))</f>
        <v/>
      </c>
      <c r="AY51" s="208" t="str">
        <f t="array" ref="AY51">IF(OR(O51=0,O51=""),"",AJ51-AX51)</f>
        <v/>
      </c>
      <c r="AZ51" s="46"/>
      <c r="BA51" s="24"/>
      <c r="BB51" s="24"/>
      <c r="BC51" s="11">
        <f t="shared" si="20"/>
        <v>0</v>
      </c>
      <c r="BD51" s="84">
        <f t="shared" si="12"/>
        <v>0</v>
      </c>
      <c r="BE51" s="84">
        <f t="shared" si="18"/>
        <v>0</v>
      </c>
      <c r="BI51" s="22">
        <f t="shared" si="19"/>
        <v>44644</v>
      </c>
      <c r="BK51" s="19">
        <f t="shared" si="13"/>
        <v>1</v>
      </c>
      <c r="BL51" s="20" t="str">
        <f t="array" ref="BL51">IF(OR(O51=0,O51=""),"",U51)</f>
        <v/>
      </c>
      <c r="BM51" s="19" t="str">
        <f t="array" ref="BM51">IF(OR(O51=0,O51=""),"",BK51+BL51)</f>
        <v/>
      </c>
      <c r="BN51" s="21">
        <f t="shared" si="24"/>
        <v>0</v>
      </c>
      <c r="BO51" s="21">
        <f t="shared" si="25"/>
        <v>0</v>
      </c>
      <c r="BP51" s="23">
        <f t="shared" si="26"/>
        <v>0</v>
      </c>
      <c r="BQ51" s="21" t="str">
        <f t="shared" si="27"/>
        <v>00</v>
      </c>
      <c r="BW51" s="81" t="str">
        <f>IF(OR(O51=0,O51=""),"",IF('Basic Data Entry'!$C$9="fixation","yes",""))</f>
        <v/>
      </c>
      <c r="BX51" s="81" t="str">
        <f>IF(OR(O51=0,O51=""),"",IF('Basic Data Entry'!$G$12="yes","yes","no"))</f>
        <v/>
      </c>
    </row>
    <row r="52" spans="1:76" ht="18" customHeight="1" thickBot="1">
      <c r="A52" s="10" t="str">
        <f t="shared" si="6"/>
        <v/>
      </c>
      <c r="B52" s="305"/>
      <c r="C52" s="305"/>
      <c r="D52" s="305"/>
      <c r="E52" s="305"/>
      <c r="F52" s="108" t="str">
        <f t="shared" si="1"/>
        <v/>
      </c>
      <c r="G52" s="165" t="str">
        <f t="shared" si="2"/>
        <v/>
      </c>
      <c r="H52" s="166" t="str">
        <f t="shared" si="3"/>
        <v/>
      </c>
      <c r="I52" s="166" t="str">
        <f>IF(OR($E$2="fixation",O52="",O52=0),"",IF(AND('Basic Data Entry'!$G$11="Z-Rural",'Arear Table Protected'!T52&lt;2021),0.08,IF(AND('Basic Data Entry'!$G$11="Y-Urban",'Arear Table Protected'!T52&lt;2021),0.16,IF(AND('Basic Data Entry'!$G$11="Z-Rural",'Arear Table Protected'!T52=2021,S52&gt;=7),0.09,IF(AND('Basic Data Entry'!$G$11="Y-Urban",'Arear Table Protected'!T52=2021,'Arear Table Protected'!S52&gt;=7),0.18,IF(AND('Basic Data Entry'!$G$11="Z-Rural",'Arear Table Protected'!T52=2021,S52&lt;7),0.08,IF(AND('Basic Data Entry'!$G$11="Y-Urban",'Arear Table Protected'!T52=2021,'Arear Table Protected'!S52&lt;7),0.16,IF(AND('Basic Data Entry'!$G$11="Z-Rural",'Arear Table Protected'!T52=2022),0.09,IF(AND('Basic Data Entry'!$G$11="Y-Urban",'Arear Table Protected'!T52=2022),0.18,IF(AND('Basic Data Entry'!$G$11="Z-Rural",'Arear Table Protected'!T52=2023),0.09,IF(AND('Basic Data Entry'!$G$11="Y-Urban",'Arear Table Protected'!T52=2023),0.18,"")))))))))))</f>
        <v/>
      </c>
      <c r="J52" s="167" t="str">
        <f>IF(OR(O52="",O52=0),"",IF(AND('Basic Data Entry'!$G$11="Z-Rural",'Arear Table Protected'!T52&lt;2021),0.08,IF(AND('Basic Data Entry'!$G$11="Y-Urban",'Arear Table Protected'!T52&lt;2021),0.16,IF(AND('Basic Data Entry'!$G$11="Z-Rural",'Arear Table Protected'!T52=2021,S52&gt;=7),0.09,IF(AND('Basic Data Entry'!$G$11="Y-Urban",'Arear Table Protected'!T52=2021,'Arear Table Protected'!S52&gt;=7),0.18,IF(AND('Basic Data Entry'!$G$11="Z-Rural",'Arear Table Protected'!T52=2021,S52&lt;7),0.08,IF(AND('Basic Data Entry'!$G$11="Y-Urban",'Arear Table Protected'!T52=2021,'Arear Table Protected'!S52&lt;7),0.16,IF(AND('Basic Data Entry'!$G$11="Z-Rural",'Arear Table Protected'!T52=2022),0.09,IF(AND('Basic Data Entry'!$G$11="Y-Urban",'Arear Table Protected'!T52=2022),0.18,IF(AND('Basic Data Entry'!$G$11="Z-Rural",'Arear Table Protected'!T52=2023),0.09,IF(AND('Basic Data Entry'!$G$11="Y-Urban",'Arear Table Protected'!T52=2023),0.18,"")))))))))))</f>
        <v/>
      </c>
      <c r="K52" s="168" t="str">
        <f t="shared" si="4"/>
        <v/>
      </c>
      <c r="L52" s="169" t="str">
        <f t="shared" si="5"/>
        <v/>
      </c>
      <c r="M52" s="170" t="str">
        <f t="shared" si="7"/>
        <v/>
      </c>
      <c r="N52" s="196">
        <v>40</v>
      </c>
      <c r="O52" s="327">
        <f t="shared" si="8"/>
        <v>0</v>
      </c>
      <c r="P52" s="328"/>
      <c r="Q52" s="328"/>
      <c r="R52" s="329"/>
      <c r="S52" s="161" t="str">
        <f t="array" ref="S52">IF(OR(O52=0,O52=""),"",MONTH(O52))</f>
        <v/>
      </c>
      <c r="T52" s="161" t="str">
        <f t="array" ref="T52">IF(OR(O52=0,O52=""),"",YEAR(O52))</f>
        <v/>
      </c>
      <c r="U52" s="161" t="str">
        <f t="shared" si="9"/>
        <v/>
      </c>
      <c r="V52" s="197" t="str">
        <f t="array" ref="V52">IF(OR(O52=0,O52=""),"",BE52)</f>
        <v/>
      </c>
      <c r="W52" s="163" t="str">
        <f t="array" ref="W52">IF(OR(O52=0,O52=""),"",ROUND(V52*H52,0))</f>
        <v/>
      </c>
      <c r="X52" s="222">
        <f t="shared" si="10"/>
        <v>0</v>
      </c>
      <c r="Y52" s="163" t="str">
        <f t="array" ref="Y52">IF(OR(O52=0,O52=""),"",ROUND(V52*J52,0))</f>
        <v/>
      </c>
      <c r="Z52" s="198" t="str">
        <f t="array" ref="Z52">IF(OR(O52=0,O52=""),"",SUM(V52:Y52))</f>
        <v/>
      </c>
      <c r="AA52" s="199" t="str">
        <f t="array" ref="AA52">IF(OR(O52=0,O52=""),"",IF(V52=0,0,IF($E$2="FIXATION",$B$5,IF(V52=0,0,IF(BD52=7,ROUND(AA51*1.03,-2),AA51)))))</f>
        <v/>
      </c>
      <c r="AB52" s="200" t="str">
        <f t="array" ref="AB52">IF(OR(O52=0,O52=""),"",IF($E$2="fixation",0,ROUND(AA52*G52,0)))</f>
        <v/>
      </c>
      <c r="AC52" s="222" t="str">
        <f t="array" ref="AC52">IF(OR(O52=0,O52=""),"",AC51)</f>
        <v/>
      </c>
      <c r="AD52" s="200" t="str">
        <f t="array" ref="AD52">IF(OR(O52=0,O52=""),"",IF($E$2="fixation",0,ROUND(AA52*I52,0)))</f>
        <v/>
      </c>
      <c r="AE52" s="198" t="str">
        <f t="array" ref="AE52">IF(OR(O52=0,O52=""),"",SUM(AA52:AD52))</f>
        <v/>
      </c>
      <c r="AF52" s="199" t="str">
        <f t="array" ref="AF52">IF(OR(O52=0,O52=""),"",V52-AA52)</f>
        <v/>
      </c>
      <c r="AG52" s="200" t="str">
        <f t="array" ref="AG52">IF(OR(O52=0,O52=""),"",W52-AB52)</f>
        <v/>
      </c>
      <c r="AH52" s="200" t="str">
        <f t="array" ref="AH52">IF(OR(O52=0,O52=""),"",X52-AC52)</f>
        <v/>
      </c>
      <c r="AI52" s="200" t="str">
        <f t="array" ref="AI52">IF(OR(O52=0,O52=""),"",Y52-AD52)</f>
        <v/>
      </c>
      <c r="AJ52" s="201" t="str">
        <f t="array" ref="AJ52">IF(OR(O52=0,O52=""),"",Z52-AE52)</f>
        <v/>
      </c>
      <c r="AK52" s="202" t="str">
        <f t="array" ref="AK52">IF(OR(O52=0,O52=""),"",IF(M52="",$AZ$2,$AZ$2+M52))</f>
        <v/>
      </c>
      <c r="AL52" s="203" t="str">
        <f t="array" ref="AL52">IF(OR(O52=0,O52=""),"",$AQ$2)</f>
        <v/>
      </c>
      <c r="AM52" s="204" t="str">
        <f t="array" ref="AM52">IF(OR(O52=0,O52=""),"",AK52-AL52)</f>
        <v/>
      </c>
      <c r="AN52" s="3" t="str">
        <f t="array" ref="AN52">IF(OR(O51=0,O51="",AN51="",AN51=""),"",AN51)</f>
        <v/>
      </c>
      <c r="AO52" s="2" t="str">
        <f t="array" ref="AO52">IF(OR(O51=0,O51="",AO51="",AO51=""),"",AO51)</f>
        <v/>
      </c>
      <c r="AP52" s="204" t="str">
        <f t="array" ref="AP52">IF(OR(O52=0,O52=""),"",SUM(AN52-AO52))</f>
        <v/>
      </c>
      <c r="AQ52" s="106" t="str">
        <f t="array" ref="AQ52">IF(OR(O52=0,O52=""),"",IF(AND('Basic Data Entry'!$C$10="state Service",'Arear Table Protected'!T52=2020,S52=3),ROUND(V52/31*5,0),IF(AND('Basic Data Entry'!$C$10="state Service",'Arear Table Protected'!T52=2020,S52=9),ROUND(Z52/30*2,0),IF(AND('Basic Data Entry'!$C$10="state Service",'Arear Table Protected'!T52=2020,S52=10),ROUND(Z52/31*2,0),IF(AND('Basic Data Entry'!$C$10="subordinate",'Arear Table Protected'!T52=2020,S52=3),ROUND(V52/31*3,0),IF(AND('Basic Data Entry'!$C$10="subordinate",'Arear Table Protected'!T52=2020,S52=9),ROUND(Z52/30*1,0),IF(AND('Basic Data Entry'!$C$10="subordinate",'Arear Table Protected'!T52=2020,S52=10),ROUND(Z52/31*1,0),IF(AND('Basic Data Entry'!$C$10="ministrial",'Arear Table Protected'!T52=2020,S52=3),ROUND(V52/31*1,0),""))))))))</f>
        <v/>
      </c>
      <c r="AR52" s="107" t="str">
        <f t="array" ref="AR52">IF(OR(O52=0,O52=""),"",IF(AND('Basic Data Entry'!$C$10="state Service",'Arear Table Protected'!T52=2020,S52=3),ROUND(AA52/31*5,0),IF(AND('Basic Data Entry'!$C$10="state Service",'Arear Table Protected'!T52=2020,S52=9),ROUND(AE52/30*2,0),IF(AND('Basic Data Entry'!$C$10="state Service",'Arear Table Protected'!T52=2020,S52=10),ROUND(AE52/31*2,0),IF(AND('Basic Data Entry'!$C$10="subordinate",'Arear Table Protected'!T52=2020,S52=3),ROUND(AA52/31*3,0),IF(AND('Basic Data Entry'!$C$10="subordinate",'Arear Table Protected'!T52=2020,S52=9),ROUND(AE52/30*1,0),IF(AND('Basic Data Entry'!$C$10="subordinate",'Arear Table Protected'!T52=2020,S52=10),ROUND(AE52/31*1,0),IF(AND('Basic Data Entry'!$C$10="ministrial",'Arear Table Protected'!T52=2020,S52=3),ROUND(AA52/31*1,0),""))))))))</f>
        <v/>
      </c>
      <c r="AS52" s="205" t="str">
        <f t="array" ref="AS52">IF(OR(O52=0,O52="",AQ52="",AR52=""),"",AQ52-AR52)</f>
        <v/>
      </c>
      <c r="AT52" s="44" t="str">
        <f t="array" ref="AT52">IF(OR(O51=0,O51=""),"",AT51)</f>
        <v/>
      </c>
      <c r="AU52" s="45" t="str">
        <f t="array" ref="AU52">IF(OR(O51=0,O51=""),"",AU51)</f>
        <v/>
      </c>
      <c r="AV52" s="206" t="str">
        <f t="array" ref="AV52">IF(OR(O52=0,O52=""),"",SUM(AT52-AU52))</f>
        <v/>
      </c>
      <c r="AW52" s="207" t="str">
        <f t="array" ref="AW52">IF(OR(O52=0,O52=""),"",ROUND((AJ52)*$E$3,0))</f>
        <v/>
      </c>
      <c r="AX52" s="207" t="str">
        <f t="array" ref="AX52">IF(OR(O52=0,O52=""),"",SUM(AM52,AP52,AS52,AV52,AW52))</f>
        <v/>
      </c>
      <c r="AY52" s="208" t="str">
        <f t="array" ref="AY52">IF(OR(O52=0,O52=""),"",AJ52-AX52)</f>
        <v/>
      </c>
      <c r="AZ52" s="46"/>
      <c r="BA52" s="24"/>
      <c r="BB52" s="24"/>
      <c r="BC52" s="11">
        <f t="shared" si="20"/>
        <v>0</v>
      </c>
      <c r="BD52" s="84">
        <f t="shared" si="12"/>
        <v>0</v>
      </c>
      <c r="BE52" s="84">
        <f t="shared" si="18"/>
        <v>0</v>
      </c>
      <c r="BI52" s="22">
        <f t="shared" si="19"/>
        <v>44675</v>
      </c>
      <c r="BK52" s="19">
        <f t="shared" si="13"/>
        <v>1</v>
      </c>
      <c r="BL52" s="20" t="str">
        <f t="array" ref="BL52">IF(OR(O52=0,O52=""),"",U52)</f>
        <v/>
      </c>
      <c r="BM52" s="19" t="str">
        <f t="array" ref="BM52">IF(OR(O52=0,O52=""),"",BK52+BL52)</f>
        <v/>
      </c>
      <c r="BN52" s="21">
        <f t="shared" si="24"/>
        <v>0</v>
      </c>
      <c r="BO52" s="21">
        <f t="shared" si="25"/>
        <v>0</v>
      </c>
      <c r="BP52" s="23">
        <f t="shared" si="26"/>
        <v>0</v>
      </c>
      <c r="BQ52" s="21" t="str">
        <f t="shared" si="27"/>
        <v>00</v>
      </c>
      <c r="BW52" s="81" t="str">
        <f>IF(OR(O52=0,O52=""),"",IF('Basic Data Entry'!$C$9="fixation","yes",""))</f>
        <v/>
      </c>
      <c r="BX52" s="81" t="str">
        <f>IF(OR(O52=0,O52=""),"",IF('Basic Data Entry'!$G$12="yes","yes","no"))</f>
        <v/>
      </c>
    </row>
    <row r="53" spans="1:76" ht="18" customHeight="1" thickBot="1">
      <c r="A53" s="10" t="str">
        <f t="shared" si="6"/>
        <v/>
      </c>
      <c r="B53" s="305"/>
      <c r="C53" s="305"/>
      <c r="D53" s="305"/>
      <c r="E53" s="305"/>
      <c r="F53" s="108" t="str">
        <f t="shared" si="1"/>
        <v/>
      </c>
      <c r="G53" s="165" t="str">
        <f t="shared" si="2"/>
        <v/>
      </c>
      <c r="H53" s="166" t="str">
        <f t="shared" si="3"/>
        <v/>
      </c>
      <c r="I53" s="166" t="str">
        <f>IF(OR($E$2="fixation",O53="",O53=0),"",IF(AND('Basic Data Entry'!$G$11="Z-Rural",'Arear Table Protected'!T53&lt;2021),0.08,IF(AND('Basic Data Entry'!$G$11="Y-Urban",'Arear Table Protected'!T53&lt;2021),0.16,IF(AND('Basic Data Entry'!$G$11="Z-Rural",'Arear Table Protected'!T53=2021,S53&gt;=7),0.09,IF(AND('Basic Data Entry'!$G$11="Y-Urban",'Arear Table Protected'!T53=2021,'Arear Table Protected'!S53&gt;=7),0.18,IF(AND('Basic Data Entry'!$G$11="Z-Rural",'Arear Table Protected'!T53=2021,S53&lt;7),0.08,IF(AND('Basic Data Entry'!$G$11="Y-Urban",'Arear Table Protected'!T53=2021,'Arear Table Protected'!S53&lt;7),0.16,IF(AND('Basic Data Entry'!$G$11="Z-Rural",'Arear Table Protected'!T53=2022),0.09,IF(AND('Basic Data Entry'!$G$11="Y-Urban",'Arear Table Protected'!T53=2022),0.18,IF(AND('Basic Data Entry'!$G$11="Z-Rural",'Arear Table Protected'!T53=2023),0.09,IF(AND('Basic Data Entry'!$G$11="Y-Urban",'Arear Table Protected'!T53=2023),0.18,"")))))))))))</f>
        <v/>
      </c>
      <c r="J53" s="167" t="str">
        <f>IF(OR(O53="",O53=0),"",IF(AND('Basic Data Entry'!$G$11="Z-Rural",'Arear Table Protected'!T53&lt;2021),0.08,IF(AND('Basic Data Entry'!$G$11="Y-Urban",'Arear Table Protected'!T53&lt;2021),0.16,IF(AND('Basic Data Entry'!$G$11="Z-Rural",'Arear Table Protected'!T53=2021,S53&gt;=7),0.09,IF(AND('Basic Data Entry'!$G$11="Y-Urban",'Arear Table Protected'!T53=2021,'Arear Table Protected'!S53&gt;=7),0.18,IF(AND('Basic Data Entry'!$G$11="Z-Rural",'Arear Table Protected'!T53=2021,S53&lt;7),0.08,IF(AND('Basic Data Entry'!$G$11="Y-Urban",'Arear Table Protected'!T53=2021,'Arear Table Protected'!S53&lt;7),0.16,IF(AND('Basic Data Entry'!$G$11="Z-Rural",'Arear Table Protected'!T53=2022),0.09,IF(AND('Basic Data Entry'!$G$11="Y-Urban",'Arear Table Protected'!T53=2022),0.18,IF(AND('Basic Data Entry'!$G$11="Z-Rural",'Arear Table Protected'!T53=2023),0.09,IF(AND('Basic Data Entry'!$G$11="Y-Urban",'Arear Table Protected'!T53=2023),0.18,"")))))))))))</f>
        <v/>
      </c>
      <c r="K53" s="168" t="str">
        <f t="shared" si="4"/>
        <v/>
      </c>
      <c r="L53" s="169" t="str">
        <f t="shared" si="5"/>
        <v/>
      </c>
      <c r="M53" s="170" t="str">
        <f t="shared" si="7"/>
        <v/>
      </c>
      <c r="N53" s="196">
        <v>41</v>
      </c>
      <c r="O53" s="327">
        <f t="shared" si="8"/>
        <v>0</v>
      </c>
      <c r="P53" s="328"/>
      <c r="Q53" s="328"/>
      <c r="R53" s="329"/>
      <c r="S53" s="161" t="str">
        <f t="array" ref="S53">IF(OR(O53=0,O53=""),"",MONTH(O53))</f>
        <v/>
      </c>
      <c r="T53" s="161" t="str">
        <f t="array" ref="T53">IF(OR(O53=0,O53=""),"",YEAR(O53))</f>
        <v/>
      </c>
      <c r="U53" s="161" t="str">
        <f t="shared" si="9"/>
        <v/>
      </c>
      <c r="V53" s="197" t="str">
        <f t="array" ref="V53">IF(OR(O53=0,O53=""),"",BE53)</f>
        <v/>
      </c>
      <c r="W53" s="163" t="str">
        <f t="array" ref="W53">IF(OR(O53=0,O53=""),"",ROUND(V53*H53,0))</f>
        <v/>
      </c>
      <c r="X53" s="222">
        <f t="shared" si="10"/>
        <v>0</v>
      </c>
      <c r="Y53" s="163" t="str">
        <f t="array" ref="Y53">IF(OR(O53=0,O53=""),"",ROUND(V53*J53,0))</f>
        <v/>
      </c>
      <c r="Z53" s="198" t="str">
        <f t="array" ref="Z53">IF(OR(O53=0,O53=""),"",SUM(V53:Y53))</f>
        <v/>
      </c>
      <c r="AA53" s="199" t="str">
        <f t="array" ref="AA53">IF(OR(O53=0,O53=""),"",IF(V53=0,0,IF($E$2="FIXATION",$B$5,IF(V53=0,0,IF(BD53=7,ROUND(AA52*1.03,-2),AA52)))))</f>
        <v/>
      </c>
      <c r="AB53" s="200" t="str">
        <f t="array" ref="AB53">IF(OR(O53=0,O53=""),"",IF($E$2="fixation",0,ROUND(AA53*G53,0)))</f>
        <v/>
      </c>
      <c r="AC53" s="222" t="str">
        <f t="array" ref="AC53">IF(OR(O53=0,O53=""),"",AC52)</f>
        <v/>
      </c>
      <c r="AD53" s="200" t="str">
        <f t="array" ref="AD53">IF(OR(O53=0,O53=""),"",IF($E$2="fixation",0,ROUND(AA53*I53,0)))</f>
        <v/>
      </c>
      <c r="AE53" s="198" t="str">
        <f t="array" ref="AE53">IF(OR(O53=0,O53=""),"",SUM(AA53:AD53))</f>
        <v/>
      </c>
      <c r="AF53" s="199" t="str">
        <f t="array" ref="AF53">IF(OR(O53=0,O53=""),"",V53-AA53)</f>
        <v/>
      </c>
      <c r="AG53" s="200" t="str">
        <f t="array" ref="AG53">IF(OR(O53=0,O53=""),"",W53-AB53)</f>
        <v/>
      </c>
      <c r="AH53" s="200" t="str">
        <f t="array" ref="AH53">IF(OR(O53=0,O53=""),"",X53-AC53)</f>
        <v/>
      </c>
      <c r="AI53" s="200" t="str">
        <f t="array" ref="AI53">IF(OR(O53=0,O53=""),"",Y53-AD53)</f>
        <v/>
      </c>
      <c r="AJ53" s="201" t="str">
        <f t="array" ref="AJ53">IF(OR(O53=0,O53=""),"",Z53-AE53)</f>
        <v/>
      </c>
      <c r="AK53" s="202" t="str">
        <f t="array" ref="AK53">IF(OR(O53=0,O53=""),"",IF(M53="",$AZ$2,$AZ$2+M53))</f>
        <v/>
      </c>
      <c r="AL53" s="203" t="str">
        <f t="array" ref="AL53">IF(OR(O53=0,O53=""),"",$AQ$2)</f>
        <v/>
      </c>
      <c r="AM53" s="204" t="str">
        <f t="array" ref="AM53">IF(OR(O53=0,O53=""),"",AK53-AL53)</f>
        <v/>
      </c>
      <c r="AN53" s="3" t="str">
        <f t="array" ref="AN53">IF(OR(O52=0,O52="",AN52="",AN52=""),"",AN52)</f>
        <v/>
      </c>
      <c r="AO53" s="2" t="str">
        <f t="array" ref="AO53">IF(OR(O52=0,O52="",AO52="",AO52=""),"",AO52)</f>
        <v/>
      </c>
      <c r="AP53" s="204" t="str">
        <f t="array" ref="AP53">IF(OR(O53=0,O53=""),"",SUM(AN53-AO53))</f>
        <v/>
      </c>
      <c r="AQ53" s="106" t="str">
        <f t="array" ref="AQ53">IF(OR(O53=0,O53=""),"",IF(AND('Basic Data Entry'!$C$10="state Service",'Arear Table Protected'!T53=2020,S53=3),ROUND(V53/31*5,0),IF(AND('Basic Data Entry'!$C$10="state Service",'Arear Table Protected'!T53=2020,S53=9),ROUND(Z53/30*2,0),IF(AND('Basic Data Entry'!$C$10="state Service",'Arear Table Protected'!T53=2020,S53=10),ROUND(Z53/31*2,0),IF(AND('Basic Data Entry'!$C$10="subordinate",'Arear Table Protected'!T53=2020,S53=3),ROUND(V53/31*3,0),IF(AND('Basic Data Entry'!$C$10="subordinate",'Arear Table Protected'!T53=2020,S53=9),ROUND(Z53/30*1,0),IF(AND('Basic Data Entry'!$C$10="subordinate",'Arear Table Protected'!T53=2020,S53=10),ROUND(Z53/31*1,0),IF(AND('Basic Data Entry'!$C$10="ministrial",'Arear Table Protected'!T53=2020,S53=3),ROUND(V53/31*1,0),""))))))))</f>
        <v/>
      </c>
      <c r="AR53" s="107" t="str">
        <f t="array" ref="AR53">IF(OR(O53=0,O53=""),"",IF(AND('Basic Data Entry'!$C$10="state Service",'Arear Table Protected'!T53=2020,S53=3),ROUND(AA53/31*5,0),IF(AND('Basic Data Entry'!$C$10="state Service",'Arear Table Protected'!T53=2020,S53=9),ROUND(AE53/30*2,0),IF(AND('Basic Data Entry'!$C$10="state Service",'Arear Table Protected'!T53=2020,S53=10),ROUND(AE53/31*2,0),IF(AND('Basic Data Entry'!$C$10="subordinate",'Arear Table Protected'!T53=2020,S53=3),ROUND(AA53/31*3,0),IF(AND('Basic Data Entry'!$C$10="subordinate",'Arear Table Protected'!T53=2020,S53=9),ROUND(AE53/30*1,0),IF(AND('Basic Data Entry'!$C$10="subordinate",'Arear Table Protected'!T53=2020,S53=10),ROUND(AE53/31*1,0),IF(AND('Basic Data Entry'!$C$10="ministrial",'Arear Table Protected'!T53=2020,S53=3),ROUND(AA53/31*1,0),""))))))))</f>
        <v/>
      </c>
      <c r="AS53" s="205" t="str">
        <f t="array" ref="AS53">IF(OR(O53=0,O53="",AQ53="",AR53=""),"",AQ53-AR53)</f>
        <v/>
      </c>
      <c r="AT53" s="44" t="str">
        <f t="array" ref="AT53">IF(OR(O52=0,O52=""),"",AT52)</f>
        <v/>
      </c>
      <c r="AU53" s="45" t="str">
        <f t="array" ref="AU53">IF(OR(O52=0,O52=""),"",AU52)</f>
        <v/>
      </c>
      <c r="AV53" s="206" t="str">
        <f t="array" ref="AV53">IF(OR(O53=0,O53=""),"",SUM(AT53-AU53))</f>
        <v/>
      </c>
      <c r="AW53" s="207" t="str">
        <f t="array" ref="AW53">IF(OR(O53=0,O53=""),"",ROUND((AJ53)*$E$3,0))</f>
        <v/>
      </c>
      <c r="AX53" s="207" t="str">
        <f t="array" ref="AX53">IF(OR(O53=0,O53=""),"",SUM(AM53,AP53,AS53,AV53,AW53))</f>
        <v/>
      </c>
      <c r="AY53" s="208" t="str">
        <f t="array" ref="AY53">IF(OR(O53=0,O53=""),"",AJ53-AX53)</f>
        <v/>
      </c>
      <c r="AZ53" s="46"/>
      <c r="BA53" s="24"/>
      <c r="BB53" s="24"/>
      <c r="BC53" s="11">
        <f t="shared" si="20"/>
        <v>0</v>
      </c>
      <c r="BD53" s="84">
        <f t="shared" si="12"/>
        <v>0</v>
      </c>
      <c r="BE53" s="84">
        <f t="shared" si="18"/>
        <v>0</v>
      </c>
      <c r="BI53" s="22">
        <f t="shared" si="19"/>
        <v>44706</v>
      </c>
      <c r="BK53" s="19">
        <f t="shared" si="13"/>
        <v>1</v>
      </c>
      <c r="BL53" s="20" t="str">
        <f t="array" ref="BL53">IF(OR(O53=0,O53=""),"",U53)</f>
        <v/>
      </c>
      <c r="BM53" s="19" t="str">
        <f t="array" ref="BM53">IF(OR(O53=0,O53=""),"",BK53+BL53)</f>
        <v/>
      </c>
      <c r="BN53" s="21">
        <f t="shared" si="24"/>
        <v>0</v>
      </c>
      <c r="BO53" s="21">
        <f t="shared" si="25"/>
        <v>0</v>
      </c>
      <c r="BP53" s="23">
        <f t="shared" si="26"/>
        <v>0</v>
      </c>
      <c r="BQ53" s="21" t="str">
        <f t="shared" si="27"/>
        <v>00</v>
      </c>
      <c r="BW53" s="81" t="str">
        <f>IF(OR(O53=0,O53=""),"",IF('Basic Data Entry'!$C$9="fixation","yes",""))</f>
        <v/>
      </c>
      <c r="BX53" s="81" t="str">
        <f>IF(OR(O53=0,O53=""),"",IF('Basic Data Entry'!$G$12="yes","yes","no"))</f>
        <v/>
      </c>
    </row>
    <row r="54" spans="1:76" ht="18" customHeight="1" thickBot="1">
      <c r="A54" s="10" t="str">
        <f t="shared" si="6"/>
        <v/>
      </c>
      <c r="B54" s="305"/>
      <c r="C54" s="305"/>
      <c r="D54" s="305"/>
      <c r="E54" s="305"/>
      <c r="F54" s="108" t="str">
        <f t="shared" si="1"/>
        <v/>
      </c>
      <c r="G54" s="165" t="str">
        <f t="shared" si="2"/>
        <v/>
      </c>
      <c r="H54" s="166" t="str">
        <f t="shared" si="3"/>
        <v/>
      </c>
      <c r="I54" s="166" t="str">
        <f>IF(OR($E$2="fixation",O54="",O54=0),"",IF(AND('Basic Data Entry'!$G$11="Z-Rural",'Arear Table Protected'!T54&lt;2021),0.08,IF(AND('Basic Data Entry'!$G$11="Y-Urban",'Arear Table Protected'!T54&lt;2021),0.16,IF(AND('Basic Data Entry'!$G$11="Z-Rural",'Arear Table Protected'!T54=2021,S54&gt;=7),0.09,IF(AND('Basic Data Entry'!$G$11="Y-Urban",'Arear Table Protected'!T54=2021,'Arear Table Protected'!S54&gt;=7),0.18,IF(AND('Basic Data Entry'!$G$11="Z-Rural",'Arear Table Protected'!T54=2021,S54&lt;7),0.08,IF(AND('Basic Data Entry'!$G$11="Y-Urban",'Arear Table Protected'!T54=2021,'Arear Table Protected'!S54&lt;7),0.16,IF(AND('Basic Data Entry'!$G$11="Z-Rural",'Arear Table Protected'!T54=2022),0.09,IF(AND('Basic Data Entry'!$G$11="Y-Urban",'Arear Table Protected'!T54=2022),0.18,IF(AND('Basic Data Entry'!$G$11="Z-Rural",'Arear Table Protected'!T54=2023),0.09,IF(AND('Basic Data Entry'!$G$11="Y-Urban",'Arear Table Protected'!T54=2023),0.18,"")))))))))))</f>
        <v/>
      </c>
      <c r="J54" s="167" t="str">
        <f>IF(OR(O54="",O54=0),"",IF(AND('Basic Data Entry'!$G$11="Z-Rural",'Arear Table Protected'!T54&lt;2021),0.08,IF(AND('Basic Data Entry'!$G$11="Y-Urban",'Arear Table Protected'!T54&lt;2021),0.16,IF(AND('Basic Data Entry'!$G$11="Z-Rural",'Arear Table Protected'!T54=2021,S54&gt;=7),0.09,IF(AND('Basic Data Entry'!$G$11="Y-Urban",'Arear Table Protected'!T54=2021,'Arear Table Protected'!S54&gt;=7),0.18,IF(AND('Basic Data Entry'!$G$11="Z-Rural",'Arear Table Protected'!T54=2021,S54&lt;7),0.08,IF(AND('Basic Data Entry'!$G$11="Y-Urban",'Arear Table Protected'!T54=2021,'Arear Table Protected'!S54&lt;7),0.16,IF(AND('Basic Data Entry'!$G$11="Z-Rural",'Arear Table Protected'!T54=2022),0.09,IF(AND('Basic Data Entry'!$G$11="Y-Urban",'Arear Table Protected'!T54=2022),0.18,IF(AND('Basic Data Entry'!$G$11="Z-Rural",'Arear Table Protected'!T54=2023),0.09,IF(AND('Basic Data Entry'!$G$11="Y-Urban",'Arear Table Protected'!T54=2023),0.18,"")))))))))))</f>
        <v/>
      </c>
      <c r="K54" s="168" t="str">
        <f t="shared" si="4"/>
        <v/>
      </c>
      <c r="L54" s="169" t="str">
        <f t="shared" si="5"/>
        <v/>
      </c>
      <c r="M54" s="170" t="str">
        <f t="shared" si="7"/>
        <v/>
      </c>
      <c r="N54" s="196">
        <v>42</v>
      </c>
      <c r="O54" s="327">
        <f t="shared" si="8"/>
        <v>0</v>
      </c>
      <c r="P54" s="328"/>
      <c r="Q54" s="328"/>
      <c r="R54" s="329"/>
      <c r="S54" s="161" t="str">
        <f t="array" ref="S54">IF(OR(O54=0,O54=""),"",MONTH(O54))</f>
        <v/>
      </c>
      <c r="T54" s="161" t="str">
        <f t="array" ref="T54">IF(OR(O54=0,O54=""),"",YEAR(O54))</f>
        <v/>
      </c>
      <c r="U54" s="161" t="str">
        <f t="shared" si="9"/>
        <v/>
      </c>
      <c r="V54" s="197" t="str">
        <f t="array" ref="V54">IF(OR(O54=0,O54=""),"",BE54)</f>
        <v/>
      </c>
      <c r="W54" s="163" t="str">
        <f t="array" ref="W54">IF(OR(O54=0,O54=""),"",ROUND(V54*H54,0))</f>
        <v/>
      </c>
      <c r="X54" s="222">
        <f t="shared" si="10"/>
        <v>0</v>
      </c>
      <c r="Y54" s="163" t="str">
        <f t="array" ref="Y54">IF(OR(O54=0,O54=""),"",ROUND(V54*J54,0))</f>
        <v/>
      </c>
      <c r="Z54" s="198" t="str">
        <f t="array" ref="Z54">IF(OR(O54=0,O54=""),"",SUM(V54:Y54))</f>
        <v/>
      </c>
      <c r="AA54" s="199" t="str">
        <f t="array" ref="AA54">IF(OR(O54=0,O54=""),"",IF(V54=0,0,IF($E$2="FIXATION",$B$5,IF(V54=0,0,IF(BD54=7,ROUND(AA53*1.03,-2),AA53)))))</f>
        <v/>
      </c>
      <c r="AB54" s="200" t="str">
        <f t="array" ref="AB54">IF(OR(O54=0,O54=""),"",IF($E$2="fixation",0,ROUND(AA54*G54,0)))</f>
        <v/>
      </c>
      <c r="AC54" s="222" t="str">
        <f t="array" ref="AC54">IF(OR(O54=0,O54=""),"",AC53)</f>
        <v/>
      </c>
      <c r="AD54" s="200" t="str">
        <f t="array" ref="AD54">IF(OR(O54=0,O54=""),"",IF($E$2="fixation",0,ROUND(AA54*I54,0)))</f>
        <v/>
      </c>
      <c r="AE54" s="198" t="str">
        <f t="array" ref="AE54">IF(OR(O54=0,O54=""),"",SUM(AA54:AD54))</f>
        <v/>
      </c>
      <c r="AF54" s="199" t="str">
        <f t="array" ref="AF54">IF(OR(O54=0,O54=""),"",V54-AA54)</f>
        <v/>
      </c>
      <c r="AG54" s="200" t="str">
        <f t="array" ref="AG54">IF(OR(O54=0,O54=""),"",W54-AB54)</f>
        <v/>
      </c>
      <c r="AH54" s="200" t="str">
        <f t="array" ref="AH54">IF(OR(O54=0,O54=""),"",X54-AC54)</f>
        <v/>
      </c>
      <c r="AI54" s="200" t="str">
        <f t="array" ref="AI54">IF(OR(O54=0,O54=""),"",Y54-AD54)</f>
        <v/>
      </c>
      <c r="AJ54" s="201" t="str">
        <f t="array" ref="AJ54">IF(OR(O54=0,O54=""),"",Z54-AE54)</f>
        <v/>
      </c>
      <c r="AK54" s="202" t="str">
        <f t="array" ref="AK54">IF(OR(O54=0,O54=""),"",IF(M54="",$AZ$2,$AZ$2+M54))</f>
        <v/>
      </c>
      <c r="AL54" s="203" t="str">
        <f t="array" ref="AL54">IF(OR(O54=0,O54=""),"",$AQ$2)</f>
        <v/>
      </c>
      <c r="AM54" s="204" t="str">
        <f t="array" ref="AM54">IF(OR(O54=0,O54=""),"",AK54-AL54)</f>
        <v/>
      </c>
      <c r="AN54" s="3" t="str">
        <f t="array" ref="AN54">IF(OR(O53=0,O53="",AN53="",AN53=""),"",AN53)</f>
        <v/>
      </c>
      <c r="AO54" s="2" t="str">
        <f t="array" ref="AO54">IF(OR(O53=0,O53="",AO53="",AO53=""),"",AO53)</f>
        <v/>
      </c>
      <c r="AP54" s="204" t="str">
        <f t="array" ref="AP54">IF(OR(O54=0,O54=""),"",SUM(AN54-AO54))</f>
        <v/>
      </c>
      <c r="AQ54" s="106" t="str">
        <f t="array" ref="AQ54">IF(OR(O54=0,O54=""),"",IF(AND('Basic Data Entry'!$C$10="state Service",'Arear Table Protected'!T54=2020,S54=3),ROUND(V54/31*5,0),IF(AND('Basic Data Entry'!$C$10="state Service",'Arear Table Protected'!T54=2020,S54=9),ROUND(Z54/30*2,0),IF(AND('Basic Data Entry'!$C$10="state Service",'Arear Table Protected'!T54=2020,S54=10),ROUND(Z54/31*2,0),IF(AND('Basic Data Entry'!$C$10="subordinate",'Arear Table Protected'!T54=2020,S54=3),ROUND(V54/31*3,0),IF(AND('Basic Data Entry'!$C$10="subordinate",'Arear Table Protected'!T54=2020,S54=9),ROUND(Z54/30*1,0),IF(AND('Basic Data Entry'!$C$10="subordinate",'Arear Table Protected'!T54=2020,S54=10),ROUND(Z54/31*1,0),IF(AND('Basic Data Entry'!$C$10="ministrial",'Arear Table Protected'!T54=2020,S54=3),ROUND(V54/31*1,0),""))))))))</f>
        <v/>
      </c>
      <c r="AR54" s="107" t="str">
        <f t="array" ref="AR54">IF(OR(O54=0,O54=""),"",IF(AND('Basic Data Entry'!$C$10="state Service",'Arear Table Protected'!T54=2020,S54=3),ROUND(AA54/31*5,0),IF(AND('Basic Data Entry'!$C$10="state Service",'Arear Table Protected'!T54=2020,S54=9),ROUND(AE54/30*2,0),IF(AND('Basic Data Entry'!$C$10="state Service",'Arear Table Protected'!T54=2020,S54=10),ROUND(AE54/31*2,0),IF(AND('Basic Data Entry'!$C$10="subordinate",'Arear Table Protected'!T54=2020,S54=3),ROUND(AA54/31*3,0),IF(AND('Basic Data Entry'!$C$10="subordinate",'Arear Table Protected'!T54=2020,S54=9),ROUND(AE54/30*1,0),IF(AND('Basic Data Entry'!$C$10="subordinate",'Arear Table Protected'!T54=2020,S54=10),ROUND(AE54/31*1,0),IF(AND('Basic Data Entry'!$C$10="ministrial",'Arear Table Protected'!T54=2020,S54=3),ROUND(AA54/31*1,0),""))))))))</f>
        <v/>
      </c>
      <c r="AS54" s="205" t="str">
        <f t="array" ref="AS54">IF(OR(O54=0,O54="",AQ54="",AR54=""),"",AQ54-AR54)</f>
        <v/>
      </c>
      <c r="AT54" s="44" t="str">
        <f t="array" ref="AT54">IF(OR(O53=0,O53=""),"",AT53)</f>
        <v/>
      </c>
      <c r="AU54" s="45" t="str">
        <f t="array" ref="AU54">IF(OR(O53=0,O53=""),"",AU53)</f>
        <v/>
      </c>
      <c r="AV54" s="206" t="str">
        <f t="array" ref="AV54">IF(OR(O54=0,O54=""),"",SUM(AT54-AU54))</f>
        <v/>
      </c>
      <c r="AW54" s="207" t="str">
        <f t="array" ref="AW54">IF(OR(O54=0,O54=""),"",ROUND((AJ54)*$E$3,0))</f>
        <v/>
      </c>
      <c r="AX54" s="207" t="str">
        <f t="array" ref="AX54">IF(OR(O54=0,O54=""),"",SUM(AM54,AP54,AS54,AV54,AW54))</f>
        <v/>
      </c>
      <c r="AY54" s="208" t="str">
        <f t="array" ref="AY54">IF(OR(O54=0,O54=""),"",AJ54-AX54)</f>
        <v/>
      </c>
      <c r="AZ54" s="46"/>
      <c r="BA54" s="24"/>
      <c r="BB54" s="24"/>
      <c r="BC54" s="11">
        <f t="shared" si="20"/>
        <v>0</v>
      </c>
      <c r="BD54" s="84">
        <f t="shared" si="12"/>
        <v>0</v>
      </c>
      <c r="BE54" s="84">
        <f t="shared" si="18"/>
        <v>0</v>
      </c>
      <c r="BI54" s="22">
        <f t="shared" si="19"/>
        <v>44737</v>
      </c>
      <c r="BK54" s="19">
        <f t="shared" si="13"/>
        <v>1</v>
      </c>
      <c r="BL54" s="20" t="str">
        <f t="array" ref="BL54">IF(OR(O54=0,O54=""),"",U54)</f>
        <v/>
      </c>
      <c r="BM54" s="19" t="str">
        <f t="array" ref="BM54">IF(OR(O54=0,O54=""),"",BK54+BL54)</f>
        <v/>
      </c>
      <c r="BN54" s="21">
        <f t="shared" si="24"/>
        <v>0</v>
      </c>
      <c r="BO54" s="21">
        <f t="shared" si="25"/>
        <v>0</v>
      </c>
      <c r="BP54" s="23">
        <f t="shared" si="26"/>
        <v>0</v>
      </c>
      <c r="BQ54" s="21" t="str">
        <f t="shared" si="27"/>
        <v>00</v>
      </c>
      <c r="BW54" s="81" t="str">
        <f>IF(OR(O54=0,O54=""),"",IF('Basic Data Entry'!$C$9="fixation","yes",""))</f>
        <v/>
      </c>
      <c r="BX54" s="81" t="str">
        <f>IF(OR(O54=0,O54=""),"",IF('Basic Data Entry'!$G$12="yes","yes","no"))</f>
        <v/>
      </c>
    </row>
    <row r="55" spans="1:76" ht="18" customHeight="1" thickBot="1">
      <c r="A55" s="10" t="str">
        <f t="shared" si="6"/>
        <v/>
      </c>
      <c r="B55" s="305"/>
      <c r="C55" s="305"/>
      <c r="D55" s="305"/>
      <c r="E55" s="305"/>
      <c r="F55" s="108" t="str">
        <f t="shared" si="1"/>
        <v/>
      </c>
      <c r="G55" s="165" t="str">
        <f t="shared" si="2"/>
        <v/>
      </c>
      <c r="H55" s="166" t="str">
        <f t="shared" si="3"/>
        <v/>
      </c>
      <c r="I55" s="166" t="str">
        <f>IF(OR($E$2="fixation",O55="",O55=0),"",IF(AND('Basic Data Entry'!$G$11="Z-Rural",'Arear Table Protected'!T55&lt;2021),0.08,IF(AND('Basic Data Entry'!$G$11="Y-Urban",'Arear Table Protected'!T55&lt;2021),0.16,IF(AND('Basic Data Entry'!$G$11="Z-Rural",'Arear Table Protected'!T55=2021,S55&gt;=7),0.09,IF(AND('Basic Data Entry'!$G$11="Y-Urban",'Arear Table Protected'!T55=2021,'Arear Table Protected'!S55&gt;=7),0.18,IF(AND('Basic Data Entry'!$G$11="Z-Rural",'Arear Table Protected'!T55=2021,S55&lt;7),0.08,IF(AND('Basic Data Entry'!$G$11="Y-Urban",'Arear Table Protected'!T55=2021,'Arear Table Protected'!S55&lt;7),0.16,IF(AND('Basic Data Entry'!$G$11="Z-Rural",'Arear Table Protected'!T55=2022),0.09,IF(AND('Basic Data Entry'!$G$11="Y-Urban",'Arear Table Protected'!T55=2022),0.18,IF(AND('Basic Data Entry'!$G$11="Z-Rural",'Arear Table Protected'!T55=2023),0.09,IF(AND('Basic Data Entry'!$G$11="Y-Urban",'Arear Table Protected'!T55=2023),0.18,"")))))))))))</f>
        <v/>
      </c>
      <c r="J55" s="167" t="str">
        <f>IF(OR(O55="",O55=0),"",IF(AND('Basic Data Entry'!$G$11="Z-Rural",'Arear Table Protected'!T55&lt;2021),0.08,IF(AND('Basic Data Entry'!$G$11="Y-Urban",'Arear Table Protected'!T55&lt;2021),0.16,IF(AND('Basic Data Entry'!$G$11="Z-Rural",'Arear Table Protected'!T55=2021,S55&gt;=7),0.09,IF(AND('Basic Data Entry'!$G$11="Y-Urban",'Arear Table Protected'!T55=2021,'Arear Table Protected'!S55&gt;=7),0.18,IF(AND('Basic Data Entry'!$G$11="Z-Rural",'Arear Table Protected'!T55=2021,S55&lt;7),0.08,IF(AND('Basic Data Entry'!$G$11="Y-Urban",'Arear Table Protected'!T55=2021,'Arear Table Protected'!S55&lt;7),0.16,IF(AND('Basic Data Entry'!$G$11="Z-Rural",'Arear Table Protected'!T55=2022),0.09,IF(AND('Basic Data Entry'!$G$11="Y-Urban",'Arear Table Protected'!T55=2022),0.18,IF(AND('Basic Data Entry'!$G$11="Z-Rural",'Arear Table Protected'!T55=2023),0.09,IF(AND('Basic Data Entry'!$G$11="Y-Urban",'Arear Table Protected'!T55=2023),0.18,"")))))))))))</f>
        <v/>
      </c>
      <c r="K55" s="168" t="str">
        <f t="shared" si="4"/>
        <v/>
      </c>
      <c r="L55" s="169" t="str">
        <f t="shared" si="5"/>
        <v/>
      </c>
      <c r="M55" s="170" t="str">
        <f t="shared" si="7"/>
        <v/>
      </c>
      <c r="N55" s="196">
        <v>43</v>
      </c>
      <c r="O55" s="327">
        <f t="shared" si="8"/>
        <v>0</v>
      </c>
      <c r="P55" s="328"/>
      <c r="Q55" s="328"/>
      <c r="R55" s="329"/>
      <c r="S55" s="161" t="str">
        <f t="array" ref="S55">IF(OR(O55=0,O55=""),"",MONTH(O55))</f>
        <v/>
      </c>
      <c r="T55" s="161" t="str">
        <f t="array" ref="T55">IF(OR(O55=0,O55=""),"",YEAR(O55))</f>
        <v/>
      </c>
      <c r="U55" s="161" t="str">
        <f t="shared" si="9"/>
        <v/>
      </c>
      <c r="V55" s="197" t="str">
        <f t="array" ref="V55">IF(OR(O55=0,O55=""),"",BE55)</f>
        <v/>
      </c>
      <c r="W55" s="163" t="str">
        <f t="array" ref="W55">IF(OR(O55=0,O55=""),"",ROUND(V55*H55,0))</f>
        <v/>
      </c>
      <c r="X55" s="222">
        <f t="shared" si="10"/>
        <v>0</v>
      </c>
      <c r="Y55" s="163" t="str">
        <f t="array" ref="Y55">IF(OR(O55=0,O55=""),"",ROUND(V55*J55,0))</f>
        <v/>
      </c>
      <c r="Z55" s="198" t="str">
        <f t="array" ref="Z55">IF(OR(O55=0,O55=""),"",SUM(V55:Y55))</f>
        <v/>
      </c>
      <c r="AA55" s="199" t="str">
        <f t="array" ref="AA55">IF(OR(O55=0,O55=""),"",IF(V55=0,0,IF($E$2="FIXATION",$B$5,IF(V55=0,0,IF(BD55=7,ROUND(AA54*1.03,-2),AA54)))))</f>
        <v/>
      </c>
      <c r="AB55" s="200" t="str">
        <f t="array" ref="AB55">IF(OR(O55=0,O55=""),"",IF($E$2="fixation",0,ROUND(AA55*G55,0)))</f>
        <v/>
      </c>
      <c r="AC55" s="222" t="str">
        <f t="array" ref="AC55">IF(OR(O55=0,O55=""),"",AC54)</f>
        <v/>
      </c>
      <c r="AD55" s="200" t="str">
        <f t="array" ref="AD55">IF(OR(O55=0,O55=""),"",IF($E$2="fixation",0,ROUND(AA55*I55,0)))</f>
        <v/>
      </c>
      <c r="AE55" s="198" t="str">
        <f t="array" ref="AE55">IF(OR(O55=0,O55=""),"",SUM(AA55:AD55))</f>
        <v/>
      </c>
      <c r="AF55" s="199" t="str">
        <f t="array" ref="AF55">IF(OR(O55=0,O55=""),"",V55-AA55)</f>
        <v/>
      </c>
      <c r="AG55" s="200" t="str">
        <f t="array" ref="AG55">IF(OR(O55=0,O55=""),"",W55-AB55)</f>
        <v/>
      </c>
      <c r="AH55" s="200" t="str">
        <f t="array" ref="AH55">IF(OR(O55=0,O55=""),"",X55-AC55)</f>
        <v/>
      </c>
      <c r="AI55" s="200" t="str">
        <f t="array" ref="AI55">IF(OR(O55=0,O55=""),"",Y55-AD55)</f>
        <v/>
      </c>
      <c r="AJ55" s="201" t="str">
        <f t="array" ref="AJ55">IF(OR(O55=0,O55=""),"",Z55-AE55)</f>
        <v/>
      </c>
      <c r="AK55" s="202" t="str">
        <f t="array" ref="AK55">IF(OR(O55=0,O55=""),"",IF(M55="",$AZ$2,$AZ$2+M55))</f>
        <v/>
      </c>
      <c r="AL55" s="203" t="str">
        <f t="array" ref="AL55">IF(OR(O55=0,O55=""),"",$AQ$2)</f>
        <v/>
      </c>
      <c r="AM55" s="204" t="str">
        <f t="array" ref="AM55">IF(OR(O55=0,O55=""),"",AK55-AL55)</f>
        <v/>
      </c>
      <c r="AN55" s="3" t="str">
        <f t="array" ref="AN55">IF(OR(O54=0,O54="",AN54="",AN54=""),"",AN54)</f>
        <v/>
      </c>
      <c r="AO55" s="2" t="str">
        <f t="array" ref="AO55">IF(OR(O54=0,O54="",AO54="",AO54=""),"",AO54)</f>
        <v/>
      </c>
      <c r="AP55" s="204" t="str">
        <f t="array" ref="AP55">IF(OR(O55=0,O55=""),"",SUM(AN55-AO55))</f>
        <v/>
      </c>
      <c r="AQ55" s="106" t="str">
        <f t="array" ref="AQ55">IF(OR(O55=0,O55=""),"",IF(AND('Basic Data Entry'!$C$10="state Service",'Arear Table Protected'!T55=2020,S55=3),ROUND(V55/31*5,0),IF(AND('Basic Data Entry'!$C$10="state Service",'Arear Table Protected'!T55=2020,S55=9),ROUND(Z55/30*2,0),IF(AND('Basic Data Entry'!$C$10="state Service",'Arear Table Protected'!T55=2020,S55=10),ROUND(Z55/31*2,0),IF(AND('Basic Data Entry'!$C$10="subordinate",'Arear Table Protected'!T55=2020,S55=3),ROUND(V55/31*3,0),IF(AND('Basic Data Entry'!$C$10="subordinate",'Arear Table Protected'!T55=2020,S55=9),ROUND(Z55/30*1,0),IF(AND('Basic Data Entry'!$C$10="subordinate",'Arear Table Protected'!T55=2020,S55=10),ROUND(Z55/31*1,0),IF(AND('Basic Data Entry'!$C$10="ministrial",'Arear Table Protected'!T55=2020,S55=3),ROUND(V55/31*1,0),""))))))))</f>
        <v/>
      </c>
      <c r="AR55" s="107" t="str">
        <f t="array" ref="AR55">IF(OR(O55=0,O55=""),"",IF(AND('Basic Data Entry'!$C$10="state Service",'Arear Table Protected'!T55=2020,S55=3),ROUND(AA55/31*5,0),IF(AND('Basic Data Entry'!$C$10="state Service",'Arear Table Protected'!T55=2020,S55=9),ROUND(AE55/30*2,0),IF(AND('Basic Data Entry'!$C$10="state Service",'Arear Table Protected'!T55=2020,S55=10),ROUND(AE55/31*2,0),IF(AND('Basic Data Entry'!$C$10="subordinate",'Arear Table Protected'!T55=2020,S55=3),ROUND(AA55/31*3,0),IF(AND('Basic Data Entry'!$C$10="subordinate",'Arear Table Protected'!T55=2020,S55=9),ROUND(AE55/30*1,0),IF(AND('Basic Data Entry'!$C$10="subordinate",'Arear Table Protected'!T55=2020,S55=10),ROUND(AE55/31*1,0),IF(AND('Basic Data Entry'!$C$10="ministrial",'Arear Table Protected'!T55=2020,S55=3),ROUND(AA55/31*1,0),""))))))))</f>
        <v/>
      </c>
      <c r="AS55" s="205" t="str">
        <f t="array" ref="AS55">IF(OR(O55=0,O55="",AQ55="",AR55=""),"",AQ55-AR55)</f>
        <v/>
      </c>
      <c r="AT55" s="44" t="str">
        <f t="array" ref="AT55">IF(OR(O54=0,O54=""),"",AT54)</f>
        <v/>
      </c>
      <c r="AU55" s="45" t="str">
        <f t="array" ref="AU55">IF(OR(O54=0,O54=""),"",AU54)</f>
        <v/>
      </c>
      <c r="AV55" s="206" t="str">
        <f t="array" ref="AV55">IF(OR(O55=0,O55=""),"",SUM(AT55-AU55))</f>
        <v/>
      </c>
      <c r="AW55" s="207" t="str">
        <f t="array" ref="AW55">IF(OR(O55=0,O55=""),"",ROUND((AJ55)*$E$3,0))</f>
        <v/>
      </c>
      <c r="AX55" s="207" t="str">
        <f t="array" ref="AX55">IF(OR(O55=0,O55=""),"",SUM(AM55,AP55,AS55,AV55,AW55))</f>
        <v/>
      </c>
      <c r="AY55" s="208" t="str">
        <f t="array" ref="AY55">IF(OR(O55=0,O55=""),"",AJ55-AX55)</f>
        <v/>
      </c>
      <c r="AZ55" s="46"/>
      <c r="BA55" s="24"/>
      <c r="BB55" s="24"/>
      <c r="BC55" s="11">
        <f t="shared" si="20"/>
        <v>0</v>
      </c>
      <c r="BD55" s="84">
        <f t="shared" si="12"/>
        <v>0</v>
      </c>
      <c r="BE55" s="84">
        <f t="shared" si="18"/>
        <v>0</v>
      </c>
      <c r="BI55" s="22">
        <f t="shared" si="19"/>
        <v>44768</v>
      </c>
      <c r="BK55" s="19">
        <f t="shared" si="13"/>
        <v>1</v>
      </c>
      <c r="BL55" s="20" t="str">
        <f t="array" ref="BL55">IF(OR(O55=0,O55=""),"",U55)</f>
        <v/>
      </c>
      <c r="BM55" s="19" t="str">
        <f t="array" ref="BM55">IF(OR(O55=0,O55=""),"",BK55+BL55)</f>
        <v/>
      </c>
      <c r="BN55" s="21">
        <f t="shared" si="24"/>
        <v>0</v>
      </c>
      <c r="BO55" s="21">
        <f t="shared" si="25"/>
        <v>0</v>
      </c>
      <c r="BP55" s="23">
        <f t="shared" si="26"/>
        <v>0</v>
      </c>
      <c r="BQ55" s="21" t="str">
        <f t="shared" si="27"/>
        <v>00</v>
      </c>
      <c r="BW55" s="81" t="str">
        <f>IF(OR(O55=0,O55=""),"",IF('Basic Data Entry'!$C$9="fixation","yes",""))</f>
        <v/>
      </c>
      <c r="BX55" s="81" t="str">
        <f>IF(OR(O55=0,O55=""),"",IF('Basic Data Entry'!$G$12="yes","yes","no"))</f>
        <v/>
      </c>
    </row>
    <row r="56" spans="1:76" ht="18" customHeight="1" thickBot="1">
      <c r="A56" s="10" t="str">
        <f t="shared" si="6"/>
        <v/>
      </c>
      <c r="B56" s="305"/>
      <c r="C56" s="305"/>
      <c r="D56" s="305"/>
      <c r="E56" s="305"/>
      <c r="F56" s="108" t="str">
        <f t="shared" si="1"/>
        <v/>
      </c>
      <c r="G56" s="165" t="str">
        <f t="shared" si="2"/>
        <v/>
      </c>
      <c r="H56" s="166" t="str">
        <f t="shared" si="3"/>
        <v/>
      </c>
      <c r="I56" s="166" t="str">
        <f>IF(OR($E$2="fixation",O56="",O56=0),"",IF(AND('Basic Data Entry'!$G$11="Z-Rural",'Arear Table Protected'!T56&lt;2021),0.08,IF(AND('Basic Data Entry'!$G$11="Y-Urban",'Arear Table Protected'!T56&lt;2021),0.16,IF(AND('Basic Data Entry'!$G$11="Z-Rural",'Arear Table Protected'!T56=2021,S56&gt;=7),0.09,IF(AND('Basic Data Entry'!$G$11="Y-Urban",'Arear Table Protected'!T56=2021,'Arear Table Protected'!S56&gt;=7),0.18,IF(AND('Basic Data Entry'!$G$11="Z-Rural",'Arear Table Protected'!T56=2021,S56&lt;7),0.08,IF(AND('Basic Data Entry'!$G$11="Y-Urban",'Arear Table Protected'!T56=2021,'Arear Table Protected'!S56&lt;7),0.16,IF(AND('Basic Data Entry'!$G$11="Z-Rural",'Arear Table Protected'!T56=2022),0.09,IF(AND('Basic Data Entry'!$G$11="Y-Urban",'Arear Table Protected'!T56=2022),0.18,IF(AND('Basic Data Entry'!$G$11="Z-Rural",'Arear Table Protected'!T56=2023),0.09,IF(AND('Basic Data Entry'!$G$11="Y-Urban",'Arear Table Protected'!T56=2023),0.18,"")))))))))))</f>
        <v/>
      </c>
      <c r="J56" s="167" t="str">
        <f>IF(OR(O56="",O56=0),"",IF(AND('Basic Data Entry'!$G$11="Z-Rural",'Arear Table Protected'!T56&lt;2021),0.08,IF(AND('Basic Data Entry'!$G$11="Y-Urban",'Arear Table Protected'!T56&lt;2021),0.16,IF(AND('Basic Data Entry'!$G$11="Z-Rural",'Arear Table Protected'!T56=2021,S56&gt;=7),0.09,IF(AND('Basic Data Entry'!$G$11="Y-Urban",'Arear Table Protected'!T56=2021,'Arear Table Protected'!S56&gt;=7),0.18,IF(AND('Basic Data Entry'!$G$11="Z-Rural",'Arear Table Protected'!T56=2021,S56&lt;7),0.08,IF(AND('Basic Data Entry'!$G$11="Y-Urban",'Arear Table Protected'!T56=2021,'Arear Table Protected'!S56&lt;7),0.16,IF(AND('Basic Data Entry'!$G$11="Z-Rural",'Arear Table Protected'!T56=2022),0.09,IF(AND('Basic Data Entry'!$G$11="Y-Urban",'Arear Table Protected'!T56=2022),0.18,IF(AND('Basic Data Entry'!$G$11="Z-Rural",'Arear Table Protected'!T56=2023),0.09,IF(AND('Basic Data Entry'!$G$11="Y-Urban",'Arear Table Protected'!T56=2023),0.18,"")))))))))))</f>
        <v/>
      </c>
      <c r="K56" s="168" t="str">
        <f t="shared" si="4"/>
        <v/>
      </c>
      <c r="L56" s="169" t="str">
        <f t="shared" si="5"/>
        <v/>
      </c>
      <c r="M56" s="170" t="str">
        <f t="shared" si="7"/>
        <v/>
      </c>
      <c r="N56" s="196">
        <v>44</v>
      </c>
      <c r="O56" s="327">
        <f t="shared" si="8"/>
        <v>0</v>
      </c>
      <c r="P56" s="328"/>
      <c r="Q56" s="328"/>
      <c r="R56" s="329"/>
      <c r="S56" s="161" t="str">
        <f t="array" ref="S56">IF(OR(O56=0,O56=""),"",MONTH(O56))</f>
        <v/>
      </c>
      <c r="T56" s="161" t="str">
        <f t="array" ref="T56">IF(OR(O56=0,O56=""),"",YEAR(O56))</f>
        <v/>
      </c>
      <c r="U56" s="161" t="str">
        <f t="shared" si="9"/>
        <v/>
      </c>
      <c r="V56" s="197" t="str">
        <f t="array" ref="V56">IF(OR(O56=0,O56=""),"",BE56)</f>
        <v/>
      </c>
      <c r="W56" s="163" t="str">
        <f t="array" ref="W56">IF(OR(O56=0,O56=""),"",ROUND(V56*H56,0))</f>
        <v/>
      </c>
      <c r="X56" s="222">
        <f t="shared" si="10"/>
        <v>0</v>
      </c>
      <c r="Y56" s="163" t="str">
        <f t="array" ref="Y56">IF(OR(O56=0,O56=""),"",ROUND(V56*J56,0))</f>
        <v/>
      </c>
      <c r="Z56" s="198" t="str">
        <f t="array" ref="Z56">IF(OR(O56=0,O56=""),"",SUM(V56:Y56))</f>
        <v/>
      </c>
      <c r="AA56" s="199" t="str">
        <f t="array" ref="AA56">IF(OR(O56=0,O56=""),"",IF(V56=0,0,IF($E$2="FIXATION",$B$5,IF(V56=0,0,IF(BD56=7,ROUND(AA55*1.03,-2),AA55)))))</f>
        <v/>
      </c>
      <c r="AB56" s="200" t="str">
        <f t="array" ref="AB56">IF(OR(O56=0,O56=""),"",IF($E$2="fixation",0,ROUND(AA56*G56,0)))</f>
        <v/>
      </c>
      <c r="AC56" s="222" t="str">
        <f t="array" ref="AC56">IF(OR(O56=0,O56=""),"",AC55)</f>
        <v/>
      </c>
      <c r="AD56" s="200" t="str">
        <f t="array" ref="AD56">IF(OR(O56=0,O56=""),"",IF($E$2="fixation",0,ROUND(AA56*I56,0)))</f>
        <v/>
      </c>
      <c r="AE56" s="198" t="str">
        <f t="array" ref="AE56">IF(OR(O56=0,O56=""),"",SUM(AA56:AD56))</f>
        <v/>
      </c>
      <c r="AF56" s="199" t="str">
        <f t="array" ref="AF56">IF(OR(O56=0,O56=""),"",V56-AA56)</f>
        <v/>
      </c>
      <c r="AG56" s="200" t="str">
        <f t="array" ref="AG56">IF(OR(O56=0,O56=""),"",W56-AB56)</f>
        <v/>
      </c>
      <c r="AH56" s="200" t="str">
        <f t="array" ref="AH56">IF(OR(O56=0,O56=""),"",X56-AC56)</f>
        <v/>
      </c>
      <c r="AI56" s="200" t="str">
        <f t="array" ref="AI56">IF(OR(O56=0,O56=""),"",Y56-AD56)</f>
        <v/>
      </c>
      <c r="AJ56" s="201" t="str">
        <f t="array" ref="AJ56">IF(OR(O56=0,O56=""),"",Z56-AE56)</f>
        <v/>
      </c>
      <c r="AK56" s="202" t="str">
        <f t="array" ref="AK56">IF(OR(O56=0,O56=""),"",IF(M56="",$AZ$2,$AZ$2+M56))</f>
        <v/>
      </c>
      <c r="AL56" s="203" t="str">
        <f t="array" ref="AL56">IF(OR(O56=0,O56=""),"",$AQ$2)</f>
        <v/>
      </c>
      <c r="AM56" s="204" t="str">
        <f t="array" ref="AM56">IF(OR(O56=0,O56=""),"",AK56-AL56)</f>
        <v/>
      </c>
      <c r="AN56" s="3" t="str">
        <f t="array" ref="AN56">IF(OR(O55=0,O55="",AN55="",AN55=""),"",AN55)</f>
        <v/>
      </c>
      <c r="AO56" s="2" t="str">
        <f t="array" ref="AO56">IF(OR(O55=0,O55="",AO55="",AO55=""),"",AO55)</f>
        <v/>
      </c>
      <c r="AP56" s="204" t="str">
        <f t="array" ref="AP56">IF(OR(O56=0,O56=""),"",SUM(AN56-AO56))</f>
        <v/>
      </c>
      <c r="AQ56" s="106" t="str">
        <f t="array" ref="AQ56">IF(OR(O56=0,O56=""),"",IF(AND('Basic Data Entry'!$C$10="state Service",'Arear Table Protected'!T56=2020,S56=3),ROUND(V56/31*5,0),IF(AND('Basic Data Entry'!$C$10="state Service",'Arear Table Protected'!T56=2020,S56=9),ROUND(Z56/30*2,0),IF(AND('Basic Data Entry'!$C$10="state Service",'Arear Table Protected'!T56=2020,S56=10),ROUND(Z56/31*2,0),IF(AND('Basic Data Entry'!$C$10="subordinate",'Arear Table Protected'!T56=2020,S56=3),ROUND(V56/31*3,0),IF(AND('Basic Data Entry'!$C$10="subordinate",'Arear Table Protected'!T56=2020,S56=9),ROUND(Z56/30*1,0),IF(AND('Basic Data Entry'!$C$10="subordinate",'Arear Table Protected'!T56=2020,S56=10),ROUND(Z56/31*1,0),IF(AND('Basic Data Entry'!$C$10="ministrial",'Arear Table Protected'!T56=2020,S56=3),ROUND(V56/31*1,0),""))))))))</f>
        <v/>
      </c>
      <c r="AR56" s="107" t="str">
        <f t="array" ref="AR56">IF(OR(O56=0,O56=""),"",IF(AND('Basic Data Entry'!$C$10="state Service",'Arear Table Protected'!T56=2020,S56=3),ROUND(AA56/31*5,0),IF(AND('Basic Data Entry'!$C$10="state Service",'Arear Table Protected'!T56=2020,S56=9),ROUND(AE56/30*2,0),IF(AND('Basic Data Entry'!$C$10="state Service",'Arear Table Protected'!T56=2020,S56=10),ROUND(AE56/31*2,0),IF(AND('Basic Data Entry'!$C$10="subordinate",'Arear Table Protected'!T56=2020,S56=3),ROUND(AA56/31*3,0),IF(AND('Basic Data Entry'!$C$10="subordinate",'Arear Table Protected'!T56=2020,S56=9),ROUND(AE56/30*1,0),IF(AND('Basic Data Entry'!$C$10="subordinate",'Arear Table Protected'!T56=2020,S56=10),ROUND(AE56/31*1,0),IF(AND('Basic Data Entry'!$C$10="ministrial",'Arear Table Protected'!T56=2020,S56=3),ROUND(AA56/31*1,0),""))))))))</f>
        <v/>
      </c>
      <c r="AS56" s="205" t="str">
        <f t="array" ref="AS56">IF(OR(O56=0,O56="",AQ56="",AR56=""),"",AQ56-AR56)</f>
        <v/>
      </c>
      <c r="AT56" s="44" t="str">
        <f t="array" ref="AT56">IF(OR(O55=0,O55=""),"",AT55)</f>
        <v/>
      </c>
      <c r="AU56" s="45" t="str">
        <f t="array" ref="AU56">IF(OR(O55=0,O55=""),"",AU55)</f>
        <v/>
      </c>
      <c r="AV56" s="206" t="str">
        <f t="array" ref="AV56">IF(OR(O56=0,O56=""),"",SUM(AT56-AU56))</f>
        <v/>
      </c>
      <c r="AW56" s="207" t="str">
        <f t="array" ref="AW56">IF(OR(O56=0,O56=""),"",ROUND((AJ56)*$E$3,0))</f>
        <v/>
      </c>
      <c r="AX56" s="207" t="str">
        <f t="array" ref="AX56">IF(OR(O56=0,O56=""),"",SUM(AM56,AP56,AS56,AV56,AW56))</f>
        <v/>
      </c>
      <c r="AY56" s="208" t="str">
        <f t="array" ref="AY56">IF(OR(O56=0,O56=""),"",AJ56-AX56)</f>
        <v/>
      </c>
      <c r="AZ56" s="46"/>
      <c r="BA56" s="24"/>
      <c r="BB56" s="24"/>
      <c r="BC56" s="11">
        <f t="shared" si="20"/>
        <v>0</v>
      </c>
      <c r="BD56" s="84">
        <f t="shared" si="12"/>
        <v>0</v>
      </c>
      <c r="BE56" s="84">
        <f t="shared" si="18"/>
        <v>0</v>
      </c>
      <c r="BI56" s="22">
        <f t="shared" si="19"/>
        <v>44799</v>
      </c>
      <c r="BK56" s="19">
        <f t="shared" si="13"/>
        <v>1</v>
      </c>
      <c r="BL56" s="20" t="str">
        <f t="array" ref="BL56">IF(OR(O56=0,O56=""),"",U56)</f>
        <v/>
      </c>
      <c r="BM56" s="19" t="str">
        <f t="array" ref="BM56">IF(OR(O56=0,O56=""),"",BK56+BL56)</f>
        <v/>
      </c>
      <c r="BN56" s="21">
        <f t="shared" si="24"/>
        <v>0</v>
      </c>
      <c r="BO56" s="21">
        <f t="shared" si="25"/>
        <v>0</v>
      </c>
      <c r="BP56" s="23">
        <f t="shared" si="26"/>
        <v>0</v>
      </c>
      <c r="BQ56" s="21" t="str">
        <f t="shared" si="27"/>
        <v>00</v>
      </c>
      <c r="BW56" s="81" t="str">
        <f>IF(OR(O56=0,O56=""),"",IF('Basic Data Entry'!$C$9="fixation","yes",""))</f>
        <v/>
      </c>
      <c r="BX56" s="81" t="str">
        <f>IF(OR(O56=0,O56=""),"",IF('Basic Data Entry'!$G$12="yes","yes","no"))</f>
        <v/>
      </c>
    </row>
    <row r="57" spans="1:76" ht="18" customHeight="1" thickBot="1">
      <c r="A57" s="10" t="str">
        <f t="shared" si="6"/>
        <v/>
      </c>
      <c r="B57" s="305"/>
      <c r="C57" s="305"/>
      <c r="D57" s="305"/>
      <c r="E57" s="305"/>
      <c r="F57" s="108" t="str">
        <f t="shared" si="1"/>
        <v/>
      </c>
      <c r="G57" s="165" t="str">
        <f t="shared" si="2"/>
        <v/>
      </c>
      <c r="H57" s="166" t="str">
        <f t="shared" si="3"/>
        <v/>
      </c>
      <c r="I57" s="166" t="str">
        <f>IF(OR($E$2="fixation",O57="",O57=0),"",IF(AND('Basic Data Entry'!$G$11="Z-Rural",'Arear Table Protected'!T57&lt;2021),0.08,IF(AND('Basic Data Entry'!$G$11="Y-Urban",'Arear Table Protected'!T57&lt;2021),0.16,IF(AND('Basic Data Entry'!$G$11="Z-Rural",'Arear Table Protected'!T57=2021,S57&gt;=7),0.09,IF(AND('Basic Data Entry'!$G$11="Y-Urban",'Arear Table Protected'!T57=2021,'Arear Table Protected'!S57&gt;=7),0.18,IF(AND('Basic Data Entry'!$G$11="Z-Rural",'Arear Table Protected'!T57=2021,S57&lt;7),0.08,IF(AND('Basic Data Entry'!$G$11="Y-Urban",'Arear Table Protected'!T57=2021,'Arear Table Protected'!S57&lt;7),0.16,IF(AND('Basic Data Entry'!$G$11="Z-Rural",'Arear Table Protected'!T57=2022),0.09,IF(AND('Basic Data Entry'!$G$11="Y-Urban",'Arear Table Protected'!T57=2022),0.18,IF(AND('Basic Data Entry'!$G$11="Z-Rural",'Arear Table Protected'!T57=2023),0.09,IF(AND('Basic Data Entry'!$G$11="Y-Urban",'Arear Table Protected'!T57=2023),0.18,"")))))))))))</f>
        <v/>
      </c>
      <c r="J57" s="167" t="str">
        <f>IF(OR(O57="",O57=0),"",IF(AND('Basic Data Entry'!$G$11="Z-Rural",'Arear Table Protected'!T57&lt;2021),0.08,IF(AND('Basic Data Entry'!$G$11="Y-Urban",'Arear Table Protected'!T57&lt;2021),0.16,IF(AND('Basic Data Entry'!$G$11="Z-Rural",'Arear Table Protected'!T57=2021,S57&gt;=7),0.09,IF(AND('Basic Data Entry'!$G$11="Y-Urban",'Arear Table Protected'!T57=2021,'Arear Table Protected'!S57&gt;=7),0.18,IF(AND('Basic Data Entry'!$G$11="Z-Rural",'Arear Table Protected'!T57=2021,S57&lt;7),0.08,IF(AND('Basic Data Entry'!$G$11="Y-Urban",'Arear Table Protected'!T57=2021,'Arear Table Protected'!S57&lt;7),0.16,IF(AND('Basic Data Entry'!$G$11="Z-Rural",'Arear Table Protected'!T57=2022),0.09,IF(AND('Basic Data Entry'!$G$11="Y-Urban",'Arear Table Protected'!T57=2022),0.18,IF(AND('Basic Data Entry'!$G$11="Z-Rural",'Arear Table Protected'!T57=2023),0.09,IF(AND('Basic Data Entry'!$G$11="Y-Urban",'Arear Table Protected'!T57=2023),0.18,"")))))))))))</f>
        <v/>
      </c>
      <c r="K57" s="168" t="str">
        <f t="shared" si="4"/>
        <v/>
      </c>
      <c r="L57" s="169" t="str">
        <f t="shared" si="5"/>
        <v/>
      </c>
      <c r="M57" s="170" t="str">
        <f t="shared" si="7"/>
        <v/>
      </c>
      <c r="N57" s="196">
        <v>45</v>
      </c>
      <c r="O57" s="327">
        <f t="shared" si="8"/>
        <v>0</v>
      </c>
      <c r="P57" s="328"/>
      <c r="Q57" s="328"/>
      <c r="R57" s="329"/>
      <c r="S57" s="161" t="str">
        <f t="array" ref="S57">IF(OR(O57=0,O57=""),"",MONTH(O57))</f>
        <v/>
      </c>
      <c r="T57" s="161" t="str">
        <f t="array" ref="T57">IF(OR(O57=0,O57=""),"",YEAR(O57))</f>
        <v/>
      </c>
      <c r="U57" s="161" t="str">
        <f t="shared" si="9"/>
        <v/>
      </c>
      <c r="V57" s="197" t="str">
        <f t="array" ref="V57">IF(OR(O57=0,O57=""),"",BE57)</f>
        <v/>
      </c>
      <c r="W57" s="163" t="str">
        <f t="array" ref="W57">IF(OR(O57=0,O57=""),"",ROUND(V57*H57,0))</f>
        <v/>
      </c>
      <c r="X57" s="222">
        <f t="shared" si="10"/>
        <v>0</v>
      </c>
      <c r="Y57" s="163" t="str">
        <f t="array" ref="Y57">IF(OR(O57=0,O57=""),"",ROUND(V57*J57,0))</f>
        <v/>
      </c>
      <c r="Z57" s="198" t="str">
        <f t="array" ref="Z57">IF(OR(O57=0,O57=""),"",SUM(V57:Y57))</f>
        <v/>
      </c>
      <c r="AA57" s="199" t="str">
        <f t="array" ref="AA57">IF(OR(O57=0,O57=""),"",IF(V57=0,0,IF($E$2="FIXATION",$B$5,IF(V57=0,0,IF(BD57=7,ROUND(AA56*1.03,-2),AA56)))))</f>
        <v/>
      </c>
      <c r="AB57" s="200" t="str">
        <f t="array" ref="AB57">IF(OR(O57=0,O57=""),"",IF($E$2="fixation",0,ROUND(AA57*G57,0)))</f>
        <v/>
      </c>
      <c r="AC57" s="222" t="str">
        <f t="array" ref="AC57">IF(OR(O57=0,O57=""),"",AC56)</f>
        <v/>
      </c>
      <c r="AD57" s="200" t="str">
        <f t="array" ref="AD57">IF(OR(O57=0,O57=""),"",IF($E$2="fixation",0,ROUND(AA57*I57,0)))</f>
        <v/>
      </c>
      <c r="AE57" s="198" t="str">
        <f t="array" ref="AE57">IF(OR(O57=0,O57=""),"",SUM(AA57:AD57))</f>
        <v/>
      </c>
      <c r="AF57" s="199" t="str">
        <f t="array" ref="AF57">IF(OR(O57=0,O57=""),"",V57-AA57)</f>
        <v/>
      </c>
      <c r="AG57" s="200" t="str">
        <f t="array" ref="AG57">IF(OR(O57=0,O57=""),"",W57-AB57)</f>
        <v/>
      </c>
      <c r="AH57" s="200" t="str">
        <f t="array" ref="AH57">IF(OR(O57=0,O57=""),"",X57-AC57)</f>
        <v/>
      </c>
      <c r="AI57" s="200" t="str">
        <f t="array" ref="AI57">IF(OR(O57=0,O57=""),"",Y57-AD57)</f>
        <v/>
      </c>
      <c r="AJ57" s="201" t="str">
        <f t="array" ref="AJ57">IF(OR(O57=0,O57=""),"",Z57-AE57)</f>
        <v/>
      </c>
      <c r="AK57" s="202" t="str">
        <f t="array" ref="AK57">IF(OR(O57=0,O57=""),"",IF(M57="",$AZ$2,$AZ$2+M57))</f>
        <v/>
      </c>
      <c r="AL57" s="203" t="str">
        <f t="array" ref="AL57">IF(OR(O57=0,O57=""),"",$AQ$2)</f>
        <v/>
      </c>
      <c r="AM57" s="204" t="str">
        <f t="array" ref="AM57">IF(OR(O57=0,O57=""),"",AK57-AL57)</f>
        <v/>
      </c>
      <c r="AN57" s="3" t="str">
        <f t="array" ref="AN57">IF(OR(O56=0,O56="",AN56="",AN56=""),"",AN56)</f>
        <v/>
      </c>
      <c r="AO57" s="2" t="str">
        <f t="array" ref="AO57">IF(OR(O56=0,O56="",AO56="",AO56=""),"",AO56)</f>
        <v/>
      </c>
      <c r="AP57" s="204" t="str">
        <f t="array" ref="AP57">IF(OR(O57=0,O57=""),"",SUM(AN57-AO57))</f>
        <v/>
      </c>
      <c r="AQ57" s="106" t="str">
        <f t="array" ref="AQ57">IF(OR(O57=0,O57=""),"",IF(AND('Basic Data Entry'!$C$10="state Service",'Arear Table Protected'!T57=2020,S57=3),ROUND(V57/31*5,0),IF(AND('Basic Data Entry'!$C$10="state Service",'Arear Table Protected'!T57=2020,S57=9),ROUND(Z57/30*2,0),IF(AND('Basic Data Entry'!$C$10="state Service",'Arear Table Protected'!T57=2020,S57=10),ROUND(Z57/31*2,0),IF(AND('Basic Data Entry'!$C$10="subordinate",'Arear Table Protected'!T57=2020,S57=3),ROUND(V57/31*3,0),IF(AND('Basic Data Entry'!$C$10="subordinate",'Arear Table Protected'!T57=2020,S57=9),ROUND(Z57/30*1,0),IF(AND('Basic Data Entry'!$C$10="subordinate",'Arear Table Protected'!T57=2020,S57=10),ROUND(Z57/31*1,0),IF(AND('Basic Data Entry'!$C$10="ministrial",'Arear Table Protected'!T57=2020,S57=3),ROUND(V57/31*1,0),""))))))))</f>
        <v/>
      </c>
      <c r="AR57" s="107" t="str">
        <f t="array" ref="AR57">IF(OR(O57=0,O57=""),"",IF(AND('Basic Data Entry'!$C$10="state Service",'Arear Table Protected'!T57=2020,S57=3),ROUND(AA57/31*5,0),IF(AND('Basic Data Entry'!$C$10="state Service",'Arear Table Protected'!T57=2020,S57=9),ROUND(AE57/30*2,0),IF(AND('Basic Data Entry'!$C$10="state Service",'Arear Table Protected'!T57=2020,S57=10),ROUND(AE57/31*2,0),IF(AND('Basic Data Entry'!$C$10="subordinate",'Arear Table Protected'!T57=2020,S57=3),ROUND(AA57/31*3,0),IF(AND('Basic Data Entry'!$C$10="subordinate",'Arear Table Protected'!T57=2020,S57=9),ROUND(AE57/30*1,0),IF(AND('Basic Data Entry'!$C$10="subordinate",'Arear Table Protected'!T57=2020,S57=10),ROUND(AE57/31*1,0),IF(AND('Basic Data Entry'!$C$10="ministrial",'Arear Table Protected'!T57=2020,S57=3),ROUND(AA57/31*1,0),""))))))))</f>
        <v/>
      </c>
      <c r="AS57" s="205" t="str">
        <f t="array" ref="AS57">IF(OR(O57=0,O57="",AQ57="",AR57=""),"",AQ57-AR57)</f>
        <v/>
      </c>
      <c r="AT57" s="44" t="str">
        <f t="array" ref="AT57">IF(OR(O56=0,O56=""),"",AT56)</f>
        <v/>
      </c>
      <c r="AU57" s="45" t="str">
        <f t="array" ref="AU57">IF(OR(O56=0,O56=""),"",AU56)</f>
        <v/>
      </c>
      <c r="AV57" s="206" t="str">
        <f t="array" ref="AV57">IF(OR(O57=0,O57=""),"",SUM(AT57-AU57))</f>
        <v/>
      </c>
      <c r="AW57" s="207" t="str">
        <f t="array" ref="AW57">IF(OR(O57=0,O57=""),"",ROUND((AJ57)*$E$3,0))</f>
        <v/>
      </c>
      <c r="AX57" s="207" t="str">
        <f t="array" ref="AX57">IF(OR(O57=0,O57=""),"",SUM(AM57,AP57,AS57,AV57,AW57))</f>
        <v/>
      </c>
      <c r="AY57" s="208" t="str">
        <f t="array" ref="AY57">IF(OR(O57=0,O57=""),"",AJ57-AX57)</f>
        <v/>
      </c>
      <c r="AZ57" s="46"/>
      <c r="BA57" s="24"/>
      <c r="BB57" s="24"/>
      <c r="BC57" s="11">
        <f t="shared" si="20"/>
        <v>0</v>
      </c>
      <c r="BD57" s="84">
        <f t="shared" si="12"/>
        <v>0</v>
      </c>
      <c r="BE57" s="84">
        <f t="shared" si="18"/>
        <v>0</v>
      </c>
      <c r="BI57" s="22">
        <f t="shared" si="19"/>
        <v>44830</v>
      </c>
      <c r="BK57" s="19">
        <f t="shared" si="13"/>
        <v>1</v>
      </c>
      <c r="BL57" s="20" t="str">
        <f t="array" ref="BL57">IF(OR(O57=0,O57=""),"",U57)</f>
        <v/>
      </c>
      <c r="BM57" s="19" t="str">
        <f t="array" ref="BM57">IF(OR(O57=0,O57=""),"",BK57+BL57)</f>
        <v/>
      </c>
      <c r="BN57" s="21">
        <f t="shared" si="24"/>
        <v>0</v>
      </c>
      <c r="BO57" s="21">
        <f t="shared" si="25"/>
        <v>0</v>
      </c>
      <c r="BP57" s="23">
        <f t="shared" si="26"/>
        <v>0</v>
      </c>
      <c r="BQ57" s="21" t="str">
        <f t="shared" si="27"/>
        <v>00</v>
      </c>
      <c r="BW57" s="81" t="str">
        <f>IF(OR(O57=0,O57=""),"",IF('Basic Data Entry'!$C$9="fixation","yes",""))</f>
        <v/>
      </c>
      <c r="BX57" s="81" t="str">
        <f>IF(OR(O57=0,O57=""),"",IF('Basic Data Entry'!$G$12="yes","yes","no"))</f>
        <v/>
      </c>
    </row>
    <row r="58" spans="1:76" ht="18" customHeight="1" thickBot="1">
      <c r="A58" s="10" t="str">
        <f t="shared" si="6"/>
        <v/>
      </c>
      <c r="B58" s="305"/>
      <c r="C58" s="305"/>
      <c r="D58" s="305"/>
      <c r="E58" s="305"/>
      <c r="F58" s="108" t="str">
        <f t="shared" si="1"/>
        <v/>
      </c>
      <c r="G58" s="165" t="str">
        <f t="shared" si="2"/>
        <v/>
      </c>
      <c r="H58" s="166" t="str">
        <f t="shared" si="3"/>
        <v/>
      </c>
      <c r="I58" s="166" t="str">
        <f>IF(OR($E$2="fixation",O58="",O58=0),"",IF(AND('Basic Data Entry'!$G$11="Z-Rural",'Arear Table Protected'!T58&lt;2021),0.08,IF(AND('Basic Data Entry'!$G$11="Y-Urban",'Arear Table Protected'!T58&lt;2021),0.16,IF(AND('Basic Data Entry'!$G$11="Z-Rural",'Arear Table Protected'!T58=2021,S58&gt;=7),0.09,IF(AND('Basic Data Entry'!$G$11="Y-Urban",'Arear Table Protected'!T58=2021,'Arear Table Protected'!S58&gt;=7),0.18,IF(AND('Basic Data Entry'!$G$11="Z-Rural",'Arear Table Protected'!T58=2021,S58&lt;7),0.08,IF(AND('Basic Data Entry'!$G$11="Y-Urban",'Arear Table Protected'!T58=2021,'Arear Table Protected'!S58&lt;7),0.16,IF(AND('Basic Data Entry'!$G$11="Z-Rural",'Arear Table Protected'!T58=2022),0.09,IF(AND('Basic Data Entry'!$G$11="Y-Urban",'Arear Table Protected'!T58=2022),0.18,IF(AND('Basic Data Entry'!$G$11="Z-Rural",'Arear Table Protected'!T58=2023),0.09,IF(AND('Basic Data Entry'!$G$11="Y-Urban",'Arear Table Protected'!T58=2023),0.18,"")))))))))))</f>
        <v/>
      </c>
      <c r="J58" s="167" t="str">
        <f>IF(OR(O58="",O58=0),"",IF(AND('Basic Data Entry'!$G$11="Z-Rural",'Arear Table Protected'!T58&lt;2021),0.08,IF(AND('Basic Data Entry'!$G$11="Y-Urban",'Arear Table Protected'!T58&lt;2021),0.16,IF(AND('Basic Data Entry'!$G$11="Z-Rural",'Arear Table Protected'!T58=2021,S58&gt;=7),0.09,IF(AND('Basic Data Entry'!$G$11="Y-Urban",'Arear Table Protected'!T58=2021,'Arear Table Protected'!S58&gt;=7),0.18,IF(AND('Basic Data Entry'!$G$11="Z-Rural",'Arear Table Protected'!T58=2021,S58&lt;7),0.08,IF(AND('Basic Data Entry'!$G$11="Y-Urban",'Arear Table Protected'!T58=2021,'Arear Table Protected'!S58&lt;7),0.16,IF(AND('Basic Data Entry'!$G$11="Z-Rural",'Arear Table Protected'!T58=2022),0.09,IF(AND('Basic Data Entry'!$G$11="Y-Urban",'Arear Table Protected'!T58=2022),0.18,IF(AND('Basic Data Entry'!$G$11="Z-Rural",'Arear Table Protected'!T58=2023),0.09,IF(AND('Basic Data Entry'!$G$11="Y-Urban",'Arear Table Protected'!T58=2023),0.18,"")))))))))))</f>
        <v/>
      </c>
      <c r="K58" s="168" t="str">
        <f t="shared" si="4"/>
        <v/>
      </c>
      <c r="L58" s="169" t="str">
        <f t="shared" si="5"/>
        <v/>
      </c>
      <c r="M58" s="170" t="str">
        <f t="shared" si="7"/>
        <v/>
      </c>
      <c r="N58" s="196">
        <v>46</v>
      </c>
      <c r="O58" s="327">
        <f t="shared" si="8"/>
        <v>0</v>
      </c>
      <c r="P58" s="328"/>
      <c r="Q58" s="328"/>
      <c r="R58" s="329"/>
      <c r="S58" s="161" t="str">
        <f t="array" ref="S58">IF(OR(O58=0,O58=""),"",MONTH(O58))</f>
        <v/>
      </c>
      <c r="T58" s="161" t="str">
        <f t="array" ref="T58">IF(OR(O58=0,O58=""),"",YEAR(O58))</f>
        <v/>
      </c>
      <c r="U58" s="161" t="str">
        <f t="shared" si="9"/>
        <v/>
      </c>
      <c r="V58" s="197" t="str">
        <f t="array" ref="V58">IF(OR(O58=0,O58=""),"",BE58)</f>
        <v/>
      </c>
      <c r="W58" s="163" t="str">
        <f t="array" ref="W58">IF(OR(O58=0,O58=""),"",ROUND(V58*H58,0))</f>
        <v/>
      </c>
      <c r="X58" s="222">
        <f t="shared" si="10"/>
        <v>0</v>
      </c>
      <c r="Y58" s="163" t="str">
        <f t="array" ref="Y58">IF(OR(O58=0,O58=""),"",ROUND(V58*J58,0))</f>
        <v/>
      </c>
      <c r="Z58" s="198" t="str">
        <f t="array" ref="Z58">IF(OR(O58=0,O58=""),"",SUM(V58:Y58))</f>
        <v/>
      </c>
      <c r="AA58" s="199" t="str">
        <f t="array" ref="AA58">IF(OR(O58=0,O58=""),"",IF(V58=0,0,IF($E$2="FIXATION",$B$5,IF(V58=0,0,IF(BD58=7,ROUND(AA57*1.03,-2),AA57)))))</f>
        <v/>
      </c>
      <c r="AB58" s="200" t="str">
        <f t="array" ref="AB58">IF(OR(O58=0,O58=""),"",IF($E$2="fixation",0,ROUND(AA58*G58,0)))</f>
        <v/>
      </c>
      <c r="AC58" s="222" t="str">
        <f t="array" ref="AC58">IF(OR(O58=0,O58=""),"",AC57)</f>
        <v/>
      </c>
      <c r="AD58" s="200" t="str">
        <f t="array" ref="AD58">IF(OR(O58=0,O58=""),"",IF($E$2="fixation",0,ROUND(AA58*I58,0)))</f>
        <v/>
      </c>
      <c r="AE58" s="198" t="str">
        <f t="array" ref="AE58">IF(OR(O58=0,O58=""),"",SUM(AA58:AD58))</f>
        <v/>
      </c>
      <c r="AF58" s="199" t="str">
        <f t="array" ref="AF58">IF(OR(O58=0,O58=""),"",V58-AA58)</f>
        <v/>
      </c>
      <c r="AG58" s="200" t="str">
        <f t="array" ref="AG58">IF(OR(O58=0,O58=""),"",W58-AB58)</f>
        <v/>
      </c>
      <c r="AH58" s="200" t="str">
        <f t="array" ref="AH58">IF(OR(O58=0,O58=""),"",X58-AC58)</f>
        <v/>
      </c>
      <c r="AI58" s="200" t="str">
        <f t="array" ref="AI58">IF(OR(O58=0,O58=""),"",Y58-AD58)</f>
        <v/>
      </c>
      <c r="AJ58" s="201" t="str">
        <f t="array" ref="AJ58">IF(OR(O58=0,O58=""),"",Z58-AE58)</f>
        <v/>
      </c>
      <c r="AK58" s="202" t="str">
        <f t="array" ref="AK58">IF(OR(O58=0,O58=""),"",IF(M58="",$AZ$2,$AZ$2+M58))</f>
        <v/>
      </c>
      <c r="AL58" s="203" t="str">
        <f t="array" ref="AL58">IF(OR(O58=0,O58=""),"",$AQ$2)</f>
        <v/>
      </c>
      <c r="AM58" s="204" t="str">
        <f t="array" ref="AM58">IF(OR(O58=0,O58=""),"",AK58-AL58)</f>
        <v/>
      </c>
      <c r="AN58" s="3" t="str">
        <f t="array" ref="AN58">IF(OR(O57=0,O57="",AN57="",AN57=""),"",AN57)</f>
        <v/>
      </c>
      <c r="AO58" s="2" t="str">
        <f t="array" ref="AO58">IF(OR(O57=0,O57="",AO57="",AO57=""),"",AO57)</f>
        <v/>
      </c>
      <c r="AP58" s="204" t="str">
        <f t="array" ref="AP58">IF(OR(O58=0,O58=""),"",SUM(AN58-AO58))</f>
        <v/>
      </c>
      <c r="AQ58" s="106" t="str">
        <f t="array" ref="AQ58">IF(OR(O58=0,O58=""),"",IF(AND('Basic Data Entry'!$C$10="state Service",'Arear Table Protected'!T58=2020,S58=3),ROUND(V58/31*5,0),IF(AND('Basic Data Entry'!$C$10="state Service",'Arear Table Protected'!T58=2020,S58=9),ROUND(Z58/30*2,0),IF(AND('Basic Data Entry'!$C$10="state Service",'Arear Table Protected'!T58=2020,S58=10),ROUND(Z58/31*2,0),IF(AND('Basic Data Entry'!$C$10="subordinate",'Arear Table Protected'!T58=2020,S58=3),ROUND(V58/31*3,0),IF(AND('Basic Data Entry'!$C$10="subordinate",'Arear Table Protected'!T58=2020,S58=9),ROUND(Z58/30*1,0),IF(AND('Basic Data Entry'!$C$10="subordinate",'Arear Table Protected'!T58=2020,S58=10),ROUND(Z58/31*1,0),IF(AND('Basic Data Entry'!$C$10="ministrial",'Arear Table Protected'!T58=2020,S58=3),ROUND(V58/31*1,0),""))))))))</f>
        <v/>
      </c>
      <c r="AR58" s="107" t="str">
        <f t="array" ref="AR58">IF(OR(O58=0,O58=""),"",IF(AND('Basic Data Entry'!$C$10="state Service",'Arear Table Protected'!T58=2020,S58=3),ROUND(AA58/31*5,0),IF(AND('Basic Data Entry'!$C$10="state Service",'Arear Table Protected'!T58=2020,S58=9),ROUND(AE58/30*2,0),IF(AND('Basic Data Entry'!$C$10="state Service",'Arear Table Protected'!T58=2020,S58=10),ROUND(AE58/31*2,0),IF(AND('Basic Data Entry'!$C$10="subordinate",'Arear Table Protected'!T58=2020,S58=3),ROUND(AA58/31*3,0),IF(AND('Basic Data Entry'!$C$10="subordinate",'Arear Table Protected'!T58=2020,S58=9),ROUND(AE58/30*1,0),IF(AND('Basic Data Entry'!$C$10="subordinate",'Arear Table Protected'!T58=2020,S58=10),ROUND(AE58/31*1,0),IF(AND('Basic Data Entry'!$C$10="ministrial",'Arear Table Protected'!T58=2020,S58=3),ROUND(AA58/31*1,0),""))))))))</f>
        <v/>
      </c>
      <c r="AS58" s="205" t="str">
        <f t="array" ref="AS58">IF(OR(O58=0,O58="",AQ58="",AR58=""),"",AQ58-AR58)</f>
        <v/>
      </c>
      <c r="AT58" s="44" t="str">
        <f t="array" ref="AT58">IF(OR(O57=0,O57=""),"",AT57)</f>
        <v/>
      </c>
      <c r="AU58" s="45" t="str">
        <f t="array" ref="AU58">IF(OR(O57=0,O57=""),"",AU57)</f>
        <v/>
      </c>
      <c r="AV58" s="206" t="str">
        <f t="array" ref="AV58">IF(OR(O58=0,O58=""),"",SUM(AT58-AU58))</f>
        <v/>
      </c>
      <c r="AW58" s="207" t="str">
        <f t="array" ref="AW58">IF(OR(O58=0,O58=""),"",ROUND((AJ58)*$E$3,0))</f>
        <v/>
      </c>
      <c r="AX58" s="207" t="str">
        <f t="array" ref="AX58">IF(OR(O58=0,O58=""),"",SUM(AM58,AP58,AS58,AV58,AW58))</f>
        <v/>
      </c>
      <c r="AY58" s="208" t="str">
        <f t="array" ref="AY58">IF(OR(O58=0,O58=""),"",AJ58-AX58)</f>
        <v/>
      </c>
      <c r="AZ58" s="46"/>
      <c r="BA58" s="24"/>
      <c r="BB58" s="24"/>
      <c r="BC58" s="11">
        <f t="shared" si="20"/>
        <v>0</v>
      </c>
      <c r="BD58" s="84">
        <f t="shared" si="12"/>
        <v>0</v>
      </c>
      <c r="BE58" s="84">
        <f t="shared" si="18"/>
        <v>0</v>
      </c>
      <c r="BI58" s="22">
        <f t="shared" si="19"/>
        <v>44861</v>
      </c>
      <c r="BK58" s="19">
        <f t="shared" si="13"/>
        <v>1</v>
      </c>
      <c r="BL58" s="20" t="str">
        <f t="array" ref="BL58">IF(OR(O58=0,O58=""),"",U58)</f>
        <v/>
      </c>
      <c r="BM58" s="19" t="str">
        <f t="array" ref="BM58">IF(OR(O58=0,O58=""),"",BK58+BL58)</f>
        <v/>
      </c>
      <c r="BN58" s="21">
        <f t="shared" si="24"/>
        <v>0</v>
      </c>
      <c r="BO58" s="21">
        <f t="shared" si="25"/>
        <v>0</v>
      </c>
      <c r="BP58" s="23">
        <f t="shared" si="26"/>
        <v>0</v>
      </c>
      <c r="BQ58" s="21" t="str">
        <f t="shared" si="27"/>
        <v>00</v>
      </c>
      <c r="BW58" s="81" t="str">
        <f>IF(OR(O58=0,O58=""),"",IF('Basic Data Entry'!$C$9="fixation","yes",""))</f>
        <v/>
      </c>
      <c r="BX58" s="81" t="str">
        <f>IF(OR(O58=0,O58=""),"",IF('Basic Data Entry'!$G$12="yes","yes","no"))</f>
        <v/>
      </c>
    </row>
    <row r="59" spans="1:76" ht="18" customHeight="1" thickBot="1">
      <c r="A59" s="10" t="str">
        <f t="shared" si="6"/>
        <v/>
      </c>
      <c r="B59" s="305"/>
      <c r="C59" s="305"/>
      <c r="D59" s="305"/>
      <c r="E59" s="305"/>
      <c r="F59" s="108" t="str">
        <f t="shared" si="1"/>
        <v/>
      </c>
      <c r="G59" s="165" t="str">
        <f t="shared" si="2"/>
        <v/>
      </c>
      <c r="H59" s="166" t="str">
        <f t="shared" si="3"/>
        <v/>
      </c>
      <c r="I59" s="166" t="str">
        <f>IF(OR($E$2="fixation",O59="",O59=0),"",IF(AND('Basic Data Entry'!$G$11="Z-Rural",'Arear Table Protected'!T59&lt;2021),0.08,IF(AND('Basic Data Entry'!$G$11="Y-Urban",'Arear Table Protected'!T59&lt;2021),0.16,IF(AND('Basic Data Entry'!$G$11="Z-Rural",'Arear Table Protected'!T59=2021,S59&gt;=7),0.09,IF(AND('Basic Data Entry'!$G$11="Y-Urban",'Arear Table Protected'!T59=2021,'Arear Table Protected'!S59&gt;=7),0.18,IF(AND('Basic Data Entry'!$G$11="Z-Rural",'Arear Table Protected'!T59=2021,S59&lt;7),0.08,IF(AND('Basic Data Entry'!$G$11="Y-Urban",'Arear Table Protected'!T59=2021,'Arear Table Protected'!S59&lt;7),0.16,IF(AND('Basic Data Entry'!$G$11="Z-Rural",'Arear Table Protected'!T59=2022),0.09,IF(AND('Basic Data Entry'!$G$11="Y-Urban",'Arear Table Protected'!T59=2022),0.18,IF(AND('Basic Data Entry'!$G$11="Z-Rural",'Arear Table Protected'!T59=2023),0.09,IF(AND('Basic Data Entry'!$G$11="Y-Urban",'Arear Table Protected'!T59=2023),0.18,"")))))))))))</f>
        <v/>
      </c>
      <c r="J59" s="167" t="str">
        <f>IF(OR(O59="",O59=0),"",IF(AND('Basic Data Entry'!$G$11="Z-Rural",'Arear Table Protected'!T59&lt;2021),0.08,IF(AND('Basic Data Entry'!$G$11="Y-Urban",'Arear Table Protected'!T59&lt;2021),0.16,IF(AND('Basic Data Entry'!$G$11="Z-Rural",'Arear Table Protected'!T59=2021,S59&gt;=7),0.09,IF(AND('Basic Data Entry'!$G$11="Y-Urban",'Arear Table Protected'!T59=2021,'Arear Table Protected'!S59&gt;=7),0.18,IF(AND('Basic Data Entry'!$G$11="Z-Rural",'Arear Table Protected'!T59=2021,S59&lt;7),0.08,IF(AND('Basic Data Entry'!$G$11="Y-Urban",'Arear Table Protected'!T59=2021,'Arear Table Protected'!S59&lt;7),0.16,IF(AND('Basic Data Entry'!$G$11="Z-Rural",'Arear Table Protected'!T59=2022),0.09,IF(AND('Basic Data Entry'!$G$11="Y-Urban",'Arear Table Protected'!T59=2022),0.18,IF(AND('Basic Data Entry'!$G$11="Z-Rural",'Arear Table Protected'!T59=2023),0.09,IF(AND('Basic Data Entry'!$G$11="Y-Urban",'Arear Table Protected'!T59=2023),0.18,"")))))))))))</f>
        <v/>
      </c>
      <c r="K59" s="168" t="str">
        <f t="shared" si="4"/>
        <v/>
      </c>
      <c r="L59" s="169" t="str">
        <f t="shared" si="5"/>
        <v/>
      </c>
      <c r="M59" s="170" t="str">
        <f t="shared" si="7"/>
        <v/>
      </c>
      <c r="N59" s="196">
        <v>47</v>
      </c>
      <c r="O59" s="327">
        <f t="shared" si="8"/>
        <v>0</v>
      </c>
      <c r="P59" s="328"/>
      <c r="Q59" s="328"/>
      <c r="R59" s="329"/>
      <c r="S59" s="161" t="str">
        <f t="array" ref="S59">IF(OR(O59=0,O59=""),"",MONTH(O59))</f>
        <v/>
      </c>
      <c r="T59" s="161" t="str">
        <f t="array" ref="T59">IF(OR(O59=0,O59=""),"",YEAR(O59))</f>
        <v/>
      </c>
      <c r="U59" s="161" t="str">
        <f t="shared" si="9"/>
        <v/>
      </c>
      <c r="V59" s="197" t="str">
        <f t="array" ref="V59">IF(OR(O59=0,O59=""),"",BE59)</f>
        <v/>
      </c>
      <c r="W59" s="163" t="str">
        <f t="array" ref="W59">IF(OR(O59=0,O59=""),"",ROUND(V59*H59,0))</f>
        <v/>
      </c>
      <c r="X59" s="222">
        <f t="shared" si="10"/>
        <v>0</v>
      </c>
      <c r="Y59" s="163" t="str">
        <f t="array" ref="Y59">IF(OR(O59=0,O59=""),"",ROUND(V59*J59,0))</f>
        <v/>
      </c>
      <c r="Z59" s="198" t="str">
        <f t="array" ref="Z59">IF(OR(O59=0,O59=""),"",SUM(V59:Y59))</f>
        <v/>
      </c>
      <c r="AA59" s="199" t="str">
        <f t="array" ref="AA59">IF(OR(O59=0,O59=""),"",IF(V59=0,0,IF($E$2="FIXATION",$B$5,IF(V59=0,0,IF(BD59=7,ROUND(AA58*1.03,-2),AA58)))))</f>
        <v/>
      </c>
      <c r="AB59" s="200" t="str">
        <f t="array" ref="AB59">IF(OR(O59=0,O59=""),"",IF($E$2="fixation",0,ROUND(AA59*G59,0)))</f>
        <v/>
      </c>
      <c r="AC59" s="222" t="str">
        <f t="array" ref="AC59">IF(OR(O59=0,O59=""),"",AC58)</f>
        <v/>
      </c>
      <c r="AD59" s="200" t="str">
        <f t="array" ref="AD59">IF(OR(O59=0,O59=""),"",IF($E$2="fixation",0,ROUND(AA59*I59,0)))</f>
        <v/>
      </c>
      <c r="AE59" s="198" t="str">
        <f t="array" ref="AE59">IF(OR(O59=0,O59=""),"",SUM(AA59:AD59))</f>
        <v/>
      </c>
      <c r="AF59" s="199" t="str">
        <f t="array" ref="AF59">IF(OR(O59=0,O59=""),"",V59-AA59)</f>
        <v/>
      </c>
      <c r="AG59" s="200" t="str">
        <f t="array" ref="AG59">IF(OR(O59=0,O59=""),"",W59-AB59)</f>
        <v/>
      </c>
      <c r="AH59" s="200" t="str">
        <f t="array" ref="AH59">IF(OR(O59=0,O59=""),"",X59-AC59)</f>
        <v/>
      </c>
      <c r="AI59" s="200" t="str">
        <f t="array" ref="AI59">IF(OR(O59=0,O59=""),"",Y59-AD59)</f>
        <v/>
      </c>
      <c r="AJ59" s="201" t="str">
        <f t="array" ref="AJ59">IF(OR(O59=0,O59=""),"",Z59-AE59)</f>
        <v/>
      </c>
      <c r="AK59" s="202" t="str">
        <f t="array" ref="AK59">IF(OR(O59=0,O59=""),"",IF(M59="",$AZ$2,$AZ$2+M59))</f>
        <v/>
      </c>
      <c r="AL59" s="203" t="str">
        <f t="array" ref="AL59">IF(OR(O59=0,O59=""),"",$AQ$2)</f>
        <v/>
      </c>
      <c r="AM59" s="204" t="str">
        <f t="array" ref="AM59">IF(OR(O59=0,O59=""),"",AK59-AL59)</f>
        <v/>
      </c>
      <c r="AN59" s="3" t="str">
        <f t="array" ref="AN59">IF(OR(O58=0,O58="",AN58="",AN58=""),"",AN58)</f>
        <v/>
      </c>
      <c r="AO59" s="2" t="str">
        <f t="array" ref="AO59">IF(OR(O58=0,O58="",AO58="",AO58=""),"",AO58)</f>
        <v/>
      </c>
      <c r="AP59" s="204" t="str">
        <f t="array" ref="AP59">IF(OR(O59=0,O59=""),"",SUM(AN59-AO59))</f>
        <v/>
      </c>
      <c r="AQ59" s="106" t="str">
        <f t="array" ref="AQ59">IF(OR(O59=0,O59=""),"",IF(AND('Basic Data Entry'!$C$10="state Service",'Arear Table Protected'!T59=2020,S59=3),ROUND(V59/31*5,0),IF(AND('Basic Data Entry'!$C$10="state Service",'Arear Table Protected'!T59=2020,S59=9),ROUND(Z59/30*2,0),IF(AND('Basic Data Entry'!$C$10="state Service",'Arear Table Protected'!T59=2020,S59=10),ROUND(Z59/31*2,0),IF(AND('Basic Data Entry'!$C$10="subordinate",'Arear Table Protected'!T59=2020,S59=3),ROUND(V59/31*3,0),IF(AND('Basic Data Entry'!$C$10="subordinate",'Arear Table Protected'!T59=2020,S59=9),ROUND(Z59/30*1,0),IF(AND('Basic Data Entry'!$C$10="subordinate",'Arear Table Protected'!T59=2020,S59=10),ROUND(Z59/31*1,0),IF(AND('Basic Data Entry'!$C$10="ministrial",'Arear Table Protected'!T59=2020,S59=3),ROUND(V59/31*1,0),""))))))))</f>
        <v/>
      </c>
      <c r="AR59" s="107" t="str">
        <f t="array" ref="AR59">IF(OR(O59=0,O59=""),"",IF(AND('Basic Data Entry'!$C$10="state Service",'Arear Table Protected'!T59=2020,S59=3),ROUND(AA59/31*5,0),IF(AND('Basic Data Entry'!$C$10="state Service",'Arear Table Protected'!T59=2020,S59=9),ROUND(AE59/30*2,0),IF(AND('Basic Data Entry'!$C$10="state Service",'Arear Table Protected'!T59=2020,S59=10),ROUND(AE59/31*2,0),IF(AND('Basic Data Entry'!$C$10="subordinate",'Arear Table Protected'!T59=2020,S59=3),ROUND(AA59/31*3,0),IF(AND('Basic Data Entry'!$C$10="subordinate",'Arear Table Protected'!T59=2020,S59=9),ROUND(AE59/30*1,0),IF(AND('Basic Data Entry'!$C$10="subordinate",'Arear Table Protected'!T59=2020,S59=10),ROUND(AE59/31*1,0),IF(AND('Basic Data Entry'!$C$10="ministrial",'Arear Table Protected'!T59=2020,S59=3),ROUND(AA59/31*1,0),""))))))))</f>
        <v/>
      </c>
      <c r="AS59" s="205" t="str">
        <f t="array" ref="AS59">IF(OR(O59=0,O59="",AQ59="",AR59=""),"",AQ59-AR59)</f>
        <v/>
      </c>
      <c r="AT59" s="44" t="str">
        <f t="array" ref="AT59">IF(OR(O58=0,O58=""),"",AT58)</f>
        <v/>
      </c>
      <c r="AU59" s="45" t="str">
        <f t="array" ref="AU59">IF(OR(O58=0,O58=""),"",AU58)</f>
        <v/>
      </c>
      <c r="AV59" s="206" t="str">
        <f t="array" ref="AV59">IF(OR(O59=0,O59=""),"",SUM(AT59-AU59))</f>
        <v/>
      </c>
      <c r="AW59" s="207" t="str">
        <f t="array" ref="AW59">IF(OR(O59=0,O59=""),"",ROUND((AJ59)*$E$3,0))</f>
        <v/>
      </c>
      <c r="AX59" s="207" t="str">
        <f t="array" ref="AX59">IF(OR(O59=0,O59=""),"",SUM(AM59,AP59,AS59,AV59,AW59))</f>
        <v/>
      </c>
      <c r="AY59" s="208" t="str">
        <f t="array" ref="AY59">IF(OR(O59=0,O59=""),"",AJ59-AX59)</f>
        <v/>
      </c>
      <c r="AZ59" s="46"/>
      <c r="BA59" s="24"/>
      <c r="BB59" s="24"/>
      <c r="BC59" s="11">
        <f t="shared" si="20"/>
        <v>0</v>
      </c>
      <c r="BD59" s="84">
        <f t="shared" si="12"/>
        <v>0</v>
      </c>
      <c r="BE59" s="84">
        <f t="shared" si="18"/>
        <v>0</v>
      </c>
      <c r="BI59" s="22">
        <f t="shared" si="19"/>
        <v>44892</v>
      </c>
      <c r="BK59" s="19">
        <f t="shared" si="13"/>
        <v>1</v>
      </c>
      <c r="BL59" s="20" t="str">
        <f t="array" ref="BL59">IF(OR(O59=0,O59=""),"",U59)</f>
        <v/>
      </c>
      <c r="BM59" s="19" t="str">
        <f t="array" ref="BM59">IF(OR(O59=0,O59=""),"",BK59+BL59)</f>
        <v/>
      </c>
      <c r="BN59" s="21">
        <f t="shared" si="24"/>
        <v>0</v>
      </c>
      <c r="BO59" s="21">
        <f t="shared" si="25"/>
        <v>0</v>
      </c>
      <c r="BP59" s="23">
        <f t="shared" si="26"/>
        <v>0</v>
      </c>
      <c r="BQ59" s="21" t="str">
        <f t="shared" si="27"/>
        <v>00</v>
      </c>
      <c r="BW59" s="81" t="str">
        <f>IF(OR(O59=0,O59=""),"",IF('Basic Data Entry'!$C$9="fixation","yes",""))</f>
        <v/>
      </c>
      <c r="BX59" s="81" t="str">
        <f>IF(OR(O59=0,O59=""),"",IF('Basic Data Entry'!$G$12="yes","yes","no"))</f>
        <v/>
      </c>
    </row>
    <row r="60" spans="1:76" ht="17.25" customHeight="1" thickBot="1">
      <c r="A60" s="10" t="str">
        <f t="shared" si="6"/>
        <v/>
      </c>
      <c r="B60" s="306"/>
      <c r="C60" s="306"/>
      <c r="D60" s="306"/>
      <c r="E60" s="306"/>
      <c r="F60" s="108" t="str">
        <f t="shared" si="1"/>
        <v/>
      </c>
      <c r="G60" s="165" t="str">
        <f t="shared" si="2"/>
        <v/>
      </c>
      <c r="H60" s="166" t="str">
        <f t="shared" si="3"/>
        <v/>
      </c>
      <c r="I60" s="166" t="str">
        <f>IF(OR($E$2="fixation",O60="",O60=0),"",IF(AND('Basic Data Entry'!$G$11="Z-Rural",'Arear Table Protected'!T60&lt;2021),0.08,IF(AND('Basic Data Entry'!$G$11="Y-Urban",'Arear Table Protected'!T60&lt;2021),0.16,IF(AND('Basic Data Entry'!$G$11="Z-Rural",'Arear Table Protected'!T60=2021,S60&gt;=7),0.09,IF(AND('Basic Data Entry'!$G$11="Y-Urban",'Arear Table Protected'!T60=2021,'Arear Table Protected'!S60&gt;=7),0.18,IF(AND('Basic Data Entry'!$G$11="Z-Rural",'Arear Table Protected'!T60=2021,S60&lt;7),0.08,IF(AND('Basic Data Entry'!$G$11="Y-Urban",'Arear Table Protected'!T60=2021,'Arear Table Protected'!S60&lt;7),0.16,IF(AND('Basic Data Entry'!$G$11="Z-Rural",'Arear Table Protected'!T60=2022),0.09,IF(AND('Basic Data Entry'!$G$11="Y-Urban",'Arear Table Protected'!T60=2022),0.18,IF(AND('Basic Data Entry'!$G$11="Z-Rural",'Arear Table Protected'!T60=2023),0.09,IF(AND('Basic Data Entry'!$G$11="Y-Urban",'Arear Table Protected'!T60=2023),0.18,"")))))))))))</f>
        <v/>
      </c>
      <c r="J60" s="167" t="str">
        <f>IF(OR(O60="",O60=0),"",IF(AND('Basic Data Entry'!$G$11="Z-Rural",'Arear Table Protected'!T60&lt;2021),0.08,IF(AND('Basic Data Entry'!$G$11="Y-Urban",'Arear Table Protected'!T60&lt;2021),0.16,IF(AND('Basic Data Entry'!$G$11="Z-Rural",'Arear Table Protected'!T60=2021,S60&gt;=7),0.09,IF(AND('Basic Data Entry'!$G$11="Y-Urban",'Arear Table Protected'!T60=2021,'Arear Table Protected'!S60&gt;=7),0.18,IF(AND('Basic Data Entry'!$G$11="Z-Rural",'Arear Table Protected'!T60=2021,S60&lt;7),0.08,IF(AND('Basic Data Entry'!$G$11="Y-Urban",'Arear Table Protected'!T60=2021,'Arear Table Protected'!S60&lt;7),0.16,IF(AND('Basic Data Entry'!$G$11="Z-Rural",'Arear Table Protected'!T60=2022),0.09,IF(AND('Basic Data Entry'!$G$11="Y-Urban",'Arear Table Protected'!T60=2022),0.18,IF(AND('Basic Data Entry'!$G$11="Z-Rural",'Arear Table Protected'!T60=2023),0.09,IF(AND('Basic Data Entry'!$G$11="Y-Urban",'Arear Table Protected'!T60=2023),0.18,"")))))))))))</f>
        <v/>
      </c>
      <c r="K60" s="168" t="str">
        <f t="shared" si="4"/>
        <v/>
      </c>
      <c r="L60" s="169" t="str">
        <f t="shared" si="5"/>
        <v/>
      </c>
      <c r="M60" s="170" t="str">
        <f t="shared" si="7"/>
        <v/>
      </c>
      <c r="N60" s="209">
        <v>48</v>
      </c>
      <c r="O60" s="478">
        <f>IF(U59=$AW$8,0,IF(O59=0,0,BI60))</f>
        <v>0</v>
      </c>
      <c r="P60" s="479"/>
      <c r="Q60" s="479"/>
      <c r="R60" s="480"/>
      <c r="S60" s="210" t="str">
        <f t="array" ref="S60">IF(OR(O60=0,O60=""),"",MONTH(O60))</f>
        <v/>
      </c>
      <c r="T60" s="210" t="str">
        <f t="array" ref="T60">IF(OR(O60=0,O60=""),"",YEAR(O60))</f>
        <v/>
      </c>
      <c r="U60" s="210" t="str">
        <f t="shared" si="9"/>
        <v/>
      </c>
      <c r="V60" s="211" t="str">
        <f t="array" ref="V60">IF(OR(O60=0,O60=""),"",BE60)</f>
        <v/>
      </c>
      <c r="W60" s="212" t="str">
        <f t="array" ref="W60">IF(OR(O60=0,O60=""),"",ROUND(V60*H60,0))</f>
        <v/>
      </c>
      <c r="X60" s="226">
        <f>X59</f>
        <v>0</v>
      </c>
      <c r="Y60" s="212" t="str">
        <f t="array" ref="Y60">IF(OR(O60=0,O60=""),"",ROUND(V60*J60,0))</f>
        <v/>
      </c>
      <c r="Z60" s="213" t="str">
        <f t="array" ref="Z60">IF(OR(O60=0,O60=""),"",SUM(V60:Y60))</f>
        <v/>
      </c>
      <c r="AA60" s="214" t="str">
        <f t="array" ref="AA60">IF(OR(O60=0,O60=""),"",IF(V60=0,0,IF($E$2="FIXATION",$B$5,IF(V60=0,0,IF(BD60=7,ROUND(AA59*1.03,-2),AA59)))))</f>
        <v/>
      </c>
      <c r="AB60" s="212" t="str">
        <f t="array" ref="AB60">IF(OR(O60=0,O60=""),"",IF($E$2="fixation",0,ROUND(AA60*G60,0)))</f>
        <v/>
      </c>
      <c r="AC60" s="226" t="str">
        <f t="array" ref="AC60">IF(OR(O60=0,O60=""),"",AC59)</f>
        <v/>
      </c>
      <c r="AD60" s="212" t="str">
        <f t="array" ref="AD60">IF(OR(O60=0,O60=""),"",IF($E$2="fixation",0,ROUND(AA60*I60,0)))</f>
        <v/>
      </c>
      <c r="AE60" s="213" t="str">
        <f t="array" ref="AE60">IF(OR(O60=0,O60=""),"",SUM(AA60:AD60))</f>
        <v/>
      </c>
      <c r="AF60" s="214" t="str">
        <f t="array" ref="AF60">IF(OR(O60=0,O60=""),"",V60-AA60)</f>
        <v/>
      </c>
      <c r="AG60" s="212" t="str">
        <f t="array" ref="AG60">IF(OR(O60=0,O60=""),"",W60-AB60)</f>
        <v/>
      </c>
      <c r="AH60" s="212" t="str">
        <f t="array" ref="AH60">IF(OR(O60=0,O60=""),"",X60-AC60)</f>
        <v/>
      </c>
      <c r="AI60" s="212" t="str">
        <f t="array" ref="AI60">IF(OR(O60=0,O60=""),"",Y60-AD60)</f>
        <v/>
      </c>
      <c r="AJ60" s="215" t="str">
        <f t="array" ref="AJ60">IF(OR(O60=0,O60=""),"",Z60-AE60)</f>
        <v/>
      </c>
      <c r="AK60" s="216" t="str">
        <f t="array" ref="AK60">IF(OR(O60=0,O60=""),"",IF(M60="",$AZ$2,$AZ$2+M60))</f>
        <v/>
      </c>
      <c r="AL60" s="217" t="str">
        <f t="array" ref="AL60">IF(OR(O60=0,O60=""),"",$AQ$2)</f>
        <v/>
      </c>
      <c r="AM60" s="218" t="str">
        <f t="array" ref="AM60">IF(OR(O60=0,O60=""),"",AK60-AL60)</f>
        <v/>
      </c>
      <c r="AN60" s="92" t="str">
        <f t="array" ref="AN60">IF(OR(O59=0,O59="",AN59="",AN59=""),"",AN59)</f>
        <v/>
      </c>
      <c r="AO60" s="89" t="str">
        <f t="array" ref="AO60">IF(OR(O59=0,O59="",AO59="",AO59=""),"",AO59)</f>
        <v/>
      </c>
      <c r="AP60" s="218" t="str">
        <f t="array" ref="AP60">IF(OR(O60=0,O60=""),"",SUM(AN60-AO60))</f>
        <v/>
      </c>
      <c r="AQ60" s="106" t="str">
        <f t="array" ref="AQ60">IF(OR(O60=0,O60=""),"",IF(AND('Basic Data Entry'!$C$10="state Service",'Arear Table Protected'!T60=2020,S60=3),ROUND(V60/31*5,0),IF(AND('Basic Data Entry'!$C$10="state Service",'Arear Table Protected'!T60=2020,S60=9),ROUND(Z60/30*2,0),IF(AND('Basic Data Entry'!$C$10="state Service",'Arear Table Protected'!T60=2020,S60=10),ROUND(Z60/31*2,0),IF(AND('Basic Data Entry'!$C$10="subordinate",'Arear Table Protected'!T60=2020,S60=3),ROUND(V60/31*3,0),IF(AND('Basic Data Entry'!$C$10="subordinate",'Arear Table Protected'!T60=2020,S60=9),ROUND(Z60/30*1,0),IF(AND('Basic Data Entry'!$C$10="subordinate",'Arear Table Protected'!T60=2020,S60=10),ROUND(Z60/31*1,0),IF(AND('Basic Data Entry'!$C$10="ministrial",'Arear Table Protected'!T60=2020,S60=3),ROUND(V60/31*1,0),""))))))))</f>
        <v/>
      </c>
      <c r="AR60" s="107" t="str">
        <f t="array" ref="AR60">IF(OR(O60=0,O60=""),"",IF(AND('Basic Data Entry'!$C$10="state Service",'Arear Table Protected'!T60=2020,S60=3),ROUND(AA60/31*5,0),IF(AND('Basic Data Entry'!$C$10="state Service",'Arear Table Protected'!T60=2020,S60=9),ROUND(AE60/30*2,0),IF(AND('Basic Data Entry'!$C$10="state Service",'Arear Table Protected'!T60=2020,S60=10),ROUND(AE60/31*2,0),IF(AND('Basic Data Entry'!$C$10="subordinate",'Arear Table Protected'!T60=2020,S60=3),ROUND(AA60/31*3,0),IF(AND('Basic Data Entry'!$C$10="subordinate",'Arear Table Protected'!T60=2020,S60=9),ROUND(AE60/30*1,0),IF(AND('Basic Data Entry'!$C$10="subordinate",'Arear Table Protected'!T60=2020,S60=10),ROUND(AE60/31*1,0),IF(AND('Basic Data Entry'!$C$10="ministrial",'Arear Table Protected'!T60=2020,S60=3),ROUND(AA60/31*1,0),""))))))))</f>
        <v/>
      </c>
      <c r="AS60" s="205" t="str">
        <f t="array" ref="AS60">IF(OR(O60=0,O60="",AQ60="",AR60=""),"",AQ60-AR60)</f>
        <v/>
      </c>
      <c r="AT60" s="44" t="str">
        <f t="array" ref="AT60">IF(OR(O59=0,O59=""),"",AT59)</f>
        <v/>
      </c>
      <c r="AU60" s="45" t="str">
        <f t="array" ref="AU60">IF(OR(O59=0,O59=""),"",AU59)</f>
        <v/>
      </c>
      <c r="AV60" s="206" t="str">
        <f t="array" ref="AV60">IF(OR(O60=0,O60=""),"",SUM(AT60-AU60))</f>
        <v/>
      </c>
      <c r="AW60" s="207" t="str">
        <f t="array" ref="AW60">IF(OR(O60=0,O60=""),"",ROUND((AJ60)*$E$3,0))</f>
        <v/>
      </c>
      <c r="AX60" s="207" t="str">
        <f t="array" ref="AX60">IF(OR(O60=0,O60=""),"",SUM(AM60,AP60,AS60,AV60,AW60))</f>
        <v/>
      </c>
      <c r="AY60" s="208" t="str">
        <f t="array" ref="AY60">IF(OR(O60=0,O60=""),"",AJ60-AX60)</f>
        <v/>
      </c>
      <c r="AZ60" s="39"/>
      <c r="BA60" s="24"/>
      <c r="BB60" s="24"/>
      <c r="BC60" s="11">
        <f t="shared" si="20"/>
        <v>0</v>
      </c>
      <c r="BD60" s="84">
        <f t="shared" si="12"/>
        <v>0</v>
      </c>
      <c r="BE60" s="84">
        <f>IF(BD60=7,ROUND(BE59*1.03,-2),IF(BD60=0,0,BE59))</f>
        <v>0</v>
      </c>
      <c r="BI60" s="22">
        <f>BI59+31</f>
        <v>44923</v>
      </c>
      <c r="BK60" s="19">
        <f t="shared" si="13"/>
        <v>1</v>
      </c>
      <c r="BL60" s="20" t="str">
        <f t="array" ref="BL60">IF(OR(O60=0,O60=""),"",U60)</f>
        <v/>
      </c>
      <c r="BM60" s="19" t="str">
        <f t="array" ref="BM60">IF(OR(O60=0,O60=""),"",BK60+BL60)</f>
        <v/>
      </c>
      <c r="BN60" s="21">
        <f t="shared" si="24"/>
        <v>0</v>
      </c>
      <c r="BO60" s="21">
        <f t="shared" si="25"/>
        <v>0</v>
      </c>
      <c r="BP60" s="23">
        <f t="shared" si="26"/>
        <v>0</v>
      </c>
      <c r="BQ60" s="21" t="str">
        <f t="shared" si="27"/>
        <v>00</v>
      </c>
      <c r="BW60" s="81" t="str">
        <f>IF(OR(O60=0,O60=""),"",IF('Basic Data Entry'!$C$9="fixation","yes",""))</f>
        <v/>
      </c>
      <c r="BX60" s="81" t="str">
        <f>IF(OR(O60=0,O60=""),"",IF('Basic Data Entry'!$G$12="yes","yes","no"))</f>
        <v/>
      </c>
    </row>
    <row r="61" spans="1:76" ht="68.25" customHeight="1" thickBot="1">
      <c r="B61" s="498"/>
      <c r="C61" s="498"/>
      <c r="D61" s="498"/>
      <c r="E61" s="498"/>
      <c r="F61" s="80"/>
      <c r="G61" s="307"/>
      <c r="H61" s="307"/>
      <c r="I61" s="307"/>
      <c r="J61" s="307"/>
      <c r="K61" s="307"/>
      <c r="L61" s="307"/>
      <c r="M61" s="307"/>
      <c r="N61" s="459" t="s">
        <v>19</v>
      </c>
      <c r="O61" s="460"/>
      <c r="P61" s="460"/>
      <c r="Q61" s="460"/>
      <c r="R61" s="461"/>
      <c r="S61" s="256"/>
      <c r="T61" s="256"/>
      <c r="U61" s="256"/>
      <c r="V61" s="257">
        <f t="array" ref="V61">SUM(V13:V60)</f>
        <v>1553297</v>
      </c>
      <c r="W61" s="258">
        <f t="array" ref="W61">SUM(W13:W60)</f>
        <v>277760</v>
      </c>
      <c r="X61" s="258">
        <f t="array" ref="X61">SUM(X13:X60)</f>
        <v>0</v>
      </c>
      <c r="Y61" s="258">
        <f t="array" ref="Y61">SUM(Y13:Y60)</f>
        <v>126180</v>
      </c>
      <c r="Z61" s="259">
        <f t="array" ref="Z61">SUM(Z13:Z60)</f>
        <v>1957237</v>
      </c>
      <c r="AA61" s="260">
        <f t="array" ref="AA61">SUM(AA13:AA60)</f>
        <v>1387000</v>
      </c>
      <c r="AB61" s="258">
        <f t="array" ref="AB61">SUM(AB13:AB60)</f>
        <v>247972</v>
      </c>
      <c r="AC61" s="258">
        <f t="array" ref="AC61">SUM(AC13:AC60)</f>
        <v>0</v>
      </c>
      <c r="AD61" s="258">
        <f t="array" ref="AD61">SUM(AD13:AD60)</f>
        <v>112668</v>
      </c>
      <c r="AE61" s="259">
        <f t="array" ref="AE61">SUM(AE13:AE60)</f>
        <v>1747640</v>
      </c>
      <c r="AF61" s="260">
        <f t="array" ref="AF61">SUM(AF13:AF60)</f>
        <v>166297</v>
      </c>
      <c r="AG61" s="258">
        <f t="array" ref="AG61">SUM(AG13:AG60)</f>
        <v>29788</v>
      </c>
      <c r="AH61" s="258">
        <f t="array" ref="AH61">SUM(AH13:AH60)</f>
        <v>0</v>
      </c>
      <c r="AI61" s="258">
        <f t="array" ref="AI61">SUM(AI13:AI60)</f>
        <v>13512</v>
      </c>
      <c r="AJ61" s="259">
        <f t="array" ref="AJ61">SUM(AJ13:AJ60)</f>
        <v>209597</v>
      </c>
      <c r="AK61" s="260">
        <f t="array" ref="AK61">SUM(AK13:AK60)</f>
        <v>173659</v>
      </c>
      <c r="AL61" s="258">
        <f t="array" ref="AL61">SUM(AL13:AL60)</f>
        <v>153000</v>
      </c>
      <c r="AM61" s="261">
        <f t="array" ref="AM61">SUM(AM13:AM60)</f>
        <v>20659</v>
      </c>
      <c r="AN61" s="260">
        <f t="array" ref="AN61">SUM(AN13:AN60)</f>
        <v>105000</v>
      </c>
      <c r="AO61" s="258">
        <f t="array" ref="AO61">SUM(AO13:AO60)</f>
        <v>105000</v>
      </c>
      <c r="AP61" s="261">
        <f t="array" ref="AP61">SUM(AP13:AP60)</f>
        <v>0</v>
      </c>
      <c r="AQ61" s="260">
        <f t="array" ref="AQ61">SUM(AQ13:AQ60)</f>
        <v>8178</v>
      </c>
      <c r="AR61" s="258">
        <f t="array" ref="AR61">SUM(AR13:AR60)</f>
        <v>7302</v>
      </c>
      <c r="AS61" s="261">
        <f t="array" ref="AS61">SUM(AS13:AS60)</f>
        <v>876</v>
      </c>
      <c r="AT61" s="262">
        <f t="array" ref="AT61">SUM(AT13:AT60)</f>
        <v>0</v>
      </c>
      <c r="AU61" s="262">
        <f t="array" ref="AU61">SUM(AU13:AU60)</f>
        <v>0</v>
      </c>
      <c r="AV61" s="262">
        <f>SUM(AV13:AV60)</f>
        <v>0</v>
      </c>
      <c r="AW61" s="263">
        <f t="array" ref="AW61">SUM(AW13:AW60)</f>
        <v>20960</v>
      </c>
      <c r="AX61" s="263">
        <f t="array" ref="AX61">SUM(AX13:AX60)</f>
        <v>42495</v>
      </c>
      <c r="AY61" s="264">
        <f t="array" ref="AY61">SUM(AY13:AY60)</f>
        <v>167102</v>
      </c>
      <c r="AZ61" s="265"/>
      <c r="BA61" s="24"/>
      <c r="BB61" s="24"/>
      <c r="BI61" s="22"/>
      <c r="BK61" s="19"/>
      <c r="BL61" s="20"/>
      <c r="BM61" s="19"/>
      <c r="BN61" s="21"/>
      <c r="BO61" s="21"/>
      <c r="BP61" s="19"/>
      <c r="BQ61" s="21"/>
    </row>
    <row r="62" spans="1:76" ht="23.25" customHeight="1" thickBot="1">
      <c r="B62" s="307"/>
      <c r="C62" s="307"/>
      <c r="D62" s="307"/>
      <c r="E62" s="307"/>
      <c r="F62" s="80"/>
      <c r="G62" s="307"/>
      <c r="H62" s="307"/>
      <c r="I62" s="307"/>
      <c r="J62" s="307"/>
      <c r="K62" s="307"/>
      <c r="L62" s="307"/>
      <c r="M62" s="307"/>
      <c r="N62" s="462" t="s">
        <v>20</v>
      </c>
      <c r="O62" s="463"/>
      <c r="P62" s="463"/>
      <c r="Q62" s="463"/>
      <c r="R62" s="463"/>
      <c r="S62" s="463"/>
      <c r="T62" s="463"/>
      <c r="U62" s="463"/>
      <c r="V62" s="463"/>
      <c r="W62" s="463"/>
      <c r="X62" s="463"/>
      <c r="Y62" s="463"/>
      <c r="Z62" s="463"/>
      <c r="AA62" s="463"/>
      <c r="AB62" s="463"/>
      <c r="AC62" s="463"/>
      <c r="AD62" s="463"/>
      <c r="AE62" s="463"/>
      <c r="AF62" s="463"/>
      <c r="AG62" s="463"/>
      <c r="AH62" s="463"/>
      <c r="AI62" s="463"/>
      <c r="AJ62" s="341" t="s">
        <v>78</v>
      </c>
      <c r="AK62" s="342"/>
      <c r="AL62" s="342"/>
      <c r="AM62" s="342"/>
      <c r="AN62" s="342"/>
      <c r="AO62" s="342"/>
      <c r="AP62" s="342"/>
      <c r="AQ62" s="342"/>
      <c r="AR62" s="342"/>
      <c r="AS62" s="342"/>
      <c r="AT62" s="342"/>
      <c r="AU62" s="342"/>
      <c r="AV62" s="342"/>
      <c r="AW62" s="342"/>
      <c r="AX62" s="342"/>
      <c r="AY62" s="342"/>
      <c r="AZ62" s="343"/>
      <c r="BA62" s="24"/>
      <c r="BB62" s="24"/>
      <c r="BI62" s="22"/>
      <c r="BK62" s="19"/>
      <c r="BL62" s="20"/>
      <c r="BM62" s="19"/>
      <c r="BN62" s="21"/>
      <c r="BO62" s="21"/>
      <c r="BP62" s="19"/>
      <c r="BQ62" s="21"/>
    </row>
    <row r="63" spans="1:76" ht="15" customHeight="1">
      <c r="B63" s="307"/>
      <c r="C63" s="307"/>
      <c r="D63" s="307"/>
      <c r="E63" s="307"/>
      <c r="F63" s="80"/>
      <c r="G63" s="307"/>
      <c r="H63" s="307"/>
      <c r="I63" s="307"/>
      <c r="J63" s="307"/>
      <c r="K63" s="307"/>
      <c r="L63" s="307"/>
      <c r="M63" s="307"/>
      <c r="N63" s="12" t="s">
        <v>21</v>
      </c>
      <c r="O63" s="464" t="s">
        <v>22</v>
      </c>
      <c r="P63" s="465"/>
      <c r="Q63" s="465"/>
      <c r="R63" s="466"/>
      <c r="S63" s="85"/>
      <c r="T63" s="85"/>
      <c r="U63" s="85"/>
      <c r="V63" s="473" t="s">
        <v>23</v>
      </c>
      <c r="W63" s="473"/>
      <c r="X63" s="473"/>
      <c r="Y63" s="473"/>
      <c r="Z63" s="473"/>
      <c r="AA63" s="473"/>
      <c r="AB63" s="474">
        <f>AF61</f>
        <v>166297</v>
      </c>
      <c r="AC63" s="474"/>
      <c r="AD63" s="475"/>
      <c r="AE63" s="475"/>
      <c r="AF63" s="475"/>
      <c r="AG63" s="475"/>
      <c r="AH63" s="476"/>
      <c r="AI63" s="477"/>
      <c r="AJ63" s="341"/>
      <c r="AK63" s="342"/>
      <c r="AL63" s="342"/>
      <c r="AM63" s="342"/>
      <c r="AN63" s="342"/>
      <c r="AO63" s="342"/>
      <c r="AP63" s="342"/>
      <c r="AQ63" s="342"/>
      <c r="AR63" s="342"/>
      <c r="AS63" s="342"/>
      <c r="AT63" s="342"/>
      <c r="AU63" s="342"/>
      <c r="AV63" s="342"/>
      <c r="AW63" s="342"/>
      <c r="AX63" s="342"/>
      <c r="AY63" s="342"/>
      <c r="AZ63" s="343"/>
      <c r="BA63" s="24"/>
      <c r="BB63" s="24"/>
      <c r="BI63" s="22"/>
      <c r="BK63" s="19"/>
      <c r="BL63" s="20"/>
      <c r="BM63" s="19"/>
      <c r="BN63" s="21"/>
      <c r="BO63" s="21"/>
      <c r="BP63" s="19"/>
      <c r="BQ63" s="21"/>
    </row>
    <row r="64" spans="1:76" ht="15" customHeight="1">
      <c r="B64" s="307"/>
      <c r="C64" s="307"/>
      <c r="D64" s="307"/>
      <c r="E64" s="307"/>
      <c r="F64" s="80"/>
      <c r="G64" s="307"/>
      <c r="H64" s="307"/>
      <c r="I64" s="307"/>
      <c r="J64" s="307"/>
      <c r="K64" s="307"/>
      <c r="L64" s="307"/>
      <c r="M64" s="307"/>
      <c r="N64" s="13" t="s">
        <v>29</v>
      </c>
      <c r="O64" s="467"/>
      <c r="P64" s="468"/>
      <c r="Q64" s="468"/>
      <c r="R64" s="469"/>
      <c r="S64" s="86"/>
      <c r="T64" s="86"/>
      <c r="U64" s="86"/>
      <c r="V64" s="344" t="s">
        <v>25</v>
      </c>
      <c r="W64" s="344"/>
      <c r="X64" s="344"/>
      <c r="Y64" s="344"/>
      <c r="Z64" s="344"/>
      <c r="AA64" s="344"/>
      <c r="AB64" s="345">
        <f>AG61</f>
        <v>29788</v>
      </c>
      <c r="AC64" s="345"/>
      <c r="AD64" s="346"/>
      <c r="AE64" s="346"/>
      <c r="AF64" s="346"/>
      <c r="AG64" s="346"/>
      <c r="AH64" s="347"/>
      <c r="AI64" s="348"/>
      <c r="AJ64" s="341"/>
      <c r="AK64" s="342"/>
      <c r="AL64" s="342"/>
      <c r="AM64" s="342"/>
      <c r="AN64" s="342"/>
      <c r="AO64" s="342"/>
      <c r="AP64" s="342"/>
      <c r="AQ64" s="342"/>
      <c r="AR64" s="342"/>
      <c r="AS64" s="342"/>
      <c r="AT64" s="342"/>
      <c r="AU64" s="342"/>
      <c r="AV64" s="342"/>
      <c r="AW64" s="342"/>
      <c r="AX64" s="342"/>
      <c r="AY64" s="342"/>
      <c r="AZ64" s="343"/>
      <c r="BA64" s="24"/>
      <c r="BB64" s="24"/>
      <c r="BI64" s="22"/>
      <c r="BK64" s="19"/>
      <c r="BL64" s="20"/>
      <c r="BM64" s="19"/>
      <c r="BN64" s="21"/>
      <c r="BO64" s="21"/>
      <c r="BP64" s="19"/>
      <c r="BQ64" s="21"/>
    </row>
    <row r="65" spans="2:69" ht="14.25" customHeight="1">
      <c r="B65" s="307"/>
      <c r="C65" s="307"/>
      <c r="D65" s="307"/>
      <c r="E65" s="307"/>
      <c r="F65" s="80"/>
      <c r="G65" s="307"/>
      <c r="H65" s="307"/>
      <c r="I65" s="307"/>
      <c r="J65" s="307"/>
      <c r="K65" s="307"/>
      <c r="L65" s="307"/>
      <c r="M65" s="307"/>
      <c r="N65" s="13" t="s">
        <v>24</v>
      </c>
      <c r="O65" s="467"/>
      <c r="P65" s="468"/>
      <c r="Q65" s="468"/>
      <c r="R65" s="469"/>
      <c r="S65" s="86"/>
      <c r="T65" s="86"/>
      <c r="U65" s="86"/>
      <c r="V65" s="344" t="s">
        <v>26</v>
      </c>
      <c r="W65" s="344"/>
      <c r="X65" s="344"/>
      <c r="Y65" s="344"/>
      <c r="Z65" s="344"/>
      <c r="AA65" s="344"/>
      <c r="AB65" s="345">
        <f>AI61</f>
        <v>13512</v>
      </c>
      <c r="AC65" s="345"/>
      <c r="AD65" s="346"/>
      <c r="AE65" s="346"/>
      <c r="AF65" s="346"/>
      <c r="AG65" s="346"/>
      <c r="AH65" s="347"/>
      <c r="AI65" s="348"/>
      <c r="AJ65" s="341"/>
      <c r="AK65" s="342"/>
      <c r="AL65" s="342"/>
      <c r="AM65" s="342"/>
      <c r="AN65" s="342"/>
      <c r="AO65" s="342"/>
      <c r="AP65" s="342"/>
      <c r="AQ65" s="342"/>
      <c r="AR65" s="342"/>
      <c r="AS65" s="342"/>
      <c r="AT65" s="342"/>
      <c r="AU65" s="342"/>
      <c r="AV65" s="342"/>
      <c r="AW65" s="342"/>
      <c r="AX65" s="342"/>
      <c r="AY65" s="342"/>
      <c r="AZ65" s="343"/>
      <c r="BA65" s="24"/>
      <c r="BB65" s="24"/>
      <c r="BI65" s="22"/>
      <c r="BK65" s="19"/>
      <c r="BL65" s="20"/>
      <c r="BM65" s="19"/>
      <c r="BN65" s="21"/>
      <c r="BO65" s="21"/>
      <c r="BP65" s="19"/>
      <c r="BQ65" s="21"/>
    </row>
    <row r="66" spans="2:69" ht="15" customHeight="1">
      <c r="B66" s="307"/>
      <c r="C66" s="307"/>
      <c r="D66" s="307"/>
      <c r="E66" s="307"/>
      <c r="F66" s="80"/>
      <c r="G66" s="307"/>
      <c r="H66" s="307"/>
      <c r="I66" s="307"/>
      <c r="J66" s="307"/>
      <c r="K66" s="307"/>
      <c r="L66" s="307"/>
      <c r="M66" s="307"/>
      <c r="N66" s="13" t="s">
        <v>79</v>
      </c>
      <c r="O66" s="467"/>
      <c r="P66" s="468"/>
      <c r="Q66" s="468"/>
      <c r="R66" s="469"/>
      <c r="S66" s="86"/>
      <c r="T66" s="86"/>
      <c r="U66" s="86"/>
      <c r="V66" s="331">
        <f>AH10</f>
        <v>0</v>
      </c>
      <c r="W66" s="332"/>
      <c r="X66" s="332"/>
      <c r="Y66" s="332"/>
      <c r="Z66" s="332"/>
      <c r="AA66" s="333"/>
      <c r="AB66" s="334">
        <f>AH61</f>
        <v>0</v>
      </c>
      <c r="AC66" s="335"/>
      <c r="AD66" s="335"/>
      <c r="AE66" s="335"/>
      <c r="AF66" s="335"/>
      <c r="AG66" s="335"/>
      <c r="AH66" s="335"/>
      <c r="AI66" s="336"/>
      <c r="AJ66" s="349" t="s">
        <v>27</v>
      </c>
      <c r="AK66" s="350"/>
      <c r="AL66" s="350"/>
      <c r="AM66" s="350"/>
      <c r="AN66" s="350"/>
      <c r="AO66" s="350"/>
      <c r="AP66" s="350"/>
      <c r="AQ66" s="350"/>
      <c r="AR66" s="350"/>
      <c r="AS66" s="350"/>
      <c r="AT66" s="350"/>
      <c r="AU66" s="350"/>
      <c r="AV66" s="350"/>
      <c r="AW66" s="350"/>
      <c r="AX66" s="350"/>
      <c r="AY66" s="350"/>
      <c r="AZ66" s="351"/>
      <c r="BA66" s="24"/>
      <c r="BB66" s="24"/>
      <c r="BI66" s="22"/>
      <c r="BK66" s="19"/>
      <c r="BL66" s="20"/>
      <c r="BM66" s="19"/>
      <c r="BN66" s="21"/>
      <c r="BO66" s="21"/>
      <c r="BP66" s="19"/>
      <c r="BQ66" s="21"/>
    </row>
    <row r="67" spans="2:69" ht="18.75" customHeight="1" thickBot="1">
      <c r="B67" s="307"/>
      <c r="C67" s="307"/>
      <c r="D67" s="307"/>
      <c r="E67" s="307"/>
      <c r="F67" s="80"/>
      <c r="G67" s="307"/>
      <c r="H67" s="307"/>
      <c r="I67" s="307"/>
      <c r="J67" s="307"/>
      <c r="K67" s="307"/>
      <c r="L67" s="307"/>
      <c r="M67" s="307"/>
      <c r="N67" s="14"/>
      <c r="O67" s="470"/>
      <c r="P67" s="471"/>
      <c r="Q67" s="471"/>
      <c r="R67" s="472"/>
      <c r="S67" s="87"/>
      <c r="T67" s="87"/>
      <c r="U67" s="87"/>
      <c r="V67" s="356" t="s">
        <v>19</v>
      </c>
      <c r="W67" s="356"/>
      <c r="X67" s="356"/>
      <c r="Y67" s="356"/>
      <c r="Z67" s="356"/>
      <c r="AA67" s="356"/>
      <c r="AB67" s="423">
        <f>SUM(AB63:AI65)</f>
        <v>209597</v>
      </c>
      <c r="AC67" s="423"/>
      <c r="AD67" s="423"/>
      <c r="AE67" s="423"/>
      <c r="AF67" s="423"/>
      <c r="AG67" s="423"/>
      <c r="AH67" s="424"/>
      <c r="AI67" s="425"/>
      <c r="AJ67" s="352"/>
      <c r="AK67" s="350"/>
      <c r="AL67" s="350"/>
      <c r="AM67" s="350"/>
      <c r="AN67" s="350"/>
      <c r="AO67" s="350"/>
      <c r="AP67" s="350"/>
      <c r="AQ67" s="350"/>
      <c r="AR67" s="350"/>
      <c r="AS67" s="350"/>
      <c r="AT67" s="350"/>
      <c r="AU67" s="350"/>
      <c r="AV67" s="350"/>
      <c r="AW67" s="350"/>
      <c r="AX67" s="350"/>
      <c r="AY67" s="350"/>
      <c r="AZ67" s="351"/>
      <c r="BA67" s="24"/>
      <c r="BB67" s="24"/>
      <c r="BI67" s="22"/>
      <c r="BK67" s="19"/>
      <c r="BL67" s="20"/>
      <c r="BM67" s="19"/>
      <c r="BN67" s="21"/>
      <c r="BO67" s="21"/>
      <c r="BP67" s="19"/>
      <c r="BQ67" s="21"/>
    </row>
    <row r="68" spans="2:69" ht="15" customHeight="1">
      <c r="B68" s="307"/>
      <c r="C68" s="307"/>
      <c r="D68" s="307"/>
      <c r="E68" s="307"/>
      <c r="F68" s="80"/>
      <c r="G68" s="307"/>
      <c r="H68" s="307"/>
      <c r="I68" s="307"/>
      <c r="J68" s="307"/>
      <c r="K68" s="307"/>
      <c r="L68" s="307"/>
      <c r="M68" s="307"/>
      <c r="N68" s="15" t="s">
        <v>21</v>
      </c>
      <c r="O68" s="360" t="s">
        <v>28</v>
      </c>
      <c r="P68" s="361"/>
      <c r="Q68" s="361"/>
      <c r="R68" s="362"/>
      <c r="S68" s="82"/>
      <c r="T68" s="82"/>
      <c r="U68" s="82"/>
      <c r="V68" s="366" t="s">
        <v>65</v>
      </c>
      <c r="W68" s="366"/>
      <c r="X68" s="366"/>
      <c r="Y68" s="366"/>
      <c r="Z68" s="366"/>
      <c r="AA68" s="366"/>
      <c r="AB68" s="367">
        <f>AM61</f>
        <v>20659</v>
      </c>
      <c r="AC68" s="367"/>
      <c r="AD68" s="368"/>
      <c r="AE68" s="368"/>
      <c r="AF68" s="368"/>
      <c r="AG68" s="368"/>
      <c r="AH68" s="369"/>
      <c r="AI68" s="369"/>
      <c r="AJ68" s="352"/>
      <c r="AK68" s="350"/>
      <c r="AL68" s="350"/>
      <c r="AM68" s="350"/>
      <c r="AN68" s="350"/>
      <c r="AO68" s="350"/>
      <c r="AP68" s="350"/>
      <c r="AQ68" s="350"/>
      <c r="AR68" s="350"/>
      <c r="AS68" s="350"/>
      <c r="AT68" s="350"/>
      <c r="AU68" s="350"/>
      <c r="AV68" s="350"/>
      <c r="AW68" s="350"/>
      <c r="AX68" s="350"/>
      <c r="AY68" s="350"/>
      <c r="AZ68" s="351"/>
      <c r="BA68" s="24"/>
      <c r="BB68" s="24"/>
      <c r="BI68" s="22"/>
      <c r="BK68" s="19"/>
      <c r="BL68" s="20"/>
      <c r="BM68" s="19"/>
      <c r="BN68" s="21"/>
      <c r="BO68" s="21"/>
      <c r="BP68" s="19"/>
      <c r="BQ68" s="21"/>
    </row>
    <row r="69" spans="2:69" ht="15" customHeight="1">
      <c r="B69" s="307"/>
      <c r="C69" s="307"/>
      <c r="D69" s="307"/>
      <c r="E69" s="307"/>
      <c r="F69" s="80"/>
      <c r="G69" s="307"/>
      <c r="H69" s="307"/>
      <c r="I69" s="307"/>
      <c r="J69" s="307"/>
      <c r="K69" s="307"/>
      <c r="L69" s="307"/>
      <c r="M69" s="307"/>
      <c r="N69" s="16" t="s">
        <v>29</v>
      </c>
      <c r="O69" s="360"/>
      <c r="P69" s="361"/>
      <c r="Q69" s="361"/>
      <c r="R69" s="362"/>
      <c r="S69" s="82"/>
      <c r="T69" s="82"/>
      <c r="U69" s="82"/>
      <c r="V69" s="344" t="s">
        <v>7</v>
      </c>
      <c r="W69" s="344"/>
      <c r="X69" s="344"/>
      <c r="Y69" s="344"/>
      <c r="Z69" s="344"/>
      <c r="AA69" s="344"/>
      <c r="AB69" s="345">
        <f>AP61</f>
        <v>0</v>
      </c>
      <c r="AC69" s="345"/>
      <c r="AD69" s="346"/>
      <c r="AE69" s="346"/>
      <c r="AF69" s="346"/>
      <c r="AG69" s="346"/>
      <c r="AH69" s="347"/>
      <c r="AI69" s="347"/>
      <c r="AJ69" s="352"/>
      <c r="AK69" s="350"/>
      <c r="AL69" s="350"/>
      <c r="AM69" s="350"/>
      <c r="AN69" s="350"/>
      <c r="AO69" s="350"/>
      <c r="AP69" s="350"/>
      <c r="AQ69" s="350"/>
      <c r="AR69" s="350"/>
      <c r="AS69" s="350"/>
      <c r="AT69" s="350"/>
      <c r="AU69" s="350"/>
      <c r="AV69" s="350"/>
      <c r="AW69" s="350"/>
      <c r="AX69" s="350"/>
      <c r="AY69" s="350"/>
      <c r="AZ69" s="351"/>
      <c r="BA69" s="24"/>
      <c r="BB69" s="24"/>
      <c r="BI69" s="22"/>
      <c r="BK69" s="19"/>
      <c r="BL69" s="20"/>
      <c r="BM69" s="19"/>
      <c r="BN69" s="21"/>
      <c r="BO69" s="21"/>
      <c r="BP69" s="19"/>
      <c r="BQ69" s="21"/>
    </row>
    <row r="70" spans="2:69" ht="15" customHeight="1">
      <c r="B70" s="307"/>
      <c r="C70" s="307"/>
      <c r="D70" s="307"/>
      <c r="E70" s="307"/>
      <c r="F70" s="80"/>
      <c r="G70" s="307"/>
      <c r="H70" s="307"/>
      <c r="I70" s="307"/>
      <c r="J70" s="307"/>
      <c r="K70" s="307"/>
      <c r="L70" s="307"/>
      <c r="M70" s="307"/>
      <c r="N70" s="13" t="s">
        <v>24</v>
      </c>
      <c r="O70" s="360"/>
      <c r="P70" s="361"/>
      <c r="Q70" s="361"/>
      <c r="R70" s="362"/>
      <c r="S70" s="82"/>
      <c r="T70" s="82"/>
      <c r="U70" s="82"/>
      <c r="V70" s="344" t="s">
        <v>30</v>
      </c>
      <c r="W70" s="344"/>
      <c r="X70" s="344"/>
      <c r="Y70" s="344"/>
      <c r="Z70" s="344"/>
      <c r="AA70" s="344"/>
      <c r="AB70" s="345">
        <f>AW61</f>
        <v>20960</v>
      </c>
      <c r="AC70" s="345"/>
      <c r="AD70" s="346"/>
      <c r="AE70" s="346"/>
      <c r="AF70" s="346"/>
      <c r="AG70" s="346"/>
      <c r="AH70" s="347"/>
      <c r="AI70" s="347"/>
      <c r="AJ70" s="352"/>
      <c r="AK70" s="350"/>
      <c r="AL70" s="350"/>
      <c r="AM70" s="350"/>
      <c r="AN70" s="350"/>
      <c r="AO70" s="350"/>
      <c r="AP70" s="350"/>
      <c r="AQ70" s="350"/>
      <c r="AR70" s="350"/>
      <c r="AS70" s="350"/>
      <c r="AT70" s="350"/>
      <c r="AU70" s="350"/>
      <c r="AV70" s="350"/>
      <c r="AW70" s="350"/>
      <c r="AX70" s="350"/>
      <c r="AY70" s="350"/>
      <c r="AZ70" s="351"/>
      <c r="BA70" s="24"/>
      <c r="BB70" s="24"/>
      <c r="BI70" s="22"/>
      <c r="BK70" s="19"/>
      <c r="BL70" s="20"/>
      <c r="BM70" s="19"/>
      <c r="BN70" s="21"/>
      <c r="BO70" s="21"/>
      <c r="BP70" s="19"/>
      <c r="BQ70" s="21"/>
    </row>
    <row r="71" spans="2:69" ht="15" customHeight="1">
      <c r="B71" s="307"/>
      <c r="C71" s="307"/>
      <c r="D71" s="307"/>
      <c r="E71" s="307"/>
      <c r="F71" s="80"/>
      <c r="G71" s="307"/>
      <c r="H71" s="307"/>
      <c r="I71" s="307"/>
      <c r="J71" s="307"/>
      <c r="K71" s="307"/>
      <c r="L71" s="307"/>
      <c r="M71" s="307"/>
      <c r="N71" s="13" t="s">
        <v>79</v>
      </c>
      <c r="O71" s="360"/>
      <c r="P71" s="361"/>
      <c r="Q71" s="361"/>
      <c r="R71" s="362"/>
      <c r="S71" s="82"/>
      <c r="T71" s="82"/>
      <c r="U71" s="82"/>
      <c r="V71" s="337" t="str">
        <f>AQ9</f>
        <v>CM Corona Relief</v>
      </c>
      <c r="W71" s="338"/>
      <c r="X71" s="338"/>
      <c r="Y71" s="338"/>
      <c r="Z71" s="338"/>
      <c r="AA71" s="339"/>
      <c r="AB71" s="340">
        <f>AS61</f>
        <v>876</v>
      </c>
      <c r="AC71" s="335"/>
      <c r="AD71" s="335"/>
      <c r="AE71" s="335"/>
      <c r="AF71" s="335"/>
      <c r="AG71" s="335"/>
      <c r="AH71" s="335"/>
      <c r="AI71" s="336"/>
      <c r="AJ71" s="352"/>
      <c r="AK71" s="350"/>
      <c r="AL71" s="350"/>
      <c r="AM71" s="350"/>
      <c r="AN71" s="350"/>
      <c r="AO71" s="350"/>
      <c r="AP71" s="350"/>
      <c r="AQ71" s="350"/>
      <c r="AR71" s="350"/>
      <c r="AS71" s="350"/>
      <c r="AT71" s="350"/>
      <c r="AU71" s="350"/>
      <c r="AV71" s="350"/>
      <c r="AW71" s="350"/>
      <c r="AX71" s="350"/>
      <c r="AY71" s="350"/>
      <c r="AZ71" s="351"/>
      <c r="BA71" s="24"/>
      <c r="BB71" s="24"/>
      <c r="BI71" s="22"/>
      <c r="BK71" s="19"/>
      <c r="BL71" s="20"/>
      <c r="BM71" s="19"/>
      <c r="BN71" s="21"/>
      <c r="BO71" s="21"/>
      <c r="BP71" s="19"/>
      <c r="BQ71" s="21"/>
    </row>
    <row r="72" spans="2:69" ht="15" customHeight="1">
      <c r="B72" s="307"/>
      <c r="C72" s="307"/>
      <c r="D72" s="307"/>
      <c r="E72" s="307"/>
      <c r="F72" s="80"/>
      <c r="G72" s="307"/>
      <c r="H72" s="307"/>
      <c r="I72" s="307"/>
      <c r="J72" s="307"/>
      <c r="K72" s="307"/>
      <c r="L72" s="307"/>
      <c r="M72" s="307"/>
      <c r="N72" s="35" t="s">
        <v>99</v>
      </c>
      <c r="O72" s="360"/>
      <c r="P72" s="361"/>
      <c r="Q72" s="361"/>
      <c r="R72" s="362"/>
      <c r="S72" s="82"/>
      <c r="T72" s="82"/>
      <c r="U72" s="82"/>
      <c r="V72" s="337">
        <f>AV9</f>
        <v>0</v>
      </c>
      <c r="W72" s="338"/>
      <c r="X72" s="338"/>
      <c r="Y72" s="338"/>
      <c r="Z72" s="338"/>
      <c r="AA72" s="338"/>
      <c r="AB72" s="373">
        <f>AV61</f>
        <v>0</v>
      </c>
      <c r="AC72" s="334"/>
      <c r="AD72" s="334"/>
      <c r="AE72" s="334"/>
      <c r="AF72" s="334"/>
      <c r="AG72" s="334"/>
      <c r="AH72" s="334"/>
      <c r="AI72" s="374"/>
      <c r="AJ72" s="352"/>
      <c r="AK72" s="350"/>
      <c r="AL72" s="350"/>
      <c r="AM72" s="350"/>
      <c r="AN72" s="350"/>
      <c r="AO72" s="350"/>
      <c r="AP72" s="350"/>
      <c r="AQ72" s="350"/>
      <c r="AR72" s="350"/>
      <c r="AS72" s="350"/>
      <c r="AT72" s="350"/>
      <c r="AU72" s="350"/>
      <c r="AV72" s="350"/>
      <c r="AW72" s="350"/>
      <c r="AX72" s="350"/>
      <c r="AY72" s="350"/>
      <c r="AZ72" s="351"/>
      <c r="BA72" s="24"/>
      <c r="BB72" s="24"/>
      <c r="BI72" s="22"/>
      <c r="BK72" s="19"/>
      <c r="BL72" s="20"/>
      <c r="BM72" s="19"/>
      <c r="BN72" s="21"/>
      <c r="BO72" s="21"/>
      <c r="BP72" s="19"/>
      <c r="BQ72" s="21"/>
    </row>
    <row r="73" spans="2:69" ht="18" customHeight="1">
      <c r="B73" s="307"/>
      <c r="C73" s="307"/>
      <c r="D73" s="307"/>
      <c r="E73" s="307"/>
      <c r="F73" s="80"/>
      <c r="G73" s="307"/>
      <c r="H73" s="307"/>
      <c r="I73" s="307"/>
      <c r="J73" s="307"/>
      <c r="K73" s="307"/>
      <c r="L73" s="307"/>
      <c r="M73" s="307"/>
      <c r="N73" s="17"/>
      <c r="O73" s="363"/>
      <c r="P73" s="364"/>
      <c r="Q73" s="364"/>
      <c r="R73" s="365"/>
      <c r="S73" s="83"/>
      <c r="T73" s="83"/>
      <c r="U73" s="83"/>
      <c r="V73" s="391" t="s">
        <v>19</v>
      </c>
      <c r="W73" s="391"/>
      <c r="X73" s="391"/>
      <c r="Y73" s="391"/>
      <c r="Z73" s="391"/>
      <c r="AA73" s="391"/>
      <c r="AB73" s="392">
        <f>SUM(AB68:AI72)</f>
        <v>42495</v>
      </c>
      <c r="AC73" s="392"/>
      <c r="AD73" s="391"/>
      <c r="AE73" s="391"/>
      <c r="AF73" s="391"/>
      <c r="AG73" s="391"/>
      <c r="AH73" s="393"/>
      <c r="AI73" s="393"/>
      <c r="AJ73" s="352"/>
      <c r="AK73" s="350"/>
      <c r="AL73" s="350"/>
      <c r="AM73" s="350"/>
      <c r="AN73" s="350"/>
      <c r="AO73" s="350"/>
      <c r="AP73" s="350"/>
      <c r="AQ73" s="350"/>
      <c r="AR73" s="350"/>
      <c r="AS73" s="350"/>
      <c r="AT73" s="350"/>
      <c r="AU73" s="350"/>
      <c r="AV73" s="350"/>
      <c r="AW73" s="350"/>
      <c r="AX73" s="350"/>
      <c r="AY73" s="350"/>
      <c r="AZ73" s="351"/>
      <c r="BA73" s="24"/>
      <c r="BB73" s="24"/>
      <c r="BI73" s="22"/>
      <c r="BK73" s="19"/>
      <c r="BL73" s="20"/>
      <c r="BM73" s="19"/>
      <c r="BN73" s="21"/>
      <c r="BO73" s="21"/>
      <c r="BP73" s="19"/>
      <c r="BQ73" s="21"/>
    </row>
    <row r="74" spans="2:69" ht="18.75" customHeight="1" thickBot="1">
      <c r="B74" s="307"/>
      <c r="C74" s="307"/>
      <c r="D74" s="307"/>
      <c r="E74" s="307"/>
      <c r="F74" s="80"/>
      <c r="G74" s="307"/>
      <c r="H74" s="307"/>
      <c r="I74" s="307"/>
      <c r="J74" s="307"/>
      <c r="K74" s="307"/>
      <c r="L74" s="307"/>
      <c r="M74" s="307"/>
      <c r="N74" s="426" t="s">
        <v>31</v>
      </c>
      <c r="O74" s="427"/>
      <c r="P74" s="427"/>
      <c r="Q74" s="427"/>
      <c r="R74" s="358"/>
      <c r="S74" s="358"/>
      <c r="T74" s="358"/>
      <c r="U74" s="358"/>
      <c r="V74" s="358"/>
      <c r="W74" s="358"/>
      <c r="X74" s="358"/>
      <c r="Y74" s="358"/>
      <c r="Z74" s="358"/>
      <c r="AA74" s="358"/>
      <c r="AB74" s="357">
        <f>AY61</f>
        <v>167102</v>
      </c>
      <c r="AC74" s="357"/>
      <c r="AD74" s="358"/>
      <c r="AE74" s="358"/>
      <c r="AF74" s="358"/>
      <c r="AG74" s="358"/>
      <c r="AH74" s="359"/>
      <c r="AI74" s="359"/>
      <c r="AJ74" s="353"/>
      <c r="AK74" s="354"/>
      <c r="AL74" s="354"/>
      <c r="AM74" s="354"/>
      <c r="AN74" s="354"/>
      <c r="AO74" s="354"/>
      <c r="AP74" s="354"/>
      <c r="AQ74" s="354"/>
      <c r="AR74" s="354"/>
      <c r="AS74" s="354"/>
      <c r="AT74" s="354"/>
      <c r="AU74" s="354"/>
      <c r="AV74" s="354"/>
      <c r="AW74" s="354"/>
      <c r="AX74" s="354"/>
      <c r="AY74" s="354"/>
      <c r="AZ74" s="355"/>
      <c r="BA74" s="24"/>
      <c r="BB74" s="24"/>
      <c r="BI74" s="22"/>
      <c r="BK74" s="19"/>
      <c r="BL74" s="20"/>
      <c r="BM74" s="19"/>
      <c r="BN74" s="21"/>
      <c r="BO74" s="21"/>
      <c r="BP74" s="19"/>
      <c r="BQ74" s="21"/>
    </row>
    <row r="75" spans="2:69" ht="30" customHeight="1">
      <c r="B75" s="307"/>
      <c r="C75" s="307"/>
      <c r="D75" s="307"/>
      <c r="E75" s="307"/>
      <c r="F75" s="80"/>
      <c r="G75" s="307"/>
      <c r="H75" s="307"/>
      <c r="I75" s="307"/>
      <c r="J75" s="307"/>
      <c r="K75" s="307"/>
      <c r="L75" s="307"/>
      <c r="M75" s="307"/>
      <c r="N75" s="394"/>
      <c r="O75" s="394"/>
      <c r="P75" s="394"/>
      <c r="Q75" s="394"/>
      <c r="R75" s="394"/>
      <c r="S75" s="394"/>
      <c r="T75" s="394"/>
      <c r="U75" s="394"/>
      <c r="V75" s="394"/>
      <c r="W75" s="394"/>
      <c r="X75" s="394"/>
      <c r="Y75" s="394"/>
      <c r="Z75" s="394"/>
      <c r="AA75" s="394"/>
      <c r="AB75" s="394"/>
      <c r="AC75" s="394"/>
      <c r="AD75" s="394"/>
      <c r="AE75" s="394"/>
      <c r="AF75" s="394"/>
      <c r="AG75" s="394"/>
      <c r="AH75" s="394"/>
      <c r="AI75" s="394"/>
      <c r="AJ75" s="394"/>
      <c r="AK75" s="394"/>
      <c r="AL75" s="394"/>
      <c r="AM75" s="394"/>
      <c r="AN75" s="394"/>
      <c r="AO75" s="394"/>
      <c r="AP75" s="394"/>
      <c r="AQ75" s="394"/>
      <c r="AR75" s="394"/>
      <c r="AS75" s="394"/>
      <c r="AT75" s="394"/>
      <c r="AU75" s="394"/>
      <c r="AV75" s="394"/>
      <c r="AW75" s="394"/>
      <c r="AX75" s="394"/>
      <c r="AY75" s="394"/>
      <c r="AZ75" s="394"/>
      <c r="BA75" s="24"/>
      <c r="BB75" s="24"/>
      <c r="BK75" s="19">
        <f t="shared" si="13"/>
        <v>1</v>
      </c>
      <c r="BL75" s="20" t="e">
        <f t="shared" ref="BL75" si="28">#REF!</f>
        <v>#REF!</v>
      </c>
      <c r="BM75" s="19" t="e">
        <f t="shared" ref="BM75" si="29">BK75+BL75</f>
        <v>#REF!</v>
      </c>
      <c r="BN75" s="21" t="e">
        <f t="shared" si="14"/>
        <v>#REF!</v>
      </c>
      <c r="BO75" s="21" t="e">
        <f t="shared" si="15"/>
        <v>#REF!</v>
      </c>
      <c r="BP75" s="19" t="e">
        <f t="shared" ref="BP75" si="30">IF(BO75=0,0,$BT$3)</f>
        <v>#REF!</v>
      </c>
      <c r="BQ75" s="21" t="e">
        <f t="shared" si="17"/>
        <v>#REF!</v>
      </c>
    </row>
  </sheetData>
  <sheetProtection password="E8FA" sheet="1" objects="1" scenarios="1" formatCells="0" formatColumns="0" formatRows="0"/>
  <mergeCells count="162">
    <mergeCell ref="F4:F12"/>
    <mergeCell ref="A11:A13"/>
    <mergeCell ref="N61:R61"/>
    <mergeCell ref="N62:AI62"/>
    <mergeCell ref="O63:R67"/>
    <mergeCell ref="V63:AA63"/>
    <mergeCell ref="AB63:AI63"/>
    <mergeCell ref="V64:AA64"/>
    <mergeCell ref="O40:R40"/>
    <mergeCell ref="O60:R60"/>
    <mergeCell ref="O16:R16"/>
    <mergeCell ref="G10:G12"/>
    <mergeCell ref="H10:H12"/>
    <mergeCell ref="I10:I12"/>
    <mergeCell ref="J10:J12"/>
    <mergeCell ref="K7:K12"/>
    <mergeCell ref="L7:L12"/>
    <mergeCell ref="M7:M12"/>
    <mergeCell ref="AA11:AE12"/>
    <mergeCell ref="AF11:AJ12"/>
    <mergeCell ref="B61:E75"/>
    <mergeCell ref="AC2:AD2"/>
    <mergeCell ref="AM2:AP2"/>
    <mergeCell ref="O13:R13"/>
    <mergeCell ref="Q2:X2"/>
    <mergeCell ref="Y2:AB2"/>
    <mergeCell ref="AE2:AH2"/>
    <mergeCell ref="AJ2:AL2"/>
    <mergeCell ref="AQ2:AR2"/>
    <mergeCell ref="B1:AZ1"/>
    <mergeCell ref="AS2:AY2"/>
    <mergeCell ref="Q3:AZ3"/>
    <mergeCell ref="AW9:AW10"/>
    <mergeCell ref="AX9:AX10"/>
    <mergeCell ref="AY9:AY10"/>
    <mergeCell ref="AZ9:AZ10"/>
    <mergeCell ref="AN9:AP9"/>
    <mergeCell ref="N4:AZ4"/>
    <mergeCell ref="N5:AZ5"/>
    <mergeCell ref="N6:AZ6"/>
    <mergeCell ref="N7:W7"/>
    <mergeCell ref="AD7:AG7"/>
    <mergeCell ref="AK11:AM12"/>
    <mergeCell ref="AN11:AP12"/>
    <mergeCell ref="AQ11:AS12"/>
    <mergeCell ref="BD11:BD13"/>
    <mergeCell ref="BE11:BE13"/>
    <mergeCell ref="BF11:BF13"/>
    <mergeCell ref="BG11:BG13"/>
    <mergeCell ref="N75:AZ75"/>
    <mergeCell ref="N8:AF8"/>
    <mergeCell ref="AW8:AZ8"/>
    <mergeCell ref="N11:N13"/>
    <mergeCell ref="N9:N10"/>
    <mergeCell ref="O9:R10"/>
    <mergeCell ref="V9:Z9"/>
    <mergeCell ref="AA9:AE9"/>
    <mergeCell ref="AF9:AJ9"/>
    <mergeCell ref="AT11:AV12"/>
    <mergeCell ref="AW11:AW12"/>
    <mergeCell ref="AX11:AX12"/>
    <mergeCell ref="AY11:AY12"/>
    <mergeCell ref="AZ11:AZ12"/>
    <mergeCell ref="AB67:AI67"/>
    <mergeCell ref="N74:AA74"/>
    <mergeCell ref="AL8:AN8"/>
    <mergeCell ref="B2:D2"/>
    <mergeCell ref="E2:P2"/>
    <mergeCell ref="AQ9:AS9"/>
    <mergeCell ref="V73:AA73"/>
    <mergeCell ref="AB73:AI73"/>
    <mergeCell ref="AB64:AI64"/>
    <mergeCell ref="V65:AA65"/>
    <mergeCell ref="O42:R42"/>
    <mergeCell ref="O43:R43"/>
    <mergeCell ref="O44:R44"/>
    <mergeCell ref="O45:R45"/>
    <mergeCell ref="O46:R46"/>
    <mergeCell ref="O47:R47"/>
    <mergeCell ref="O48:R48"/>
    <mergeCell ref="O49:R49"/>
    <mergeCell ref="O23:R23"/>
    <mergeCell ref="O33:R33"/>
    <mergeCell ref="O34:R34"/>
    <mergeCell ref="O35:R35"/>
    <mergeCell ref="O36:R36"/>
    <mergeCell ref="O37:R37"/>
    <mergeCell ref="O38:R38"/>
    <mergeCell ref="O39:R39"/>
    <mergeCell ref="O21:R21"/>
    <mergeCell ref="BP11:BP13"/>
    <mergeCell ref="BQ11:BQ13"/>
    <mergeCell ref="O24:R24"/>
    <mergeCell ref="O25:R25"/>
    <mergeCell ref="O26:R26"/>
    <mergeCell ref="E3:P3"/>
    <mergeCell ref="B4:E4"/>
    <mergeCell ref="B6:E6"/>
    <mergeCell ref="B5:E5"/>
    <mergeCell ref="B7:E7"/>
    <mergeCell ref="BK11:BK13"/>
    <mergeCell ref="B3:D3"/>
    <mergeCell ref="BM11:BM13"/>
    <mergeCell ref="BN11:BN13"/>
    <mergeCell ref="BO11:BO13"/>
    <mergeCell ref="BL11:BL13"/>
    <mergeCell ref="O22:R22"/>
    <mergeCell ref="O18:R18"/>
    <mergeCell ref="O19:R19"/>
    <mergeCell ref="O20:R20"/>
    <mergeCell ref="O14:R14"/>
    <mergeCell ref="BH11:BH13"/>
    <mergeCell ref="BC11:BC13"/>
    <mergeCell ref="AH8:AJ8"/>
    <mergeCell ref="AQ7:AZ7"/>
    <mergeCell ref="O32:R32"/>
    <mergeCell ref="V66:AA66"/>
    <mergeCell ref="AB66:AI66"/>
    <mergeCell ref="V71:AA71"/>
    <mergeCell ref="AB71:AI71"/>
    <mergeCell ref="AJ62:AZ65"/>
    <mergeCell ref="V69:AA69"/>
    <mergeCell ref="AB69:AI69"/>
    <mergeCell ref="V70:AA70"/>
    <mergeCell ref="AB70:AI70"/>
    <mergeCell ref="AB65:AI65"/>
    <mergeCell ref="AJ66:AZ74"/>
    <mergeCell ref="V67:AA67"/>
    <mergeCell ref="AB74:AI74"/>
    <mergeCell ref="O68:R73"/>
    <mergeCell ref="V68:AA68"/>
    <mergeCell ref="AB68:AI68"/>
    <mergeCell ref="O17:R17"/>
    <mergeCell ref="O31:R31"/>
    <mergeCell ref="AT9:AV9"/>
    <mergeCell ref="O15:R15"/>
    <mergeCell ref="V72:AA72"/>
    <mergeCell ref="AB72:AI72"/>
    <mergeCell ref="AM7:AP7"/>
    <mergeCell ref="AK9:AM9"/>
    <mergeCell ref="X7:AC7"/>
    <mergeCell ref="B8:E60"/>
    <mergeCell ref="G61:M75"/>
    <mergeCell ref="AH7:AL7"/>
    <mergeCell ref="G4:H9"/>
    <mergeCell ref="I4:J9"/>
    <mergeCell ref="K4:M6"/>
    <mergeCell ref="O59:R59"/>
    <mergeCell ref="O50:R50"/>
    <mergeCell ref="O51:R51"/>
    <mergeCell ref="O52:R52"/>
    <mergeCell ref="O53:R53"/>
    <mergeCell ref="O54:R54"/>
    <mergeCell ref="O55:R55"/>
    <mergeCell ref="O56:R56"/>
    <mergeCell ref="O57:R57"/>
    <mergeCell ref="O58:R58"/>
    <mergeCell ref="O41:R41"/>
    <mergeCell ref="O27:R27"/>
    <mergeCell ref="O28:R28"/>
    <mergeCell ref="O29:R29"/>
    <mergeCell ref="O30:R30"/>
  </mergeCells>
  <conditionalFormatting sqref="AC13:AC59 AY14:AZ60 N14:O60 A14:A60 V14:AP60 AT14:AW60">
    <cfRule type="expression" dxfId="13" priority="11">
      <formula>$O13=0</formula>
    </cfRule>
  </conditionalFormatting>
  <conditionalFormatting sqref="BO14:BQ75">
    <cfRule type="cellIs" dxfId="12" priority="10" operator="equal">
      <formula>0</formula>
    </cfRule>
  </conditionalFormatting>
  <conditionalFormatting sqref="S11:V60">
    <cfRule type="expression" dxfId="11" priority="9">
      <formula>$S11=7</formula>
    </cfRule>
  </conditionalFormatting>
  <conditionalFormatting sqref="AC10 X10 AH10 V66:AI66 X7:AC7 AQ7:AZ7">
    <cfRule type="cellIs" dxfId="10" priority="8" operator="equal">
      <formula>0</formula>
    </cfRule>
  </conditionalFormatting>
  <conditionalFormatting sqref="AH7:AL7">
    <cfRule type="cellIs" dxfId="9" priority="3" operator="equal">
      <formula>0</formula>
    </cfRule>
  </conditionalFormatting>
  <conditionalFormatting sqref="K13:M60">
    <cfRule type="expression" dxfId="8" priority="1">
      <formula>$K13="YES"</formula>
    </cfRule>
  </conditionalFormatting>
  <dataValidations count="3">
    <dataValidation type="list" allowBlank="1" showInputMessage="1" showErrorMessage="1" sqref="Y2">
      <formula1>"Subordinate,State,Ministrial"</formula1>
    </dataValidation>
    <dataValidation type="list" allowBlank="1" showInputMessage="1" showErrorMessage="1" sqref="E2:M2">
      <formula1>"Salary,Fixation,ACP"</formula1>
    </dataValidation>
    <dataValidation type="list" allowBlank="1" showInputMessage="1" showErrorMessage="1" sqref="K13:K60">
      <formula1>"YES,NO"</formula1>
    </dataValidation>
  </dataValidations>
  <pageMargins left="0.31496062992125984" right="0.19685039370078741" top="0.31496062992125984" bottom="0.35433070866141736" header="0.31496062992125984" footer="0.31496062992125984"/>
  <pageSetup paperSize="9" scale="63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XFC75"/>
  <sheetViews>
    <sheetView showGridLines="0" topLeftCell="F4" zoomScaleSheetLayoutView="85" workbookViewId="0">
      <selection activeCell="N61" sqref="N61:AZ61"/>
    </sheetView>
  </sheetViews>
  <sheetFormatPr defaultColWidth="0" defaultRowHeight="15" customHeight="1" zeroHeight="1"/>
  <cols>
    <col min="1" max="1" width="0" style="7" hidden="1" customWidth="1"/>
    <col min="2" max="5" width="0" style="81" hidden="1" customWidth="1"/>
    <col min="6" max="6" width="8.42578125" style="81" customWidth="1"/>
    <col min="7" max="14" width="5.85546875" style="81" customWidth="1"/>
    <col min="15" max="15" width="0" style="81" hidden="1" customWidth="1"/>
    <col min="16" max="16" width="7.28515625" style="81" bestFit="1" customWidth="1"/>
    <col min="17" max="17" width="2.28515625" style="81" customWidth="1"/>
    <col min="18" max="18" width="7.5703125" style="81" bestFit="1" customWidth="1"/>
    <col min="19" max="21" width="0" style="81" hidden="1" customWidth="1"/>
    <col min="22" max="25" width="6.42578125" style="81" customWidth="1"/>
    <col min="26" max="26" width="7.28515625" style="81" customWidth="1"/>
    <col min="27" max="30" width="6.42578125" style="81" customWidth="1"/>
    <col min="31" max="31" width="7.140625" style="81" customWidth="1"/>
    <col min="32" max="35" width="5.85546875" style="81" customWidth="1"/>
    <col min="36" max="36" width="6.7109375" style="81" customWidth="1"/>
    <col min="37" max="50" width="5.85546875" style="81" customWidth="1"/>
    <col min="51" max="51" width="7.85546875" style="81" customWidth="1"/>
    <col min="52" max="52" width="19.42578125" style="81" customWidth="1"/>
    <col min="53" max="53" width="2.5703125" style="25" customWidth="1"/>
    <col min="54" max="54" width="5.85546875" style="25" hidden="1"/>
    <col min="55" max="55" width="5.85546875" style="81" hidden="1"/>
    <col min="56" max="56" width="5.85546875" style="84" hidden="1"/>
    <col min="57" max="16383" width="5.85546875" style="81" hidden="1"/>
    <col min="16384" max="16384" width="4.140625" style="81" hidden="1"/>
  </cols>
  <sheetData>
    <row r="1" spans="1:76" ht="24" hidden="1" customHeight="1">
      <c r="B1" s="437" t="s">
        <v>106</v>
      </c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  <c r="P1" s="437"/>
      <c r="Q1" s="437"/>
      <c r="R1" s="437"/>
      <c r="S1" s="437"/>
      <c r="T1" s="437"/>
      <c r="U1" s="437"/>
      <c r="V1" s="437"/>
      <c r="W1" s="437"/>
      <c r="X1" s="437"/>
      <c r="Y1" s="437"/>
      <c r="Z1" s="437"/>
      <c r="AA1" s="437"/>
      <c r="AB1" s="437"/>
      <c r="AC1" s="437"/>
      <c r="AD1" s="437"/>
      <c r="AE1" s="437"/>
      <c r="AF1" s="437"/>
      <c r="AG1" s="437"/>
      <c r="AH1" s="437"/>
      <c r="AI1" s="437"/>
      <c r="AJ1" s="437"/>
      <c r="AK1" s="437"/>
      <c r="AL1" s="437"/>
      <c r="AM1" s="437"/>
      <c r="AN1" s="437"/>
      <c r="AO1" s="437"/>
      <c r="AP1" s="437"/>
      <c r="AQ1" s="437"/>
      <c r="AR1" s="437"/>
      <c r="AS1" s="437"/>
      <c r="AT1" s="437"/>
      <c r="AU1" s="437"/>
      <c r="AV1" s="437"/>
      <c r="AW1" s="437"/>
      <c r="AX1" s="437"/>
      <c r="AY1" s="437"/>
      <c r="AZ1" s="437"/>
    </row>
    <row r="2" spans="1:76" ht="33" hidden="1" customHeight="1">
      <c r="B2" s="382" t="s">
        <v>57</v>
      </c>
      <c r="C2" s="382"/>
      <c r="D2" s="382"/>
      <c r="E2" s="389" t="str">
        <f>'Basic Data Entry'!C9</f>
        <v>ACP</v>
      </c>
      <c r="F2" s="389"/>
      <c r="G2" s="389"/>
      <c r="H2" s="389"/>
      <c r="I2" s="389"/>
      <c r="J2" s="389"/>
      <c r="K2" s="389"/>
      <c r="L2" s="389"/>
      <c r="M2" s="389"/>
      <c r="N2" s="389"/>
      <c r="O2" s="389"/>
      <c r="P2" s="389"/>
      <c r="Q2" s="433" t="s">
        <v>70</v>
      </c>
      <c r="R2" s="433"/>
      <c r="S2" s="433"/>
      <c r="T2" s="433"/>
      <c r="U2" s="433"/>
      <c r="V2" s="433"/>
      <c r="W2" s="433"/>
      <c r="X2" s="433"/>
      <c r="Y2" s="434" t="str">
        <f>'Basic Data Entry'!C10</f>
        <v>Subordinate</v>
      </c>
      <c r="Z2" s="434"/>
      <c r="AA2" s="434"/>
      <c r="AB2" s="434"/>
      <c r="AC2" s="428" t="s">
        <v>69</v>
      </c>
      <c r="AD2" s="428"/>
      <c r="AE2" s="435">
        <f>'Basic Data Entry'!E6</f>
        <v>43468</v>
      </c>
      <c r="AF2" s="435"/>
      <c r="AG2" s="435"/>
      <c r="AH2" s="435"/>
      <c r="AI2" s="26" t="s">
        <v>53</v>
      </c>
      <c r="AJ2" s="435">
        <f>'Basic Data Entry'!G6</f>
        <v>44500</v>
      </c>
      <c r="AK2" s="435"/>
      <c r="AL2" s="435"/>
      <c r="AM2" s="429" t="s">
        <v>72</v>
      </c>
      <c r="AN2" s="429"/>
      <c r="AO2" s="429"/>
      <c r="AP2" s="429"/>
      <c r="AQ2" s="436">
        <f>'Basic Data Entry'!G9</f>
        <v>4500</v>
      </c>
      <c r="AR2" s="436"/>
      <c r="AS2" s="429" t="s">
        <v>73</v>
      </c>
      <c r="AT2" s="429"/>
      <c r="AU2" s="429"/>
      <c r="AV2" s="429"/>
      <c r="AW2" s="429"/>
      <c r="AX2" s="429"/>
      <c r="AY2" s="429"/>
      <c r="AZ2" s="79">
        <f>'Basic Data Entry'!G10</f>
        <v>4500</v>
      </c>
      <c r="BA2" s="24"/>
      <c r="BB2" s="24"/>
    </row>
    <row r="3" spans="1:76" ht="28.5" hidden="1" customHeight="1" thickBot="1">
      <c r="B3" s="382" t="s">
        <v>77</v>
      </c>
      <c r="C3" s="382"/>
      <c r="D3" s="382"/>
      <c r="E3" s="376">
        <f>'Basic Data Entry'!C11</f>
        <v>0.1</v>
      </c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438" t="s">
        <v>60</v>
      </c>
      <c r="R3" s="438"/>
      <c r="S3" s="438"/>
      <c r="T3" s="438"/>
      <c r="U3" s="438"/>
      <c r="V3" s="438"/>
      <c r="W3" s="438"/>
      <c r="X3" s="438"/>
      <c r="Y3" s="438"/>
      <c r="Z3" s="438"/>
      <c r="AA3" s="438"/>
      <c r="AB3" s="438"/>
      <c r="AC3" s="438"/>
      <c r="AD3" s="438"/>
      <c r="AE3" s="438"/>
      <c r="AF3" s="438"/>
      <c r="AG3" s="438"/>
      <c r="AH3" s="438"/>
      <c r="AI3" s="438"/>
      <c r="AJ3" s="438"/>
      <c r="AK3" s="438"/>
      <c r="AL3" s="438"/>
      <c r="AM3" s="438"/>
      <c r="AN3" s="438"/>
      <c r="AO3" s="438"/>
      <c r="AP3" s="438"/>
      <c r="AQ3" s="438"/>
      <c r="AR3" s="438"/>
      <c r="AS3" s="438"/>
      <c r="AT3" s="438"/>
      <c r="AU3" s="438"/>
      <c r="AV3" s="438"/>
      <c r="AW3" s="438"/>
      <c r="AX3" s="438"/>
      <c r="AY3" s="438"/>
      <c r="AZ3" s="438"/>
      <c r="BA3" s="24"/>
      <c r="BB3" s="24"/>
    </row>
    <row r="4" spans="1:76" ht="39" customHeight="1">
      <c r="B4" s="378" t="s">
        <v>62</v>
      </c>
      <c r="C4" s="378"/>
      <c r="D4" s="378"/>
      <c r="E4" s="379"/>
      <c r="F4" s="456" t="s">
        <v>130</v>
      </c>
      <c r="G4" s="310" t="s">
        <v>61</v>
      </c>
      <c r="H4" s="311"/>
      <c r="I4" s="310" t="s">
        <v>67</v>
      </c>
      <c r="J4" s="311"/>
      <c r="K4" s="318" t="s">
        <v>74</v>
      </c>
      <c r="L4" s="319"/>
      <c r="M4" s="320"/>
      <c r="N4" s="533" t="str">
        <f>'Basic Data Entry'!C4</f>
        <v>Govt. Sr. Sec. School Raimalwada, Bapini (Jodhpur)</v>
      </c>
      <c r="O4" s="533"/>
      <c r="P4" s="533"/>
      <c r="Q4" s="533"/>
      <c r="R4" s="533"/>
      <c r="S4" s="533"/>
      <c r="T4" s="533"/>
      <c r="U4" s="533"/>
      <c r="V4" s="533"/>
      <c r="W4" s="533"/>
      <c r="X4" s="533"/>
      <c r="Y4" s="533"/>
      <c r="Z4" s="533"/>
      <c r="AA4" s="533"/>
      <c r="AB4" s="533"/>
      <c r="AC4" s="533"/>
      <c r="AD4" s="533"/>
      <c r="AE4" s="533"/>
      <c r="AF4" s="533"/>
      <c r="AG4" s="533"/>
      <c r="AH4" s="533"/>
      <c r="AI4" s="533"/>
      <c r="AJ4" s="533"/>
      <c r="AK4" s="533"/>
      <c r="AL4" s="533"/>
      <c r="AM4" s="533"/>
      <c r="AN4" s="533"/>
      <c r="AO4" s="533"/>
      <c r="AP4" s="533"/>
      <c r="AQ4" s="533"/>
      <c r="AR4" s="533"/>
      <c r="AS4" s="533"/>
      <c r="AT4" s="533"/>
      <c r="AU4" s="533"/>
      <c r="AV4" s="533"/>
      <c r="AW4" s="533"/>
      <c r="AX4" s="533"/>
      <c r="AY4" s="533"/>
      <c r="AZ4" s="534"/>
      <c r="BA4" s="24"/>
      <c r="BB4" s="24"/>
    </row>
    <row r="5" spans="1:76" ht="25.5" customHeight="1">
      <c r="B5" s="380">
        <f>'Basic Data Entry'!G7</f>
        <v>39100</v>
      </c>
      <c r="C5" s="380"/>
      <c r="D5" s="380"/>
      <c r="E5" s="381"/>
      <c r="F5" s="456"/>
      <c r="G5" s="312"/>
      <c r="H5" s="313"/>
      <c r="I5" s="312"/>
      <c r="J5" s="313"/>
      <c r="K5" s="321"/>
      <c r="L5" s="322"/>
      <c r="M5" s="323"/>
      <c r="N5" s="450" t="s">
        <v>0</v>
      </c>
      <c r="O5" s="450"/>
      <c r="P5" s="450"/>
      <c r="Q5" s="450"/>
      <c r="R5" s="450"/>
      <c r="S5" s="450"/>
      <c r="T5" s="450"/>
      <c r="U5" s="450"/>
      <c r="V5" s="450"/>
      <c r="W5" s="450"/>
      <c r="X5" s="450"/>
      <c r="Y5" s="450"/>
      <c r="Z5" s="450"/>
      <c r="AA5" s="450"/>
      <c r="AB5" s="450"/>
      <c r="AC5" s="450"/>
      <c r="AD5" s="450"/>
      <c r="AE5" s="450"/>
      <c r="AF5" s="450"/>
      <c r="AG5" s="450"/>
      <c r="AH5" s="450"/>
      <c r="AI5" s="450"/>
      <c r="AJ5" s="450"/>
      <c r="AK5" s="450"/>
      <c r="AL5" s="450"/>
      <c r="AM5" s="450"/>
      <c r="AN5" s="450"/>
      <c r="AO5" s="450"/>
      <c r="AP5" s="450"/>
      <c r="AQ5" s="450"/>
      <c r="AR5" s="450"/>
      <c r="AS5" s="450"/>
      <c r="AT5" s="450"/>
      <c r="AU5" s="450"/>
      <c r="AV5" s="450"/>
      <c r="AW5" s="450"/>
      <c r="AX5" s="450"/>
      <c r="AY5" s="450"/>
      <c r="AZ5" s="451"/>
      <c r="BA5" s="24"/>
      <c r="BB5" s="24"/>
    </row>
    <row r="6" spans="1:76" ht="46.5" customHeight="1" thickBot="1">
      <c r="B6" s="378" t="s">
        <v>56</v>
      </c>
      <c r="C6" s="378"/>
      <c r="D6" s="378"/>
      <c r="E6" s="379"/>
      <c r="F6" s="456"/>
      <c r="G6" s="312"/>
      <c r="H6" s="313"/>
      <c r="I6" s="312"/>
      <c r="J6" s="313"/>
      <c r="K6" s="324"/>
      <c r="L6" s="325"/>
      <c r="M6" s="326"/>
      <c r="N6" s="530" t="str">
        <f>'Basic Data Entry'!C5</f>
        <v>dk;kZy;%ftyk f’k{kk vf/kdkjh¼eq[;k-½] ek/;fEHkd f’k{kk] --------------------------ds vkns’k Øekad&amp;---------------------------------------------------------------------- fnukad%&amp;-------------------------------------------- ds vuqlj.k esa dkfeZd Jherh ------------------------------ ¼------------------------------½ dk 2 o"khZ; ijhoh{kkdky lekIr gksus ij fnukad&amp;------------------------------------ ls --------------------------------- rd dk cdk;k osru ,fj;j fuEu rkfydkuqlkj fn;k tkrk gSA</v>
      </c>
      <c r="O6" s="531"/>
      <c r="P6" s="531"/>
      <c r="Q6" s="531"/>
      <c r="R6" s="531"/>
      <c r="S6" s="531"/>
      <c r="T6" s="531"/>
      <c r="U6" s="531"/>
      <c r="V6" s="531"/>
      <c r="W6" s="531"/>
      <c r="X6" s="531"/>
      <c r="Y6" s="531"/>
      <c r="Z6" s="531"/>
      <c r="AA6" s="531"/>
      <c r="AB6" s="531"/>
      <c r="AC6" s="531"/>
      <c r="AD6" s="531"/>
      <c r="AE6" s="531"/>
      <c r="AF6" s="531"/>
      <c r="AG6" s="531"/>
      <c r="AH6" s="531"/>
      <c r="AI6" s="531"/>
      <c r="AJ6" s="531"/>
      <c r="AK6" s="531"/>
      <c r="AL6" s="531"/>
      <c r="AM6" s="531"/>
      <c r="AN6" s="531"/>
      <c r="AO6" s="531"/>
      <c r="AP6" s="531"/>
      <c r="AQ6" s="531"/>
      <c r="AR6" s="531"/>
      <c r="AS6" s="531"/>
      <c r="AT6" s="531"/>
      <c r="AU6" s="531"/>
      <c r="AV6" s="531"/>
      <c r="AW6" s="531"/>
      <c r="AX6" s="531"/>
      <c r="AY6" s="531"/>
      <c r="AZ6" s="532"/>
      <c r="BA6" s="24"/>
      <c r="BB6" s="24"/>
    </row>
    <row r="7" spans="1:76" ht="25.5" customHeight="1" thickBot="1">
      <c r="B7" s="380">
        <f>'Basic Data Entry'!G8</f>
        <v>43800</v>
      </c>
      <c r="C7" s="380"/>
      <c r="D7" s="380"/>
      <c r="E7" s="381"/>
      <c r="F7" s="456"/>
      <c r="G7" s="312"/>
      <c r="H7" s="313"/>
      <c r="I7" s="312"/>
      <c r="J7" s="316"/>
      <c r="K7" s="492" t="s">
        <v>76</v>
      </c>
      <c r="L7" s="492" t="s">
        <v>75</v>
      </c>
      <c r="M7" s="495" t="s">
        <v>80</v>
      </c>
      <c r="N7" s="455" t="s">
        <v>1</v>
      </c>
      <c r="O7" s="298"/>
      <c r="P7" s="298"/>
      <c r="Q7" s="298"/>
      <c r="R7" s="298"/>
      <c r="S7" s="298"/>
      <c r="T7" s="298"/>
      <c r="U7" s="298"/>
      <c r="V7" s="298"/>
      <c r="W7" s="298"/>
      <c r="X7" s="527" t="str">
        <f>'Basic Data Entry'!C6</f>
        <v>Ummed Tarad</v>
      </c>
      <c r="Y7" s="527"/>
      <c r="Z7" s="527"/>
      <c r="AA7" s="527"/>
      <c r="AB7" s="527"/>
      <c r="AC7" s="527"/>
      <c r="AD7" s="298" t="s">
        <v>2</v>
      </c>
      <c r="AE7" s="298"/>
      <c r="AF7" s="298"/>
      <c r="AG7" s="298"/>
      <c r="AH7" s="525" t="str">
        <f>'Basic Data Entry'!C7</f>
        <v>Teacher</v>
      </c>
      <c r="AI7" s="525"/>
      <c r="AJ7" s="525"/>
      <c r="AK7" s="525"/>
      <c r="AL7" s="526"/>
      <c r="AM7" s="297" t="s">
        <v>3</v>
      </c>
      <c r="AN7" s="298"/>
      <c r="AO7" s="298"/>
      <c r="AP7" s="299"/>
      <c r="AQ7" s="527" t="str">
        <f>'Basic Data Entry'!C8</f>
        <v>RJJO201225012345</v>
      </c>
      <c r="AR7" s="527"/>
      <c r="AS7" s="527"/>
      <c r="AT7" s="527"/>
      <c r="AU7" s="527"/>
      <c r="AV7" s="527"/>
      <c r="AW7" s="527"/>
      <c r="AX7" s="527"/>
      <c r="AY7" s="527"/>
      <c r="AZ7" s="528"/>
      <c r="BA7" s="24"/>
      <c r="BB7" s="24"/>
    </row>
    <row r="8" spans="1:76" s="8" customFormat="1" ht="24" customHeight="1" thickBot="1">
      <c r="A8" s="84"/>
      <c r="B8" s="304"/>
      <c r="C8" s="304"/>
      <c r="D8" s="304"/>
      <c r="E8" s="304"/>
      <c r="F8" s="456"/>
      <c r="G8" s="312"/>
      <c r="H8" s="313"/>
      <c r="I8" s="312"/>
      <c r="J8" s="316"/>
      <c r="K8" s="493"/>
      <c r="L8" s="493"/>
      <c r="M8" s="496"/>
      <c r="N8" s="395" t="s">
        <v>32</v>
      </c>
      <c r="O8" s="396"/>
      <c r="P8" s="396"/>
      <c r="Q8" s="396"/>
      <c r="R8" s="396"/>
      <c r="S8" s="396"/>
      <c r="T8" s="396"/>
      <c r="U8" s="396"/>
      <c r="V8" s="396"/>
      <c r="W8" s="396"/>
      <c r="X8" s="396"/>
      <c r="Y8" s="396"/>
      <c r="Z8" s="396"/>
      <c r="AA8" s="396"/>
      <c r="AB8" s="396"/>
      <c r="AC8" s="396"/>
      <c r="AD8" s="396"/>
      <c r="AE8" s="396"/>
      <c r="AF8" s="396"/>
      <c r="AG8" s="96" t="s">
        <v>52</v>
      </c>
      <c r="AH8" s="529">
        <f>AE2</f>
        <v>43468</v>
      </c>
      <c r="AI8" s="529"/>
      <c r="AJ8" s="529"/>
      <c r="AK8" s="97" t="s">
        <v>53</v>
      </c>
      <c r="AL8" s="529">
        <f>AJ2</f>
        <v>44500</v>
      </c>
      <c r="AM8" s="529"/>
      <c r="AN8" s="529"/>
      <c r="AO8" s="98" t="s">
        <v>54</v>
      </c>
      <c r="AP8" s="99"/>
      <c r="AQ8" s="100">
        <f>MONTH(AL8)</f>
        <v>10</v>
      </c>
      <c r="AR8" s="101">
        <f>YEAR(AL8)</f>
        <v>2021</v>
      </c>
      <c r="AS8" s="100"/>
      <c r="AT8" s="100"/>
      <c r="AU8" s="100"/>
      <c r="AV8" s="100"/>
      <c r="AW8" s="397" t="str">
        <f>CONCATENATE(AQ8,AR8)</f>
        <v>102021</v>
      </c>
      <c r="AX8" s="397"/>
      <c r="AY8" s="397"/>
      <c r="AZ8" s="398"/>
      <c r="BA8" s="24"/>
      <c r="BB8" s="24"/>
      <c r="BC8" s="9"/>
      <c r="BE8" s="9"/>
    </row>
    <row r="9" spans="1:76" ht="30.75" customHeight="1" thickBot="1">
      <c r="B9" s="305"/>
      <c r="C9" s="305"/>
      <c r="D9" s="305"/>
      <c r="E9" s="305"/>
      <c r="F9" s="456"/>
      <c r="G9" s="314"/>
      <c r="H9" s="315"/>
      <c r="I9" s="314"/>
      <c r="J9" s="317"/>
      <c r="K9" s="493"/>
      <c r="L9" s="493"/>
      <c r="M9" s="496"/>
      <c r="N9" s="402" t="s">
        <v>4</v>
      </c>
      <c r="O9" s="404" t="s">
        <v>5</v>
      </c>
      <c r="P9" s="405"/>
      <c r="Q9" s="405"/>
      <c r="R9" s="406"/>
      <c r="S9" s="148"/>
      <c r="T9" s="148"/>
      <c r="U9" s="148"/>
      <c r="V9" s="518" t="s">
        <v>58</v>
      </c>
      <c r="W9" s="519"/>
      <c r="X9" s="519"/>
      <c r="Y9" s="519"/>
      <c r="Z9" s="520"/>
      <c r="AA9" s="518" t="s">
        <v>59</v>
      </c>
      <c r="AB9" s="519"/>
      <c r="AC9" s="519"/>
      <c r="AD9" s="519"/>
      <c r="AE9" s="520"/>
      <c r="AF9" s="518" t="s">
        <v>6</v>
      </c>
      <c r="AG9" s="519"/>
      <c r="AH9" s="519"/>
      <c r="AI9" s="519"/>
      <c r="AJ9" s="520"/>
      <c r="AK9" s="521" t="s">
        <v>64</v>
      </c>
      <c r="AL9" s="522"/>
      <c r="AM9" s="523"/>
      <c r="AN9" s="521" t="s">
        <v>7</v>
      </c>
      <c r="AO9" s="522"/>
      <c r="AP9" s="524"/>
      <c r="AQ9" s="390" t="s">
        <v>68</v>
      </c>
      <c r="AR9" s="371"/>
      <c r="AS9" s="372"/>
      <c r="AT9" s="370" t="s">
        <v>98</v>
      </c>
      <c r="AU9" s="371"/>
      <c r="AV9" s="372"/>
      <c r="AW9" s="512" t="s">
        <v>8</v>
      </c>
      <c r="AX9" s="514" t="s">
        <v>9</v>
      </c>
      <c r="AY9" s="516" t="s">
        <v>10</v>
      </c>
      <c r="AZ9" s="445" t="s">
        <v>11</v>
      </c>
      <c r="BA9" s="24"/>
      <c r="BB9" s="24"/>
    </row>
    <row r="10" spans="1:76" ht="32.25" customHeight="1" thickBot="1">
      <c r="B10" s="305"/>
      <c r="C10" s="305"/>
      <c r="D10" s="305"/>
      <c r="E10" s="305"/>
      <c r="F10" s="456"/>
      <c r="G10" s="481" t="s">
        <v>17</v>
      </c>
      <c r="H10" s="484" t="s">
        <v>63</v>
      </c>
      <c r="I10" s="484" t="s">
        <v>17</v>
      </c>
      <c r="J10" s="489" t="s">
        <v>63</v>
      </c>
      <c r="K10" s="493"/>
      <c r="L10" s="493"/>
      <c r="M10" s="496"/>
      <c r="N10" s="403"/>
      <c r="O10" s="407"/>
      <c r="P10" s="408"/>
      <c r="Q10" s="408"/>
      <c r="R10" s="409"/>
      <c r="S10" s="245"/>
      <c r="T10" s="245"/>
      <c r="U10" s="245"/>
      <c r="V10" s="266" t="s">
        <v>12</v>
      </c>
      <c r="W10" s="267" t="s">
        <v>13</v>
      </c>
      <c r="X10" s="248"/>
      <c r="Y10" s="267" t="s">
        <v>14</v>
      </c>
      <c r="Z10" s="268" t="s">
        <v>15</v>
      </c>
      <c r="AA10" s="266" t="s">
        <v>12</v>
      </c>
      <c r="AB10" s="267" t="s">
        <v>13</v>
      </c>
      <c r="AC10" s="248">
        <f>X10</f>
        <v>0</v>
      </c>
      <c r="AD10" s="267" t="s">
        <v>14</v>
      </c>
      <c r="AE10" s="268" t="s">
        <v>15</v>
      </c>
      <c r="AF10" s="266" t="s">
        <v>12</v>
      </c>
      <c r="AG10" s="267" t="s">
        <v>13</v>
      </c>
      <c r="AH10" s="248">
        <f>AC10</f>
        <v>0</v>
      </c>
      <c r="AI10" s="267" t="s">
        <v>14</v>
      </c>
      <c r="AJ10" s="268" t="s">
        <v>15</v>
      </c>
      <c r="AK10" s="269" t="s">
        <v>16</v>
      </c>
      <c r="AL10" s="270" t="s">
        <v>17</v>
      </c>
      <c r="AM10" s="271" t="s">
        <v>18</v>
      </c>
      <c r="AN10" s="269" t="s">
        <v>16</v>
      </c>
      <c r="AO10" s="270" t="s">
        <v>17</v>
      </c>
      <c r="AP10" s="272" t="s">
        <v>18</v>
      </c>
      <c r="AQ10" s="273" t="s">
        <v>16</v>
      </c>
      <c r="AR10" s="270" t="s">
        <v>17</v>
      </c>
      <c r="AS10" s="271" t="s">
        <v>18</v>
      </c>
      <c r="AT10" s="269" t="s">
        <v>16</v>
      </c>
      <c r="AU10" s="270" t="s">
        <v>17</v>
      </c>
      <c r="AV10" s="271" t="s">
        <v>18</v>
      </c>
      <c r="AW10" s="513"/>
      <c r="AX10" s="515"/>
      <c r="AY10" s="517"/>
      <c r="AZ10" s="446"/>
      <c r="BA10" s="24"/>
      <c r="BB10" s="24"/>
      <c r="BE10" s="11">
        <f>AM8</f>
        <v>0</v>
      </c>
      <c r="BF10" s="81">
        <f>DAY(BC11)</f>
        <v>3</v>
      </c>
      <c r="BT10" s="81" t="str">
        <f>TEXT(BI13,"MMMM")</f>
        <v>January</v>
      </c>
    </row>
    <row r="11" spans="1:76" ht="18.75" customHeight="1">
      <c r="A11" s="457">
        <f>V13</f>
        <v>43497</v>
      </c>
      <c r="B11" s="305"/>
      <c r="C11" s="305"/>
      <c r="D11" s="305"/>
      <c r="E11" s="305"/>
      <c r="F11" s="456"/>
      <c r="G11" s="482"/>
      <c r="H11" s="485"/>
      <c r="I11" s="487"/>
      <c r="J11" s="490"/>
      <c r="K11" s="493"/>
      <c r="L11" s="493"/>
      <c r="M11" s="496"/>
      <c r="N11" s="399">
        <v>1</v>
      </c>
      <c r="O11" s="149">
        <f>AH8</f>
        <v>43468</v>
      </c>
      <c r="P11" s="150">
        <f>AH8-BF11</f>
        <v>43466</v>
      </c>
      <c r="Q11" s="151" t="s">
        <v>55</v>
      </c>
      <c r="R11" s="152">
        <f>AH8-1</f>
        <v>43467</v>
      </c>
      <c r="S11" s="153">
        <f>MONTH(O11)</f>
        <v>1</v>
      </c>
      <c r="T11" s="153">
        <f>YEAR(O11)</f>
        <v>2019</v>
      </c>
      <c r="U11" s="153" t="str">
        <f>CONCATENATE(S11,T11)</f>
        <v>12019</v>
      </c>
      <c r="V11" s="110">
        <f>ROUND(B5/BG11*BF11,0)</f>
        <v>2523</v>
      </c>
      <c r="W11" s="111">
        <f t="array" ref="W11">IF(E2="fixation",0,ROUND(V11*H13,0))</f>
        <v>303</v>
      </c>
      <c r="X11" s="111"/>
      <c r="Y11" s="111">
        <f t="array" ref="Y11">IF(E2="fixation",0,ROUND(V11*J13,0))</f>
        <v>202</v>
      </c>
      <c r="Z11" s="112">
        <f t="array" ref="Z11">SUM(V11:Y11)</f>
        <v>3028</v>
      </c>
      <c r="AA11" s="506"/>
      <c r="AB11" s="507"/>
      <c r="AC11" s="507"/>
      <c r="AD11" s="507"/>
      <c r="AE11" s="508"/>
      <c r="AF11" s="506"/>
      <c r="AG11" s="507"/>
      <c r="AH11" s="507"/>
      <c r="AI11" s="507"/>
      <c r="AJ11" s="508"/>
      <c r="AK11" s="506"/>
      <c r="AL11" s="507"/>
      <c r="AM11" s="508"/>
      <c r="AN11" s="506"/>
      <c r="AO11" s="507"/>
      <c r="AP11" s="507"/>
      <c r="AQ11" s="506"/>
      <c r="AR11" s="507"/>
      <c r="AS11" s="508"/>
      <c r="AT11" s="506"/>
      <c r="AU11" s="507"/>
      <c r="AV11" s="508"/>
      <c r="AW11" s="502"/>
      <c r="AX11" s="502"/>
      <c r="AY11" s="502"/>
      <c r="AZ11" s="504"/>
      <c r="BA11" s="24"/>
      <c r="BB11" s="24"/>
      <c r="BC11" s="387">
        <f>AH8</f>
        <v>43468</v>
      </c>
      <c r="BD11" s="386">
        <f>MONTH(BC11)</f>
        <v>1</v>
      </c>
      <c r="BE11" s="387">
        <f>EOMONTH(BC11,0)</f>
        <v>43496</v>
      </c>
      <c r="BF11" s="386">
        <f>IF(BF10=1,0,BF10-1)</f>
        <v>2</v>
      </c>
      <c r="BG11" s="386">
        <f>DAY(BE11)</f>
        <v>31</v>
      </c>
      <c r="BH11" s="386">
        <f>BG11-BF11</f>
        <v>29</v>
      </c>
      <c r="BI11" s="7">
        <f>DAY(BC11)</f>
        <v>3</v>
      </c>
      <c r="BJ11" s="7">
        <f>BG11-BI11+1</f>
        <v>29</v>
      </c>
      <c r="BK11" s="375">
        <f>IF($W$2="state",5,IF($W$2="subordinate",3,IF($W$2="ministrial",2,1)))</f>
        <v>1</v>
      </c>
      <c r="BL11" s="375" t="str">
        <f>U11</f>
        <v>12019</v>
      </c>
      <c r="BM11" s="375">
        <f>BK11+BL11</f>
        <v>12020</v>
      </c>
      <c r="BN11" s="375">
        <f>IF(BM11=32025,"SSM",IF(BM11=32023,"SM",IF(BM11=32022,"MM",IF(BM11=32021,"FM",IF(BM11=92025,"SSS",IF(BM11=92023,"SS",IF(BM11=92022,"MS",IF(BM11=92021,"FS",IF(BM11=102025,"SSO",IF(BM11=102023,"SO",IF(BM11=102022,"MO",IF(BM11=102021,"FO",0))))))))))))</f>
        <v>0</v>
      </c>
      <c r="BO11" s="375">
        <f>IF(BL11="32020","M",IF(BL11="92020","S",IF(BL11="102020","O",0)))</f>
        <v>0</v>
      </c>
      <c r="BP11" s="375">
        <f>IF(BO11=0,0,"SS")</f>
        <v>0</v>
      </c>
      <c r="BQ11" s="375" t="str">
        <f>CONCATENATE(BO11,BP11)</f>
        <v>00</v>
      </c>
      <c r="BT11" s="34">
        <f>VALUE("1"&amp;BT10)</f>
        <v>44927</v>
      </c>
    </row>
    <row r="12" spans="1:76" ht="19.5" customHeight="1" thickBot="1">
      <c r="A12" s="458"/>
      <c r="B12" s="305"/>
      <c r="C12" s="305"/>
      <c r="D12" s="305"/>
      <c r="E12" s="305"/>
      <c r="F12" s="456"/>
      <c r="G12" s="483"/>
      <c r="H12" s="486"/>
      <c r="I12" s="488"/>
      <c r="J12" s="491"/>
      <c r="K12" s="494"/>
      <c r="L12" s="494"/>
      <c r="M12" s="497"/>
      <c r="N12" s="400"/>
      <c r="O12" s="157"/>
      <c r="P12" s="158">
        <f>R11+1</f>
        <v>43468</v>
      </c>
      <c r="Q12" s="159" t="s">
        <v>55</v>
      </c>
      <c r="R12" s="160">
        <f>BE11</f>
        <v>43496</v>
      </c>
      <c r="S12" s="161">
        <f>S11</f>
        <v>1</v>
      </c>
      <c r="T12" s="161">
        <f>T11</f>
        <v>2019</v>
      </c>
      <c r="U12" s="161" t="str">
        <f t="shared" ref="U12:U13" si="0">CONCATENATE(S12,T12)</f>
        <v>12019</v>
      </c>
      <c r="V12" s="5">
        <f>ROUND(B7/BG11*BH11,0)</f>
        <v>40974</v>
      </c>
      <c r="W12" s="18">
        <f t="array" ref="W12">ROUND(V12*H13,0)</f>
        <v>4917</v>
      </c>
      <c r="X12" s="18"/>
      <c r="Y12" s="18">
        <f t="array" ref="Y12">ROUND(V12*J13,0)</f>
        <v>3278</v>
      </c>
      <c r="Z12" s="113">
        <f t="array" ref="Z12">SUM(V12:Y12)</f>
        <v>49169</v>
      </c>
      <c r="AA12" s="509"/>
      <c r="AB12" s="510"/>
      <c r="AC12" s="510"/>
      <c r="AD12" s="510"/>
      <c r="AE12" s="511"/>
      <c r="AF12" s="509"/>
      <c r="AG12" s="510"/>
      <c r="AH12" s="510"/>
      <c r="AI12" s="510"/>
      <c r="AJ12" s="511"/>
      <c r="AK12" s="509"/>
      <c r="AL12" s="510"/>
      <c r="AM12" s="511"/>
      <c r="AN12" s="509"/>
      <c r="AO12" s="510"/>
      <c r="AP12" s="510"/>
      <c r="AQ12" s="509"/>
      <c r="AR12" s="510"/>
      <c r="AS12" s="511"/>
      <c r="AT12" s="509"/>
      <c r="AU12" s="510"/>
      <c r="AV12" s="511"/>
      <c r="AW12" s="503"/>
      <c r="AX12" s="503"/>
      <c r="AY12" s="503"/>
      <c r="AZ12" s="505"/>
      <c r="BA12" s="24"/>
      <c r="BB12" s="24"/>
      <c r="BC12" s="387"/>
      <c r="BD12" s="386"/>
      <c r="BE12" s="387"/>
      <c r="BF12" s="386"/>
      <c r="BG12" s="386"/>
      <c r="BH12" s="386"/>
      <c r="BK12" s="375"/>
      <c r="BL12" s="375"/>
      <c r="BM12" s="375"/>
      <c r="BN12" s="375"/>
      <c r="BO12" s="375"/>
      <c r="BP12" s="375"/>
      <c r="BQ12" s="375"/>
      <c r="BT12" s="34">
        <f>EOMONTH(BT11,0)</f>
        <v>44957</v>
      </c>
    </row>
    <row r="13" spans="1:76" ht="19.5" customHeight="1" thickBot="1">
      <c r="A13" s="458"/>
      <c r="B13" s="305"/>
      <c r="C13" s="305"/>
      <c r="D13" s="305"/>
      <c r="E13" s="305"/>
      <c r="F13" s="108">
        <f>IF(OR(O13=0,O13=""),"",O13)</f>
        <v>43468</v>
      </c>
      <c r="G13" s="227">
        <f>IF(OR(O13=0,O13="",$E$2="fixation"),"",IF(AND(T13=2017,S13&lt;7),0.04,IF(AND(T13=2017,S13&gt;=7),0.05,IF(AND(T13=2018,S13&lt;7),0.07,IF(AND(T13=2018,S13&gt;=7),0.09,IF(AND(T13=2019,S13&lt;7),0.12,IF(AND(T13=2019,S13&gt;=7),0.17,IF(AND(T13=2020,S13&lt;7),0.17,IF(AND(T13=2020,S13&gt;=7),0.17,IF(AND(T13=2021,S13&lt;7),0.17,IF(AND(T13=2021,S13&gt;=7),0.31,IF(AND(T13=2022,S13&lt;7),0.34,IF(AND(T13=2022,S13&gt;=7),0.38,IF(AND(T13=2023,S13&lt;7),0.42,0))))))))))))))</f>
        <v>0.12</v>
      </c>
      <c r="H13" s="228">
        <f>IF(OR(O13=0,O13=""),"",IF(AND(T13=2017,S13&lt;7),0.04,IF(AND(T13=2017,S13&gt;=7),0.05,IF(AND(T13=2018,S13&lt;7),0.07,IF(AND(T13=2018,S13&gt;=7),0.09,IF(AND(T13=2019,S13&lt;7),0.12,IF(AND(T13=2019,S13&gt;=7),0.17,IF(AND(T13=2020,S13&lt;7),0.17,IF(AND(T13=2020,S13&gt;=7),0.17,IF(AND(T13=2021,S13&lt;7),0.17,IF(AND(T13=2021,S13&gt;=7),0.31,IF(AND(T13=2022,S13&lt;7),0.34,IF(AND(T13=2022,S13&gt;=7),0.38,IF(AND(T13=2023,S13&lt;7),0.42,0))))))))))))))</f>
        <v>0.12</v>
      </c>
      <c r="I13" s="228">
        <f>IF(OR($E$2="fixation",O13="",O13=0),"",IF(AND('Basic Data Entry'!$G$11="Z-Rural",'Arear Table Unprotected)'!T13&lt;2021),0.08,IF(AND('Basic Data Entry'!$G$11="Y-Urban",'Arear Table Unprotected)'!T13&lt;2021),0.16,IF(AND('Basic Data Entry'!$G$11="Z-Rural",'Arear Table Unprotected)'!T13=2021,S13&gt;=7),0.09,IF(AND('Basic Data Entry'!$G$11="Y-Urban",'Arear Table Unprotected)'!T13=2021,'Arear Table Unprotected)'!S13&gt;=7),0.18,IF(AND('Basic Data Entry'!$G$11="Z-Rural",'Arear Table Unprotected)'!T13=2021,S13&lt;7),0.08,IF(AND('Basic Data Entry'!$G$11="Y-Urban",'Arear Table Unprotected)'!T13=2021,'Arear Table Unprotected)'!S13&lt;7),0.16,IF(AND('Basic Data Entry'!$G$11="Z-Rural",'Arear Table Unprotected)'!T13=2022),0.09,IF(AND('Basic Data Entry'!$G$11="Y-Urban",'Arear Table Unprotected)'!T13=2022),0.18,IF(AND('Basic Data Entry'!$G$11="Z-Rural",'Arear Table Unprotected)'!T13=2023),0.09,IF(AND('Basic Data Entry'!$G$11="Y-Urban",'Arear Table Unprotected)'!T13=2023),0.18,"")))))))))))</f>
        <v>0.08</v>
      </c>
      <c r="J13" s="229">
        <f>IF(OR(O13="",O13=0),"",IF(AND('Basic Data Entry'!$G$11="Z-Rural",'Arear Table Unprotected)'!T13&lt;2021),0.08,IF(AND('Basic Data Entry'!$G$11="Y-Urban",'Arear Table Unprotected)'!T13&lt;2021),0.16,IF(AND('Basic Data Entry'!$G$11="Z-Rural",'Arear Table Unprotected)'!T13=2021,S13&gt;=7),0.09,IF(AND('Basic Data Entry'!$G$11="Y-Urban",'Arear Table Unprotected)'!T13=2021,'Arear Table Unprotected)'!S13&gt;=7),0.18,IF(AND('Basic Data Entry'!$G$11="Z-Rural",'Arear Table Unprotected)'!T13=2021,S13&lt;7),0.08,IF(AND('Basic Data Entry'!$G$11="Y-Urban",'Arear Table Unprotected)'!T13=2021,'Arear Table Unprotected)'!S13&lt;7),0.16,IF(AND('Basic Data Entry'!$G$11="Z-Rural",'Arear Table Unprotected)'!T13=2022),0.09,IF(AND('Basic Data Entry'!$G$11="Y-Urban",'Arear Table Unprotected)'!T13=2022),0.18,IF(AND('Basic Data Entry'!$G$11="Z-Rural",'Arear Table Unprotected)'!T13=2023),0.09,IF(AND('Basic Data Entry'!$G$11="Y-Urban",'Arear Table Unprotected)'!T13=2023),0.18,"")))))))))))</f>
        <v>0.08</v>
      </c>
      <c r="K13" s="230" t="str">
        <f>IF(OR(O13="",O13=0),"",IF(AND(T13=2018,OR(S13=1,S13=2)),"YES",IF(AND(T13=2018,OR(S13=7,S13=8)),"YES",IF(AND(T13=2019,OR(S13=1,S13=2)),"YES",IF(AND(T13=2019,S13&gt;=7),"YES",IF(AND(T13=2020,OR(S13=1,S13=2)),"YES",IF(AND(T13=2022,OR(S13=1,S13=2,S13=3,S13=7,S13=8,S13=9)),"YES",IF(AND(T13=2023,OR(S13=1,S13=2,S13=3)),"YES",""))))))))</f>
        <v>YES</v>
      </c>
      <c r="L13" s="231">
        <f>IF(K13="","",IF(AND(T13=2018,S13&lt;=2),0.02,IF(AND(T13=2018,OR(S13=7,S13=8)),0.02,IF(AND(T13=2019,S13&lt;=2),0.03,IF(T13=2019,0.05,IF(AND(T13=2020,S13&lt;=2),0.05,IF(AND(T13=2022,S13&lt;=3),0.03,IF(AND(T13=2022,OR(S13=7,S13=8,S13=9)),0.04,IF(AND(T13=2023,S13&lt;=3),0.04,"")))))))))</f>
        <v>0.03</v>
      </c>
      <c r="M13" s="232">
        <f>IF(OR(O13="",O13=0,K13=""),"",IF(AND(K13="yes",BW13="yes"),ROUND(V12*L13,0),IF(AND(K13="yes",BX13="yes"),ROUND(V13*L13,0)-ROUND(AA13*L13,0),IF(AND(K13="yes",BX13="no"),ROUND(V13*L13,0)))))</f>
        <v>1305</v>
      </c>
      <c r="N13" s="401"/>
      <c r="O13" s="430">
        <f>O11</f>
        <v>43468</v>
      </c>
      <c r="P13" s="431"/>
      <c r="Q13" s="431"/>
      <c r="R13" s="432"/>
      <c r="S13" s="171">
        <f>S12</f>
        <v>1</v>
      </c>
      <c r="T13" s="171">
        <f>T12</f>
        <v>2019</v>
      </c>
      <c r="U13" s="171" t="str">
        <f t="shared" si="0"/>
        <v>12019</v>
      </c>
      <c r="V13" s="114">
        <f t="array" ref="V13">V12+V11</f>
        <v>43497</v>
      </c>
      <c r="W13" s="115">
        <f t="array" ref="W13">W12+W11</f>
        <v>5220</v>
      </c>
      <c r="X13" s="115">
        <v>0</v>
      </c>
      <c r="Y13" s="115">
        <f t="array" ref="Y13">Y12+Y11</f>
        <v>3480</v>
      </c>
      <c r="Z13" s="116">
        <f t="array" ref="Z13">IF(OR(O13=0,O13=""),"",Z12+Z11)</f>
        <v>52197</v>
      </c>
      <c r="AA13" s="117">
        <f t="array" ref="AA13">IF(OR(O13=0,O13=""),"",B5)</f>
        <v>39100</v>
      </c>
      <c r="AB13" s="118">
        <f t="array" ref="AB13">IF(OR(O13=0,O13=""),"",IF($E$2="fixation",0,ROUND(AA13*G13,0)))</f>
        <v>4692</v>
      </c>
      <c r="AC13" s="118">
        <v>0</v>
      </c>
      <c r="AD13" s="118">
        <f t="array" ref="AD13">IF(OR(O13=0,O13=""),"",IF($E$2="fixation",0,ROUND(AA13*I13,0)))</f>
        <v>3128</v>
      </c>
      <c r="AE13" s="119">
        <f t="array" ref="AE13">IF(OR(O13=0,O13=""),"",SUM(AA13:AD13))</f>
        <v>46920</v>
      </c>
      <c r="AF13" s="117">
        <f t="array" ref="AF13">IF(OR(O13=0,O13=""),"",V13-AA13)</f>
        <v>4397</v>
      </c>
      <c r="AG13" s="118">
        <f t="array" ref="AG13">IF(OR(O13=0,O13=""),"",W13-AB13)</f>
        <v>528</v>
      </c>
      <c r="AH13" s="118">
        <f t="array" ref="AH13">IF(OR(O13=0,O13=""),"",X13-AC13)</f>
        <v>0</v>
      </c>
      <c r="AI13" s="118">
        <f t="array" ref="AI13">IF(OR(O13=0,O13=""),"",Y13-AD13)</f>
        <v>352</v>
      </c>
      <c r="AJ13" s="120">
        <f t="array" ref="AJ13">IF(OR(O13=0,O13=""),"",Z13-AE13)</f>
        <v>5277</v>
      </c>
      <c r="AK13" s="121">
        <f t="array" ref="AK13">IF(OR(O13=0,O13=""),"",IF(M13="",$AZ$2,$AZ$2+M13))</f>
        <v>5805</v>
      </c>
      <c r="AL13" s="118">
        <f t="array" ref="AL13">IF(OR(O13=0,O13=""),"",$AQ$2)</f>
        <v>4500</v>
      </c>
      <c r="AM13" s="120">
        <f t="array" ref="AM13">IF(OR(O13=0,O13=""),"",AK13-AL13)</f>
        <v>1305</v>
      </c>
      <c r="AN13" s="122">
        <v>3000</v>
      </c>
      <c r="AO13" s="123">
        <f>AN13</f>
        <v>3000</v>
      </c>
      <c r="AP13" s="120">
        <f t="array" ref="AP13">IF(OR(O13=0,O13=""),"",SUM(AN13-AO13))</f>
        <v>0</v>
      </c>
      <c r="AQ13" s="124" t="str">
        <f t="array" ref="AQ13">IF(OR(O13=0,O13=""),"",IF(AND('Basic Data Entry'!$C$10="state Service",'Arear Table Unprotected)'!T13=2020,S13=3),ROUND(V13/31*5,0),IF(AND('Basic Data Entry'!$C$10="state Service",'Arear Table Unprotected)'!T13=2020,S13=9),ROUND(Z13/30*2,0),IF(AND('Basic Data Entry'!$C$10="state Service",'Arear Table Unprotected)'!T13=2020,S13=10),ROUND(Z13/31*2,0),IF(AND('Basic Data Entry'!$C$10="subordinate",'Arear Table Unprotected)'!T13=2020,S13=3),ROUND(V13/31*3,0),IF(AND('Basic Data Entry'!$C$10="subordinate",'Arear Table Unprotected)'!T13=2020,S13=9),ROUND(Z13/30*1,0),IF(AND('Basic Data Entry'!$C$10="subordinate",'Arear Table Unprotected)'!T13=2020,S13=10),ROUND(Z13/31*1,0),IF(AND('Basic Data Entry'!$C$10="ministrial",'Arear Table Unprotected)'!T13=2020,S13=3),ROUND(V13/31*1,0),""))))))))</f>
        <v/>
      </c>
      <c r="AR13" s="118" t="str">
        <f t="array" ref="AR13">IF(OR(O13=0,O13=""),"",IF(AND('Basic Data Entry'!$C$10="state Service",'Arear Table Unprotected)'!T13=2020,S13=3),ROUND(AA13/31*5,0),IF(AND('Basic Data Entry'!$C$10="state Service",'Arear Table Unprotected)'!T13=2020,S13=9),ROUND(AE13/30*2,0),IF(AND('Basic Data Entry'!$C$10="state Service",'Arear Table Unprotected)'!T13=2020,S13=10),ROUND(AE13/31*2,0),IF(AND('Basic Data Entry'!$C$10="subordinate",'Arear Table Unprotected)'!T13=2020,S13=3),ROUND(AA13/31*3,0),IF(AND('Basic Data Entry'!$C$10="subordinate",'Arear Table Unprotected)'!T13=2020,S13=9),ROUND(AE13/30*1,0),IF(AND('Basic Data Entry'!$C$10="subordinate",'Arear Table Unprotected)'!T13=2020,S13=10),ROUND(AE13/31*1,0),IF(AND('Basic Data Entry'!$C$10="ministrial",'Arear Table Unprotected)'!T13=2020,S13=3),ROUND(AA13/31*1,0),""))))))))</f>
        <v/>
      </c>
      <c r="AS13" s="119" t="str">
        <f t="array" ref="AS13">IF(OR(O13=0,O13="",AQ13="",AR13=""),"",AQ13-AR13)</f>
        <v/>
      </c>
      <c r="AT13" s="125"/>
      <c r="AU13" s="126"/>
      <c r="AV13" s="127">
        <f t="array" ref="AV13">IF(OR(O13=0,O13=""),"",SUM(AT13-AU13))</f>
        <v>0</v>
      </c>
      <c r="AW13" s="128">
        <f t="array" ref="AW13">IF(OR(O13=0,O13=""),"",ROUND((AJ13)*$E$3,0))</f>
        <v>528</v>
      </c>
      <c r="AX13" s="128">
        <f t="array" ref="AX13">IF(OR(O13=0,O13=""),"",SUM(AM13,AP13,AS13,AV13,AW13))</f>
        <v>1833</v>
      </c>
      <c r="AY13" s="129">
        <f t="array" ref="AY13">IF(OR(O13=0,O13=""),"",AJ13-AX13)</f>
        <v>3444</v>
      </c>
      <c r="AZ13" s="109" t="s">
        <v>129</v>
      </c>
      <c r="BA13" s="24"/>
      <c r="BB13" s="24"/>
      <c r="BC13" s="387"/>
      <c r="BD13" s="386"/>
      <c r="BE13" s="387"/>
      <c r="BF13" s="386"/>
      <c r="BG13" s="386"/>
      <c r="BH13" s="386"/>
      <c r="BI13" s="22">
        <f>BC11</f>
        <v>43468</v>
      </c>
      <c r="BJ13" s="81">
        <f>MONTH(BI13)</f>
        <v>1</v>
      </c>
      <c r="BK13" s="375"/>
      <c r="BL13" s="375"/>
      <c r="BM13" s="375"/>
      <c r="BN13" s="375"/>
      <c r="BO13" s="375"/>
      <c r="BP13" s="375"/>
      <c r="BQ13" s="375"/>
      <c r="BW13" s="81" t="str">
        <f>IF(OR(O13=0,O13=""),"",IF('Basic Data Entry'!$C$9="fixation","yes",""))</f>
        <v/>
      </c>
      <c r="BX13" s="81" t="str">
        <f>IF(OR(O13=0,O13=""),"",IF('Basic Data Entry'!$G$12="yes","yes","no"))</f>
        <v>no</v>
      </c>
    </row>
    <row r="14" spans="1:76" ht="20.25" customHeight="1" thickBot="1">
      <c r="A14" s="10">
        <f>V14</f>
        <v>43800</v>
      </c>
      <c r="B14" s="305"/>
      <c r="C14" s="305"/>
      <c r="D14" s="305"/>
      <c r="E14" s="305"/>
      <c r="F14" s="108">
        <f t="shared" ref="F14:F60" si="1">IF(OR(O14=0,O14=""),"",O14)</f>
        <v>43497</v>
      </c>
      <c r="G14" s="227">
        <f t="shared" ref="G14:G60" si="2">IF(OR(O14=0,O14="",$E$2="fixation"),"",IF(AND(T14=2017,S14&lt;7),0.04,IF(AND(T14=2017,S14&gt;=7),0.05,IF(AND(T14=2018,S14&lt;7),0.07,IF(AND(T14=2018,S14&gt;=7),0.09,IF(AND(T14=2019,S14&lt;7),0.12,IF(AND(T14=2019,S14&gt;=7),0.17,IF(AND(T14=2020,S14&lt;7),0.17,IF(AND(T14=2020,S14&gt;=7),0.17,IF(AND(T14=2021,S14&lt;7),0.17,IF(AND(T14=2021,S14&gt;=7),0.31,IF(AND(T14=2022,S14&lt;7),0.34,IF(AND(T14=2022,S14&gt;=7),0.38,IF(AND(T14=2023,S14&lt;7),0.42,0))))))))))))))</f>
        <v>0.12</v>
      </c>
      <c r="H14" s="228">
        <f t="shared" ref="H14:H60" si="3">IF(OR(O14=0,O14=""),"",IF(AND(T14=2017,S14&lt;7),0.04,IF(AND(T14=2017,S14&gt;=7),0.05,IF(AND(T14=2018,S14&lt;7),0.07,IF(AND(T14=2018,S14&gt;=7),0.09,IF(AND(T14=2019,S14&lt;7),0.12,IF(AND(T14=2019,S14&gt;=7),0.17,IF(AND(T14=2020,S14&lt;7),0.17,IF(AND(T14=2020,S14&gt;=7),0.17,IF(AND(T14=2021,S14&lt;7),0.17,IF(AND(T14=2021,S14&gt;=7),0.31,IF(AND(T14=2022,S14&lt;7),0.34,IF(AND(T14=2022,S14&gt;=7),0.38,IF(AND(T14=2023,S14&lt;7),0.42,0))))))))))))))</f>
        <v>0.12</v>
      </c>
      <c r="I14" s="228">
        <f>IF(OR($E$2="fixation",O14="",O14=0),"",IF(AND('Basic Data Entry'!$G$11="Z-Rural",'Arear Table Unprotected)'!T14&lt;2021),0.08,IF(AND('Basic Data Entry'!$G$11="Y-Urban",'Arear Table Unprotected)'!T14&lt;2021),0.16,IF(AND('Basic Data Entry'!$G$11="Z-Rural",'Arear Table Unprotected)'!T14=2021,S14&gt;=7),0.09,IF(AND('Basic Data Entry'!$G$11="Y-Urban",'Arear Table Unprotected)'!T14=2021,'Arear Table Unprotected)'!S14&gt;=7),0.18,IF(AND('Basic Data Entry'!$G$11="Z-Rural",'Arear Table Unprotected)'!T14=2021,S14&lt;7),0.08,IF(AND('Basic Data Entry'!$G$11="Y-Urban",'Arear Table Unprotected)'!T14=2021,'Arear Table Unprotected)'!S14&lt;7),0.16,IF(AND('Basic Data Entry'!$G$11="Z-Rural",'Arear Table Unprotected)'!T14=2022),0.09,IF(AND('Basic Data Entry'!$G$11="Y-Urban",'Arear Table Unprotected)'!T14=2022),0.18,IF(AND('Basic Data Entry'!$G$11="Z-Rural",'Arear Table Unprotected)'!T14=2023),0.09,IF(AND('Basic Data Entry'!$G$11="Y-Urban",'Arear Table Unprotected)'!T14=2023),0.18,"")))))))))))</f>
        <v>0.08</v>
      </c>
      <c r="J14" s="229">
        <f>IF(OR(O14="",O14=0),"",IF(AND('Basic Data Entry'!$G$11="Z-Rural",'Arear Table Unprotected)'!T14&lt;2021),0.08,IF(AND('Basic Data Entry'!$G$11="Y-Urban",'Arear Table Unprotected)'!T14&lt;2021),0.16,IF(AND('Basic Data Entry'!$G$11="Z-Rural",'Arear Table Unprotected)'!T14=2021,S14&gt;=7),0.09,IF(AND('Basic Data Entry'!$G$11="Y-Urban",'Arear Table Unprotected)'!T14=2021,'Arear Table Unprotected)'!S14&gt;=7),0.18,IF(AND('Basic Data Entry'!$G$11="Z-Rural",'Arear Table Unprotected)'!T14=2021,S14&lt;7),0.08,IF(AND('Basic Data Entry'!$G$11="Y-Urban",'Arear Table Unprotected)'!T14=2021,'Arear Table Unprotected)'!S14&lt;7),0.16,IF(AND('Basic Data Entry'!$G$11="Z-Rural",'Arear Table Unprotected)'!T14=2022),0.09,IF(AND('Basic Data Entry'!$G$11="Y-Urban",'Arear Table Unprotected)'!T14=2022),0.18,IF(AND('Basic Data Entry'!$G$11="Z-Rural",'Arear Table Unprotected)'!T14=2023),0.09,IF(AND('Basic Data Entry'!$G$11="Y-Urban",'Arear Table Unprotected)'!T14=2023),0.18,"")))))))))))</f>
        <v>0.08</v>
      </c>
      <c r="K14" s="230" t="str">
        <f t="shared" ref="K14:K60" si="4">IF(OR(O14="",O14=0),"",IF(AND(T14=2018,OR(S14=1,S14=2)),"YES",IF(AND(T14=2018,OR(S14=7,S14=8)),"YES",IF(AND(T14=2019,OR(S14=1,S14=2)),"YES",IF(AND(T14=2019,S14&gt;=7),"YES",IF(AND(T14=2020,OR(S14=1,S14=2)),"YES",IF(AND(T14=2022,OR(S14=1,S14=2,S14=3,S14=7,S14=8,S14=9)),"YES",IF(AND(T14=2023,OR(S14=1,S14=2,S14=3)),"YES",""))))))))</f>
        <v>YES</v>
      </c>
      <c r="L14" s="231">
        <f t="shared" ref="L14:L60" si="5">IF(K14="","",IF(AND(T14=2018,S14&lt;=2),0.02,IF(AND(T14=2018,OR(S14=7,S14=8)),0.02,IF(AND(T14=2019,S14&lt;=2),0.03,IF(T14=2019,0.05,IF(AND(T14=2020,S14&lt;=2),0.05,IF(AND(T14=2022,S14&lt;=3),0.03,IF(AND(T14=2022,OR(S14=7,S14=8,S14=9)),0.04,IF(AND(T14=2023,S14&lt;=3),0.04,"")))))))))</f>
        <v>0.03</v>
      </c>
      <c r="M14" s="232">
        <f>IF(OR(O14="",O14=0,K14=""),"",IF(AND(K14="yes",BW14="yes"),ROUND(V14*L14,0),IF(AND(K14="yes",BX14="yes"),ROUND(V14*L14,0)-ROUND(AA14*L14,0),IF(AND(K14="yes",BX14="no"),ROUND(V14*L14,0)))))</f>
        <v>1314</v>
      </c>
      <c r="N14" s="183">
        <v>2</v>
      </c>
      <c r="O14" s="383">
        <f>IF(U13=$AW$8,0,BI14)</f>
        <v>43497</v>
      </c>
      <c r="P14" s="384"/>
      <c r="Q14" s="384"/>
      <c r="R14" s="385"/>
      <c r="S14" s="161">
        <f t="array" ref="S14">IF(OR(O14=0,O14=""),"",MONTH(O14))</f>
        <v>2</v>
      </c>
      <c r="T14" s="161">
        <f t="array" ref="T14">IF(OR(O14=0,O14=""),"",YEAR(O14))</f>
        <v>2019</v>
      </c>
      <c r="U14" s="161" t="str">
        <f>IF(OR(O14=0,O14=""),"",CONCATENATE(S14,T14))</f>
        <v>22019</v>
      </c>
      <c r="V14" s="94">
        <f t="array" ref="V14">IF(OR(O14=0,O14=""),"",BE14)</f>
        <v>43800</v>
      </c>
      <c r="W14" s="93">
        <f t="array" ref="W14">IF(OR(O14=0,O14=""),"",ROUND(V14*H14,0))</f>
        <v>5256</v>
      </c>
      <c r="X14" s="93">
        <f>X13</f>
        <v>0</v>
      </c>
      <c r="Y14" s="93">
        <f t="array" ref="Y14">IF(OR(O14=0,O14=""),"",ROUND(V14*J14,0))</f>
        <v>3504</v>
      </c>
      <c r="Z14" s="130">
        <f t="array" ref="Z14">IF(OR(O14=0,O14=""),"",SUM(V14:Y14))</f>
        <v>52560</v>
      </c>
      <c r="AA14" s="104">
        <f t="array" ref="AA14">IF(OR(O14=0,O14=""),"",IF(V14=0,0,IF($E$2="FIXATION",$B$5,IF(V14=0,0,IF(BD14=7,ROUND(AA13*1.03,-2),AA13)))))</f>
        <v>39100</v>
      </c>
      <c r="AB14" s="95">
        <f t="array" ref="AB14">IF(OR(O14=0,O14=""),"",IF($E$2="fixation",0,ROUND(AA14*G14,0)))</f>
        <v>4692</v>
      </c>
      <c r="AC14" s="93">
        <f t="array" ref="AC14">IF(OR(O14=0,O14=""),"",AC13)</f>
        <v>0</v>
      </c>
      <c r="AD14" s="95">
        <f t="array" ref="AD14">IF(OR(O14=0,O14=""),"",IF($E$2="fixation",0,ROUND(AA14*I14,0)))</f>
        <v>3128</v>
      </c>
      <c r="AE14" s="130">
        <f t="array" ref="AE14">IF(OR(O14=0,O14=""),"",SUM(AA14:AD14))</f>
        <v>46920</v>
      </c>
      <c r="AF14" s="104">
        <f t="array" ref="AF14">IF(OR(O14=0,O14=""),"",V14-AA14)</f>
        <v>4700</v>
      </c>
      <c r="AG14" s="95">
        <f t="array" ref="AG14">IF(OR(O14=0,O14=""),"",W14-AB14)</f>
        <v>564</v>
      </c>
      <c r="AH14" s="95">
        <f t="array" ref="AH14">IF(OR(O14=0,O14=""),"",X14-AC14)</f>
        <v>0</v>
      </c>
      <c r="AI14" s="95">
        <f t="array" ref="AI14">IF(OR(O14=0,O14=""),"",Y14-AD14)</f>
        <v>376</v>
      </c>
      <c r="AJ14" s="131">
        <f t="array" ref="AJ14">IF(OR(O14=0,O14=""),"",Z14-AE14)</f>
        <v>5640</v>
      </c>
      <c r="AK14" s="105">
        <f t="array" ref="AK14">IF(OR(O14=0,O14=""),"",IF(M14="",$AZ$2,$AZ$2+M14))</f>
        <v>5814</v>
      </c>
      <c r="AL14" s="103">
        <f t="array" ref="AL14">IF(OR(O14=0,O14=""),"",$AQ$2)</f>
        <v>4500</v>
      </c>
      <c r="AM14" s="132">
        <f t="array" ref="AM14">IF(OR(O14=0,O14=""),"",AK14-AL14)</f>
        <v>1314</v>
      </c>
      <c r="AN14" s="103">
        <f t="array" ref="AN14">IF(OR(O13=0,O13="",AN13="",AN13=""),"",AN13)</f>
        <v>3000</v>
      </c>
      <c r="AO14" s="95">
        <f t="array" ref="AO14">IF(OR(O13=0,O13="",AO13="",AO13=""),"",AO13)</f>
        <v>3000</v>
      </c>
      <c r="AP14" s="132">
        <f t="array" ref="AP14">IF(OR(O14=0,O14=""),"",SUM(AN14-AO14))</f>
        <v>0</v>
      </c>
      <c r="AQ14" s="121" t="str">
        <f t="array" ref="AQ14">IF(OR(O14=0,O14=""),"",IF(AND('Basic Data Entry'!$C$10="state Service",'Arear Table Unprotected)'!T14=2020,S14=3),ROUND(V14/31*5,0),IF(AND('Basic Data Entry'!$C$10="state Service",'Arear Table Unprotected)'!T14=2020,S14=9),ROUND(Z14/30*2,0),IF(AND('Basic Data Entry'!$C$10="state Service",'Arear Table Unprotected)'!T14=2020,S14=10),ROUND(Z14/31*2,0),IF(AND('Basic Data Entry'!$C$10="subordinate",'Arear Table Unprotected)'!T14=2020,S14=3),ROUND(V14/31*3,0),IF(AND('Basic Data Entry'!$C$10="subordinate",'Arear Table Unprotected)'!T14=2020,S14=9),ROUND(Z14/30*1,0),IF(AND('Basic Data Entry'!$C$10="subordinate",'Arear Table Unprotected)'!T14=2020,S14=10),ROUND(Z14/31*1,0),IF(AND('Basic Data Entry'!$C$10="ministrial",'Arear Table Unprotected)'!T14=2020,S14=3),ROUND(V14/31*1,0),""))))))))</f>
        <v/>
      </c>
      <c r="AR14" s="118" t="str">
        <f t="array" ref="AR14">IF(OR(O14=0,O14=""),"",IF(AND('Basic Data Entry'!$C$10="state Service",'Arear Table Unprotected)'!T14=2020,S14=3),ROUND(AA14/31*5,0),IF(AND('Basic Data Entry'!$C$10="state Service",'Arear Table Unprotected)'!T14=2020,S14=9),ROUND(AE14/30*2,0),IF(AND('Basic Data Entry'!$C$10="state Service",'Arear Table Unprotected)'!T14=2020,S14=10),ROUND(AE14/31*2,0),IF(AND('Basic Data Entry'!$C$10="subordinate",'Arear Table Unprotected)'!T14=2020,S14=3),ROUND(AA14/31*3,0),IF(AND('Basic Data Entry'!$C$10="subordinate",'Arear Table Unprotected)'!T14=2020,S14=9),ROUND(AE14/30*1,0),IF(AND('Basic Data Entry'!$C$10="subordinate",'Arear Table Unprotected)'!T14=2020,S14=10),ROUND(AE14/31*1,0),IF(AND('Basic Data Entry'!$C$10="ministrial",'Arear Table Unprotected)'!T14=2020,S14=3),ROUND(AA14/31*1,0),""))))))))</f>
        <v/>
      </c>
      <c r="AS14" s="119" t="str">
        <f t="array" ref="AS14">IF(OR(O14=0,O14="",AQ14="",AR14=""),"",AQ14-AR14)</f>
        <v/>
      </c>
      <c r="AT14" s="42">
        <f t="array" ref="AT14">IF(OR(O13=0,O13=""),"",AT13)</f>
        <v>0</v>
      </c>
      <c r="AU14" s="43">
        <f t="array" ref="AU14">IF(OR(O13=0,O13=""),"",AU13)</f>
        <v>0</v>
      </c>
      <c r="AV14" s="133">
        <f t="array" ref="AV14">IF(OR(O14=0,O14=""),"",SUM(AT14-AU14))</f>
        <v>0</v>
      </c>
      <c r="AW14" s="102">
        <f t="array" ref="AW14">IF(OR(O14=0,O14=""),"",ROUND((AJ14)*$E$3,0))</f>
        <v>564</v>
      </c>
      <c r="AX14" s="102">
        <f t="array" ref="AX14">IF(OR(O14=0,O14=""),"",SUM(AM14,AP14,AS14,AV14,AW14))</f>
        <v>1878</v>
      </c>
      <c r="AY14" s="134">
        <f t="array" ref="AY14">IF(OR(O14=0,O14=""),"",AJ14-AX14)</f>
        <v>3762</v>
      </c>
      <c r="AZ14" s="46" t="s">
        <v>66</v>
      </c>
      <c r="BA14" s="24"/>
      <c r="BB14" s="24"/>
      <c r="BC14" s="11">
        <f>O14</f>
        <v>43497</v>
      </c>
      <c r="BD14" s="84">
        <f>IF(BC14=0,0,MONTH(BC14))</f>
        <v>2</v>
      </c>
      <c r="BE14" s="84">
        <f>IF(BD14=7,ROUND($B$7*1.03,-2),IF(BD14=0,0,$B$7))</f>
        <v>43800</v>
      </c>
      <c r="BF14" s="84"/>
      <c r="BG14" s="84"/>
      <c r="BH14" s="84"/>
      <c r="BI14" s="22">
        <f>BI13+$BJ$11</f>
        <v>43497</v>
      </c>
      <c r="BK14" s="19">
        <f>IF($W$2="state",5,IF($W$2="subordinate",3,IF($W$2="ministrial",2,1)))</f>
        <v>1</v>
      </c>
      <c r="BL14" s="20" t="str">
        <f t="array" ref="BL14">IF(OR(O14=0,O14=""),"",U14)</f>
        <v>22019</v>
      </c>
      <c r="BM14" s="19">
        <f t="array" ref="BM14">IF(OR(O14=0,O14=""),"",BK14+BL14)</f>
        <v>22020</v>
      </c>
      <c r="BN14" s="21">
        <f>IF(BM14=32025,"SSM",IF(BM14=32023,"SM",IF(BM14=32022,"MM",IF(BM14=32021,"FM",IF(BM14=92025,"SSS",IF(BM14=92023,"SS",IF(BM14=92022,"MS",IF(BM14=92021,"FS",IF(BM14=102025,"SSO",IF(BM14=102023,"SO",IF(BM14=102022,"MO",IF(BM14=102021,"FO",0))))))))))))</f>
        <v>0</v>
      </c>
      <c r="BO14" s="21">
        <f>IF(BL14="32020","M",IF(BL14="92020","S",IF(BL14="102020","O",0)))</f>
        <v>0</v>
      </c>
      <c r="BP14" s="23">
        <f>IF(BO14=0,0,"ss")</f>
        <v>0</v>
      </c>
      <c r="BQ14" s="21" t="str">
        <f>CONCATENATE(BO14,BP14)</f>
        <v>00</v>
      </c>
      <c r="BW14" s="81" t="str">
        <f>IF(OR(O14=0,O14=""),"",IF('Basic Data Entry'!$C$9="fixation","yes",""))</f>
        <v/>
      </c>
      <c r="BX14" s="81" t="str">
        <f>IF(OR(O14=0,O14=""),"",IF('Basic Data Entry'!$G$12="yes","yes","no"))</f>
        <v>no</v>
      </c>
    </row>
    <row r="15" spans="1:76" ht="20.25" customHeight="1" thickBot="1">
      <c r="A15" s="10">
        <f t="shared" ref="A15:A60" si="6">V15</f>
        <v>43800</v>
      </c>
      <c r="B15" s="305"/>
      <c r="C15" s="305"/>
      <c r="D15" s="305"/>
      <c r="E15" s="305"/>
      <c r="F15" s="108">
        <f t="shared" si="1"/>
        <v>43528</v>
      </c>
      <c r="G15" s="227">
        <f t="shared" si="2"/>
        <v>0.12</v>
      </c>
      <c r="H15" s="228">
        <f t="shared" si="3"/>
        <v>0.12</v>
      </c>
      <c r="I15" s="228">
        <f>IF(OR($E$2="fixation",O15="",O15=0),"",IF(AND('Basic Data Entry'!$G$11="Z-Rural",'Arear Table Unprotected)'!T15&lt;2021),0.08,IF(AND('Basic Data Entry'!$G$11="Y-Urban",'Arear Table Unprotected)'!T15&lt;2021),0.16,IF(AND('Basic Data Entry'!$G$11="Z-Rural",'Arear Table Unprotected)'!T15=2021,S15&gt;=7),0.09,IF(AND('Basic Data Entry'!$G$11="Y-Urban",'Arear Table Unprotected)'!T15=2021,'Arear Table Unprotected)'!S15&gt;=7),0.18,IF(AND('Basic Data Entry'!$G$11="Z-Rural",'Arear Table Unprotected)'!T15=2021,S15&lt;7),0.08,IF(AND('Basic Data Entry'!$G$11="Y-Urban",'Arear Table Unprotected)'!T15=2021,'Arear Table Unprotected)'!S15&lt;7),0.16,IF(AND('Basic Data Entry'!$G$11="Z-Rural",'Arear Table Unprotected)'!T15=2022),0.09,IF(AND('Basic Data Entry'!$G$11="Y-Urban",'Arear Table Unprotected)'!T15=2022),0.18,IF(AND('Basic Data Entry'!$G$11="Z-Rural",'Arear Table Unprotected)'!T15=2023),0.09,IF(AND('Basic Data Entry'!$G$11="Y-Urban",'Arear Table Unprotected)'!T15=2023),0.18,"")))))))))))</f>
        <v>0.08</v>
      </c>
      <c r="J15" s="229">
        <f>IF(OR(O15="",O15=0),"",IF(AND('Basic Data Entry'!$G$11="Z-Rural",'Arear Table Unprotected)'!T15&lt;2021),0.08,IF(AND('Basic Data Entry'!$G$11="Y-Urban",'Arear Table Unprotected)'!T15&lt;2021),0.16,IF(AND('Basic Data Entry'!$G$11="Z-Rural",'Arear Table Unprotected)'!T15=2021,S15&gt;=7),0.09,IF(AND('Basic Data Entry'!$G$11="Y-Urban",'Arear Table Unprotected)'!T15=2021,'Arear Table Unprotected)'!S15&gt;=7),0.18,IF(AND('Basic Data Entry'!$G$11="Z-Rural",'Arear Table Unprotected)'!T15=2021,S15&lt;7),0.08,IF(AND('Basic Data Entry'!$G$11="Y-Urban",'Arear Table Unprotected)'!T15=2021,'Arear Table Unprotected)'!S15&lt;7),0.16,IF(AND('Basic Data Entry'!$G$11="Z-Rural",'Arear Table Unprotected)'!T15=2022),0.09,IF(AND('Basic Data Entry'!$G$11="Y-Urban",'Arear Table Unprotected)'!T15=2022),0.18,IF(AND('Basic Data Entry'!$G$11="Z-Rural",'Arear Table Unprotected)'!T15=2023),0.09,IF(AND('Basic Data Entry'!$G$11="Y-Urban",'Arear Table Unprotected)'!T15=2023),0.18,"")))))))))))</f>
        <v>0.08</v>
      </c>
      <c r="K15" s="230" t="str">
        <f t="shared" si="4"/>
        <v/>
      </c>
      <c r="L15" s="231" t="str">
        <f t="shared" si="5"/>
        <v/>
      </c>
      <c r="M15" s="232" t="str">
        <f t="shared" ref="M15:M60" si="7">IF(OR(O15="",O15=0,K15=""),"",IF(AND(K15="yes",BW15="yes"),ROUND(V15*L15,0),IF(AND(K15="yes",BX15="yes"),ROUND(V15*L15,0)-ROUND(AA15*L15,0),IF(AND(K15="yes",BX15="no"),ROUND(V15*L15,0)))))</f>
        <v/>
      </c>
      <c r="N15" s="196">
        <v>3</v>
      </c>
      <c r="O15" s="327">
        <f t="shared" ref="O15:O59" si="8">IF(U14=$AW$8,0,IF(O14=0,0,BI15))</f>
        <v>43528</v>
      </c>
      <c r="P15" s="328"/>
      <c r="Q15" s="328"/>
      <c r="R15" s="329"/>
      <c r="S15" s="161">
        <f t="array" ref="S15">IF(OR(O15=0,O15=""),"",MONTH(O15))</f>
        <v>3</v>
      </c>
      <c r="T15" s="161">
        <f t="array" ref="T15">IF(OR(O15=0,O15=""),"",YEAR(O15))</f>
        <v>2019</v>
      </c>
      <c r="U15" s="161" t="str">
        <f t="shared" ref="U15:U60" si="9">IF(OR(O15=0,O15=""),"",CONCATENATE(S15,T15))</f>
        <v>32019</v>
      </c>
      <c r="V15" s="6">
        <f t="array" ref="V15">IF(OR(O15=0,O15=""),"",BE15)</f>
        <v>43800</v>
      </c>
      <c r="W15" s="18">
        <f t="array" ref="W15">IF(OR(O15=0,O15=""),"",ROUND(V15*H15,0))</f>
        <v>5256</v>
      </c>
      <c r="X15" s="18">
        <f t="shared" ref="X15:X59" si="10">X14</f>
        <v>0</v>
      </c>
      <c r="Y15" s="18">
        <f t="array" ref="Y15">IF(OR(O15=0,O15=""),"",ROUND(V15*J15,0))</f>
        <v>3504</v>
      </c>
      <c r="Z15" s="135">
        <f t="array" ref="Z15">IF(OR(O15=0,O15=""),"",SUM(V15:Y15))</f>
        <v>52560</v>
      </c>
      <c r="AA15" s="1">
        <f t="array" ref="AA15">IF(OR(O15=0,O15=""),"",IF(V15=0,0,IF($E$2="FIXATION",$B$5,IF(V15=0,0,IF(BD15=7,ROUND(AA14*1.03,-2),AA14)))))</f>
        <v>39100</v>
      </c>
      <c r="AB15" s="2">
        <f t="array" ref="AB15">IF(OR(O15=0,O15=""),"",IF($E$2="fixation",0,ROUND(AA15*G15,0)))</f>
        <v>4692</v>
      </c>
      <c r="AC15" s="18">
        <f t="array" ref="AC15">IF(OR(O15=0,O15=""),"",AC14)</f>
        <v>0</v>
      </c>
      <c r="AD15" s="2">
        <f t="array" ref="AD15">IF(OR(O15=0,O15=""),"",IF($E$2="fixation",0,ROUND(AA15*I15,0)))</f>
        <v>3128</v>
      </c>
      <c r="AE15" s="135">
        <f t="array" ref="AE15">IF(OR(O15=0,O15=""),"",SUM(AA15:AD15))</f>
        <v>46920</v>
      </c>
      <c r="AF15" s="1">
        <f t="array" ref="AF15">IF(OR(O15=0,O15=""),"",V15-AA15)</f>
        <v>4700</v>
      </c>
      <c r="AG15" s="2">
        <f t="array" ref="AG15">IF(OR(O15=0,O15=""),"",W15-AB15)</f>
        <v>564</v>
      </c>
      <c r="AH15" s="2">
        <f t="array" ref="AH15">IF(OR(O15=0,O15=""),"",X15-AC15)</f>
        <v>0</v>
      </c>
      <c r="AI15" s="2">
        <f t="array" ref="AI15">IF(OR(O15=0,O15=""),"",Y15-AD15)</f>
        <v>376</v>
      </c>
      <c r="AJ15" s="136">
        <f t="array" ref="AJ15">IF(OR(O15=0,O15=""),"",Z15-AE15)</f>
        <v>5640</v>
      </c>
      <c r="AK15" s="4">
        <f t="array" ref="AK15">IF(OR(O15=0,O15=""),"",IF(M15="",$AZ$2,$AZ$2+M15))</f>
        <v>4500</v>
      </c>
      <c r="AL15" s="3">
        <f t="array" ref="AL15">IF(OR(O15=0,O15=""),"",$AQ$2)</f>
        <v>4500</v>
      </c>
      <c r="AM15" s="137">
        <f t="array" ref="AM15">IF(OR(O15=0,O15=""),"",AK15-AL15)</f>
        <v>0</v>
      </c>
      <c r="AN15" s="3">
        <f t="array" ref="AN15">IF(OR(O14=0,O14="",AN14="",AN14=""),"",AN14)</f>
        <v>3000</v>
      </c>
      <c r="AO15" s="2">
        <f t="array" ref="AO15">IF(OR(O14=0,O14="",AO14="",AO14=""),"",AO14)</f>
        <v>3000</v>
      </c>
      <c r="AP15" s="137">
        <f t="array" ref="AP15">IF(OR(O15=0,O15=""),"",SUM(AN15-AO15))</f>
        <v>0</v>
      </c>
      <c r="AQ15" s="106" t="str">
        <f t="array" ref="AQ15">IF(OR(O15=0,O15=""),"",IF(AND('Basic Data Entry'!$C$10="state Service",'Arear Table Unprotected)'!T15=2020,S15=3),ROUND(V15/31*5,0),IF(AND('Basic Data Entry'!$C$10="state Service",'Arear Table Unprotected)'!T15=2020,S15=9),ROUND(Z15/30*2,0),IF(AND('Basic Data Entry'!$C$10="state Service",'Arear Table Unprotected)'!T15=2020,S15=10),ROUND(Z15/31*2,0),IF(AND('Basic Data Entry'!$C$10="subordinate",'Arear Table Unprotected)'!T15=2020,S15=3),ROUND(V15/31*3,0),IF(AND('Basic Data Entry'!$C$10="subordinate",'Arear Table Unprotected)'!T15=2020,S15=9),ROUND(Z15/30*1,0),IF(AND('Basic Data Entry'!$C$10="subordinate",'Arear Table Unprotected)'!T15=2020,S15=10),ROUND(Z15/31*1,0),IF(AND('Basic Data Entry'!$C$10="ministrial",'Arear Table Unprotected)'!T15=2020,S15=3),ROUND(V15/31*1,0),""))))))))</f>
        <v/>
      </c>
      <c r="AR15" s="107" t="str">
        <f t="array" ref="AR15">IF(OR(O15=0,O15=""),"",IF(AND('Basic Data Entry'!$C$10="state Service",'Arear Table Unprotected)'!T15=2020,S15=3),ROUND(AA15/31*5,0),IF(AND('Basic Data Entry'!$C$10="state Service",'Arear Table Unprotected)'!T15=2020,S15=9),ROUND(AE15/30*2,0),IF(AND('Basic Data Entry'!$C$10="state Service",'Arear Table Unprotected)'!T15=2020,S15=10),ROUND(AE15/31*2,0),IF(AND('Basic Data Entry'!$C$10="subordinate",'Arear Table Unprotected)'!T15=2020,S15=3),ROUND(AA15/31*3,0),IF(AND('Basic Data Entry'!$C$10="subordinate",'Arear Table Unprotected)'!T15=2020,S15=9),ROUND(AE15/30*1,0),IF(AND('Basic Data Entry'!$C$10="subordinate",'Arear Table Unprotected)'!T15=2020,S15=10),ROUND(AE15/31*1,0),IF(AND('Basic Data Entry'!$C$10="ministrial",'Arear Table Unprotected)'!T15=2020,S15=3),ROUND(AA15/31*1,0),""))))))))</f>
        <v/>
      </c>
      <c r="AS15" s="138" t="str">
        <f t="array" ref="AS15">IF(OR(O15=0,O15="",AQ15="",AR15=""),"",AQ15-AR15)</f>
        <v/>
      </c>
      <c r="AT15" s="44">
        <f t="array" ref="AT15">IF(OR(O14=0,O14=""),"",AT14)</f>
        <v>0</v>
      </c>
      <c r="AU15" s="45">
        <f t="array" ref="AU15">IF(OR(O14=0,O14=""),"",AU14)</f>
        <v>0</v>
      </c>
      <c r="AV15" s="139">
        <f t="array" ref="AV15">IF(OR(O15=0,O15=""),"",SUM(AT15-AU15))</f>
        <v>0</v>
      </c>
      <c r="AW15" s="36">
        <f t="array" ref="AW15">IF(OR(O15=0,O15=""),"",ROUND((AJ15)*$E$3,0))</f>
        <v>564</v>
      </c>
      <c r="AX15" s="36">
        <f t="array" ref="AX15">IF(OR(O15=0,O15=""),"",SUM(AM15,AP15,AS15,AV15,AW15))</f>
        <v>564</v>
      </c>
      <c r="AY15" s="140">
        <f t="array" ref="AY15">IF(OR(O15=0,O15=""),"",AJ15-AX15)</f>
        <v>5076</v>
      </c>
      <c r="AZ15" s="46"/>
      <c r="BA15" s="24"/>
      <c r="BB15" s="24"/>
      <c r="BC15" s="11">
        <f t="shared" ref="BC15:BC60" si="11">O15</f>
        <v>43528</v>
      </c>
      <c r="BD15" s="84">
        <f t="shared" ref="BD15:BD60" si="12">IF(BC15=0,0,MONTH(BC15))</f>
        <v>3</v>
      </c>
      <c r="BE15" s="84">
        <f>IF(BD15=7,ROUND(BE14*1.03,-2),IF(BD15=0,0,BE14))</f>
        <v>43800</v>
      </c>
      <c r="BI15" s="22">
        <f>BI14+31</f>
        <v>43528</v>
      </c>
      <c r="BK15" s="19">
        <f t="shared" ref="BK15:BK60" si="13">IF($W$2="state",5,IF($W$2="subordinate",3,IF($W$2="ministrial",2,1)))</f>
        <v>1</v>
      </c>
      <c r="BL15" s="20" t="str">
        <f t="array" ref="BL15">IF(OR(O15=0,O15=""),"",U15)</f>
        <v>32019</v>
      </c>
      <c r="BM15" s="19">
        <f t="array" ref="BM15">IF(OR(O15=0,O15=""),"",BK15+BL15)</f>
        <v>32020</v>
      </c>
      <c r="BN15" s="21">
        <f t="shared" ref="BN15:BN60" si="14">IF(BM15=32025,"SSM",IF(BM15=32023,"SM",IF(BM15=32022,"MM",IF(BM15=32021,"FM",IF(BM15=92025,"SSS",IF(BM15=92023,"SS",IF(BM15=92022,"MS",IF(BM15=92021,"FS",IF(BM15=102025,"SSO",IF(BM15=102023,"SO",IF(BM15=102022,"MO",IF(BM15=102021,"FO",0))))))))))))</f>
        <v>0</v>
      </c>
      <c r="BO15" s="21">
        <f t="shared" ref="BO15:BO60" si="15">IF(BL15="32020","M",IF(BL15="92020","S",IF(BL15="102020","O",0)))</f>
        <v>0</v>
      </c>
      <c r="BP15" s="23">
        <f t="shared" ref="BP15:BP60" si="16">IF(BO15=0,0,"ss")</f>
        <v>0</v>
      </c>
      <c r="BQ15" s="21" t="str">
        <f t="shared" ref="BQ15:BQ60" si="17">CONCATENATE(BO15,BP15)</f>
        <v>00</v>
      </c>
      <c r="BW15" s="81" t="str">
        <f>IF(OR(O15=0,O15=""),"",IF('Basic Data Entry'!$C$9="fixation","yes",""))</f>
        <v/>
      </c>
      <c r="BX15" s="81" t="str">
        <f>IF(OR(O15=0,O15=""),"",IF('Basic Data Entry'!$G$12="yes","yes","no"))</f>
        <v>no</v>
      </c>
    </row>
    <row r="16" spans="1:76" ht="20.25" customHeight="1" thickBot="1">
      <c r="A16" s="10">
        <f t="shared" si="6"/>
        <v>43800</v>
      </c>
      <c r="B16" s="305"/>
      <c r="C16" s="305"/>
      <c r="D16" s="305"/>
      <c r="E16" s="305"/>
      <c r="F16" s="108">
        <f t="shared" si="1"/>
        <v>43559</v>
      </c>
      <c r="G16" s="227">
        <f t="shared" si="2"/>
        <v>0.12</v>
      </c>
      <c r="H16" s="228">
        <f t="shared" si="3"/>
        <v>0.12</v>
      </c>
      <c r="I16" s="228">
        <f>IF(OR($E$2="fixation",O16="",O16=0),"",IF(AND('Basic Data Entry'!$G$11="Z-Rural",'Arear Table Unprotected)'!T16&lt;2021),0.08,IF(AND('Basic Data Entry'!$G$11="Y-Urban",'Arear Table Unprotected)'!T16&lt;2021),0.16,IF(AND('Basic Data Entry'!$G$11="Z-Rural",'Arear Table Unprotected)'!T16=2021,S16&gt;=7),0.09,IF(AND('Basic Data Entry'!$G$11="Y-Urban",'Arear Table Unprotected)'!T16=2021,'Arear Table Unprotected)'!S16&gt;=7),0.18,IF(AND('Basic Data Entry'!$G$11="Z-Rural",'Arear Table Unprotected)'!T16=2021,S16&lt;7),0.08,IF(AND('Basic Data Entry'!$G$11="Y-Urban",'Arear Table Unprotected)'!T16=2021,'Arear Table Unprotected)'!S16&lt;7),0.16,IF(AND('Basic Data Entry'!$G$11="Z-Rural",'Arear Table Unprotected)'!T16=2022),0.09,IF(AND('Basic Data Entry'!$G$11="Y-Urban",'Arear Table Unprotected)'!T16=2022),0.18,IF(AND('Basic Data Entry'!$G$11="Z-Rural",'Arear Table Unprotected)'!T16=2023),0.09,IF(AND('Basic Data Entry'!$G$11="Y-Urban",'Arear Table Unprotected)'!T16=2023),0.18,"")))))))))))</f>
        <v>0.08</v>
      </c>
      <c r="J16" s="229">
        <f>IF(OR(O16="",O16=0),"",IF(AND('Basic Data Entry'!$G$11="Z-Rural",'Arear Table Unprotected)'!T16&lt;2021),0.08,IF(AND('Basic Data Entry'!$G$11="Y-Urban",'Arear Table Unprotected)'!T16&lt;2021),0.16,IF(AND('Basic Data Entry'!$G$11="Z-Rural",'Arear Table Unprotected)'!T16=2021,S16&gt;=7),0.09,IF(AND('Basic Data Entry'!$G$11="Y-Urban",'Arear Table Unprotected)'!T16=2021,'Arear Table Unprotected)'!S16&gt;=7),0.18,IF(AND('Basic Data Entry'!$G$11="Z-Rural",'Arear Table Unprotected)'!T16=2021,S16&lt;7),0.08,IF(AND('Basic Data Entry'!$G$11="Y-Urban",'Arear Table Unprotected)'!T16=2021,'Arear Table Unprotected)'!S16&lt;7),0.16,IF(AND('Basic Data Entry'!$G$11="Z-Rural",'Arear Table Unprotected)'!T16=2022),0.09,IF(AND('Basic Data Entry'!$G$11="Y-Urban",'Arear Table Unprotected)'!T16=2022),0.18,IF(AND('Basic Data Entry'!$G$11="Z-Rural",'Arear Table Unprotected)'!T16=2023),0.09,IF(AND('Basic Data Entry'!$G$11="Y-Urban",'Arear Table Unprotected)'!T16=2023),0.18,"")))))))))))</f>
        <v>0.08</v>
      </c>
      <c r="K16" s="230" t="str">
        <f t="shared" si="4"/>
        <v/>
      </c>
      <c r="L16" s="231" t="str">
        <f t="shared" si="5"/>
        <v/>
      </c>
      <c r="M16" s="232" t="str">
        <f t="shared" si="7"/>
        <v/>
      </c>
      <c r="N16" s="196">
        <v>4</v>
      </c>
      <c r="O16" s="327">
        <f t="shared" si="8"/>
        <v>43559</v>
      </c>
      <c r="P16" s="328"/>
      <c r="Q16" s="328"/>
      <c r="R16" s="329"/>
      <c r="S16" s="161">
        <f t="array" ref="S16">IF(OR(O16=0,O16=""),"",MONTH(O16))</f>
        <v>4</v>
      </c>
      <c r="T16" s="161">
        <f t="array" ref="T16">IF(OR(O16=0,O16=""),"",YEAR(O16))</f>
        <v>2019</v>
      </c>
      <c r="U16" s="161" t="str">
        <f t="shared" si="9"/>
        <v>42019</v>
      </c>
      <c r="V16" s="6">
        <f t="array" ref="V16">IF(OR(O16=0,O16=""),"",BE16)</f>
        <v>43800</v>
      </c>
      <c r="W16" s="18">
        <f t="array" ref="W16">IF(OR(O16=0,O16=""),"",ROUND(V16*H16,0))</f>
        <v>5256</v>
      </c>
      <c r="X16" s="18">
        <f t="shared" si="10"/>
        <v>0</v>
      </c>
      <c r="Y16" s="18">
        <f t="array" ref="Y16">IF(OR(O16=0,O16=""),"",ROUND(V16*J16,0))</f>
        <v>3504</v>
      </c>
      <c r="Z16" s="135">
        <f t="array" ref="Z16">IF(OR(O16=0,O16=""),"",SUM(V16:Y16))</f>
        <v>52560</v>
      </c>
      <c r="AA16" s="1">
        <f t="array" ref="AA16">IF(OR(O16=0,O16=""),"",IF(V16=0,0,IF($E$2="FIXATION",$B$5,IF(V16=0,0,IF(BD16=7,ROUND(AA15*1.03,-2),AA15)))))</f>
        <v>39100</v>
      </c>
      <c r="AB16" s="2">
        <f t="array" ref="AB16">IF(OR(O16=0,O16=""),"",IF($E$2="fixation",0,ROUND(AA16*G16,0)))</f>
        <v>4692</v>
      </c>
      <c r="AC16" s="18">
        <f t="array" ref="AC16">IF(OR(O16=0,O16=""),"",AC15)</f>
        <v>0</v>
      </c>
      <c r="AD16" s="2">
        <f t="array" ref="AD16">IF(OR(O16=0,O16=""),"",IF($E$2="fixation",0,ROUND(AA16*I16,0)))</f>
        <v>3128</v>
      </c>
      <c r="AE16" s="135">
        <f t="array" ref="AE16">IF(OR(O16=0,O16=""),"",SUM(AA16:AD16))</f>
        <v>46920</v>
      </c>
      <c r="AF16" s="1">
        <f t="array" ref="AF16">IF(OR(O16=0,O16=""),"",V16-AA16)</f>
        <v>4700</v>
      </c>
      <c r="AG16" s="2">
        <f t="array" ref="AG16">IF(OR(O16=0,O16=""),"",W16-AB16)</f>
        <v>564</v>
      </c>
      <c r="AH16" s="2">
        <f t="array" ref="AH16">IF(OR(O16=0,O16=""),"",X16-AC16)</f>
        <v>0</v>
      </c>
      <c r="AI16" s="2">
        <f t="array" ref="AI16">IF(OR(O16=0,O16=""),"",Y16-AD16)</f>
        <v>376</v>
      </c>
      <c r="AJ16" s="136">
        <f t="array" ref="AJ16">IF(OR(O16=0,O16=""),"",Z16-AE16)</f>
        <v>5640</v>
      </c>
      <c r="AK16" s="4">
        <f t="array" ref="AK16">IF(OR(O16=0,O16=""),"",IF(M16="",$AZ$2,$AZ$2+M16))</f>
        <v>4500</v>
      </c>
      <c r="AL16" s="3">
        <f t="array" ref="AL16">IF(OR(O16=0,O16=""),"",$AQ$2)</f>
        <v>4500</v>
      </c>
      <c r="AM16" s="137">
        <f t="array" ref="AM16">IF(OR(O16=0,O16=""),"",AK16-AL16)</f>
        <v>0</v>
      </c>
      <c r="AN16" s="3">
        <f t="array" ref="AN16">IF(OR(O15=0,O15="",AN15="",AN15=""),"",AN15)</f>
        <v>3000</v>
      </c>
      <c r="AO16" s="2">
        <f t="array" ref="AO16">IF(OR(O15=0,O15="",AO15="",AO15=""),"",AO15)</f>
        <v>3000</v>
      </c>
      <c r="AP16" s="137">
        <f t="array" ref="AP16">IF(OR(O16=0,O16=""),"",SUM(AN16-AO16))</f>
        <v>0</v>
      </c>
      <c r="AQ16" s="106" t="str">
        <f t="array" ref="AQ16">IF(OR(O16=0,O16=""),"",IF(AND('Basic Data Entry'!$C$10="state Service",'Arear Table Unprotected)'!T16=2020,S16=3),ROUND(V16/31*5,0),IF(AND('Basic Data Entry'!$C$10="state Service",'Arear Table Unprotected)'!T16=2020,S16=9),ROUND(Z16/30*2,0),IF(AND('Basic Data Entry'!$C$10="state Service",'Arear Table Unprotected)'!T16=2020,S16=10),ROUND(Z16/31*2,0),IF(AND('Basic Data Entry'!$C$10="subordinate",'Arear Table Unprotected)'!T16=2020,S16=3),ROUND(V16/31*3,0),IF(AND('Basic Data Entry'!$C$10="subordinate",'Arear Table Unprotected)'!T16=2020,S16=9),ROUND(Z16/30*1,0),IF(AND('Basic Data Entry'!$C$10="subordinate",'Arear Table Unprotected)'!T16=2020,S16=10),ROUND(Z16/31*1,0),IF(AND('Basic Data Entry'!$C$10="ministrial",'Arear Table Unprotected)'!T16=2020,S16=3),ROUND(V16/31*1,0),""))))))))</f>
        <v/>
      </c>
      <c r="AR16" s="107" t="str">
        <f t="array" ref="AR16">IF(OR(O16=0,O16=""),"",IF(AND('Basic Data Entry'!$C$10="state Service",'Arear Table Unprotected)'!T16=2020,S16=3),ROUND(AA16/31*5,0),IF(AND('Basic Data Entry'!$C$10="state Service",'Arear Table Unprotected)'!T16=2020,S16=9),ROUND(AE16/30*2,0),IF(AND('Basic Data Entry'!$C$10="state Service",'Arear Table Unprotected)'!T16=2020,S16=10),ROUND(AE16/31*2,0),IF(AND('Basic Data Entry'!$C$10="subordinate",'Arear Table Unprotected)'!T16=2020,S16=3),ROUND(AA16/31*3,0),IF(AND('Basic Data Entry'!$C$10="subordinate",'Arear Table Unprotected)'!T16=2020,S16=9),ROUND(AE16/30*1,0),IF(AND('Basic Data Entry'!$C$10="subordinate",'Arear Table Unprotected)'!T16=2020,S16=10),ROUND(AE16/31*1,0),IF(AND('Basic Data Entry'!$C$10="ministrial",'Arear Table Unprotected)'!T16=2020,S16=3),ROUND(AA16/31*1,0),""))))))))</f>
        <v/>
      </c>
      <c r="AS16" s="138" t="str">
        <f t="array" ref="AS16">IF(OR(O16=0,O16="",AQ16="",AR16=""),"",AQ16-AR16)</f>
        <v/>
      </c>
      <c r="AT16" s="44">
        <f t="array" ref="AT16">IF(OR(O15=0,O15=""),"",AT15)</f>
        <v>0</v>
      </c>
      <c r="AU16" s="45">
        <f t="array" ref="AU16">IF(OR(O15=0,O15=""),"",AU15)</f>
        <v>0</v>
      </c>
      <c r="AV16" s="139">
        <f t="array" ref="AV16">IF(OR(O16=0,O16=""),"",SUM(AT16-AU16))</f>
        <v>0</v>
      </c>
      <c r="AW16" s="36">
        <f t="array" ref="AW16">IF(OR(O16=0,O16=""),"",ROUND((AJ16)*$E$3,0))</f>
        <v>564</v>
      </c>
      <c r="AX16" s="36">
        <f t="array" ref="AX16">IF(OR(O16=0,O16=""),"",SUM(AM16,AP16,AS16,AV16,AW16))</f>
        <v>564</v>
      </c>
      <c r="AY16" s="140">
        <f t="array" ref="AY16">IF(OR(O16=0,O16=""),"",AJ16-AX16)</f>
        <v>5076</v>
      </c>
      <c r="AZ16" s="46"/>
      <c r="BA16" s="24"/>
      <c r="BB16" s="24"/>
      <c r="BC16" s="11">
        <f t="shared" si="11"/>
        <v>43559</v>
      </c>
      <c r="BD16" s="84">
        <f t="shared" si="12"/>
        <v>4</v>
      </c>
      <c r="BE16" s="84">
        <f t="shared" ref="BE16:BE59" si="18">IF(BD16=7,ROUND(BE15*1.03,-2),IF(BD16=0,0,BE15))</f>
        <v>43800</v>
      </c>
      <c r="BI16" s="22">
        <f t="shared" ref="BI16:BI59" si="19">BI15+31</f>
        <v>43559</v>
      </c>
      <c r="BK16" s="19">
        <f t="shared" si="13"/>
        <v>1</v>
      </c>
      <c r="BL16" s="20" t="str">
        <f t="array" ref="BL16">IF(OR(O16=0,O16=""),"",U16)</f>
        <v>42019</v>
      </c>
      <c r="BM16" s="19">
        <f t="array" ref="BM16">IF(OR(O16=0,O16=""),"",BK16+BL16)</f>
        <v>42020</v>
      </c>
      <c r="BN16" s="21">
        <f t="shared" si="14"/>
        <v>0</v>
      </c>
      <c r="BO16" s="21">
        <f t="shared" si="15"/>
        <v>0</v>
      </c>
      <c r="BP16" s="23">
        <f t="shared" si="16"/>
        <v>0</v>
      </c>
      <c r="BQ16" s="21" t="str">
        <f t="shared" si="17"/>
        <v>00</v>
      </c>
      <c r="BW16" s="81" t="str">
        <f>IF(OR(O16=0,O16=""),"",IF('Basic Data Entry'!$C$9="fixation","yes",""))</f>
        <v/>
      </c>
      <c r="BX16" s="81" t="str">
        <f>IF(OR(O16=0,O16=""),"",IF('Basic Data Entry'!$G$12="yes","yes","no"))</f>
        <v>no</v>
      </c>
    </row>
    <row r="17" spans="1:76" ht="20.25" customHeight="1" thickBot="1">
      <c r="A17" s="10">
        <f t="shared" si="6"/>
        <v>43800</v>
      </c>
      <c r="B17" s="305"/>
      <c r="C17" s="305"/>
      <c r="D17" s="305"/>
      <c r="E17" s="305"/>
      <c r="F17" s="108">
        <f t="shared" si="1"/>
        <v>43590</v>
      </c>
      <c r="G17" s="227">
        <f t="shared" si="2"/>
        <v>0.12</v>
      </c>
      <c r="H17" s="228">
        <f t="shared" si="3"/>
        <v>0.12</v>
      </c>
      <c r="I17" s="228">
        <f>IF(OR($E$2="fixation",O17="",O17=0),"",IF(AND('Basic Data Entry'!$G$11="Z-Rural",'Arear Table Unprotected)'!T17&lt;2021),0.08,IF(AND('Basic Data Entry'!$G$11="Y-Urban",'Arear Table Unprotected)'!T17&lt;2021),0.16,IF(AND('Basic Data Entry'!$G$11="Z-Rural",'Arear Table Unprotected)'!T17=2021,S17&gt;=7),0.09,IF(AND('Basic Data Entry'!$G$11="Y-Urban",'Arear Table Unprotected)'!T17=2021,'Arear Table Unprotected)'!S17&gt;=7),0.18,IF(AND('Basic Data Entry'!$G$11="Z-Rural",'Arear Table Unprotected)'!T17=2021,S17&lt;7),0.08,IF(AND('Basic Data Entry'!$G$11="Y-Urban",'Arear Table Unprotected)'!T17=2021,'Arear Table Unprotected)'!S17&lt;7),0.16,IF(AND('Basic Data Entry'!$G$11="Z-Rural",'Arear Table Unprotected)'!T17=2022),0.09,IF(AND('Basic Data Entry'!$G$11="Y-Urban",'Arear Table Unprotected)'!T17=2022),0.18,IF(AND('Basic Data Entry'!$G$11="Z-Rural",'Arear Table Unprotected)'!T17=2023),0.09,IF(AND('Basic Data Entry'!$G$11="Y-Urban",'Arear Table Unprotected)'!T17=2023),0.18,"")))))))))))</f>
        <v>0.08</v>
      </c>
      <c r="J17" s="229">
        <f>IF(OR(O17="",O17=0),"",IF(AND('Basic Data Entry'!$G$11="Z-Rural",'Arear Table Unprotected)'!T17&lt;2021),0.08,IF(AND('Basic Data Entry'!$G$11="Y-Urban",'Arear Table Unprotected)'!T17&lt;2021),0.16,IF(AND('Basic Data Entry'!$G$11="Z-Rural",'Arear Table Unprotected)'!T17=2021,S17&gt;=7),0.09,IF(AND('Basic Data Entry'!$G$11="Y-Urban",'Arear Table Unprotected)'!T17=2021,'Arear Table Unprotected)'!S17&gt;=7),0.18,IF(AND('Basic Data Entry'!$G$11="Z-Rural",'Arear Table Unprotected)'!T17=2021,S17&lt;7),0.08,IF(AND('Basic Data Entry'!$G$11="Y-Urban",'Arear Table Unprotected)'!T17=2021,'Arear Table Unprotected)'!S17&lt;7),0.16,IF(AND('Basic Data Entry'!$G$11="Z-Rural",'Arear Table Unprotected)'!T17=2022),0.09,IF(AND('Basic Data Entry'!$G$11="Y-Urban",'Arear Table Unprotected)'!T17=2022),0.18,IF(AND('Basic Data Entry'!$G$11="Z-Rural",'Arear Table Unprotected)'!T17=2023),0.09,IF(AND('Basic Data Entry'!$G$11="Y-Urban",'Arear Table Unprotected)'!T17=2023),0.18,"")))))))))))</f>
        <v>0.08</v>
      </c>
      <c r="K17" s="230" t="str">
        <f t="shared" si="4"/>
        <v/>
      </c>
      <c r="L17" s="231" t="str">
        <f t="shared" si="5"/>
        <v/>
      </c>
      <c r="M17" s="232" t="str">
        <f t="shared" si="7"/>
        <v/>
      </c>
      <c r="N17" s="196">
        <v>5</v>
      </c>
      <c r="O17" s="327">
        <f t="shared" si="8"/>
        <v>43590</v>
      </c>
      <c r="P17" s="328"/>
      <c r="Q17" s="328"/>
      <c r="R17" s="329"/>
      <c r="S17" s="161">
        <f t="array" ref="S17">IF(OR(O17=0,O17=""),"",MONTH(O17))</f>
        <v>5</v>
      </c>
      <c r="T17" s="161">
        <f t="array" ref="T17">IF(OR(O17=0,O17=""),"",YEAR(O17))</f>
        <v>2019</v>
      </c>
      <c r="U17" s="161" t="str">
        <f t="shared" si="9"/>
        <v>52019</v>
      </c>
      <c r="V17" s="6">
        <f t="array" ref="V17">IF(OR(O17=0,O17=""),"",BE17)</f>
        <v>43800</v>
      </c>
      <c r="W17" s="18">
        <f t="array" ref="W17">IF(OR(O17=0,O17=""),"",ROUND(V17*H17,0))</f>
        <v>5256</v>
      </c>
      <c r="X17" s="18">
        <f t="shared" si="10"/>
        <v>0</v>
      </c>
      <c r="Y17" s="18">
        <f t="array" ref="Y17">IF(OR(O17=0,O17=""),"",ROUND(V17*J17,0))</f>
        <v>3504</v>
      </c>
      <c r="Z17" s="135">
        <f t="array" ref="Z17">IF(OR(O17=0,O17=""),"",SUM(V17:Y17))</f>
        <v>52560</v>
      </c>
      <c r="AA17" s="1">
        <f t="array" ref="AA17">IF(OR(O17=0,O17=""),"",IF(V17=0,0,IF($E$2="FIXATION",$B$5,IF(V17=0,0,IF(BD17=7,ROUND(AA16*1.03,-2),AA16)))))</f>
        <v>39100</v>
      </c>
      <c r="AB17" s="2">
        <f t="array" ref="AB17">IF(OR(O17=0,O17=""),"",IF($E$2="fixation",0,ROUND(AA17*G17,0)))</f>
        <v>4692</v>
      </c>
      <c r="AC17" s="18">
        <f t="array" ref="AC17">IF(OR(O17=0,O17=""),"",AC16)</f>
        <v>0</v>
      </c>
      <c r="AD17" s="2">
        <f t="array" ref="AD17">IF(OR(O17=0,O17=""),"",IF($E$2="fixation",0,ROUND(AA17*I17,0)))</f>
        <v>3128</v>
      </c>
      <c r="AE17" s="135">
        <f t="array" ref="AE17">IF(OR(O17=0,O17=""),"",SUM(AA17:AD17))</f>
        <v>46920</v>
      </c>
      <c r="AF17" s="1">
        <f t="array" ref="AF17">IF(OR(O17=0,O17=""),"",V17-AA17)</f>
        <v>4700</v>
      </c>
      <c r="AG17" s="2">
        <f t="array" ref="AG17">IF(OR(O17=0,O17=""),"",W17-AB17)</f>
        <v>564</v>
      </c>
      <c r="AH17" s="2">
        <f t="array" ref="AH17">IF(OR(O17=0,O17=""),"",X17-AC17)</f>
        <v>0</v>
      </c>
      <c r="AI17" s="2">
        <f t="array" ref="AI17">IF(OR(O17=0,O17=""),"",Y17-AD17)</f>
        <v>376</v>
      </c>
      <c r="AJ17" s="136">
        <f t="array" ref="AJ17">IF(OR(O17=0,O17=""),"",Z17-AE17)</f>
        <v>5640</v>
      </c>
      <c r="AK17" s="4">
        <f t="array" ref="AK17">IF(OR(O17=0,O17=""),"",IF(M17="",$AZ$2,$AZ$2+M17))</f>
        <v>4500</v>
      </c>
      <c r="AL17" s="3">
        <f t="array" ref="AL17">IF(OR(O17=0,O17=""),"",$AQ$2)</f>
        <v>4500</v>
      </c>
      <c r="AM17" s="137">
        <f t="array" ref="AM17">IF(OR(O17=0,O17=""),"",AK17-AL17)</f>
        <v>0</v>
      </c>
      <c r="AN17" s="3">
        <f t="array" ref="AN17">IF(OR(O16=0,O16="",AN16="",AN16=""),"",AN16)</f>
        <v>3000</v>
      </c>
      <c r="AO17" s="2">
        <f t="array" ref="AO17">IF(OR(O16=0,O16="",AO16="",AO16=""),"",AO16)</f>
        <v>3000</v>
      </c>
      <c r="AP17" s="137">
        <f t="array" ref="AP17">IF(OR(O17=0,O17=""),"",SUM(AN17-AO17))</f>
        <v>0</v>
      </c>
      <c r="AQ17" s="106" t="str">
        <f t="array" ref="AQ17">IF(OR(O17=0,O17=""),"",IF(AND('Basic Data Entry'!$C$10="state Service",'Arear Table Unprotected)'!T17=2020,S17=3),ROUND(V17/31*5,0),IF(AND('Basic Data Entry'!$C$10="state Service",'Arear Table Unprotected)'!T17=2020,S17=9),ROUND(Z17/30*2,0),IF(AND('Basic Data Entry'!$C$10="state Service",'Arear Table Unprotected)'!T17=2020,S17=10),ROUND(Z17/31*2,0),IF(AND('Basic Data Entry'!$C$10="subordinate",'Arear Table Unprotected)'!T17=2020,S17=3),ROUND(V17/31*3,0),IF(AND('Basic Data Entry'!$C$10="subordinate",'Arear Table Unprotected)'!T17=2020,S17=9),ROUND(Z17/30*1,0),IF(AND('Basic Data Entry'!$C$10="subordinate",'Arear Table Unprotected)'!T17=2020,S17=10),ROUND(Z17/31*1,0),IF(AND('Basic Data Entry'!$C$10="ministrial",'Arear Table Unprotected)'!T17=2020,S17=3),ROUND(V17/31*1,0),""))))))))</f>
        <v/>
      </c>
      <c r="AR17" s="107" t="str">
        <f t="array" ref="AR17">IF(OR(O17=0,O17=""),"",IF(AND('Basic Data Entry'!$C$10="state Service",'Arear Table Unprotected)'!T17=2020,S17=3),ROUND(AA17/31*5,0),IF(AND('Basic Data Entry'!$C$10="state Service",'Arear Table Unprotected)'!T17=2020,S17=9),ROUND(AE17/30*2,0),IF(AND('Basic Data Entry'!$C$10="state Service",'Arear Table Unprotected)'!T17=2020,S17=10),ROUND(AE17/31*2,0),IF(AND('Basic Data Entry'!$C$10="subordinate",'Arear Table Unprotected)'!T17=2020,S17=3),ROUND(AA17/31*3,0),IF(AND('Basic Data Entry'!$C$10="subordinate",'Arear Table Unprotected)'!T17=2020,S17=9),ROUND(AE17/30*1,0),IF(AND('Basic Data Entry'!$C$10="subordinate",'Arear Table Unprotected)'!T17=2020,S17=10),ROUND(AE17/31*1,0),IF(AND('Basic Data Entry'!$C$10="ministrial",'Arear Table Unprotected)'!T17=2020,S17=3),ROUND(AA17/31*1,0),""))))))))</f>
        <v/>
      </c>
      <c r="AS17" s="138" t="str">
        <f t="array" ref="AS17">IF(OR(O17=0,O17="",AQ17="",AR17=""),"",AQ17-AR17)</f>
        <v/>
      </c>
      <c r="AT17" s="44">
        <f t="array" ref="AT17">IF(OR(O16=0,O16=""),"",AT16)</f>
        <v>0</v>
      </c>
      <c r="AU17" s="45">
        <f t="array" ref="AU17">IF(OR(O16=0,O16=""),"",AU16)</f>
        <v>0</v>
      </c>
      <c r="AV17" s="139">
        <f t="array" ref="AV17">IF(OR(O17=0,O17=""),"",SUM(AT17-AU17))</f>
        <v>0</v>
      </c>
      <c r="AW17" s="36">
        <f t="array" ref="AW17">IF(OR(O17=0,O17=""),"",ROUND((AJ17)*$E$3,0))</f>
        <v>564</v>
      </c>
      <c r="AX17" s="36">
        <f t="array" ref="AX17">IF(OR(O17=0,O17=""),"",SUM(AM17,AP17,AS17,AV17,AW17))</f>
        <v>564</v>
      </c>
      <c r="AY17" s="140">
        <f t="array" ref="AY17">IF(OR(O17=0,O17=""),"",AJ17-AX17)</f>
        <v>5076</v>
      </c>
      <c r="AZ17" s="46"/>
      <c r="BA17" s="24"/>
      <c r="BB17" s="24"/>
      <c r="BC17" s="11">
        <f t="shared" si="11"/>
        <v>43590</v>
      </c>
      <c r="BD17" s="84">
        <f t="shared" si="12"/>
        <v>5</v>
      </c>
      <c r="BE17" s="84">
        <f t="shared" si="18"/>
        <v>43800</v>
      </c>
      <c r="BI17" s="22">
        <f t="shared" si="19"/>
        <v>43590</v>
      </c>
      <c r="BK17" s="19">
        <f t="shared" si="13"/>
        <v>1</v>
      </c>
      <c r="BL17" s="20" t="str">
        <f t="array" ref="BL17">IF(OR(O17=0,O17=""),"",U17)</f>
        <v>52019</v>
      </c>
      <c r="BM17" s="19">
        <f t="array" ref="BM17">IF(OR(O17=0,O17=""),"",BK17+BL17)</f>
        <v>52020</v>
      </c>
      <c r="BN17" s="21">
        <f t="shared" si="14"/>
        <v>0</v>
      </c>
      <c r="BO17" s="21">
        <f t="shared" si="15"/>
        <v>0</v>
      </c>
      <c r="BP17" s="23">
        <f t="shared" si="16"/>
        <v>0</v>
      </c>
      <c r="BQ17" s="21" t="str">
        <f t="shared" si="17"/>
        <v>00</v>
      </c>
      <c r="BW17" s="81" t="str">
        <f>IF(OR(O17=0,O17=""),"",IF('Basic Data Entry'!$C$9="fixation","yes",""))</f>
        <v/>
      </c>
      <c r="BX17" s="81" t="str">
        <f>IF(OR(O17=0,O17=""),"",IF('Basic Data Entry'!$G$12="yes","yes","no"))</f>
        <v>no</v>
      </c>
    </row>
    <row r="18" spans="1:76" ht="18" customHeight="1" thickBot="1">
      <c r="A18" s="10">
        <f t="shared" si="6"/>
        <v>43800</v>
      </c>
      <c r="B18" s="305"/>
      <c r="C18" s="305"/>
      <c r="D18" s="305"/>
      <c r="E18" s="305"/>
      <c r="F18" s="108">
        <f t="shared" si="1"/>
        <v>43621</v>
      </c>
      <c r="G18" s="227">
        <f t="shared" si="2"/>
        <v>0.12</v>
      </c>
      <c r="H18" s="228">
        <f t="shared" si="3"/>
        <v>0.12</v>
      </c>
      <c r="I18" s="228">
        <f>IF(OR($E$2="fixation",O18="",O18=0),"",IF(AND('Basic Data Entry'!$G$11="Z-Rural",'Arear Table Unprotected)'!T18&lt;2021),0.08,IF(AND('Basic Data Entry'!$G$11="Y-Urban",'Arear Table Unprotected)'!T18&lt;2021),0.16,IF(AND('Basic Data Entry'!$G$11="Z-Rural",'Arear Table Unprotected)'!T18=2021,S18&gt;=7),0.09,IF(AND('Basic Data Entry'!$G$11="Y-Urban",'Arear Table Unprotected)'!T18=2021,'Arear Table Unprotected)'!S18&gt;=7),0.18,IF(AND('Basic Data Entry'!$G$11="Z-Rural",'Arear Table Unprotected)'!T18=2021,S18&lt;7),0.08,IF(AND('Basic Data Entry'!$G$11="Y-Urban",'Arear Table Unprotected)'!T18=2021,'Arear Table Unprotected)'!S18&lt;7),0.16,IF(AND('Basic Data Entry'!$G$11="Z-Rural",'Arear Table Unprotected)'!T18=2022),0.09,IF(AND('Basic Data Entry'!$G$11="Y-Urban",'Arear Table Unprotected)'!T18=2022),0.18,IF(AND('Basic Data Entry'!$G$11="Z-Rural",'Arear Table Unprotected)'!T18=2023),0.09,IF(AND('Basic Data Entry'!$G$11="Y-Urban",'Arear Table Unprotected)'!T18=2023),0.18,"")))))))))))</f>
        <v>0.08</v>
      </c>
      <c r="J18" s="229">
        <f>IF(OR(O18="",O18=0),"",IF(AND('Basic Data Entry'!$G$11="Z-Rural",'Arear Table Unprotected)'!T18&lt;2021),0.08,IF(AND('Basic Data Entry'!$G$11="Y-Urban",'Arear Table Unprotected)'!T18&lt;2021),0.16,IF(AND('Basic Data Entry'!$G$11="Z-Rural",'Arear Table Unprotected)'!T18=2021,S18&gt;=7),0.09,IF(AND('Basic Data Entry'!$G$11="Y-Urban",'Arear Table Unprotected)'!T18=2021,'Arear Table Unprotected)'!S18&gt;=7),0.18,IF(AND('Basic Data Entry'!$G$11="Z-Rural",'Arear Table Unprotected)'!T18=2021,S18&lt;7),0.08,IF(AND('Basic Data Entry'!$G$11="Y-Urban",'Arear Table Unprotected)'!T18=2021,'Arear Table Unprotected)'!S18&lt;7),0.16,IF(AND('Basic Data Entry'!$G$11="Z-Rural",'Arear Table Unprotected)'!T18=2022),0.09,IF(AND('Basic Data Entry'!$G$11="Y-Urban",'Arear Table Unprotected)'!T18=2022),0.18,IF(AND('Basic Data Entry'!$G$11="Z-Rural",'Arear Table Unprotected)'!T18=2023),0.09,IF(AND('Basic Data Entry'!$G$11="Y-Urban",'Arear Table Unprotected)'!T18=2023),0.18,"")))))))))))</f>
        <v>0.08</v>
      </c>
      <c r="K18" s="230" t="str">
        <f t="shared" si="4"/>
        <v/>
      </c>
      <c r="L18" s="231" t="str">
        <f t="shared" si="5"/>
        <v/>
      </c>
      <c r="M18" s="232" t="str">
        <f t="shared" si="7"/>
        <v/>
      </c>
      <c r="N18" s="196">
        <v>6</v>
      </c>
      <c r="O18" s="327">
        <f t="shared" si="8"/>
        <v>43621</v>
      </c>
      <c r="P18" s="328"/>
      <c r="Q18" s="328"/>
      <c r="R18" s="329"/>
      <c r="S18" s="161">
        <f t="array" ref="S18">IF(OR(O18=0,O18=""),"",MONTH(O18))</f>
        <v>6</v>
      </c>
      <c r="T18" s="161">
        <f t="array" ref="T18">IF(OR(O18=0,O18=""),"",YEAR(O18))</f>
        <v>2019</v>
      </c>
      <c r="U18" s="161" t="str">
        <f t="shared" si="9"/>
        <v>62019</v>
      </c>
      <c r="V18" s="6">
        <f t="array" ref="V18">IF(OR(O18=0,O18=""),"",BE18)</f>
        <v>43800</v>
      </c>
      <c r="W18" s="18">
        <f t="array" ref="W18">IF(OR(O18=0,O18=""),"",ROUND(V18*H18,0))</f>
        <v>5256</v>
      </c>
      <c r="X18" s="18">
        <f t="shared" si="10"/>
        <v>0</v>
      </c>
      <c r="Y18" s="18">
        <f t="array" ref="Y18">IF(OR(O18=0,O18=""),"",ROUND(V18*J18,0))</f>
        <v>3504</v>
      </c>
      <c r="Z18" s="135">
        <f t="array" ref="Z18">IF(OR(O18=0,O18=""),"",SUM(V18:Y18))</f>
        <v>52560</v>
      </c>
      <c r="AA18" s="1">
        <f t="array" ref="AA18">IF(OR(O18=0,O18=""),"",IF(V18=0,0,IF($E$2="FIXATION",$B$5,IF(V18=0,0,IF(BD18=7,ROUND(AA17*1.03,-2),AA17)))))</f>
        <v>39100</v>
      </c>
      <c r="AB18" s="2">
        <f t="array" ref="AB18">IF(OR(O18=0,O18=""),"",IF($E$2="fixation",0,ROUND(AA18*G18,0)))</f>
        <v>4692</v>
      </c>
      <c r="AC18" s="18">
        <f t="array" ref="AC18">IF(OR(O18=0,O18=""),"",AC17)</f>
        <v>0</v>
      </c>
      <c r="AD18" s="2">
        <f t="array" ref="AD18">IF(OR(O18=0,O18=""),"",IF($E$2="fixation",0,ROUND(AA18*I18,0)))</f>
        <v>3128</v>
      </c>
      <c r="AE18" s="135">
        <f t="array" ref="AE18">IF(OR(O18=0,O18=""),"",SUM(AA18:AD18))</f>
        <v>46920</v>
      </c>
      <c r="AF18" s="1">
        <f t="array" ref="AF18">IF(OR(O18=0,O18=""),"",V18-AA18)</f>
        <v>4700</v>
      </c>
      <c r="AG18" s="2">
        <f t="array" ref="AG18">IF(OR(O18=0,O18=""),"",W18-AB18)</f>
        <v>564</v>
      </c>
      <c r="AH18" s="2">
        <f t="array" ref="AH18">IF(OR(O18=0,O18=""),"",X18-AC18)</f>
        <v>0</v>
      </c>
      <c r="AI18" s="2">
        <f t="array" ref="AI18">IF(OR(O18=0,O18=""),"",Y18-AD18)</f>
        <v>376</v>
      </c>
      <c r="AJ18" s="136">
        <f t="array" ref="AJ18">IF(OR(O18=0,O18=""),"",Z18-AE18)</f>
        <v>5640</v>
      </c>
      <c r="AK18" s="4">
        <f t="array" ref="AK18">IF(OR(O18=0,O18=""),"",IF(M18="",$AZ$2,$AZ$2+M18))</f>
        <v>4500</v>
      </c>
      <c r="AL18" s="3">
        <f t="array" ref="AL18">IF(OR(O18=0,O18=""),"",$AQ$2)</f>
        <v>4500</v>
      </c>
      <c r="AM18" s="137">
        <f t="array" ref="AM18">IF(OR(O18=0,O18=""),"",AK18-AL18)</f>
        <v>0</v>
      </c>
      <c r="AN18" s="3">
        <f t="array" ref="AN18">IF(OR(O17=0,O17="",AN17="",AN17=""),"",AN17)</f>
        <v>3000</v>
      </c>
      <c r="AO18" s="2">
        <f t="array" ref="AO18">IF(OR(O17=0,O17="",AO17="",AO17=""),"",AO17)</f>
        <v>3000</v>
      </c>
      <c r="AP18" s="137">
        <f t="array" ref="AP18">IF(OR(O18=0,O18=""),"",SUM(AN18-AO18))</f>
        <v>0</v>
      </c>
      <c r="AQ18" s="106" t="str">
        <f t="array" ref="AQ18">IF(OR(O18=0,O18=""),"",IF(AND('Basic Data Entry'!$C$10="state Service",'Arear Table Unprotected)'!T18=2020,S18=3),ROUND(V18/31*5,0),IF(AND('Basic Data Entry'!$C$10="state Service",'Arear Table Unprotected)'!T18=2020,S18=9),ROUND(Z18/30*2,0),IF(AND('Basic Data Entry'!$C$10="state Service",'Arear Table Unprotected)'!T18=2020,S18=10),ROUND(Z18/31*2,0),IF(AND('Basic Data Entry'!$C$10="subordinate",'Arear Table Unprotected)'!T18=2020,S18=3),ROUND(V18/31*3,0),IF(AND('Basic Data Entry'!$C$10="subordinate",'Arear Table Unprotected)'!T18=2020,S18=9),ROUND(Z18/30*1,0),IF(AND('Basic Data Entry'!$C$10="subordinate",'Arear Table Unprotected)'!T18=2020,S18=10),ROUND(Z18/31*1,0),IF(AND('Basic Data Entry'!$C$10="ministrial",'Arear Table Unprotected)'!T18=2020,S18=3),ROUND(V18/31*1,0),""))))))))</f>
        <v/>
      </c>
      <c r="AR18" s="107" t="str">
        <f t="array" ref="AR18">IF(OR(O18=0,O18=""),"",IF(AND('Basic Data Entry'!$C$10="state Service",'Arear Table Unprotected)'!T18=2020,S18=3),ROUND(AA18/31*5,0),IF(AND('Basic Data Entry'!$C$10="state Service",'Arear Table Unprotected)'!T18=2020,S18=9),ROUND(AE18/30*2,0),IF(AND('Basic Data Entry'!$C$10="state Service",'Arear Table Unprotected)'!T18=2020,S18=10),ROUND(AE18/31*2,0),IF(AND('Basic Data Entry'!$C$10="subordinate",'Arear Table Unprotected)'!T18=2020,S18=3),ROUND(AA18/31*3,0),IF(AND('Basic Data Entry'!$C$10="subordinate",'Arear Table Unprotected)'!T18=2020,S18=9),ROUND(AE18/30*1,0),IF(AND('Basic Data Entry'!$C$10="subordinate",'Arear Table Unprotected)'!T18=2020,S18=10),ROUND(AE18/31*1,0),IF(AND('Basic Data Entry'!$C$10="ministrial",'Arear Table Unprotected)'!T18=2020,S18=3),ROUND(AA18/31*1,0),""))))))))</f>
        <v/>
      </c>
      <c r="AS18" s="138" t="str">
        <f t="array" ref="AS18">IF(OR(O18=0,O18="",AQ18="",AR18=""),"",AQ18-AR18)</f>
        <v/>
      </c>
      <c r="AT18" s="44">
        <f t="array" ref="AT18">IF(OR(O17=0,O17=""),"",AT17)</f>
        <v>0</v>
      </c>
      <c r="AU18" s="45">
        <f t="array" ref="AU18">IF(OR(O17=0,O17=""),"",AU17)</f>
        <v>0</v>
      </c>
      <c r="AV18" s="139">
        <f t="array" ref="AV18">IF(OR(O18=0,O18=""),"",SUM(AT18-AU18))</f>
        <v>0</v>
      </c>
      <c r="AW18" s="36">
        <f t="array" ref="AW18">IF(OR(O18=0,O18=""),"",ROUND((AJ18)*$E$3,0))</f>
        <v>564</v>
      </c>
      <c r="AX18" s="36">
        <f t="array" ref="AX18">IF(OR(O18=0,O18=""),"",SUM(AM18,AP18,AS18,AV18,AW18))</f>
        <v>564</v>
      </c>
      <c r="AY18" s="140">
        <f t="array" ref="AY18">IF(OR(O18=0,O18=""),"",AJ18-AX18)</f>
        <v>5076</v>
      </c>
      <c r="AZ18" s="46"/>
      <c r="BA18" s="24"/>
      <c r="BB18" s="24"/>
      <c r="BC18" s="11">
        <f t="shared" si="11"/>
        <v>43621</v>
      </c>
      <c r="BD18" s="84">
        <f t="shared" si="12"/>
        <v>6</v>
      </c>
      <c r="BE18" s="84">
        <f t="shared" si="18"/>
        <v>43800</v>
      </c>
      <c r="BI18" s="22">
        <f t="shared" si="19"/>
        <v>43621</v>
      </c>
      <c r="BK18" s="19">
        <f t="shared" si="13"/>
        <v>1</v>
      </c>
      <c r="BL18" s="20" t="str">
        <f t="array" ref="BL18">IF(OR(O18=0,O18=""),"",U18)</f>
        <v>62019</v>
      </c>
      <c r="BM18" s="19">
        <f t="array" ref="BM18">IF(OR(O18=0,O18=""),"",BK18+BL18)</f>
        <v>62020</v>
      </c>
      <c r="BN18" s="21">
        <f t="shared" si="14"/>
        <v>0</v>
      </c>
      <c r="BO18" s="21">
        <f t="shared" si="15"/>
        <v>0</v>
      </c>
      <c r="BP18" s="23">
        <f t="shared" si="16"/>
        <v>0</v>
      </c>
      <c r="BQ18" s="21" t="str">
        <f t="shared" si="17"/>
        <v>00</v>
      </c>
      <c r="BW18" s="81" t="str">
        <f>IF(OR(O18=0,O18=""),"",IF('Basic Data Entry'!$C$9="fixation","yes",""))</f>
        <v/>
      </c>
      <c r="BX18" s="81" t="str">
        <f>IF(OR(O18=0,O18=""),"",IF('Basic Data Entry'!$G$12="yes","yes","no"))</f>
        <v>no</v>
      </c>
    </row>
    <row r="19" spans="1:76" ht="18" customHeight="1" thickBot="1">
      <c r="A19" s="10">
        <f t="shared" si="6"/>
        <v>45100</v>
      </c>
      <c r="B19" s="305"/>
      <c r="C19" s="305"/>
      <c r="D19" s="305"/>
      <c r="E19" s="305"/>
      <c r="F19" s="108">
        <f t="shared" si="1"/>
        <v>43652</v>
      </c>
      <c r="G19" s="227">
        <f t="shared" si="2"/>
        <v>0.17</v>
      </c>
      <c r="H19" s="228">
        <f t="shared" si="3"/>
        <v>0.17</v>
      </c>
      <c r="I19" s="228">
        <f>IF(OR($E$2="fixation",O19="",O19=0),"",IF(AND('Basic Data Entry'!$G$11="Z-Rural",'Arear Table Unprotected)'!T19&lt;2021),0.08,IF(AND('Basic Data Entry'!$G$11="Y-Urban",'Arear Table Unprotected)'!T19&lt;2021),0.16,IF(AND('Basic Data Entry'!$G$11="Z-Rural",'Arear Table Unprotected)'!T19=2021,S19&gt;=7),0.09,IF(AND('Basic Data Entry'!$G$11="Y-Urban",'Arear Table Unprotected)'!T19=2021,'Arear Table Unprotected)'!S19&gt;=7),0.18,IF(AND('Basic Data Entry'!$G$11="Z-Rural",'Arear Table Unprotected)'!T19=2021,S19&lt;7),0.08,IF(AND('Basic Data Entry'!$G$11="Y-Urban",'Arear Table Unprotected)'!T19=2021,'Arear Table Unprotected)'!S19&lt;7),0.16,IF(AND('Basic Data Entry'!$G$11="Z-Rural",'Arear Table Unprotected)'!T19=2022),0.09,IF(AND('Basic Data Entry'!$G$11="Y-Urban",'Arear Table Unprotected)'!T19=2022),0.18,IF(AND('Basic Data Entry'!$G$11="Z-Rural",'Arear Table Unprotected)'!T19=2023),0.09,IF(AND('Basic Data Entry'!$G$11="Y-Urban",'Arear Table Unprotected)'!T19=2023),0.18,"")))))))))))</f>
        <v>0.08</v>
      </c>
      <c r="J19" s="229">
        <f>IF(OR(O19="",O19=0),"",IF(AND('Basic Data Entry'!$G$11="Z-Rural",'Arear Table Unprotected)'!T19&lt;2021),0.08,IF(AND('Basic Data Entry'!$G$11="Y-Urban",'Arear Table Unprotected)'!T19&lt;2021),0.16,IF(AND('Basic Data Entry'!$G$11="Z-Rural",'Arear Table Unprotected)'!T19=2021,S19&gt;=7),0.09,IF(AND('Basic Data Entry'!$G$11="Y-Urban",'Arear Table Unprotected)'!T19=2021,'Arear Table Unprotected)'!S19&gt;=7),0.18,IF(AND('Basic Data Entry'!$G$11="Z-Rural",'Arear Table Unprotected)'!T19=2021,S19&lt;7),0.08,IF(AND('Basic Data Entry'!$G$11="Y-Urban",'Arear Table Unprotected)'!T19=2021,'Arear Table Unprotected)'!S19&lt;7),0.16,IF(AND('Basic Data Entry'!$G$11="Z-Rural",'Arear Table Unprotected)'!T19=2022),0.09,IF(AND('Basic Data Entry'!$G$11="Y-Urban",'Arear Table Unprotected)'!T19=2022),0.18,IF(AND('Basic Data Entry'!$G$11="Z-Rural",'Arear Table Unprotected)'!T19=2023),0.09,IF(AND('Basic Data Entry'!$G$11="Y-Urban",'Arear Table Unprotected)'!T19=2023),0.18,"")))))))))))</f>
        <v>0.08</v>
      </c>
      <c r="K19" s="230" t="str">
        <f t="shared" si="4"/>
        <v>YES</v>
      </c>
      <c r="L19" s="231">
        <f t="shared" si="5"/>
        <v>0.05</v>
      </c>
      <c r="M19" s="232">
        <f t="shared" si="7"/>
        <v>2255</v>
      </c>
      <c r="N19" s="196">
        <v>7</v>
      </c>
      <c r="O19" s="327">
        <f t="shared" si="8"/>
        <v>43652</v>
      </c>
      <c r="P19" s="328"/>
      <c r="Q19" s="328"/>
      <c r="R19" s="329"/>
      <c r="S19" s="161">
        <f t="array" ref="S19">IF(OR(O19=0,O19=""),"",MONTH(O19))</f>
        <v>7</v>
      </c>
      <c r="T19" s="161">
        <f t="array" ref="T19">IF(OR(O19=0,O19=""),"",YEAR(O19))</f>
        <v>2019</v>
      </c>
      <c r="U19" s="161" t="str">
        <f t="shared" si="9"/>
        <v>72019</v>
      </c>
      <c r="V19" s="6">
        <f t="array" ref="V19">IF(OR(O19=0,O19=""),"",BE19)</f>
        <v>45100</v>
      </c>
      <c r="W19" s="18">
        <f t="array" ref="W19">IF(OR(O19=0,O19=""),"",ROUND(V19*H19,0))</f>
        <v>7667</v>
      </c>
      <c r="X19" s="18">
        <f t="shared" si="10"/>
        <v>0</v>
      </c>
      <c r="Y19" s="18">
        <f t="array" ref="Y19">IF(OR(O19=0,O19=""),"",ROUND(V19*J19,0))</f>
        <v>3608</v>
      </c>
      <c r="Z19" s="135">
        <f t="array" ref="Z19">IF(OR(O19=0,O19=""),"",SUM(V19:Y19))</f>
        <v>56375</v>
      </c>
      <c r="AA19" s="1">
        <f t="array" ref="AA19">IF(OR(O19=0,O19=""),"",IF(V19=0,0,IF($E$2="FIXATION",$B$5,IF(V19=0,0,IF(BD19=7,ROUND(AA18*1.03,-2),AA18)))))</f>
        <v>40300</v>
      </c>
      <c r="AB19" s="2">
        <f t="array" ref="AB19">IF(OR(O19=0,O19=""),"",IF($E$2="fixation",0,ROUND(AA19*G19,0)))</f>
        <v>6851</v>
      </c>
      <c r="AC19" s="18">
        <f t="array" ref="AC19">IF(OR(O19=0,O19=""),"",AC18)</f>
        <v>0</v>
      </c>
      <c r="AD19" s="2">
        <f t="array" ref="AD19">IF(OR(O19=0,O19=""),"",IF($E$2="fixation",0,ROUND(AA19*I19,0)))</f>
        <v>3224</v>
      </c>
      <c r="AE19" s="135">
        <f t="array" ref="AE19">IF(OR(O19=0,O19=""),"",SUM(AA19:AD19))</f>
        <v>50375</v>
      </c>
      <c r="AF19" s="1">
        <f t="array" ref="AF19">IF(OR(O19=0,O19=""),"",V19-AA19)</f>
        <v>4800</v>
      </c>
      <c r="AG19" s="2">
        <f t="array" ref="AG19">IF(OR(O19=0,O19=""),"",W19-AB19)</f>
        <v>816</v>
      </c>
      <c r="AH19" s="2">
        <f t="array" ref="AH19">IF(OR(O19=0,O19=""),"",X19-AC19)</f>
        <v>0</v>
      </c>
      <c r="AI19" s="2">
        <f t="array" ref="AI19">IF(OR(O19=0,O19=""),"",Y19-AD19)</f>
        <v>384</v>
      </c>
      <c r="AJ19" s="136">
        <f t="array" ref="AJ19">IF(OR(O19=0,O19=""),"",Z19-AE19)</f>
        <v>6000</v>
      </c>
      <c r="AK19" s="4">
        <f t="array" ref="AK19">IF(OR(O19=0,O19=""),"",IF(M19="",$AZ$2,$AZ$2+M19))</f>
        <v>6755</v>
      </c>
      <c r="AL19" s="3">
        <f t="array" ref="AL19">IF(OR(O19=0,O19=""),"",$AQ$2)</f>
        <v>4500</v>
      </c>
      <c r="AM19" s="137">
        <f t="array" ref="AM19">IF(OR(O19=0,O19=""),"",AK19-AL19)</f>
        <v>2255</v>
      </c>
      <c r="AN19" s="3">
        <f t="array" ref="AN19">IF(OR(O18=0,O18="",AN18="",AN18=""),"",AN18)</f>
        <v>3000</v>
      </c>
      <c r="AO19" s="2">
        <f t="array" ref="AO19">IF(OR(O18=0,O18="",AO18="",AO18=""),"",AO18)</f>
        <v>3000</v>
      </c>
      <c r="AP19" s="137">
        <f t="array" ref="AP19">IF(OR(O19=0,O19=""),"",SUM(AN19-AO19))</f>
        <v>0</v>
      </c>
      <c r="AQ19" s="106" t="str">
        <f t="array" ref="AQ19">IF(OR(O19=0,O19=""),"",IF(AND('Basic Data Entry'!$C$10="state Service",'Arear Table Unprotected)'!T19=2020,S19=3),ROUND(V19/31*5,0),IF(AND('Basic Data Entry'!$C$10="state Service",'Arear Table Unprotected)'!T19=2020,S19=9),ROUND(Z19/30*2,0),IF(AND('Basic Data Entry'!$C$10="state Service",'Arear Table Unprotected)'!T19=2020,S19=10),ROUND(Z19/31*2,0),IF(AND('Basic Data Entry'!$C$10="subordinate",'Arear Table Unprotected)'!T19=2020,S19=3),ROUND(V19/31*3,0),IF(AND('Basic Data Entry'!$C$10="subordinate",'Arear Table Unprotected)'!T19=2020,S19=9),ROUND(Z19/30*1,0),IF(AND('Basic Data Entry'!$C$10="subordinate",'Arear Table Unprotected)'!T19=2020,S19=10),ROUND(Z19/31*1,0),IF(AND('Basic Data Entry'!$C$10="ministrial",'Arear Table Unprotected)'!T19=2020,S19=3),ROUND(V19/31*1,0),""))))))))</f>
        <v/>
      </c>
      <c r="AR19" s="107" t="str">
        <f t="array" ref="AR19">IF(OR(O19=0,O19=""),"",IF(AND('Basic Data Entry'!$C$10="state Service",'Arear Table Unprotected)'!T19=2020,S19=3),ROUND(AA19/31*5,0),IF(AND('Basic Data Entry'!$C$10="state Service",'Arear Table Unprotected)'!T19=2020,S19=9),ROUND(AE19/30*2,0),IF(AND('Basic Data Entry'!$C$10="state Service",'Arear Table Unprotected)'!T19=2020,S19=10),ROUND(AE19/31*2,0),IF(AND('Basic Data Entry'!$C$10="subordinate",'Arear Table Unprotected)'!T19=2020,S19=3),ROUND(AA19/31*3,0),IF(AND('Basic Data Entry'!$C$10="subordinate",'Arear Table Unprotected)'!T19=2020,S19=9),ROUND(AE19/30*1,0),IF(AND('Basic Data Entry'!$C$10="subordinate",'Arear Table Unprotected)'!T19=2020,S19=10),ROUND(AE19/31*1,0),IF(AND('Basic Data Entry'!$C$10="ministrial",'Arear Table Unprotected)'!T19=2020,S19=3),ROUND(AA19/31*1,0),""))))))))</f>
        <v/>
      </c>
      <c r="AS19" s="138" t="str">
        <f t="array" ref="AS19">IF(OR(O19=0,O19="",AQ19="",AR19=""),"",AQ19-AR19)</f>
        <v/>
      </c>
      <c r="AT19" s="44">
        <f t="array" ref="AT19">IF(OR(O18=0,O18=""),"",AT18)</f>
        <v>0</v>
      </c>
      <c r="AU19" s="45">
        <f t="array" ref="AU19">IF(OR(O18=0,O18=""),"",AU18)</f>
        <v>0</v>
      </c>
      <c r="AV19" s="139">
        <f t="array" ref="AV19">IF(OR(O19=0,O19=""),"",SUM(AT19-AU19))</f>
        <v>0</v>
      </c>
      <c r="AW19" s="36">
        <f t="array" ref="AW19">IF(OR(O19=0,O19=""),"",ROUND((AJ19)*$E$3,0))</f>
        <v>600</v>
      </c>
      <c r="AX19" s="36">
        <f t="array" ref="AX19">IF(OR(O19=0,O19=""),"",SUM(AM19,AP19,AS19,AV19,AW19))</f>
        <v>2855</v>
      </c>
      <c r="AY19" s="140">
        <f t="array" ref="AY19">IF(OR(O19=0,O19=""),"",AJ19-AX19)</f>
        <v>3145</v>
      </c>
      <c r="AZ19" s="46"/>
      <c r="BA19" s="24"/>
      <c r="BB19" s="24"/>
      <c r="BC19" s="11">
        <f t="shared" si="11"/>
        <v>43652</v>
      </c>
      <c r="BD19" s="84">
        <f t="shared" si="12"/>
        <v>7</v>
      </c>
      <c r="BE19" s="84">
        <f t="shared" si="18"/>
        <v>45100</v>
      </c>
      <c r="BI19" s="22">
        <f t="shared" si="19"/>
        <v>43652</v>
      </c>
      <c r="BK19" s="19">
        <f t="shared" si="13"/>
        <v>1</v>
      </c>
      <c r="BL19" s="20" t="str">
        <f t="array" ref="BL19">IF(OR(O19=0,O19=""),"",U19)</f>
        <v>72019</v>
      </c>
      <c r="BM19" s="19">
        <f t="array" ref="BM19">IF(OR(O19=0,O19=""),"",BK19+BL19)</f>
        <v>72020</v>
      </c>
      <c r="BN19" s="21">
        <f t="shared" si="14"/>
        <v>0</v>
      </c>
      <c r="BO19" s="21">
        <f t="shared" si="15"/>
        <v>0</v>
      </c>
      <c r="BP19" s="23">
        <f t="shared" si="16"/>
        <v>0</v>
      </c>
      <c r="BQ19" s="21" t="str">
        <f t="shared" si="17"/>
        <v>00</v>
      </c>
      <c r="BW19" s="81" t="str">
        <f>IF(OR(O19=0,O19=""),"",IF('Basic Data Entry'!$C$9="fixation","yes",""))</f>
        <v/>
      </c>
      <c r="BX19" s="81" t="str">
        <f>IF(OR(O19=0,O19=""),"",IF('Basic Data Entry'!$G$12="yes","yes","no"))</f>
        <v>no</v>
      </c>
    </row>
    <row r="20" spans="1:76" ht="18.75" customHeight="1" thickBot="1">
      <c r="A20" s="10">
        <f t="shared" si="6"/>
        <v>45100</v>
      </c>
      <c r="B20" s="305"/>
      <c r="C20" s="305"/>
      <c r="D20" s="305"/>
      <c r="E20" s="305"/>
      <c r="F20" s="108">
        <f t="shared" si="1"/>
        <v>43683</v>
      </c>
      <c r="G20" s="227">
        <f t="shared" si="2"/>
        <v>0.17</v>
      </c>
      <c r="H20" s="228">
        <f t="shared" si="3"/>
        <v>0.17</v>
      </c>
      <c r="I20" s="228">
        <f>IF(OR($E$2="fixation",O20="",O20=0),"",IF(AND('Basic Data Entry'!$G$11="Z-Rural",'Arear Table Unprotected)'!T20&lt;2021),0.08,IF(AND('Basic Data Entry'!$G$11="Y-Urban",'Arear Table Unprotected)'!T20&lt;2021),0.16,IF(AND('Basic Data Entry'!$G$11="Z-Rural",'Arear Table Unprotected)'!T20=2021,S20&gt;=7),0.09,IF(AND('Basic Data Entry'!$G$11="Y-Urban",'Arear Table Unprotected)'!T20=2021,'Arear Table Unprotected)'!S20&gt;=7),0.18,IF(AND('Basic Data Entry'!$G$11="Z-Rural",'Arear Table Unprotected)'!T20=2021,S20&lt;7),0.08,IF(AND('Basic Data Entry'!$G$11="Y-Urban",'Arear Table Unprotected)'!T20=2021,'Arear Table Unprotected)'!S20&lt;7),0.16,IF(AND('Basic Data Entry'!$G$11="Z-Rural",'Arear Table Unprotected)'!T20=2022),0.09,IF(AND('Basic Data Entry'!$G$11="Y-Urban",'Arear Table Unprotected)'!T20=2022),0.18,IF(AND('Basic Data Entry'!$G$11="Z-Rural",'Arear Table Unprotected)'!T20=2023),0.09,IF(AND('Basic Data Entry'!$G$11="Y-Urban",'Arear Table Unprotected)'!T20=2023),0.18,"")))))))))))</f>
        <v>0.08</v>
      </c>
      <c r="J20" s="229">
        <f>IF(OR(O20="",O20=0),"",IF(AND('Basic Data Entry'!$G$11="Z-Rural",'Arear Table Unprotected)'!T20&lt;2021),0.08,IF(AND('Basic Data Entry'!$G$11="Y-Urban",'Arear Table Unprotected)'!T20&lt;2021),0.16,IF(AND('Basic Data Entry'!$G$11="Z-Rural",'Arear Table Unprotected)'!T20=2021,S20&gt;=7),0.09,IF(AND('Basic Data Entry'!$G$11="Y-Urban",'Arear Table Unprotected)'!T20=2021,'Arear Table Unprotected)'!S20&gt;=7),0.18,IF(AND('Basic Data Entry'!$G$11="Z-Rural",'Arear Table Unprotected)'!T20=2021,S20&lt;7),0.08,IF(AND('Basic Data Entry'!$G$11="Y-Urban",'Arear Table Unprotected)'!T20=2021,'Arear Table Unprotected)'!S20&lt;7),0.16,IF(AND('Basic Data Entry'!$G$11="Z-Rural",'Arear Table Unprotected)'!T20=2022),0.09,IF(AND('Basic Data Entry'!$G$11="Y-Urban",'Arear Table Unprotected)'!T20=2022),0.18,IF(AND('Basic Data Entry'!$G$11="Z-Rural",'Arear Table Unprotected)'!T20=2023),0.09,IF(AND('Basic Data Entry'!$G$11="Y-Urban",'Arear Table Unprotected)'!T20=2023),0.18,"")))))))))))</f>
        <v>0.08</v>
      </c>
      <c r="K20" s="230" t="str">
        <f t="shared" si="4"/>
        <v>YES</v>
      </c>
      <c r="L20" s="231">
        <f t="shared" si="5"/>
        <v>0.05</v>
      </c>
      <c r="M20" s="232">
        <f t="shared" si="7"/>
        <v>2255</v>
      </c>
      <c r="N20" s="196">
        <v>8</v>
      </c>
      <c r="O20" s="327">
        <f t="shared" si="8"/>
        <v>43683</v>
      </c>
      <c r="P20" s="328"/>
      <c r="Q20" s="328"/>
      <c r="R20" s="329"/>
      <c r="S20" s="161">
        <f t="array" ref="S20">IF(OR(O20=0,O20=""),"",MONTH(O20))</f>
        <v>8</v>
      </c>
      <c r="T20" s="161">
        <f t="array" ref="T20">IF(OR(O20=0,O20=""),"",YEAR(O20))</f>
        <v>2019</v>
      </c>
      <c r="U20" s="161" t="str">
        <f t="shared" si="9"/>
        <v>82019</v>
      </c>
      <c r="V20" s="6">
        <f t="array" ref="V20">IF(OR(O20=0,O20=""),"",BE20)</f>
        <v>45100</v>
      </c>
      <c r="W20" s="18">
        <f t="array" ref="W20">IF(OR(O20=0,O20=""),"",ROUND(V20*H20,0))</f>
        <v>7667</v>
      </c>
      <c r="X20" s="18">
        <f t="shared" si="10"/>
        <v>0</v>
      </c>
      <c r="Y20" s="18">
        <f t="array" ref="Y20">IF(OR(O20=0,O20=""),"",ROUND(V20*J20,0))</f>
        <v>3608</v>
      </c>
      <c r="Z20" s="135">
        <f t="array" ref="Z20">IF(OR(O20=0,O20=""),"",SUM(V20:Y20))</f>
        <v>56375</v>
      </c>
      <c r="AA20" s="1">
        <f t="array" ref="AA20">IF(OR(O20=0,O20=""),"",IF(V20=0,0,IF($E$2="FIXATION",$B$5,IF(V20=0,0,IF(BD20=7,ROUND(AA19*1.03,-2),AA19)))))</f>
        <v>40300</v>
      </c>
      <c r="AB20" s="2">
        <f t="array" ref="AB20">IF(OR(O20=0,O20=""),"",IF($E$2="fixation",0,ROUND(AA20*G20,0)))</f>
        <v>6851</v>
      </c>
      <c r="AC20" s="18">
        <f t="array" ref="AC20">IF(OR(O20=0,O20=""),"",AC19)</f>
        <v>0</v>
      </c>
      <c r="AD20" s="2">
        <f t="array" ref="AD20">IF(OR(O20=0,O20=""),"",IF($E$2="fixation",0,ROUND(AA20*I20,0)))</f>
        <v>3224</v>
      </c>
      <c r="AE20" s="135">
        <f t="array" ref="AE20">IF(OR(O20=0,O20=""),"",SUM(AA20:AD20))</f>
        <v>50375</v>
      </c>
      <c r="AF20" s="1">
        <f t="array" ref="AF20">IF(OR(O20=0,O20=""),"",V20-AA20)</f>
        <v>4800</v>
      </c>
      <c r="AG20" s="2">
        <f t="array" ref="AG20">IF(OR(O20=0,O20=""),"",W20-AB20)</f>
        <v>816</v>
      </c>
      <c r="AH20" s="2">
        <f t="array" ref="AH20">IF(OR(O20=0,O20=""),"",X20-AC20)</f>
        <v>0</v>
      </c>
      <c r="AI20" s="2">
        <f t="array" ref="AI20">IF(OR(O20=0,O20=""),"",Y20-AD20)</f>
        <v>384</v>
      </c>
      <c r="AJ20" s="136">
        <f t="array" ref="AJ20">IF(OR(O20=0,O20=""),"",Z20-AE20)</f>
        <v>6000</v>
      </c>
      <c r="AK20" s="4">
        <f t="array" ref="AK20">IF(OR(O20=0,O20=""),"",IF(M20="",$AZ$2,$AZ$2+M20))</f>
        <v>6755</v>
      </c>
      <c r="AL20" s="3">
        <f t="array" ref="AL20">IF(OR(O20=0,O20=""),"",$AQ$2)</f>
        <v>4500</v>
      </c>
      <c r="AM20" s="137">
        <f t="array" ref="AM20">IF(OR(O20=0,O20=""),"",AK20-AL20)</f>
        <v>2255</v>
      </c>
      <c r="AN20" s="3">
        <f t="array" ref="AN20">IF(OR(O19=0,O19="",AN19="",AN19=""),"",AN19)</f>
        <v>3000</v>
      </c>
      <c r="AO20" s="2">
        <f t="array" ref="AO20">IF(OR(O19=0,O19="",AO19="",AO19=""),"",AO19)</f>
        <v>3000</v>
      </c>
      <c r="AP20" s="137">
        <f t="array" ref="AP20">IF(OR(O20=0,O20=""),"",SUM(AN20-AO20))</f>
        <v>0</v>
      </c>
      <c r="AQ20" s="106" t="str">
        <f t="array" ref="AQ20">IF(OR(O20=0,O20=""),"",IF(AND('Basic Data Entry'!$C$10="state Service",'Arear Table Unprotected)'!T20=2020,S20=3),ROUND(V20/31*5,0),IF(AND('Basic Data Entry'!$C$10="state Service",'Arear Table Unprotected)'!T20=2020,S20=9),ROUND(Z20/30*2,0),IF(AND('Basic Data Entry'!$C$10="state Service",'Arear Table Unprotected)'!T20=2020,S20=10),ROUND(Z20/31*2,0),IF(AND('Basic Data Entry'!$C$10="subordinate",'Arear Table Unprotected)'!T20=2020,S20=3),ROUND(V20/31*3,0),IF(AND('Basic Data Entry'!$C$10="subordinate",'Arear Table Unprotected)'!T20=2020,S20=9),ROUND(Z20/30*1,0),IF(AND('Basic Data Entry'!$C$10="subordinate",'Arear Table Unprotected)'!T20=2020,S20=10),ROUND(Z20/31*1,0),IF(AND('Basic Data Entry'!$C$10="ministrial",'Arear Table Unprotected)'!T20=2020,S20=3),ROUND(V20/31*1,0),""))))))))</f>
        <v/>
      </c>
      <c r="AR20" s="107" t="str">
        <f t="array" ref="AR20">IF(OR(O20=0,O20=""),"",IF(AND('Basic Data Entry'!$C$10="state Service",'Arear Table Unprotected)'!T20=2020,S20=3),ROUND(AA20/31*5,0),IF(AND('Basic Data Entry'!$C$10="state Service",'Arear Table Unprotected)'!T20=2020,S20=9),ROUND(AE20/30*2,0),IF(AND('Basic Data Entry'!$C$10="state Service",'Arear Table Unprotected)'!T20=2020,S20=10),ROUND(AE20/31*2,0),IF(AND('Basic Data Entry'!$C$10="subordinate",'Arear Table Unprotected)'!T20=2020,S20=3),ROUND(AA20/31*3,0),IF(AND('Basic Data Entry'!$C$10="subordinate",'Arear Table Unprotected)'!T20=2020,S20=9),ROUND(AE20/30*1,0),IF(AND('Basic Data Entry'!$C$10="subordinate",'Arear Table Unprotected)'!T20=2020,S20=10),ROUND(AE20/31*1,0),IF(AND('Basic Data Entry'!$C$10="ministrial",'Arear Table Unprotected)'!T20=2020,S20=3),ROUND(AA20/31*1,0),""))))))))</f>
        <v/>
      </c>
      <c r="AS20" s="138" t="str">
        <f t="array" ref="AS20">IF(OR(O20=0,O20="",AQ20="",AR20=""),"",AQ20-AR20)</f>
        <v/>
      </c>
      <c r="AT20" s="44">
        <f t="array" ref="AT20">IF(OR(O19=0,O19=""),"",AT19)</f>
        <v>0</v>
      </c>
      <c r="AU20" s="45">
        <f t="array" ref="AU20">IF(OR(O19=0,O19=""),"",AU19)</f>
        <v>0</v>
      </c>
      <c r="AV20" s="139">
        <f t="array" ref="AV20">IF(OR(O20=0,O20=""),"",SUM(AT20-AU20))</f>
        <v>0</v>
      </c>
      <c r="AW20" s="36">
        <f t="array" ref="AW20">IF(OR(O20=0,O20=""),"",ROUND((AJ20)*$E$3,0))</f>
        <v>600</v>
      </c>
      <c r="AX20" s="36">
        <f t="array" ref="AX20">IF(OR(O20=0,O20=""),"",SUM(AM20,AP20,AS20,AV20,AW20))</f>
        <v>2855</v>
      </c>
      <c r="AY20" s="140">
        <f t="array" ref="AY20">IF(OR(O20=0,O20=""),"",AJ20-AX20)</f>
        <v>3145</v>
      </c>
      <c r="AZ20" s="46"/>
      <c r="BA20" s="24"/>
      <c r="BB20" s="24"/>
      <c r="BC20" s="11">
        <f t="shared" si="11"/>
        <v>43683</v>
      </c>
      <c r="BD20" s="84">
        <f t="shared" si="12"/>
        <v>8</v>
      </c>
      <c r="BE20" s="84">
        <f t="shared" si="18"/>
        <v>45100</v>
      </c>
      <c r="BI20" s="22">
        <f t="shared" si="19"/>
        <v>43683</v>
      </c>
      <c r="BK20" s="19">
        <f t="shared" si="13"/>
        <v>1</v>
      </c>
      <c r="BL20" s="20" t="str">
        <f t="array" ref="BL20">IF(OR(O20=0,O20=""),"",U20)</f>
        <v>82019</v>
      </c>
      <c r="BM20" s="19">
        <f t="array" ref="BM20">IF(OR(O20=0,O20=""),"",BK20+BL20)</f>
        <v>82020</v>
      </c>
      <c r="BN20" s="21">
        <f t="shared" si="14"/>
        <v>0</v>
      </c>
      <c r="BO20" s="21">
        <f t="shared" si="15"/>
        <v>0</v>
      </c>
      <c r="BP20" s="23">
        <f t="shared" si="16"/>
        <v>0</v>
      </c>
      <c r="BQ20" s="21" t="str">
        <f t="shared" si="17"/>
        <v>00</v>
      </c>
      <c r="BW20" s="81" t="str">
        <f>IF(OR(O20=0,O20=""),"",IF('Basic Data Entry'!$C$9="fixation","yes",""))</f>
        <v/>
      </c>
      <c r="BX20" s="81" t="str">
        <f>IF(OR(O20=0,O20=""),"",IF('Basic Data Entry'!$G$12="yes","yes","no"))</f>
        <v>no</v>
      </c>
    </row>
    <row r="21" spans="1:76" ht="20.25" customHeight="1" thickBot="1">
      <c r="A21" s="10">
        <f t="shared" si="6"/>
        <v>45100</v>
      </c>
      <c r="B21" s="305"/>
      <c r="C21" s="305"/>
      <c r="D21" s="305"/>
      <c r="E21" s="305"/>
      <c r="F21" s="108">
        <f t="shared" si="1"/>
        <v>43714</v>
      </c>
      <c r="G21" s="227">
        <f t="shared" si="2"/>
        <v>0.17</v>
      </c>
      <c r="H21" s="228">
        <f t="shared" si="3"/>
        <v>0.17</v>
      </c>
      <c r="I21" s="228">
        <f>IF(OR($E$2="fixation",O21="",O21=0),"",IF(AND('Basic Data Entry'!$G$11="Z-Rural",'Arear Table Unprotected)'!T21&lt;2021),0.08,IF(AND('Basic Data Entry'!$G$11="Y-Urban",'Arear Table Unprotected)'!T21&lt;2021),0.16,IF(AND('Basic Data Entry'!$G$11="Z-Rural",'Arear Table Unprotected)'!T21=2021,S21&gt;=7),0.09,IF(AND('Basic Data Entry'!$G$11="Y-Urban",'Arear Table Unprotected)'!T21=2021,'Arear Table Unprotected)'!S21&gt;=7),0.18,IF(AND('Basic Data Entry'!$G$11="Z-Rural",'Arear Table Unprotected)'!T21=2021,S21&lt;7),0.08,IF(AND('Basic Data Entry'!$G$11="Y-Urban",'Arear Table Unprotected)'!T21=2021,'Arear Table Unprotected)'!S21&lt;7),0.16,IF(AND('Basic Data Entry'!$G$11="Z-Rural",'Arear Table Unprotected)'!T21=2022),0.09,IF(AND('Basic Data Entry'!$G$11="Y-Urban",'Arear Table Unprotected)'!T21=2022),0.18,IF(AND('Basic Data Entry'!$G$11="Z-Rural",'Arear Table Unprotected)'!T21=2023),0.09,IF(AND('Basic Data Entry'!$G$11="Y-Urban",'Arear Table Unprotected)'!T21=2023),0.18,"")))))))))))</f>
        <v>0.08</v>
      </c>
      <c r="J21" s="229">
        <f>IF(OR(O21="",O21=0),"",IF(AND('Basic Data Entry'!$G$11="Z-Rural",'Arear Table Unprotected)'!T21&lt;2021),0.08,IF(AND('Basic Data Entry'!$G$11="Y-Urban",'Arear Table Unprotected)'!T21&lt;2021),0.16,IF(AND('Basic Data Entry'!$G$11="Z-Rural",'Arear Table Unprotected)'!T21=2021,S21&gt;=7),0.09,IF(AND('Basic Data Entry'!$G$11="Y-Urban",'Arear Table Unprotected)'!T21=2021,'Arear Table Unprotected)'!S21&gt;=7),0.18,IF(AND('Basic Data Entry'!$G$11="Z-Rural",'Arear Table Unprotected)'!T21=2021,S21&lt;7),0.08,IF(AND('Basic Data Entry'!$G$11="Y-Urban",'Arear Table Unprotected)'!T21=2021,'Arear Table Unprotected)'!S21&lt;7),0.16,IF(AND('Basic Data Entry'!$G$11="Z-Rural",'Arear Table Unprotected)'!T21=2022),0.09,IF(AND('Basic Data Entry'!$G$11="Y-Urban",'Arear Table Unprotected)'!T21=2022),0.18,IF(AND('Basic Data Entry'!$G$11="Z-Rural",'Arear Table Unprotected)'!T21=2023),0.09,IF(AND('Basic Data Entry'!$G$11="Y-Urban",'Arear Table Unprotected)'!T21=2023),0.18,"")))))))))))</f>
        <v>0.08</v>
      </c>
      <c r="K21" s="230" t="str">
        <f t="shared" si="4"/>
        <v>YES</v>
      </c>
      <c r="L21" s="231">
        <f t="shared" si="5"/>
        <v>0.05</v>
      </c>
      <c r="M21" s="232">
        <f t="shared" si="7"/>
        <v>2255</v>
      </c>
      <c r="N21" s="196">
        <v>9</v>
      </c>
      <c r="O21" s="327">
        <f t="shared" si="8"/>
        <v>43714</v>
      </c>
      <c r="P21" s="328"/>
      <c r="Q21" s="328"/>
      <c r="R21" s="329"/>
      <c r="S21" s="161">
        <f t="array" ref="S21">IF(OR(O21=0,O21=""),"",MONTH(O21))</f>
        <v>9</v>
      </c>
      <c r="T21" s="161">
        <f t="array" ref="T21">IF(OR(O21=0,O21=""),"",YEAR(O21))</f>
        <v>2019</v>
      </c>
      <c r="U21" s="161" t="str">
        <f t="shared" si="9"/>
        <v>92019</v>
      </c>
      <c r="V21" s="6">
        <f t="array" ref="V21">IF(OR(O21=0,O21=""),"",BE21)</f>
        <v>45100</v>
      </c>
      <c r="W21" s="18">
        <f t="array" ref="W21">IF(OR(O21=0,O21=""),"",ROUND(V21*H21,0))</f>
        <v>7667</v>
      </c>
      <c r="X21" s="18">
        <f t="shared" si="10"/>
        <v>0</v>
      </c>
      <c r="Y21" s="18">
        <f t="array" ref="Y21">IF(OR(O21=0,O21=""),"",ROUND(V21*J21,0))</f>
        <v>3608</v>
      </c>
      <c r="Z21" s="135">
        <f t="array" ref="Z21">IF(OR(O21=0,O21=""),"",SUM(V21:Y21))</f>
        <v>56375</v>
      </c>
      <c r="AA21" s="1">
        <f t="array" ref="AA21">IF(OR(O21=0,O21=""),"",IF(V21=0,0,IF($E$2="FIXATION",$B$5,IF(V21=0,0,IF(BD21=7,ROUND(AA20*1.03,-2),AA20)))))</f>
        <v>40300</v>
      </c>
      <c r="AB21" s="2">
        <f t="array" ref="AB21">IF(OR(O21=0,O21=""),"",IF($E$2="fixation",0,ROUND(AA21*G21,0)))</f>
        <v>6851</v>
      </c>
      <c r="AC21" s="18">
        <f t="array" ref="AC21">IF(OR(O21=0,O21=""),"",AC20)</f>
        <v>0</v>
      </c>
      <c r="AD21" s="2">
        <f t="array" ref="AD21">IF(OR(O21=0,O21=""),"",IF($E$2="fixation",0,ROUND(AA21*I21,0)))</f>
        <v>3224</v>
      </c>
      <c r="AE21" s="135">
        <f t="array" ref="AE21">IF(OR(O21=0,O21=""),"",SUM(AA21:AD21))</f>
        <v>50375</v>
      </c>
      <c r="AF21" s="1">
        <f t="array" ref="AF21">IF(OR(O21=0,O21=""),"",V21-AA21)</f>
        <v>4800</v>
      </c>
      <c r="AG21" s="2">
        <f t="array" ref="AG21">IF(OR(O21=0,O21=""),"",W21-AB21)</f>
        <v>816</v>
      </c>
      <c r="AH21" s="2">
        <f t="array" ref="AH21">IF(OR(O21=0,O21=""),"",X21-AC21)</f>
        <v>0</v>
      </c>
      <c r="AI21" s="2">
        <f t="array" ref="AI21">IF(OR(O21=0,O21=""),"",Y21-AD21)</f>
        <v>384</v>
      </c>
      <c r="AJ21" s="136">
        <f t="array" ref="AJ21">IF(OR(O21=0,O21=""),"",Z21-AE21)</f>
        <v>6000</v>
      </c>
      <c r="AK21" s="4">
        <f t="array" ref="AK21">IF(OR(O21=0,O21=""),"",IF(M21="",$AZ$2,$AZ$2+M21))</f>
        <v>6755</v>
      </c>
      <c r="AL21" s="3">
        <f t="array" ref="AL21">IF(OR(O21=0,O21=""),"",$AQ$2)</f>
        <v>4500</v>
      </c>
      <c r="AM21" s="137">
        <f t="array" ref="AM21">IF(OR(O21=0,O21=""),"",AK21-AL21)</f>
        <v>2255</v>
      </c>
      <c r="AN21" s="3">
        <f t="array" ref="AN21">IF(OR(O20=0,O20="",AN20="",AN20=""),"",AN20)</f>
        <v>3000</v>
      </c>
      <c r="AO21" s="2">
        <f t="array" ref="AO21">IF(OR(O20=0,O20="",AO20="",AO20=""),"",AO20)</f>
        <v>3000</v>
      </c>
      <c r="AP21" s="137">
        <f t="array" ref="AP21">IF(OR(O21=0,O21=""),"",SUM(AN21-AO21))</f>
        <v>0</v>
      </c>
      <c r="AQ21" s="106" t="str">
        <f t="array" ref="AQ21">IF(OR(O21=0,O21=""),"",IF(AND('Basic Data Entry'!$C$10="state Service",'Arear Table Unprotected)'!T21=2020,S21=3),ROUND(V21/31*5,0),IF(AND('Basic Data Entry'!$C$10="state Service",'Arear Table Unprotected)'!T21=2020,S21=9),ROUND(Z21/30*2,0),IF(AND('Basic Data Entry'!$C$10="state Service",'Arear Table Unprotected)'!T21=2020,S21=10),ROUND(Z21/31*2,0),IF(AND('Basic Data Entry'!$C$10="subordinate",'Arear Table Unprotected)'!T21=2020,S21=3),ROUND(V21/31*3,0),IF(AND('Basic Data Entry'!$C$10="subordinate",'Arear Table Unprotected)'!T21=2020,S21=9),ROUND(Z21/30*1,0),IF(AND('Basic Data Entry'!$C$10="subordinate",'Arear Table Unprotected)'!T21=2020,S21=10),ROUND(Z21/31*1,0),IF(AND('Basic Data Entry'!$C$10="ministrial",'Arear Table Unprotected)'!T21=2020,S21=3),ROUND(V21/31*1,0),""))))))))</f>
        <v/>
      </c>
      <c r="AR21" s="107" t="str">
        <f t="array" ref="AR21">IF(OR(O21=0,O21=""),"",IF(AND('Basic Data Entry'!$C$10="state Service",'Arear Table Unprotected)'!T21=2020,S21=3),ROUND(AA21/31*5,0),IF(AND('Basic Data Entry'!$C$10="state Service",'Arear Table Unprotected)'!T21=2020,S21=9),ROUND(AE21/30*2,0),IF(AND('Basic Data Entry'!$C$10="state Service",'Arear Table Unprotected)'!T21=2020,S21=10),ROUND(AE21/31*2,0),IF(AND('Basic Data Entry'!$C$10="subordinate",'Arear Table Unprotected)'!T21=2020,S21=3),ROUND(AA21/31*3,0),IF(AND('Basic Data Entry'!$C$10="subordinate",'Arear Table Unprotected)'!T21=2020,S21=9),ROUND(AE21/30*1,0),IF(AND('Basic Data Entry'!$C$10="subordinate",'Arear Table Unprotected)'!T21=2020,S21=10),ROUND(AE21/31*1,0),IF(AND('Basic Data Entry'!$C$10="ministrial",'Arear Table Unprotected)'!T21=2020,S21=3),ROUND(AA21/31*1,0),""))))))))</f>
        <v/>
      </c>
      <c r="AS21" s="138" t="str">
        <f t="array" ref="AS21">IF(OR(O21=0,O21="",AQ21="",AR21=""),"",AQ21-AR21)</f>
        <v/>
      </c>
      <c r="AT21" s="44">
        <f t="array" ref="AT21">IF(OR(O20=0,O20=""),"",AT20)</f>
        <v>0</v>
      </c>
      <c r="AU21" s="45">
        <f t="array" ref="AU21">IF(OR(O20=0,O20=""),"",AU20)</f>
        <v>0</v>
      </c>
      <c r="AV21" s="139">
        <f t="array" ref="AV21">IF(OR(O21=0,O21=""),"",SUM(AT21-AU21))</f>
        <v>0</v>
      </c>
      <c r="AW21" s="36">
        <f t="array" ref="AW21">IF(OR(O21=0,O21=""),"",ROUND((AJ21)*$E$3,0))</f>
        <v>600</v>
      </c>
      <c r="AX21" s="36">
        <f t="array" ref="AX21">IF(OR(O21=0,O21=""),"",SUM(AM21,AP21,AS21,AV21,AW21))</f>
        <v>2855</v>
      </c>
      <c r="AY21" s="140">
        <f t="array" ref="AY21">IF(OR(O21=0,O21=""),"",AJ21-AX21)</f>
        <v>3145</v>
      </c>
      <c r="AZ21" s="46"/>
      <c r="BA21" s="24"/>
      <c r="BB21" s="24"/>
      <c r="BC21" s="11">
        <f t="shared" si="11"/>
        <v>43714</v>
      </c>
      <c r="BD21" s="84">
        <f t="shared" si="12"/>
        <v>9</v>
      </c>
      <c r="BE21" s="84">
        <f t="shared" si="18"/>
        <v>45100</v>
      </c>
      <c r="BI21" s="22">
        <f t="shared" si="19"/>
        <v>43714</v>
      </c>
      <c r="BK21" s="19">
        <f t="shared" si="13"/>
        <v>1</v>
      </c>
      <c r="BL21" s="20" t="str">
        <f t="array" ref="BL21">IF(OR(O21=0,O21=""),"",U21)</f>
        <v>92019</v>
      </c>
      <c r="BM21" s="19">
        <f t="array" ref="BM21">IF(OR(O21=0,O21=""),"",BK21+BL21)</f>
        <v>92020</v>
      </c>
      <c r="BN21" s="21">
        <f t="shared" si="14"/>
        <v>0</v>
      </c>
      <c r="BO21" s="21">
        <f t="shared" si="15"/>
        <v>0</v>
      </c>
      <c r="BP21" s="23">
        <f t="shared" si="16"/>
        <v>0</v>
      </c>
      <c r="BQ21" s="21" t="str">
        <f t="shared" si="17"/>
        <v>00</v>
      </c>
      <c r="BW21" s="81" t="str">
        <f>IF(OR(O21=0,O21=""),"",IF('Basic Data Entry'!$C$9="fixation","yes",""))</f>
        <v/>
      </c>
      <c r="BX21" s="81" t="str">
        <f>IF(OR(O21=0,O21=""),"",IF('Basic Data Entry'!$G$12="yes","yes","no"))</f>
        <v>no</v>
      </c>
    </row>
    <row r="22" spans="1:76" ht="18" customHeight="1" thickBot="1">
      <c r="A22" s="10">
        <f t="shared" si="6"/>
        <v>45100</v>
      </c>
      <c r="B22" s="305"/>
      <c r="C22" s="305"/>
      <c r="D22" s="305"/>
      <c r="E22" s="305"/>
      <c r="F22" s="108">
        <f t="shared" si="1"/>
        <v>43745</v>
      </c>
      <c r="G22" s="227">
        <f t="shared" si="2"/>
        <v>0.17</v>
      </c>
      <c r="H22" s="228">
        <f t="shared" si="3"/>
        <v>0.17</v>
      </c>
      <c r="I22" s="228">
        <f>IF(OR($E$2="fixation",O22="",O22=0),"",IF(AND('Basic Data Entry'!$G$11="Z-Rural",'Arear Table Unprotected)'!T22&lt;2021),0.08,IF(AND('Basic Data Entry'!$G$11="Y-Urban",'Arear Table Unprotected)'!T22&lt;2021),0.16,IF(AND('Basic Data Entry'!$G$11="Z-Rural",'Arear Table Unprotected)'!T22=2021,S22&gt;=7),0.09,IF(AND('Basic Data Entry'!$G$11="Y-Urban",'Arear Table Unprotected)'!T22=2021,'Arear Table Unprotected)'!S22&gt;=7),0.18,IF(AND('Basic Data Entry'!$G$11="Z-Rural",'Arear Table Unprotected)'!T22=2021,S22&lt;7),0.08,IF(AND('Basic Data Entry'!$G$11="Y-Urban",'Arear Table Unprotected)'!T22=2021,'Arear Table Unprotected)'!S22&lt;7),0.16,IF(AND('Basic Data Entry'!$G$11="Z-Rural",'Arear Table Unprotected)'!T22=2022),0.09,IF(AND('Basic Data Entry'!$G$11="Y-Urban",'Arear Table Unprotected)'!T22=2022),0.18,IF(AND('Basic Data Entry'!$G$11="Z-Rural",'Arear Table Unprotected)'!T22=2023),0.09,IF(AND('Basic Data Entry'!$G$11="Y-Urban",'Arear Table Unprotected)'!T22=2023),0.18,"")))))))))))</f>
        <v>0.08</v>
      </c>
      <c r="J22" s="229">
        <f>IF(OR(O22="",O22=0),"",IF(AND('Basic Data Entry'!$G$11="Z-Rural",'Arear Table Unprotected)'!T22&lt;2021),0.08,IF(AND('Basic Data Entry'!$G$11="Y-Urban",'Arear Table Unprotected)'!T22&lt;2021),0.16,IF(AND('Basic Data Entry'!$G$11="Z-Rural",'Arear Table Unprotected)'!T22=2021,S22&gt;=7),0.09,IF(AND('Basic Data Entry'!$G$11="Y-Urban",'Arear Table Unprotected)'!T22=2021,'Arear Table Unprotected)'!S22&gt;=7),0.18,IF(AND('Basic Data Entry'!$G$11="Z-Rural",'Arear Table Unprotected)'!T22=2021,S22&lt;7),0.08,IF(AND('Basic Data Entry'!$G$11="Y-Urban",'Arear Table Unprotected)'!T22=2021,'Arear Table Unprotected)'!S22&lt;7),0.16,IF(AND('Basic Data Entry'!$G$11="Z-Rural",'Arear Table Unprotected)'!T22=2022),0.09,IF(AND('Basic Data Entry'!$G$11="Y-Urban",'Arear Table Unprotected)'!T22=2022),0.18,IF(AND('Basic Data Entry'!$G$11="Z-Rural",'Arear Table Unprotected)'!T22=2023),0.09,IF(AND('Basic Data Entry'!$G$11="Y-Urban",'Arear Table Unprotected)'!T22=2023),0.18,"")))))))))))</f>
        <v>0.08</v>
      </c>
      <c r="K22" s="230" t="str">
        <f t="shared" si="4"/>
        <v>YES</v>
      </c>
      <c r="L22" s="231">
        <f t="shared" si="5"/>
        <v>0.05</v>
      </c>
      <c r="M22" s="232">
        <f t="shared" si="7"/>
        <v>2255</v>
      </c>
      <c r="N22" s="196">
        <v>10</v>
      </c>
      <c r="O22" s="327">
        <f t="shared" si="8"/>
        <v>43745</v>
      </c>
      <c r="P22" s="328"/>
      <c r="Q22" s="328"/>
      <c r="R22" s="329"/>
      <c r="S22" s="161">
        <f t="array" ref="S22">IF(OR(O22=0,O22=""),"",MONTH(O22))</f>
        <v>10</v>
      </c>
      <c r="T22" s="161">
        <f t="array" ref="T22">IF(OR(O22=0,O22=""),"",YEAR(O22))</f>
        <v>2019</v>
      </c>
      <c r="U22" s="161" t="str">
        <f t="shared" si="9"/>
        <v>102019</v>
      </c>
      <c r="V22" s="6">
        <f t="array" ref="V22">IF(OR(O22=0,O22=""),"",BE22)</f>
        <v>45100</v>
      </c>
      <c r="W22" s="18">
        <f t="array" ref="W22">IF(OR(O22=0,O22=""),"",ROUND(V22*H22,0))</f>
        <v>7667</v>
      </c>
      <c r="X22" s="18">
        <f t="shared" si="10"/>
        <v>0</v>
      </c>
      <c r="Y22" s="18">
        <f t="array" ref="Y22">IF(OR(O22=0,O22=""),"",ROUND(V22*J22,0))</f>
        <v>3608</v>
      </c>
      <c r="Z22" s="135">
        <f t="array" ref="Z22">IF(OR(O22=0,O22=""),"",SUM(V22:Y22))</f>
        <v>56375</v>
      </c>
      <c r="AA22" s="1">
        <f t="array" ref="AA22">IF(OR(O22=0,O22=""),"",IF(V22=0,0,IF($E$2="FIXATION",$B$5,IF(V22=0,0,IF(BD22=7,ROUND(AA21*1.03,-2),AA21)))))</f>
        <v>40300</v>
      </c>
      <c r="AB22" s="2">
        <f t="array" ref="AB22">IF(OR(O22=0,O22=""),"",IF($E$2="fixation",0,ROUND(AA22*G22,0)))</f>
        <v>6851</v>
      </c>
      <c r="AC22" s="18">
        <f t="array" ref="AC22">IF(OR(O22=0,O22=""),"",AC21)</f>
        <v>0</v>
      </c>
      <c r="AD22" s="2">
        <f t="array" ref="AD22">IF(OR(O22=0,O22=""),"",IF($E$2="fixation",0,ROUND(AA22*I22,0)))</f>
        <v>3224</v>
      </c>
      <c r="AE22" s="135">
        <f t="array" ref="AE22">IF(OR(O22=0,O22=""),"",SUM(AA22:AD22))</f>
        <v>50375</v>
      </c>
      <c r="AF22" s="1">
        <f t="array" ref="AF22">IF(OR(O22=0,O22=""),"",V22-AA22)</f>
        <v>4800</v>
      </c>
      <c r="AG22" s="2">
        <f t="array" ref="AG22">IF(OR(O22=0,O22=""),"",W22-AB22)</f>
        <v>816</v>
      </c>
      <c r="AH22" s="2">
        <f t="array" ref="AH22">IF(OR(O22=0,O22=""),"",X22-AC22)</f>
        <v>0</v>
      </c>
      <c r="AI22" s="2">
        <f t="array" ref="AI22">IF(OR(O22=0,O22=""),"",Y22-AD22)</f>
        <v>384</v>
      </c>
      <c r="AJ22" s="136">
        <f t="array" ref="AJ22">IF(OR(O22=0,O22=""),"",Z22-AE22)</f>
        <v>6000</v>
      </c>
      <c r="AK22" s="4">
        <f t="array" ref="AK22">IF(OR(O22=0,O22=""),"",IF(M22="",$AZ$2,$AZ$2+M22))</f>
        <v>6755</v>
      </c>
      <c r="AL22" s="3">
        <f t="array" ref="AL22">IF(OR(O22=0,O22=""),"",$AQ$2)</f>
        <v>4500</v>
      </c>
      <c r="AM22" s="137">
        <f t="array" ref="AM22">IF(OR(O22=0,O22=""),"",AK22-AL22)</f>
        <v>2255</v>
      </c>
      <c r="AN22" s="3">
        <f t="array" ref="AN22">IF(OR(O21=0,O21="",AN21="",AN21=""),"",AN21)</f>
        <v>3000</v>
      </c>
      <c r="AO22" s="2">
        <f t="array" ref="AO22">IF(OR(O21=0,O21="",AO21="",AO21=""),"",AO21)</f>
        <v>3000</v>
      </c>
      <c r="AP22" s="137">
        <f t="array" ref="AP22">IF(OR(O22=0,O22=""),"",SUM(AN22-AO22))</f>
        <v>0</v>
      </c>
      <c r="AQ22" s="106" t="str">
        <f t="array" ref="AQ22">IF(OR(O22=0,O22=""),"",IF(AND('Basic Data Entry'!$C$10="state Service",'Arear Table Unprotected)'!T22=2020,S22=3),ROUND(V22/31*5,0),IF(AND('Basic Data Entry'!$C$10="state Service",'Arear Table Unprotected)'!T22=2020,S22=9),ROUND(Z22/30*2,0),IF(AND('Basic Data Entry'!$C$10="state Service",'Arear Table Unprotected)'!T22=2020,S22=10),ROUND(Z22/31*2,0),IF(AND('Basic Data Entry'!$C$10="subordinate",'Arear Table Unprotected)'!T22=2020,S22=3),ROUND(V22/31*3,0),IF(AND('Basic Data Entry'!$C$10="subordinate",'Arear Table Unprotected)'!T22=2020,S22=9),ROUND(Z22/30*1,0),IF(AND('Basic Data Entry'!$C$10="subordinate",'Arear Table Unprotected)'!T22=2020,S22=10),ROUND(Z22/31*1,0),IF(AND('Basic Data Entry'!$C$10="ministrial",'Arear Table Unprotected)'!T22=2020,S22=3),ROUND(V22/31*1,0),""))))))))</f>
        <v/>
      </c>
      <c r="AR22" s="107" t="str">
        <f t="array" ref="AR22">IF(OR(O22=0,O22=""),"",IF(AND('Basic Data Entry'!$C$10="state Service",'Arear Table Unprotected)'!T22=2020,S22=3),ROUND(AA22/31*5,0),IF(AND('Basic Data Entry'!$C$10="state Service",'Arear Table Unprotected)'!T22=2020,S22=9),ROUND(AE22/30*2,0),IF(AND('Basic Data Entry'!$C$10="state Service",'Arear Table Unprotected)'!T22=2020,S22=10),ROUND(AE22/31*2,0),IF(AND('Basic Data Entry'!$C$10="subordinate",'Arear Table Unprotected)'!T22=2020,S22=3),ROUND(AA22/31*3,0),IF(AND('Basic Data Entry'!$C$10="subordinate",'Arear Table Unprotected)'!T22=2020,S22=9),ROUND(AE22/30*1,0),IF(AND('Basic Data Entry'!$C$10="subordinate",'Arear Table Unprotected)'!T22=2020,S22=10),ROUND(AE22/31*1,0),IF(AND('Basic Data Entry'!$C$10="ministrial",'Arear Table Unprotected)'!T22=2020,S22=3),ROUND(AA22/31*1,0),""))))))))</f>
        <v/>
      </c>
      <c r="AS22" s="138" t="str">
        <f t="array" ref="AS22">IF(OR(O22=0,O22="",AQ22="",AR22=""),"",AQ22-AR22)</f>
        <v/>
      </c>
      <c r="AT22" s="44">
        <f t="array" ref="AT22">IF(OR(O21=0,O21=""),"",AT21)</f>
        <v>0</v>
      </c>
      <c r="AU22" s="45">
        <f t="array" ref="AU22">IF(OR(O21=0,O21=""),"",AU21)</f>
        <v>0</v>
      </c>
      <c r="AV22" s="139">
        <f t="array" ref="AV22">IF(OR(O22=0,O22=""),"",SUM(AT22-AU22))</f>
        <v>0</v>
      </c>
      <c r="AW22" s="36">
        <f t="array" ref="AW22">IF(OR(O22=0,O22=""),"",ROUND((AJ22)*$E$3,0))</f>
        <v>600</v>
      </c>
      <c r="AX22" s="36">
        <f t="array" ref="AX22">IF(OR(O22=0,O22=""),"",SUM(AM22,AP22,AS22,AV22,AW22))</f>
        <v>2855</v>
      </c>
      <c r="AY22" s="140">
        <f t="array" ref="AY22">IF(OR(O22=0,O22=""),"",AJ22-AX22)</f>
        <v>3145</v>
      </c>
      <c r="AZ22" s="46"/>
      <c r="BA22" s="24"/>
      <c r="BB22" s="24"/>
      <c r="BC22" s="11">
        <f t="shared" si="11"/>
        <v>43745</v>
      </c>
      <c r="BD22" s="84">
        <f t="shared" si="12"/>
        <v>10</v>
      </c>
      <c r="BE22" s="84">
        <f t="shared" si="18"/>
        <v>45100</v>
      </c>
      <c r="BI22" s="22">
        <f t="shared" si="19"/>
        <v>43745</v>
      </c>
      <c r="BK22" s="19">
        <f t="shared" si="13"/>
        <v>1</v>
      </c>
      <c r="BL22" s="20" t="str">
        <f t="array" ref="BL22">IF(OR(O22=0,O22=""),"",U22)</f>
        <v>102019</v>
      </c>
      <c r="BM22" s="19">
        <f t="array" ref="BM22">IF(OR(O22=0,O22=""),"",BK22+BL22)</f>
        <v>102020</v>
      </c>
      <c r="BN22" s="21">
        <f t="shared" si="14"/>
        <v>0</v>
      </c>
      <c r="BO22" s="21">
        <f t="shared" si="15"/>
        <v>0</v>
      </c>
      <c r="BP22" s="23">
        <f t="shared" si="16"/>
        <v>0</v>
      </c>
      <c r="BQ22" s="21" t="str">
        <f t="shared" si="17"/>
        <v>00</v>
      </c>
      <c r="BW22" s="81" t="str">
        <f>IF(OR(O22=0,O22=""),"",IF('Basic Data Entry'!$C$9="fixation","yes",""))</f>
        <v/>
      </c>
      <c r="BX22" s="81" t="str">
        <f>IF(OR(O22=0,O22=""),"",IF('Basic Data Entry'!$G$12="yes","yes","no"))</f>
        <v>no</v>
      </c>
    </row>
    <row r="23" spans="1:76" ht="18" customHeight="1" thickBot="1">
      <c r="A23" s="10">
        <f t="shared" si="6"/>
        <v>45100</v>
      </c>
      <c r="B23" s="305"/>
      <c r="C23" s="305"/>
      <c r="D23" s="305"/>
      <c r="E23" s="305"/>
      <c r="F23" s="108">
        <f t="shared" si="1"/>
        <v>43776</v>
      </c>
      <c r="G23" s="227">
        <f t="shared" si="2"/>
        <v>0.17</v>
      </c>
      <c r="H23" s="228">
        <f t="shared" si="3"/>
        <v>0.17</v>
      </c>
      <c r="I23" s="228">
        <f>IF(OR($E$2="fixation",O23="",O23=0),"",IF(AND('Basic Data Entry'!$G$11="Z-Rural",'Arear Table Unprotected)'!T23&lt;2021),0.08,IF(AND('Basic Data Entry'!$G$11="Y-Urban",'Arear Table Unprotected)'!T23&lt;2021),0.16,IF(AND('Basic Data Entry'!$G$11="Z-Rural",'Arear Table Unprotected)'!T23=2021,S23&gt;=7),0.09,IF(AND('Basic Data Entry'!$G$11="Y-Urban",'Arear Table Unprotected)'!T23=2021,'Arear Table Unprotected)'!S23&gt;=7),0.18,IF(AND('Basic Data Entry'!$G$11="Z-Rural",'Arear Table Unprotected)'!T23=2021,S23&lt;7),0.08,IF(AND('Basic Data Entry'!$G$11="Y-Urban",'Arear Table Unprotected)'!T23=2021,'Arear Table Unprotected)'!S23&lt;7),0.16,IF(AND('Basic Data Entry'!$G$11="Z-Rural",'Arear Table Unprotected)'!T23=2022),0.09,IF(AND('Basic Data Entry'!$G$11="Y-Urban",'Arear Table Unprotected)'!T23=2022),0.18,IF(AND('Basic Data Entry'!$G$11="Z-Rural",'Arear Table Unprotected)'!T23=2023),0.09,IF(AND('Basic Data Entry'!$G$11="Y-Urban",'Arear Table Unprotected)'!T23=2023),0.18,"")))))))))))</f>
        <v>0.08</v>
      </c>
      <c r="J23" s="229">
        <f>IF(OR(O23="",O23=0),"",IF(AND('Basic Data Entry'!$G$11="Z-Rural",'Arear Table Unprotected)'!T23&lt;2021),0.08,IF(AND('Basic Data Entry'!$G$11="Y-Urban",'Arear Table Unprotected)'!T23&lt;2021),0.16,IF(AND('Basic Data Entry'!$G$11="Z-Rural",'Arear Table Unprotected)'!T23=2021,S23&gt;=7),0.09,IF(AND('Basic Data Entry'!$G$11="Y-Urban",'Arear Table Unprotected)'!T23=2021,'Arear Table Unprotected)'!S23&gt;=7),0.18,IF(AND('Basic Data Entry'!$G$11="Z-Rural",'Arear Table Unprotected)'!T23=2021,S23&lt;7),0.08,IF(AND('Basic Data Entry'!$G$11="Y-Urban",'Arear Table Unprotected)'!T23=2021,'Arear Table Unprotected)'!S23&lt;7),0.16,IF(AND('Basic Data Entry'!$G$11="Z-Rural",'Arear Table Unprotected)'!T23=2022),0.09,IF(AND('Basic Data Entry'!$G$11="Y-Urban",'Arear Table Unprotected)'!T23=2022),0.18,IF(AND('Basic Data Entry'!$G$11="Z-Rural",'Arear Table Unprotected)'!T23=2023),0.09,IF(AND('Basic Data Entry'!$G$11="Y-Urban",'Arear Table Unprotected)'!T23=2023),0.18,"")))))))))))</f>
        <v>0.08</v>
      </c>
      <c r="K23" s="230" t="str">
        <f t="shared" si="4"/>
        <v>YES</v>
      </c>
      <c r="L23" s="231">
        <f t="shared" si="5"/>
        <v>0.05</v>
      </c>
      <c r="M23" s="232">
        <f t="shared" si="7"/>
        <v>2255</v>
      </c>
      <c r="N23" s="196">
        <v>11</v>
      </c>
      <c r="O23" s="327">
        <f t="shared" si="8"/>
        <v>43776</v>
      </c>
      <c r="P23" s="328"/>
      <c r="Q23" s="328"/>
      <c r="R23" s="329"/>
      <c r="S23" s="161">
        <f t="array" ref="S23">IF(OR(O23=0,O23=""),"",MONTH(O23))</f>
        <v>11</v>
      </c>
      <c r="T23" s="161">
        <f t="array" ref="T23">IF(OR(O23=0,O23=""),"",YEAR(O23))</f>
        <v>2019</v>
      </c>
      <c r="U23" s="161" t="str">
        <f t="shared" si="9"/>
        <v>112019</v>
      </c>
      <c r="V23" s="6">
        <f t="array" ref="V23">IF(OR(O23=0,O23=""),"",BE23)</f>
        <v>45100</v>
      </c>
      <c r="W23" s="18">
        <f t="array" ref="W23">IF(OR(O23=0,O23=""),"",ROUND(V23*H23,0))</f>
        <v>7667</v>
      </c>
      <c r="X23" s="18">
        <f t="shared" si="10"/>
        <v>0</v>
      </c>
      <c r="Y23" s="18">
        <f t="array" ref="Y23">IF(OR(O23=0,O23=""),"",ROUND(V23*J23,0))</f>
        <v>3608</v>
      </c>
      <c r="Z23" s="135">
        <f t="array" ref="Z23">IF(OR(O23=0,O23=""),"",SUM(V23:Y23))</f>
        <v>56375</v>
      </c>
      <c r="AA23" s="1">
        <f t="array" ref="AA23">IF(OR(O23=0,O23=""),"",IF(V23=0,0,IF($E$2="FIXATION",$B$5,IF(V23=0,0,IF(BD23=7,ROUND(AA22*1.03,-2),AA22)))))</f>
        <v>40300</v>
      </c>
      <c r="AB23" s="2">
        <f t="array" ref="AB23">IF(OR(O23=0,O23=""),"",IF($E$2="fixation",0,ROUND(AA23*G23,0)))</f>
        <v>6851</v>
      </c>
      <c r="AC23" s="18">
        <f t="array" ref="AC23">IF(OR(O23=0,O23=""),"",AC22)</f>
        <v>0</v>
      </c>
      <c r="AD23" s="2">
        <f t="array" ref="AD23">IF(OR(O23=0,O23=""),"",IF($E$2="fixation",0,ROUND(AA23*I23,0)))</f>
        <v>3224</v>
      </c>
      <c r="AE23" s="135">
        <f t="array" ref="AE23">IF(OR(O23=0,O23=""),"",SUM(AA23:AD23))</f>
        <v>50375</v>
      </c>
      <c r="AF23" s="1">
        <f t="array" ref="AF23">IF(OR(O23=0,O23=""),"",V23-AA23)</f>
        <v>4800</v>
      </c>
      <c r="AG23" s="2">
        <f t="array" ref="AG23">IF(OR(O23=0,O23=""),"",W23-AB23)</f>
        <v>816</v>
      </c>
      <c r="AH23" s="2">
        <f t="array" ref="AH23">IF(OR(O23=0,O23=""),"",X23-AC23)</f>
        <v>0</v>
      </c>
      <c r="AI23" s="2">
        <f t="array" ref="AI23">IF(OR(O23=0,O23=""),"",Y23-AD23)</f>
        <v>384</v>
      </c>
      <c r="AJ23" s="136">
        <f t="array" ref="AJ23">IF(OR(O23=0,O23=""),"",Z23-AE23)</f>
        <v>6000</v>
      </c>
      <c r="AK23" s="4">
        <f t="array" ref="AK23">IF(OR(O23=0,O23=""),"",IF(M23="",$AZ$2,$AZ$2+M23))</f>
        <v>6755</v>
      </c>
      <c r="AL23" s="3">
        <f t="array" ref="AL23">IF(OR(O23=0,O23=""),"",$AQ$2)</f>
        <v>4500</v>
      </c>
      <c r="AM23" s="137">
        <f t="array" ref="AM23">IF(OR(O23=0,O23=""),"",AK23-AL23)</f>
        <v>2255</v>
      </c>
      <c r="AN23" s="3">
        <f t="array" ref="AN23">IF(OR(O22=0,O22="",AN22="",AN22=""),"",AN22)</f>
        <v>3000</v>
      </c>
      <c r="AO23" s="2">
        <f t="array" ref="AO23">IF(OR(O22=0,O22="",AO22="",AO22=""),"",AO22)</f>
        <v>3000</v>
      </c>
      <c r="AP23" s="137">
        <f t="array" ref="AP23">IF(OR(O23=0,O23=""),"",SUM(AN23-AO23))</f>
        <v>0</v>
      </c>
      <c r="AQ23" s="106" t="str">
        <f t="array" ref="AQ23">IF(OR(O23=0,O23=""),"",IF(AND('Basic Data Entry'!$C$10="state Service",'Arear Table Unprotected)'!T23=2020,S23=3),ROUND(V23/31*5,0),IF(AND('Basic Data Entry'!$C$10="state Service",'Arear Table Unprotected)'!T23=2020,S23=9),ROUND(Z23/30*2,0),IF(AND('Basic Data Entry'!$C$10="state Service",'Arear Table Unprotected)'!T23=2020,S23=10),ROUND(Z23/31*2,0),IF(AND('Basic Data Entry'!$C$10="subordinate",'Arear Table Unprotected)'!T23=2020,S23=3),ROUND(V23/31*3,0),IF(AND('Basic Data Entry'!$C$10="subordinate",'Arear Table Unprotected)'!T23=2020,S23=9),ROUND(Z23/30*1,0),IF(AND('Basic Data Entry'!$C$10="subordinate",'Arear Table Unprotected)'!T23=2020,S23=10),ROUND(Z23/31*1,0),IF(AND('Basic Data Entry'!$C$10="ministrial",'Arear Table Unprotected)'!T23=2020,S23=3),ROUND(V23/31*1,0),""))))))))</f>
        <v/>
      </c>
      <c r="AR23" s="107" t="str">
        <f t="array" ref="AR23">IF(OR(O23=0,O23=""),"",IF(AND('Basic Data Entry'!$C$10="state Service",'Arear Table Unprotected)'!T23=2020,S23=3),ROUND(AA23/31*5,0),IF(AND('Basic Data Entry'!$C$10="state Service",'Arear Table Unprotected)'!T23=2020,S23=9),ROUND(AE23/30*2,0),IF(AND('Basic Data Entry'!$C$10="state Service",'Arear Table Unprotected)'!T23=2020,S23=10),ROUND(AE23/31*2,0),IF(AND('Basic Data Entry'!$C$10="subordinate",'Arear Table Unprotected)'!T23=2020,S23=3),ROUND(AA23/31*3,0),IF(AND('Basic Data Entry'!$C$10="subordinate",'Arear Table Unprotected)'!T23=2020,S23=9),ROUND(AE23/30*1,0),IF(AND('Basic Data Entry'!$C$10="subordinate",'Arear Table Unprotected)'!T23=2020,S23=10),ROUND(AE23/31*1,0),IF(AND('Basic Data Entry'!$C$10="ministrial",'Arear Table Unprotected)'!T23=2020,S23=3),ROUND(AA23/31*1,0),""))))))))</f>
        <v/>
      </c>
      <c r="AS23" s="138" t="str">
        <f t="array" ref="AS23">IF(OR(O23=0,O23="",AQ23="",AR23=""),"",AQ23-AR23)</f>
        <v/>
      </c>
      <c r="AT23" s="44">
        <f t="array" ref="AT23">IF(OR(O22=0,O22=""),"",AT22)</f>
        <v>0</v>
      </c>
      <c r="AU23" s="45">
        <f t="array" ref="AU23">IF(OR(O22=0,O22=""),"",AU22)</f>
        <v>0</v>
      </c>
      <c r="AV23" s="139">
        <f t="array" ref="AV23">IF(OR(O23=0,O23=""),"",SUM(AT23-AU23))</f>
        <v>0</v>
      </c>
      <c r="AW23" s="36">
        <f t="array" ref="AW23">IF(OR(O23=0,O23=""),"",ROUND((AJ23)*$E$3,0))</f>
        <v>600</v>
      </c>
      <c r="AX23" s="36">
        <f t="array" ref="AX23">IF(OR(O23=0,O23=""),"",SUM(AM23,AP23,AS23,AV23,AW23))</f>
        <v>2855</v>
      </c>
      <c r="AY23" s="140">
        <f t="array" ref="AY23">IF(OR(O23=0,O23=""),"",AJ23-AX23)</f>
        <v>3145</v>
      </c>
      <c r="AZ23" s="46"/>
      <c r="BA23" s="24"/>
      <c r="BB23" s="24"/>
      <c r="BC23" s="11">
        <f t="shared" si="11"/>
        <v>43776</v>
      </c>
      <c r="BD23" s="84">
        <f t="shared" si="12"/>
        <v>11</v>
      </c>
      <c r="BE23" s="84">
        <f t="shared" si="18"/>
        <v>45100</v>
      </c>
      <c r="BI23" s="22">
        <f t="shared" si="19"/>
        <v>43776</v>
      </c>
      <c r="BK23" s="19">
        <f t="shared" si="13"/>
        <v>1</v>
      </c>
      <c r="BL23" s="20" t="str">
        <f t="array" ref="BL23">IF(OR(O23=0,O23=""),"",U23)</f>
        <v>112019</v>
      </c>
      <c r="BM23" s="19">
        <f t="array" ref="BM23">IF(OR(O23=0,O23=""),"",BK23+BL23)</f>
        <v>112020</v>
      </c>
      <c r="BN23" s="21">
        <f t="shared" si="14"/>
        <v>0</v>
      </c>
      <c r="BO23" s="21">
        <f t="shared" si="15"/>
        <v>0</v>
      </c>
      <c r="BP23" s="23">
        <f t="shared" si="16"/>
        <v>0</v>
      </c>
      <c r="BQ23" s="21" t="str">
        <f t="shared" si="17"/>
        <v>00</v>
      </c>
      <c r="BW23" s="81" t="str">
        <f>IF(OR(O23=0,O23=""),"",IF('Basic Data Entry'!$C$9="fixation","yes",""))</f>
        <v/>
      </c>
      <c r="BX23" s="81" t="str">
        <f>IF(OR(O23=0,O23=""),"",IF('Basic Data Entry'!$G$12="yes","yes","no"))</f>
        <v>no</v>
      </c>
    </row>
    <row r="24" spans="1:76" ht="18" customHeight="1" thickBot="1">
      <c r="A24" s="10">
        <f t="shared" si="6"/>
        <v>45100</v>
      </c>
      <c r="B24" s="305"/>
      <c r="C24" s="305"/>
      <c r="D24" s="305"/>
      <c r="E24" s="305"/>
      <c r="F24" s="108">
        <f t="shared" si="1"/>
        <v>43807</v>
      </c>
      <c r="G24" s="227">
        <f t="shared" si="2"/>
        <v>0.17</v>
      </c>
      <c r="H24" s="228">
        <f t="shared" si="3"/>
        <v>0.17</v>
      </c>
      <c r="I24" s="228">
        <f>IF(OR($E$2="fixation",O24="",O24=0),"",IF(AND('Basic Data Entry'!$G$11="Z-Rural",'Arear Table Unprotected)'!T24&lt;2021),0.08,IF(AND('Basic Data Entry'!$G$11="Y-Urban",'Arear Table Unprotected)'!T24&lt;2021),0.16,IF(AND('Basic Data Entry'!$G$11="Z-Rural",'Arear Table Unprotected)'!T24=2021,S24&gt;=7),0.09,IF(AND('Basic Data Entry'!$G$11="Y-Urban",'Arear Table Unprotected)'!T24=2021,'Arear Table Unprotected)'!S24&gt;=7),0.18,IF(AND('Basic Data Entry'!$G$11="Z-Rural",'Arear Table Unprotected)'!T24=2021,S24&lt;7),0.08,IF(AND('Basic Data Entry'!$G$11="Y-Urban",'Arear Table Unprotected)'!T24=2021,'Arear Table Unprotected)'!S24&lt;7),0.16,IF(AND('Basic Data Entry'!$G$11="Z-Rural",'Arear Table Unprotected)'!T24=2022),0.09,IF(AND('Basic Data Entry'!$G$11="Y-Urban",'Arear Table Unprotected)'!T24=2022),0.18,IF(AND('Basic Data Entry'!$G$11="Z-Rural",'Arear Table Unprotected)'!T24=2023),0.09,IF(AND('Basic Data Entry'!$G$11="Y-Urban",'Arear Table Unprotected)'!T24=2023),0.18,"")))))))))))</f>
        <v>0.08</v>
      </c>
      <c r="J24" s="229">
        <f>IF(OR(O24="",O24=0),"",IF(AND('Basic Data Entry'!$G$11="Z-Rural",'Arear Table Unprotected)'!T24&lt;2021),0.08,IF(AND('Basic Data Entry'!$G$11="Y-Urban",'Arear Table Unprotected)'!T24&lt;2021),0.16,IF(AND('Basic Data Entry'!$G$11="Z-Rural",'Arear Table Unprotected)'!T24=2021,S24&gt;=7),0.09,IF(AND('Basic Data Entry'!$G$11="Y-Urban",'Arear Table Unprotected)'!T24=2021,'Arear Table Unprotected)'!S24&gt;=7),0.18,IF(AND('Basic Data Entry'!$G$11="Z-Rural",'Arear Table Unprotected)'!T24=2021,S24&lt;7),0.08,IF(AND('Basic Data Entry'!$G$11="Y-Urban",'Arear Table Unprotected)'!T24=2021,'Arear Table Unprotected)'!S24&lt;7),0.16,IF(AND('Basic Data Entry'!$G$11="Z-Rural",'Arear Table Unprotected)'!T24=2022),0.09,IF(AND('Basic Data Entry'!$G$11="Y-Urban",'Arear Table Unprotected)'!T24=2022),0.18,IF(AND('Basic Data Entry'!$G$11="Z-Rural",'Arear Table Unprotected)'!T24=2023),0.09,IF(AND('Basic Data Entry'!$G$11="Y-Urban",'Arear Table Unprotected)'!T24=2023),0.18,"")))))))))))</f>
        <v>0.08</v>
      </c>
      <c r="K24" s="230" t="str">
        <f t="shared" si="4"/>
        <v>YES</v>
      </c>
      <c r="L24" s="231">
        <f t="shared" si="5"/>
        <v>0.05</v>
      </c>
      <c r="M24" s="232">
        <f t="shared" si="7"/>
        <v>2255</v>
      </c>
      <c r="N24" s="196">
        <v>12</v>
      </c>
      <c r="O24" s="327">
        <f t="shared" si="8"/>
        <v>43807</v>
      </c>
      <c r="P24" s="328"/>
      <c r="Q24" s="328"/>
      <c r="R24" s="329"/>
      <c r="S24" s="161">
        <f t="array" ref="S24">IF(OR(O24=0,O24=""),"",MONTH(O24))</f>
        <v>12</v>
      </c>
      <c r="T24" s="161">
        <f t="array" ref="T24">IF(OR(O24=0,O24=""),"",YEAR(O24))</f>
        <v>2019</v>
      </c>
      <c r="U24" s="161" t="str">
        <f t="shared" si="9"/>
        <v>122019</v>
      </c>
      <c r="V24" s="6">
        <f t="array" ref="V24">IF(OR(O24=0,O24=""),"",BE24)</f>
        <v>45100</v>
      </c>
      <c r="W24" s="18">
        <f t="array" ref="W24">IF(OR(O24=0,O24=""),"",ROUND(V24*H24,0))</f>
        <v>7667</v>
      </c>
      <c r="X24" s="18">
        <f t="shared" si="10"/>
        <v>0</v>
      </c>
      <c r="Y24" s="18">
        <f t="array" ref="Y24">IF(OR(O24=0,O24=""),"",ROUND(V24*J24,0))</f>
        <v>3608</v>
      </c>
      <c r="Z24" s="135">
        <f t="array" ref="Z24">IF(OR(O24=0,O24=""),"",SUM(V24:Y24))</f>
        <v>56375</v>
      </c>
      <c r="AA24" s="1">
        <f t="array" ref="AA24">IF(OR(O24=0,O24=""),"",IF(V24=0,0,IF($E$2="FIXATION",$B$5,IF(V24=0,0,IF(BD24=7,ROUND(AA23*1.03,-2),AA23)))))</f>
        <v>40300</v>
      </c>
      <c r="AB24" s="2">
        <f t="array" ref="AB24">IF(OR(O24=0,O24=""),"",IF($E$2="fixation",0,ROUND(AA24*G24,0)))</f>
        <v>6851</v>
      </c>
      <c r="AC24" s="18">
        <f t="array" ref="AC24">IF(OR(O24=0,O24=""),"",AC23)</f>
        <v>0</v>
      </c>
      <c r="AD24" s="2">
        <f t="array" ref="AD24">IF(OR(O24=0,O24=""),"",IF($E$2="fixation",0,ROUND(AA24*I24,0)))</f>
        <v>3224</v>
      </c>
      <c r="AE24" s="135">
        <f t="array" ref="AE24">IF(OR(O24=0,O24=""),"",SUM(AA24:AD24))</f>
        <v>50375</v>
      </c>
      <c r="AF24" s="1">
        <f t="array" ref="AF24">IF(OR(O24=0,O24=""),"",V24-AA24)</f>
        <v>4800</v>
      </c>
      <c r="AG24" s="2">
        <f t="array" ref="AG24">IF(OR(O24=0,O24=""),"",W24-AB24)</f>
        <v>816</v>
      </c>
      <c r="AH24" s="2">
        <f t="array" ref="AH24">IF(OR(O24=0,O24=""),"",X24-AC24)</f>
        <v>0</v>
      </c>
      <c r="AI24" s="2">
        <f t="array" ref="AI24">IF(OR(O24=0,O24=""),"",Y24-AD24)</f>
        <v>384</v>
      </c>
      <c r="AJ24" s="136">
        <f t="array" ref="AJ24">IF(OR(O24=0,O24=""),"",Z24-AE24)</f>
        <v>6000</v>
      </c>
      <c r="AK24" s="4">
        <f t="array" ref="AK24">IF(OR(O24=0,O24=""),"",IF(M24="",$AZ$2,$AZ$2+M24))</f>
        <v>6755</v>
      </c>
      <c r="AL24" s="3">
        <f t="array" ref="AL24">IF(OR(O24=0,O24=""),"",$AQ$2)</f>
        <v>4500</v>
      </c>
      <c r="AM24" s="137">
        <f t="array" ref="AM24">IF(OR(O24=0,O24=""),"",AK24-AL24)</f>
        <v>2255</v>
      </c>
      <c r="AN24" s="3">
        <f t="array" ref="AN24">IF(OR(O23=0,O23="",AN23="",AN23=""),"",AN23)</f>
        <v>3000</v>
      </c>
      <c r="AO24" s="2">
        <f t="array" ref="AO24">IF(OR(O23=0,O23="",AO23="",AO23=""),"",AO23)</f>
        <v>3000</v>
      </c>
      <c r="AP24" s="137">
        <f t="array" ref="AP24">IF(OR(O24=0,O24=""),"",SUM(AN24-AO24))</f>
        <v>0</v>
      </c>
      <c r="AQ24" s="106" t="str">
        <f t="array" ref="AQ24">IF(OR(O24=0,O24=""),"",IF(AND('Basic Data Entry'!$C$10="state Service",'Arear Table Unprotected)'!T24=2020,S24=3),ROUND(V24/31*5,0),IF(AND('Basic Data Entry'!$C$10="state Service",'Arear Table Unprotected)'!T24=2020,S24=9),ROUND(Z24/30*2,0),IF(AND('Basic Data Entry'!$C$10="state Service",'Arear Table Unprotected)'!T24=2020,S24=10),ROUND(Z24/31*2,0),IF(AND('Basic Data Entry'!$C$10="subordinate",'Arear Table Unprotected)'!T24=2020,S24=3),ROUND(V24/31*3,0),IF(AND('Basic Data Entry'!$C$10="subordinate",'Arear Table Unprotected)'!T24=2020,S24=9),ROUND(Z24/30*1,0),IF(AND('Basic Data Entry'!$C$10="subordinate",'Arear Table Unprotected)'!T24=2020,S24=10),ROUND(Z24/31*1,0),IF(AND('Basic Data Entry'!$C$10="ministrial",'Arear Table Unprotected)'!T24=2020,S24=3),ROUND(V24/31*1,0),""))))))))</f>
        <v/>
      </c>
      <c r="AR24" s="107" t="str">
        <f t="array" ref="AR24">IF(OR(O24=0,O24=""),"",IF(AND('Basic Data Entry'!$C$10="state Service",'Arear Table Unprotected)'!T24=2020,S24=3),ROUND(AA24/31*5,0),IF(AND('Basic Data Entry'!$C$10="state Service",'Arear Table Unprotected)'!T24=2020,S24=9),ROUND(AE24/30*2,0),IF(AND('Basic Data Entry'!$C$10="state Service",'Arear Table Unprotected)'!T24=2020,S24=10),ROUND(AE24/31*2,0),IF(AND('Basic Data Entry'!$C$10="subordinate",'Arear Table Unprotected)'!T24=2020,S24=3),ROUND(AA24/31*3,0),IF(AND('Basic Data Entry'!$C$10="subordinate",'Arear Table Unprotected)'!T24=2020,S24=9),ROUND(AE24/30*1,0),IF(AND('Basic Data Entry'!$C$10="subordinate",'Arear Table Unprotected)'!T24=2020,S24=10),ROUND(AE24/31*1,0),IF(AND('Basic Data Entry'!$C$10="ministrial",'Arear Table Unprotected)'!T24=2020,S24=3),ROUND(AA24/31*1,0),""))))))))</f>
        <v/>
      </c>
      <c r="AS24" s="138" t="str">
        <f t="array" ref="AS24">IF(OR(O24=0,O24="",AQ24="",AR24=""),"",AQ24-AR24)</f>
        <v/>
      </c>
      <c r="AT24" s="44">
        <f t="array" ref="AT24">IF(OR(O23=0,O23=""),"",AT23)</f>
        <v>0</v>
      </c>
      <c r="AU24" s="45">
        <f t="array" ref="AU24">IF(OR(O23=0,O23=""),"",AU23)</f>
        <v>0</v>
      </c>
      <c r="AV24" s="139">
        <f t="array" ref="AV24">IF(OR(O24=0,O24=""),"",SUM(AT24-AU24))</f>
        <v>0</v>
      </c>
      <c r="AW24" s="36">
        <f t="array" ref="AW24">IF(OR(O24=0,O24=""),"",ROUND((AJ24)*$E$3,0))</f>
        <v>600</v>
      </c>
      <c r="AX24" s="36">
        <f t="array" ref="AX24">IF(OR(O24=0,O24=""),"",SUM(AM24,AP24,AS24,AV24,AW24))</f>
        <v>2855</v>
      </c>
      <c r="AY24" s="140">
        <f t="array" ref="AY24">IF(OR(O24=0,O24=""),"",AJ24-AX24)</f>
        <v>3145</v>
      </c>
      <c r="AZ24" s="46"/>
      <c r="BA24" s="24"/>
      <c r="BB24" s="24"/>
      <c r="BC24" s="11">
        <f t="shared" si="11"/>
        <v>43807</v>
      </c>
      <c r="BD24" s="84">
        <f t="shared" si="12"/>
        <v>12</v>
      </c>
      <c r="BE24" s="84">
        <f t="shared" si="18"/>
        <v>45100</v>
      </c>
      <c r="BI24" s="22">
        <f t="shared" si="19"/>
        <v>43807</v>
      </c>
      <c r="BK24" s="19">
        <f t="shared" si="13"/>
        <v>1</v>
      </c>
      <c r="BL24" s="20" t="str">
        <f t="array" ref="BL24">IF(OR(O24=0,O24=""),"",U24)</f>
        <v>122019</v>
      </c>
      <c r="BM24" s="19">
        <f t="array" ref="BM24">IF(OR(O24=0,O24=""),"",BK24+BL24)</f>
        <v>122020</v>
      </c>
      <c r="BN24" s="21">
        <f t="shared" si="14"/>
        <v>0</v>
      </c>
      <c r="BO24" s="21">
        <f t="shared" si="15"/>
        <v>0</v>
      </c>
      <c r="BP24" s="23">
        <f t="shared" si="16"/>
        <v>0</v>
      </c>
      <c r="BQ24" s="21" t="str">
        <f t="shared" si="17"/>
        <v>00</v>
      </c>
      <c r="BW24" s="81" t="str">
        <f>IF(OR(O24=0,O24=""),"",IF('Basic Data Entry'!$C$9="fixation","yes",""))</f>
        <v/>
      </c>
      <c r="BX24" s="81" t="str">
        <f>IF(OR(O24=0,O24=""),"",IF('Basic Data Entry'!$G$12="yes","yes","no"))</f>
        <v>no</v>
      </c>
    </row>
    <row r="25" spans="1:76" ht="18" customHeight="1" thickBot="1">
      <c r="A25" s="10">
        <f t="shared" si="6"/>
        <v>45100</v>
      </c>
      <c r="B25" s="305"/>
      <c r="C25" s="305"/>
      <c r="D25" s="305"/>
      <c r="E25" s="305"/>
      <c r="F25" s="108">
        <f t="shared" si="1"/>
        <v>43838</v>
      </c>
      <c r="G25" s="227">
        <f t="shared" si="2"/>
        <v>0.17</v>
      </c>
      <c r="H25" s="228">
        <f t="shared" si="3"/>
        <v>0.17</v>
      </c>
      <c r="I25" s="228">
        <f>IF(OR($E$2="fixation",O25="",O25=0),"",IF(AND('Basic Data Entry'!$G$11="Z-Rural",'Arear Table Unprotected)'!T25&lt;2021),0.08,IF(AND('Basic Data Entry'!$G$11="Y-Urban",'Arear Table Unprotected)'!T25&lt;2021),0.16,IF(AND('Basic Data Entry'!$G$11="Z-Rural",'Arear Table Unprotected)'!T25=2021,S25&gt;=7),0.09,IF(AND('Basic Data Entry'!$G$11="Y-Urban",'Arear Table Unprotected)'!T25=2021,'Arear Table Unprotected)'!S25&gt;=7),0.18,IF(AND('Basic Data Entry'!$G$11="Z-Rural",'Arear Table Unprotected)'!T25=2021,S25&lt;7),0.08,IF(AND('Basic Data Entry'!$G$11="Y-Urban",'Arear Table Unprotected)'!T25=2021,'Arear Table Unprotected)'!S25&lt;7),0.16,IF(AND('Basic Data Entry'!$G$11="Z-Rural",'Arear Table Unprotected)'!T25=2022),0.09,IF(AND('Basic Data Entry'!$G$11="Y-Urban",'Arear Table Unprotected)'!T25=2022),0.18,IF(AND('Basic Data Entry'!$G$11="Z-Rural",'Arear Table Unprotected)'!T25=2023),0.09,IF(AND('Basic Data Entry'!$G$11="Y-Urban",'Arear Table Unprotected)'!T25=2023),0.18,"")))))))))))</f>
        <v>0.08</v>
      </c>
      <c r="J25" s="229">
        <f>IF(OR(O25="",O25=0),"",IF(AND('Basic Data Entry'!$G$11="Z-Rural",'Arear Table Unprotected)'!T25&lt;2021),0.08,IF(AND('Basic Data Entry'!$G$11="Y-Urban",'Arear Table Unprotected)'!T25&lt;2021),0.16,IF(AND('Basic Data Entry'!$G$11="Z-Rural",'Arear Table Unprotected)'!T25=2021,S25&gt;=7),0.09,IF(AND('Basic Data Entry'!$G$11="Y-Urban",'Arear Table Unprotected)'!T25=2021,'Arear Table Unprotected)'!S25&gt;=7),0.18,IF(AND('Basic Data Entry'!$G$11="Z-Rural",'Arear Table Unprotected)'!T25=2021,S25&lt;7),0.08,IF(AND('Basic Data Entry'!$G$11="Y-Urban",'Arear Table Unprotected)'!T25=2021,'Arear Table Unprotected)'!S25&lt;7),0.16,IF(AND('Basic Data Entry'!$G$11="Z-Rural",'Arear Table Unprotected)'!T25=2022),0.09,IF(AND('Basic Data Entry'!$G$11="Y-Urban",'Arear Table Unprotected)'!T25=2022),0.18,IF(AND('Basic Data Entry'!$G$11="Z-Rural",'Arear Table Unprotected)'!T25=2023),0.09,IF(AND('Basic Data Entry'!$G$11="Y-Urban",'Arear Table Unprotected)'!T25=2023),0.18,"")))))))))))</f>
        <v>0.08</v>
      </c>
      <c r="K25" s="230" t="str">
        <f t="shared" si="4"/>
        <v>YES</v>
      </c>
      <c r="L25" s="231">
        <f t="shared" si="5"/>
        <v>0.05</v>
      </c>
      <c r="M25" s="232">
        <f t="shared" si="7"/>
        <v>2255</v>
      </c>
      <c r="N25" s="196">
        <v>13</v>
      </c>
      <c r="O25" s="327">
        <f t="shared" si="8"/>
        <v>43838</v>
      </c>
      <c r="P25" s="328"/>
      <c r="Q25" s="328"/>
      <c r="R25" s="329"/>
      <c r="S25" s="161">
        <f t="array" ref="S25">IF(OR(O25=0,O25=""),"",MONTH(O25))</f>
        <v>1</v>
      </c>
      <c r="T25" s="161">
        <f t="array" ref="T25">IF(OR(O25=0,O25=""),"",YEAR(O25))</f>
        <v>2020</v>
      </c>
      <c r="U25" s="161" t="str">
        <f t="shared" si="9"/>
        <v>12020</v>
      </c>
      <c r="V25" s="6">
        <f t="array" ref="V25">IF(OR(O25=0,O25=""),"",BE25)</f>
        <v>45100</v>
      </c>
      <c r="W25" s="18">
        <f t="array" ref="W25">IF(OR(O25=0,O25=""),"",ROUND(V25*H25,0))</f>
        <v>7667</v>
      </c>
      <c r="X25" s="18">
        <f t="shared" si="10"/>
        <v>0</v>
      </c>
      <c r="Y25" s="18">
        <f t="array" ref="Y25">IF(OR(O25=0,O25=""),"",ROUND(V25*J25,0))</f>
        <v>3608</v>
      </c>
      <c r="Z25" s="135">
        <f t="array" ref="Z25">IF(OR(O25=0,O25=""),"",SUM(V25:Y25))</f>
        <v>56375</v>
      </c>
      <c r="AA25" s="1">
        <f t="array" ref="AA25">IF(OR(O25=0,O25=""),"",IF(V25=0,0,IF($E$2="FIXATION",$B$5,IF(V25=0,0,IF(BD25=7,ROUND(AA24*1.03,-2),AA24)))))</f>
        <v>40300</v>
      </c>
      <c r="AB25" s="2">
        <f t="array" ref="AB25">IF(OR(O25=0,O25=""),"",IF($E$2="fixation",0,ROUND(AA25*G25,0)))</f>
        <v>6851</v>
      </c>
      <c r="AC25" s="18">
        <f t="array" ref="AC25">IF(OR(O25=0,O25=""),"",AC24)</f>
        <v>0</v>
      </c>
      <c r="AD25" s="2">
        <f t="array" ref="AD25">IF(OR(O25=0,O25=""),"",IF($E$2="fixation",0,ROUND(AA25*I25,0)))</f>
        <v>3224</v>
      </c>
      <c r="AE25" s="135">
        <f t="array" ref="AE25">IF(OR(O25=0,O25=""),"",SUM(AA25:AD25))</f>
        <v>50375</v>
      </c>
      <c r="AF25" s="1">
        <f t="array" ref="AF25">IF(OR(O25=0,O25=""),"",V25-AA25)</f>
        <v>4800</v>
      </c>
      <c r="AG25" s="2">
        <f t="array" ref="AG25">IF(OR(O25=0,O25=""),"",W25-AB25)</f>
        <v>816</v>
      </c>
      <c r="AH25" s="2">
        <f t="array" ref="AH25">IF(OR(O25=0,O25=""),"",X25-AC25)</f>
        <v>0</v>
      </c>
      <c r="AI25" s="2">
        <f t="array" ref="AI25">IF(OR(O25=0,O25=""),"",Y25-AD25)</f>
        <v>384</v>
      </c>
      <c r="AJ25" s="136">
        <f t="array" ref="AJ25">IF(OR(O25=0,O25=""),"",Z25-AE25)</f>
        <v>6000</v>
      </c>
      <c r="AK25" s="4">
        <f t="array" ref="AK25">IF(OR(O25=0,O25=""),"",IF(M25="",$AZ$2,$AZ$2+M25))</f>
        <v>6755</v>
      </c>
      <c r="AL25" s="3">
        <f t="array" ref="AL25">IF(OR(O25=0,O25=""),"",$AQ$2)</f>
        <v>4500</v>
      </c>
      <c r="AM25" s="137">
        <f t="array" ref="AM25">IF(OR(O25=0,O25=""),"",AK25-AL25)</f>
        <v>2255</v>
      </c>
      <c r="AN25" s="3">
        <f t="array" ref="AN25">IF(OR(O24=0,O24="",AN24="",AN24=""),"",AN24)</f>
        <v>3000</v>
      </c>
      <c r="AO25" s="2">
        <f t="array" ref="AO25">IF(OR(O24=0,O24="",AO24="",AO24=""),"",AO24)</f>
        <v>3000</v>
      </c>
      <c r="AP25" s="137">
        <f t="array" ref="AP25">IF(OR(O25=0,O25=""),"",SUM(AN25-AO25))</f>
        <v>0</v>
      </c>
      <c r="AQ25" s="106" t="str">
        <f t="array" ref="AQ25">IF(OR(O25=0,O25=""),"",IF(AND('Basic Data Entry'!$C$10="state Service",'Arear Table Unprotected)'!T25=2020,S25=3),ROUND(V25/31*5,0),IF(AND('Basic Data Entry'!$C$10="state Service",'Arear Table Unprotected)'!T25=2020,S25=9),ROUND(Z25/30*2,0),IF(AND('Basic Data Entry'!$C$10="state Service",'Arear Table Unprotected)'!T25=2020,S25=10),ROUND(Z25/31*2,0),IF(AND('Basic Data Entry'!$C$10="subordinate",'Arear Table Unprotected)'!T25=2020,S25=3),ROUND(V25/31*3,0),IF(AND('Basic Data Entry'!$C$10="subordinate",'Arear Table Unprotected)'!T25=2020,S25=9),ROUND(Z25/30*1,0),IF(AND('Basic Data Entry'!$C$10="subordinate",'Arear Table Unprotected)'!T25=2020,S25=10),ROUND(Z25/31*1,0),IF(AND('Basic Data Entry'!$C$10="ministrial",'Arear Table Unprotected)'!T25=2020,S25=3),ROUND(V25/31*1,0),""))))))))</f>
        <v/>
      </c>
      <c r="AR25" s="107" t="str">
        <f t="array" ref="AR25">IF(OR(O25=0,O25=""),"",IF(AND('Basic Data Entry'!$C$10="state Service",'Arear Table Unprotected)'!T25=2020,S25=3),ROUND(AA25/31*5,0),IF(AND('Basic Data Entry'!$C$10="state Service",'Arear Table Unprotected)'!T25=2020,S25=9),ROUND(AE25/30*2,0),IF(AND('Basic Data Entry'!$C$10="state Service",'Arear Table Unprotected)'!T25=2020,S25=10),ROUND(AE25/31*2,0),IF(AND('Basic Data Entry'!$C$10="subordinate",'Arear Table Unprotected)'!T25=2020,S25=3),ROUND(AA25/31*3,0),IF(AND('Basic Data Entry'!$C$10="subordinate",'Arear Table Unprotected)'!T25=2020,S25=9),ROUND(AE25/30*1,0),IF(AND('Basic Data Entry'!$C$10="subordinate",'Arear Table Unprotected)'!T25=2020,S25=10),ROUND(AE25/31*1,0),IF(AND('Basic Data Entry'!$C$10="ministrial",'Arear Table Unprotected)'!T25=2020,S25=3),ROUND(AA25/31*1,0),""))))))))</f>
        <v/>
      </c>
      <c r="AS25" s="138" t="str">
        <f t="array" ref="AS25">IF(OR(O25=0,O25="",AQ25="",AR25=""),"",AQ25-AR25)</f>
        <v/>
      </c>
      <c r="AT25" s="44">
        <f t="array" ref="AT25">IF(OR(O24=0,O24=""),"",AT24)</f>
        <v>0</v>
      </c>
      <c r="AU25" s="45">
        <f t="array" ref="AU25">IF(OR(O24=0,O24=""),"",AU24)</f>
        <v>0</v>
      </c>
      <c r="AV25" s="139">
        <f t="array" ref="AV25">IF(OR(O25=0,O25=""),"",SUM(AT25-AU25))</f>
        <v>0</v>
      </c>
      <c r="AW25" s="36">
        <f t="array" ref="AW25">IF(OR(O25=0,O25=""),"",ROUND((AJ25)*$E$3,0))</f>
        <v>600</v>
      </c>
      <c r="AX25" s="36">
        <f t="array" ref="AX25">IF(OR(O25=0,O25=""),"",SUM(AM25,AP25,AS25,AV25,AW25))</f>
        <v>2855</v>
      </c>
      <c r="AY25" s="140">
        <f t="array" ref="AY25">IF(OR(O25=0,O25=""),"",AJ25-AX25)</f>
        <v>3145</v>
      </c>
      <c r="AZ25" s="46"/>
      <c r="BA25" s="24"/>
      <c r="BB25" s="24"/>
      <c r="BC25" s="11">
        <f t="shared" si="11"/>
        <v>43838</v>
      </c>
      <c r="BD25" s="84">
        <f t="shared" si="12"/>
        <v>1</v>
      </c>
      <c r="BE25" s="84">
        <f t="shared" si="18"/>
        <v>45100</v>
      </c>
      <c r="BI25" s="22">
        <f t="shared" si="19"/>
        <v>43838</v>
      </c>
      <c r="BK25" s="19">
        <f t="shared" si="13"/>
        <v>1</v>
      </c>
      <c r="BL25" s="20" t="str">
        <f t="array" ref="BL25">IF(OR(O25=0,O25=""),"",U25)</f>
        <v>12020</v>
      </c>
      <c r="BM25" s="19">
        <f t="array" ref="BM25">IF(OR(O25=0,O25=""),"",BK25+BL25)</f>
        <v>12021</v>
      </c>
      <c r="BN25" s="21">
        <f t="shared" si="14"/>
        <v>0</v>
      </c>
      <c r="BO25" s="21">
        <f t="shared" si="15"/>
        <v>0</v>
      </c>
      <c r="BP25" s="23">
        <f t="shared" si="16"/>
        <v>0</v>
      </c>
      <c r="BQ25" s="21" t="str">
        <f t="shared" si="17"/>
        <v>00</v>
      </c>
      <c r="BW25" s="81" t="str">
        <f>IF(OR(O25=0,O25=""),"",IF('Basic Data Entry'!$C$9="fixation","yes",""))</f>
        <v/>
      </c>
      <c r="BX25" s="81" t="str">
        <f>IF(OR(O25=0,O25=""),"",IF('Basic Data Entry'!$G$12="yes","yes","no"))</f>
        <v>no</v>
      </c>
    </row>
    <row r="26" spans="1:76" ht="18" customHeight="1" thickBot="1">
      <c r="A26" s="10">
        <f t="shared" si="6"/>
        <v>45100</v>
      </c>
      <c r="B26" s="305"/>
      <c r="C26" s="305"/>
      <c r="D26" s="305"/>
      <c r="E26" s="305"/>
      <c r="F26" s="108">
        <f t="shared" si="1"/>
        <v>43869</v>
      </c>
      <c r="G26" s="227">
        <f t="shared" si="2"/>
        <v>0.17</v>
      </c>
      <c r="H26" s="228">
        <f t="shared" si="3"/>
        <v>0.17</v>
      </c>
      <c r="I26" s="228">
        <f>IF(OR($E$2="fixation",O26="",O26=0),"",IF(AND('Basic Data Entry'!$G$11="Z-Rural",'Arear Table Unprotected)'!T26&lt;2021),0.08,IF(AND('Basic Data Entry'!$G$11="Y-Urban",'Arear Table Unprotected)'!T26&lt;2021),0.16,IF(AND('Basic Data Entry'!$G$11="Z-Rural",'Arear Table Unprotected)'!T26=2021,S26&gt;=7),0.09,IF(AND('Basic Data Entry'!$G$11="Y-Urban",'Arear Table Unprotected)'!T26=2021,'Arear Table Unprotected)'!S26&gt;=7),0.18,IF(AND('Basic Data Entry'!$G$11="Z-Rural",'Arear Table Unprotected)'!T26=2021,S26&lt;7),0.08,IF(AND('Basic Data Entry'!$G$11="Y-Urban",'Arear Table Unprotected)'!T26=2021,'Arear Table Unprotected)'!S26&lt;7),0.16,IF(AND('Basic Data Entry'!$G$11="Z-Rural",'Arear Table Unprotected)'!T26=2022),0.09,IF(AND('Basic Data Entry'!$G$11="Y-Urban",'Arear Table Unprotected)'!T26=2022),0.18,IF(AND('Basic Data Entry'!$G$11="Z-Rural",'Arear Table Unprotected)'!T26=2023),0.09,IF(AND('Basic Data Entry'!$G$11="Y-Urban",'Arear Table Unprotected)'!T26=2023),0.18,"")))))))))))</f>
        <v>0.08</v>
      </c>
      <c r="J26" s="229">
        <f>IF(OR(O26="",O26=0),"",IF(AND('Basic Data Entry'!$G$11="Z-Rural",'Arear Table Unprotected)'!T26&lt;2021),0.08,IF(AND('Basic Data Entry'!$G$11="Y-Urban",'Arear Table Unprotected)'!T26&lt;2021),0.16,IF(AND('Basic Data Entry'!$G$11="Z-Rural",'Arear Table Unprotected)'!T26=2021,S26&gt;=7),0.09,IF(AND('Basic Data Entry'!$G$11="Y-Urban",'Arear Table Unprotected)'!T26=2021,'Arear Table Unprotected)'!S26&gt;=7),0.18,IF(AND('Basic Data Entry'!$G$11="Z-Rural",'Arear Table Unprotected)'!T26=2021,S26&lt;7),0.08,IF(AND('Basic Data Entry'!$G$11="Y-Urban",'Arear Table Unprotected)'!T26=2021,'Arear Table Unprotected)'!S26&lt;7),0.16,IF(AND('Basic Data Entry'!$G$11="Z-Rural",'Arear Table Unprotected)'!T26=2022),0.09,IF(AND('Basic Data Entry'!$G$11="Y-Urban",'Arear Table Unprotected)'!T26=2022),0.18,IF(AND('Basic Data Entry'!$G$11="Z-Rural",'Arear Table Unprotected)'!T26=2023),0.09,IF(AND('Basic Data Entry'!$G$11="Y-Urban",'Arear Table Unprotected)'!T26=2023),0.18,"")))))))))))</f>
        <v>0.08</v>
      </c>
      <c r="K26" s="230" t="str">
        <f t="shared" si="4"/>
        <v>YES</v>
      </c>
      <c r="L26" s="231">
        <f t="shared" si="5"/>
        <v>0.05</v>
      </c>
      <c r="M26" s="232">
        <f t="shared" si="7"/>
        <v>2255</v>
      </c>
      <c r="N26" s="196">
        <v>14</v>
      </c>
      <c r="O26" s="327">
        <f t="shared" si="8"/>
        <v>43869</v>
      </c>
      <c r="P26" s="328"/>
      <c r="Q26" s="328"/>
      <c r="R26" s="329"/>
      <c r="S26" s="161">
        <f t="array" ref="S26">IF(OR(O26=0,O26=""),"",MONTH(O26))</f>
        <v>2</v>
      </c>
      <c r="T26" s="161">
        <f t="array" ref="T26">IF(OR(O26=0,O26=""),"",YEAR(O26))</f>
        <v>2020</v>
      </c>
      <c r="U26" s="161" t="str">
        <f t="shared" si="9"/>
        <v>22020</v>
      </c>
      <c r="V26" s="6">
        <f t="array" ref="V26">IF(OR(O26=0,O26=""),"",BE26)</f>
        <v>45100</v>
      </c>
      <c r="W26" s="18">
        <f t="array" ref="W26">IF(OR(O26=0,O26=""),"",ROUND(V26*H26,0))</f>
        <v>7667</v>
      </c>
      <c r="X26" s="18">
        <f t="shared" si="10"/>
        <v>0</v>
      </c>
      <c r="Y26" s="18">
        <f t="array" ref="Y26">IF(OR(O26=0,O26=""),"",ROUND(V26*J26,0))</f>
        <v>3608</v>
      </c>
      <c r="Z26" s="135">
        <f t="array" ref="Z26">IF(OR(O26=0,O26=""),"",SUM(V26:Y26))</f>
        <v>56375</v>
      </c>
      <c r="AA26" s="1">
        <f t="array" ref="AA26">IF(OR(O26=0,O26=""),"",IF(V26=0,0,IF($E$2="FIXATION",$B$5,IF(V26=0,0,IF(BD26=7,ROUND(AA25*1.03,-2),AA25)))))</f>
        <v>40300</v>
      </c>
      <c r="AB26" s="2">
        <f t="array" ref="AB26">IF(OR(O26=0,O26=""),"",IF($E$2="fixation",0,ROUND(AA26*G26,0)))</f>
        <v>6851</v>
      </c>
      <c r="AC26" s="18">
        <f t="array" ref="AC26">IF(OR(O26=0,O26=""),"",AC25)</f>
        <v>0</v>
      </c>
      <c r="AD26" s="2">
        <f t="array" ref="AD26">IF(OR(O26=0,O26=""),"",IF($E$2="fixation",0,ROUND(AA26*I26,0)))</f>
        <v>3224</v>
      </c>
      <c r="AE26" s="135">
        <f t="array" ref="AE26">IF(OR(O26=0,O26=""),"",SUM(AA26:AD26))</f>
        <v>50375</v>
      </c>
      <c r="AF26" s="1">
        <f t="array" ref="AF26">IF(OR(O26=0,O26=""),"",V26-AA26)</f>
        <v>4800</v>
      </c>
      <c r="AG26" s="2">
        <f t="array" ref="AG26">IF(OR(O26=0,O26=""),"",W26-AB26)</f>
        <v>816</v>
      </c>
      <c r="AH26" s="2">
        <f t="array" ref="AH26">IF(OR(O26=0,O26=""),"",X26-AC26)</f>
        <v>0</v>
      </c>
      <c r="AI26" s="2">
        <f t="array" ref="AI26">IF(OR(O26=0,O26=""),"",Y26-AD26)</f>
        <v>384</v>
      </c>
      <c r="AJ26" s="136">
        <f t="array" ref="AJ26">IF(OR(O26=0,O26=""),"",Z26-AE26)</f>
        <v>6000</v>
      </c>
      <c r="AK26" s="4">
        <f t="array" ref="AK26">IF(OR(O26=0,O26=""),"",IF(M26="",$AZ$2,$AZ$2+M26))</f>
        <v>6755</v>
      </c>
      <c r="AL26" s="3">
        <f t="array" ref="AL26">IF(OR(O26=0,O26=""),"",$AQ$2)</f>
        <v>4500</v>
      </c>
      <c r="AM26" s="137">
        <f t="array" ref="AM26">IF(OR(O26=0,O26=""),"",AK26-AL26)</f>
        <v>2255</v>
      </c>
      <c r="AN26" s="3">
        <f t="array" ref="AN26">IF(OR(O25=0,O25="",AN25="",AN25=""),"",AN25)</f>
        <v>3000</v>
      </c>
      <c r="AO26" s="2">
        <f t="array" ref="AO26">IF(OR(O25=0,O25="",AO25="",AO25=""),"",AO25)</f>
        <v>3000</v>
      </c>
      <c r="AP26" s="137">
        <f t="array" ref="AP26">IF(OR(O26=0,O26=""),"",SUM(AN26-AO26))</f>
        <v>0</v>
      </c>
      <c r="AQ26" s="106" t="str">
        <f t="array" ref="AQ26">IF(OR(O26=0,O26=""),"",IF(AND('Basic Data Entry'!$C$10="state Service",'Arear Table Unprotected)'!T26=2020,S26=3),ROUND(V26/31*5,0),IF(AND('Basic Data Entry'!$C$10="state Service",'Arear Table Unprotected)'!T26=2020,S26=9),ROUND(Z26/30*2,0),IF(AND('Basic Data Entry'!$C$10="state Service",'Arear Table Unprotected)'!T26=2020,S26=10),ROUND(Z26/31*2,0),IF(AND('Basic Data Entry'!$C$10="subordinate",'Arear Table Unprotected)'!T26=2020,S26=3),ROUND(V26/31*3,0),IF(AND('Basic Data Entry'!$C$10="subordinate",'Arear Table Unprotected)'!T26=2020,S26=9),ROUND(Z26/30*1,0),IF(AND('Basic Data Entry'!$C$10="subordinate",'Arear Table Unprotected)'!T26=2020,S26=10),ROUND(Z26/31*1,0),IF(AND('Basic Data Entry'!$C$10="ministrial",'Arear Table Unprotected)'!T26=2020,S26=3),ROUND(V26/31*1,0),""))))))))</f>
        <v/>
      </c>
      <c r="AR26" s="107" t="str">
        <f t="array" ref="AR26">IF(OR(O26=0,O26=""),"",IF(AND('Basic Data Entry'!$C$10="state Service",'Arear Table Unprotected)'!T26=2020,S26=3),ROUND(AA26/31*5,0),IF(AND('Basic Data Entry'!$C$10="state Service",'Arear Table Unprotected)'!T26=2020,S26=9),ROUND(AE26/30*2,0),IF(AND('Basic Data Entry'!$C$10="state Service",'Arear Table Unprotected)'!T26=2020,S26=10),ROUND(AE26/31*2,0),IF(AND('Basic Data Entry'!$C$10="subordinate",'Arear Table Unprotected)'!T26=2020,S26=3),ROUND(AA26/31*3,0),IF(AND('Basic Data Entry'!$C$10="subordinate",'Arear Table Unprotected)'!T26=2020,S26=9),ROUND(AE26/30*1,0),IF(AND('Basic Data Entry'!$C$10="subordinate",'Arear Table Unprotected)'!T26=2020,S26=10),ROUND(AE26/31*1,0),IF(AND('Basic Data Entry'!$C$10="ministrial",'Arear Table Unprotected)'!T26=2020,S26=3),ROUND(AA26/31*1,0),""))))))))</f>
        <v/>
      </c>
      <c r="AS26" s="138" t="str">
        <f t="array" ref="AS26">IF(OR(O26=0,O26="",AQ26="",AR26=""),"",AQ26-AR26)</f>
        <v/>
      </c>
      <c r="AT26" s="44">
        <f t="array" ref="AT26">IF(OR(O25=0,O25=""),"",AT25)</f>
        <v>0</v>
      </c>
      <c r="AU26" s="45">
        <f t="array" ref="AU26">IF(OR(O25=0,O25=""),"",AU25)</f>
        <v>0</v>
      </c>
      <c r="AV26" s="139">
        <f t="array" ref="AV26">IF(OR(O26=0,O26=""),"",SUM(AT26-AU26))</f>
        <v>0</v>
      </c>
      <c r="AW26" s="36">
        <f t="array" ref="AW26">IF(OR(O26=0,O26=""),"",ROUND((AJ26)*$E$3,0))</f>
        <v>600</v>
      </c>
      <c r="AX26" s="36">
        <f t="array" ref="AX26">IF(OR(O26=0,O26=""),"",SUM(AM26,AP26,AS26,AV26,AW26))</f>
        <v>2855</v>
      </c>
      <c r="AY26" s="140">
        <f t="array" ref="AY26">IF(OR(O26=0,O26=""),"",AJ26-AX26)</f>
        <v>3145</v>
      </c>
      <c r="AZ26" s="46"/>
      <c r="BA26" s="24"/>
      <c r="BB26" s="24"/>
      <c r="BC26" s="11">
        <f t="shared" si="11"/>
        <v>43869</v>
      </c>
      <c r="BD26" s="84">
        <f t="shared" si="12"/>
        <v>2</v>
      </c>
      <c r="BE26" s="84">
        <f t="shared" si="18"/>
        <v>45100</v>
      </c>
      <c r="BI26" s="22">
        <f t="shared" si="19"/>
        <v>43869</v>
      </c>
      <c r="BK26" s="19">
        <f t="shared" si="13"/>
        <v>1</v>
      </c>
      <c r="BL26" s="20" t="str">
        <f t="array" ref="BL26">IF(OR(O26=0,O26=""),"",U26)</f>
        <v>22020</v>
      </c>
      <c r="BM26" s="19">
        <f t="array" ref="BM26">IF(OR(O26=0,O26=""),"",BK26+BL26)</f>
        <v>22021</v>
      </c>
      <c r="BN26" s="21">
        <f t="shared" si="14"/>
        <v>0</v>
      </c>
      <c r="BO26" s="21">
        <f t="shared" si="15"/>
        <v>0</v>
      </c>
      <c r="BP26" s="23">
        <f t="shared" si="16"/>
        <v>0</v>
      </c>
      <c r="BQ26" s="21" t="str">
        <f t="shared" si="17"/>
        <v>00</v>
      </c>
      <c r="BW26" s="81" t="str">
        <f>IF(OR(O26=0,O26=""),"",IF('Basic Data Entry'!$C$9="fixation","yes",""))</f>
        <v/>
      </c>
      <c r="BX26" s="81" t="str">
        <f>IF(OR(O26=0,O26=""),"",IF('Basic Data Entry'!$G$12="yes","yes","no"))</f>
        <v>no</v>
      </c>
    </row>
    <row r="27" spans="1:76" ht="18" customHeight="1" thickBot="1">
      <c r="A27" s="10">
        <f t="shared" si="6"/>
        <v>45100</v>
      </c>
      <c r="B27" s="305"/>
      <c r="C27" s="305"/>
      <c r="D27" s="305"/>
      <c r="E27" s="305"/>
      <c r="F27" s="108">
        <f t="shared" si="1"/>
        <v>43900</v>
      </c>
      <c r="G27" s="227">
        <f t="shared" si="2"/>
        <v>0.17</v>
      </c>
      <c r="H27" s="228">
        <f t="shared" si="3"/>
        <v>0.17</v>
      </c>
      <c r="I27" s="228">
        <f>IF(OR($E$2="fixation",O27="",O27=0),"",IF(AND('Basic Data Entry'!$G$11="Z-Rural",'Arear Table Unprotected)'!T27&lt;2021),0.08,IF(AND('Basic Data Entry'!$G$11="Y-Urban",'Arear Table Unprotected)'!T27&lt;2021),0.16,IF(AND('Basic Data Entry'!$G$11="Z-Rural",'Arear Table Unprotected)'!T27=2021,S27&gt;=7),0.09,IF(AND('Basic Data Entry'!$G$11="Y-Urban",'Arear Table Unprotected)'!T27=2021,'Arear Table Unprotected)'!S27&gt;=7),0.18,IF(AND('Basic Data Entry'!$G$11="Z-Rural",'Arear Table Unprotected)'!T27=2021,S27&lt;7),0.08,IF(AND('Basic Data Entry'!$G$11="Y-Urban",'Arear Table Unprotected)'!T27=2021,'Arear Table Unprotected)'!S27&lt;7),0.16,IF(AND('Basic Data Entry'!$G$11="Z-Rural",'Arear Table Unprotected)'!T27=2022),0.09,IF(AND('Basic Data Entry'!$G$11="Y-Urban",'Arear Table Unprotected)'!T27=2022),0.18,IF(AND('Basic Data Entry'!$G$11="Z-Rural",'Arear Table Unprotected)'!T27=2023),0.09,IF(AND('Basic Data Entry'!$G$11="Y-Urban",'Arear Table Unprotected)'!T27=2023),0.18,"")))))))))))</f>
        <v>0.08</v>
      </c>
      <c r="J27" s="229">
        <f>IF(OR(O27="",O27=0),"",IF(AND('Basic Data Entry'!$G$11="Z-Rural",'Arear Table Unprotected)'!T27&lt;2021),0.08,IF(AND('Basic Data Entry'!$G$11="Y-Urban",'Arear Table Unprotected)'!T27&lt;2021),0.16,IF(AND('Basic Data Entry'!$G$11="Z-Rural",'Arear Table Unprotected)'!T27=2021,S27&gt;=7),0.09,IF(AND('Basic Data Entry'!$G$11="Y-Urban",'Arear Table Unprotected)'!T27=2021,'Arear Table Unprotected)'!S27&gt;=7),0.18,IF(AND('Basic Data Entry'!$G$11="Z-Rural",'Arear Table Unprotected)'!T27=2021,S27&lt;7),0.08,IF(AND('Basic Data Entry'!$G$11="Y-Urban",'Arear Table Unprotected)'!T27=2021,'Arear Table Unprotected)'!S27&lt;7),0.16,IF(AND('Basic Data Entry'!$G$11="Z-Rural",'Arear Table Unprotected)'!T27=2022),0.09,IF(AND('Basic Data Entry'!$G$11="Y-Urban",'Arear Table Unprotected)'!T27=2022),0.18,IF(AND('Basic Data Entry'!$G$11="Z-Rural",'Arear Table Unprotected)'!T27=2023),0.09,IF(AND('Basic Data Entry'!$G$11="Y-Urban",'Arear Table Unprotected)'!T27=2023),0.18,"")))))))))))</f>
        <v>0.08</v>
      </c>
      <c r="K27" s="230" t="str">
        <f t="shared" si="4"/>
        <v/>
      </c>
      <c r="L27" s="231" t="str">
        <f t="shared" si="5"/>
        <v/>
      </c>
      <c r="M27" s="232" t="str">
        <f t="shared" si="7"/>
        <v/>
      </c>
      <c r="N27" s="196">
        <v>15</v>
      </c>
      <c r="O27" s="327">
        <f t="shared" si="8"/>
        <v>43900</v>
      </c>
      <c r="P27" s="328"/>
      <c r="Q27" s="328"/>
      <c r="R27" s="329"/>
      <c r="S27" s="161">
        <f t="array" ref="S27">IF(OR(O27=0,O27=""),"",MONTH(O27))</f>
        <v>3</v>
      </c>
      <c r="T27" s="161">
        <f t="array" ref="T27">IF(OR(O27=0,O27=""),"",YEAR(O27))</f>
        <v>2020</v>
      </c>
      <c r="U27" s="161" t="str">
        <f t="shared" si="9"/>
        <v>32020</v>
      </c>
      <c r="V27" s="6">
        <f t="array" ref="V27">IF(OR(O27=0,O27=""),"",BE27)</f>
        <v>45100</v>
      </c>
      <c r="W27" s="18">
        <f t="array" ref="W27">IF(OR(O27=0,O27=""),"",ROUND(V27*H27,0))</f>
        <v>7667</v>
      </c>
      <c r="X27" s="18">
        <f t="shared" si="10"/>
        <v>0</v>
      </c>
      <c r="Y27" s="18">
        <f t="array" ref="Y27">IF(OR(O27=0,O27=""),"",ROUND(V27*J27,0))</f>
        <v>3608</v>
      </c>
      <c r="Z27" s="135">
        <f t="array" ref="Z27">IF(OR(O27=0,O27=""),"",SUM(V27:Y27))</f>
        <v>56375</v>
      </c>
      <c r="AA27" s="1">
        <f t="array" ref="AA27">IF(OR(O27=0,O27=""),"",IF(V27=0,0,IF($E$2="FIXATION",$B$5,IF(V27=0,0,IF(BD27=7,ROUND(AA26*1.03,-2),AA26)))))</f>
        <v>40300</v>
      </c>
      <c r="AB27" s="2">
        <f t="array" ref="AB27">IF(OR(O27=0,O27=""),"",IF($E$2="fixation",0,ROUND(AA27*G27,0)))</f>
        <v>6851</v>
      </c>
      <c r="AC27" s="18">
        <f t="array" ref="AC27">IF(OR(O27=0,O27=""),"",AC26)</f>
        <v>0</v>
      </c>
      <c r="AD27" s="2">
        <f t="array" ref="AD27">IF(OR(O27=0,O27=""),"",IF($E$2="fixation",0,ROUND(AA27*I27,0)))</f>
        <v>3224</v>
      </c>
      <c r="AE27" s="135">
        <f t="array" ref="AE27">IF(OR(O27=0,O27=""),"",SUM(AA27:AD27))</f>
        <v>50375</v>
      </c>
      <c r="AF27" s="1">
        <f t="array" ref="AF27">IF(OR(O27=0,O27=""),"",V27-AA27)</f>
        <v>4800</v>
      </c>
      <c r="AG27" s="2">
        <f t="array" ref="AG27">IF(OR(O27=0,O27=""),"",W27-AB27)</f>
        <v>816</v>
      </c>
      <c r="AH27" s="2">
        <f t="array" ref="AH27">IF(OR(O27=0,O27=""),"",X27-AC27)</f>
        <v>0</v>
      </c>
      <c r="AI27" s="2">
        <f t="array" ref="AI27">IF(OR(O27=0,O27=""),"",Y27-AD27)</f>
        <v>384</v>
      </c>
      <c r="AJ27" s="136">
        <f t="array" ref="AJ27">IF(OR(O27=0,O27=""),"",Z27-AE27)</f>
        <v>6000</v>
      </c>
      <c r="AK27" s="4">
        <f t="array" ref="AK27">IF(OR(O27=0,O27=""),"",IF(M27="",$AZ$2,$AZ$2+M27))</f>
        <v>4500</v>
      </c>
      <c r="AL27" s="3">
        <f t="array" ref="AL27">IF(OR(O27=0,O27=""),"",$AQ$2)</f>
        <v>4500</v>
      </c>
      <c r="AM27" s="137">
        <f t="array" ref="AM27">IF(OR(O27=0,O27=""),"",AK27-AL27)</f>
        <v>0</v>
      </c>
      <c r="AN27" s="3">
        <f t="array" ref="AN27">IF(OR(O26=0,O26="",AN26="",AN26=""),"",AN26)</f>
        <v>3000</v>
      </c>
      <c r="AO27" s="2">
        <f t="array" ref="AO27">IF(OR(O26=0,O26="",AO26="",AO26=""),"",AO26)</f>
        <v>3000</v>
      </c>
      <c r="AP27" s="137">
        <f t="array" ref="AP27">IF(OR(O27=0,O27=""),"",SUM(AN27-AO27))</f>
        <v>0</v>
      </c>
      <c r="AQ27" s="106">
        <f t="array" ref="AQ27">IF(OR(O27=0,O27=""),"",IF(AND('Basic Data Entry'!$C$10="state Service",'Arear Table Unprotected)'!T27=2020,S27=3),ROUND(V27/31*5,0),IF(AND('Basic Data Entry'!$C$10="state Service",'Arear Table Unprotected)'!T27=2020,S27=9),ROUND(Z27/30*2,0),IF(AND('Basic Data Entry'!$C$10="state Service",'Arear Table Unprotected)'!T27=2020,S27=10),ROUND(Z27/31*2,0),IF(AND('Basic Data Entry'!$C$10="subordinate",'Arear Table Unprotected)'!T27=2020,S27=3),ROUND(V27/31*3,0),IF(AND('Basic Data Entry'!$C$10="subordinate",'Arear Table Unprotected)'!T27=2020,S27=9),ROUND(Z27/30*1,0),IF(AND('Basic Data Entry'!$C$10="subordinate",'Arear Table Unprotected)'!T27=2020,S27=10),ROUND(Z27/31*1,0),IF(AND('Basic Data Entry'!$C$10="ministrial",'Arear Table Unprotected)'!T27=2020,S27=3),ROUND(V27/31*1,0),""))))))))</f>
        <v>4365</v>
      </c>
      <c r="AR27" s="107">
        <f t="array" ref="AR27">IF(OR(O27=0,O27=""),"",IF(AND('Basic Data Entry'!$C$10="state Service",'Arear Table Unprotected)'!T27=2020,S27=3),ROUND(AA27/31*5,0),IF(AND('Basic Data Entry'!$C$10="state Service",'Arear Table Unprotected)'!T27=2020,S27=9),ROUND(AE27/30*2,0),IF(AND('Basic Data Entry'!$C$10="state Service",'Arear Table Unprotected)'!T27=2020,S27=10),ROUND(AE27/31*2,0),IF(AND('Basic Data Entry'!$C$10="subordinate",'Arear Table Unprotected)'!T27=2020,S27=3),ROUND(AA27/31*3,0),IF(AND('Basic Data Entry'!$C$10="subordinate",'Arear Table Unprotected)'!T27=2020,S27=9),ROUND(AE27/30*1,0),IF(AND('Basic Data Entry'!$C$10="subordinate",'Arear Table Unprotected)'!T27=2020,S27=10),ROUND(AE27/31*1,0),IF(AND('Basic Data Entry'!$C$10="ministrial",'Arear Table Unprotected)'!T27=2020,S27=3),ROUND(AA27/31*1,0),""))))))))</f>
        <v>3900</v>
      </c>
      <c r="AS27" s="138">
        <f t="array" ref="AS27">IF(OR(O27=0,O27="",AQ27="",AR27=""),"",AQ27-AR27)</f>
        <v>465</v>
      </c>
      <c r="AT27" s="44">
        <f t="array" ref="AT27">IF(OR(O26=0,O26=""),"",AT26)</f>
        <v>0</v>
      </c>
      <c r="AU27" s="45">
        <f t="array" ref="AU27">IF(OR(O26=0,O26=""),"",AU26)</f>
        <v>0</v>
      </c>
      <c r="AV27" s="139">
        <f t="array" ref="AV27">IF(OR(O27=0,O27=""),"",SUM(AT27-AU27))</f>
        <v>0</v>
      </c>
      <c r="AW27" s="36">
        <f t="array" ref="AW27">IF(OR(O27=0,O27=""),"",ROUND((AJ27)*$E$3,0))</f>
        <v>600</v>
      </c>
      <c r="AX27" s="36">
        <f t="array" ref="AX27">IF(OR(O27=0,O27=""),"",SUM(AM27,AP27,AS27,AV27,AW27))</f>
        <v>1065</v>
      </c>
      <c r="AY27" s="140">
        <f t="array" ref="AY27">IF(OR(O27=0,O27=""),"",AJ27-AX27)</f>
        <v>4935</v>
      </c>
      <c r="AZ27" s="46"/>
      <c r="BA27" s="24"/>
      <c r="BB27" s="24"/>
      <c r="BC27" s="11">
        <f t="shared" si="11"/>
        <v>43900</v>
      </c>
      <c r="BD27" s="84">
        <f t="shared" si="12"/>
        <v>3</v>
      </c>
      <c r="BE27" s="84">
        <f t="shared" si="18"/>
        <v>45100</v>
      </c>
      <c r="BI27" s="22">
        <f t="shared" si="19"/>
        <v>43900</v>
      </c>
      <c r="BK27" s="19">
        <f t="shared" si="13"/>
        <v>1</v>
      </c>
      <c r="BL27" s="20" t="str">
        <f t="array" ref="BL27">IF(OR(O27=0,O27=""),"",U27)</f>
        <v>32020</v>
      </c>
      <c r="BM27" s="19">
        <f t="array" ref="BM27">IF(OR(O27=0,O27=""),"",BK27+BL27)</f>
        <v>32021</v>
      </c>
      <c r="BN27" s="21" t="str">
        <f t="shared" si="14"/>
        <v>FM</v>
      </c>
      <c r="BO27" s="21" t="str">
        <f t="shared" si="15"/>
        <v>M</v>
      </c>
      <c r="BP27" s="23" t="str">
        <f t="shared" si="16"/>
        <v>ss</v>
      </c>
      <c r="BQ27" s="21" t="str">
        <f t="shared" si="17"/>
        <v>Mss</v>
      </c>
      <c r="BW27" s="81" t="str">
        <f>IF(OR(O27=0,O27=""),"",IF('Basic Data Entry'!$C$9="fixation","yes",""))</f>
        <v/>
      </c>
      <c r="BX27" s="81" t="str">
        <f>IF(OR(O27=0,O27=""),"",IF('Basic Data Entry'!$G$12="yes","yes","no"))</f>
        <v>no</v>
      </c>
    </row>
    <row r="28" spans="1:76" ht="18" customHeight="1" thickBot="1">
      <c r="A28" s="10">
        <f t="shared" si="6"/>
        <v>45100</v>
      </c>
      <c r="B28" s="305"/>
      <c r="C28" s="305"/>
      <c r="D28" s="305"/>
      <c r="E28" s="305"/>
      <c r="F28" s="108">
        <f t="shared" si="1"/>
        <v>43931</v>
      </c>
      <c r="G28" s="227">
        <f t="shared" si="2"/>
        <v>0.17</v>
      </c>
      <c r="H28" s="228">
        <f t="shared" si="3"/>
        <v>0.17</v>
      </c>
      <c r="I28" s="228">
        <f>IF(OR($E$2="fixation",O28="",O28=0),"",IF(AND('Basic Data Entry'!$G$11="Z-Rural",'Arear Table Unprotected)'!T28&lt;2021),0.08,IF(AND('Basic Data Entry'!$G$11="Y-Urban",'Arear Table Unprotected)'!T28&lt;2021),0.16,IF(AND('Basic Data Entry'!$G$11="Z-Rural",'Arear Table Unprotected)'!T28=2021,S28&gt;=7),0.09,IF(AND('Basic Data Entry'!$G$11="Y-Urban",'Arear Table Unprotected)'!T28=2021,'Arear Table Unprotected)'!S28&gt;=7),0.18,IF(AND('Basic Data Entry'!$G$11="Z-Rural",'Arear Table Unprotected)'!T28=2021,S28&lt;7),0.08,IF(AND('Basic Data Entry'!$G$11="Y-Urban",'Arear Table Unprotected)'!T28=2021,'Arear Table Unprotected)'!S28&lt;7),0.16,IF(AND('Basic Data Entry'!$G$11="Z-Rural",'Arear Table Unprotected)'!T28=2022),0.09,IF(AND('Basic Data Entry'!$G$11="Y-Urban",'Arear Table Unprotected)'!T28=2022),0.18,IF(AND('Basic Data Entry'!$G$11="Z-Rural",'Arear Table Unprotected)'!T28=2023),0.09,IF(AND('Basic Data Entry'!$G$11="Y-Urban",'Arear Table Unprotected)'!T28=2023),0.18,"")))))))))))</f>
        <v>0.08</v>
      </c>
      <c r="J28" s="229">
        <f>IF(OR(O28="",O28=0),"",IF(AND('Basic Data Entry'!$G$11="Z-Rural",'Arear Table Unprotected)'!T28&lt;2021),0.08,IF(AND('Basic Data Entry'!$G$11="Y-Urban",'Arear Table Unprotected)'!T28&lt;2021),0.16,IF(AND('Basic Data Entry'!$G$11="Z-Rural",'Arear Table Unprotected)'!T28=2021,S28&gt;=7),0.09,IF(AND('Basic Data Entry'!$G$11="Y-Urban",'Arear Table Unprotected)'!T28=2021,'Arear Table Unprotected)'!S28&gt;=7),0.18,IF(AND('Basic Data Entry'!$G$11="Z-Rural",'Arear Table Unprotected)'!T28=2021,S28&lt;7),0.08,IF(AND('Basic Data Entry'!$G$11="Y-Urban",'Arear Table Unprotected)'!T28=2021,'Arear Table Unprotected)'!S28&lt;7),0.16,IF(AND('Basic Data Entry'!$G$11="Z-Rural",'Arear Table Unprotected)'!T28=2022),0.09,IF(AND('Basic Data Entry'!$G$11="Y-Urban",'Arear Table Unprotected)'!T28=2022),0.18,IF(AND('Basic Data Entry'!$G$11="Z-Rural",'Arear Table Unprotected)'!T28=2023),0.09,IF(AND('Basic Data Entry'!$G$11="Y-Urban",'Arear Table Unprotected)'!T28=2023),0.18,"")))))))))))</f>
        <v>0.08</v>
      </c>
      <c r="K28" s="230" t="str">
        <f t="shared" si="4"/>
        <v/>
      </c>
      <c r="L28" s="231" t="str">
        <f t="shared" si="5"/>
        <v/>
      </c>
      <c r="M28" s="232" t="str">
        <f t="shared" si="7"/>
        <v/>
      </c>
      <c r="N28" s="196">
        <v>16</v>
      </c>
      <c r="O28" s="327">
        <f t="shared" si="8"/>
        <v>43931</v>
      </c>
      <c r="P28" s="328"/>
      <c r="Q28" s="328"/>
      <c r="R28" s="329"/>
      <c r="S28" s="161">
        <f t="array" ref="S28">IF(OR(O28=0,O28=""),"",MONTH(O28))</f>
        <v>4</v>
      </c>
      <c r="T28" s="161">
        <f t="array" ref="T28">IF(OR(O28=0,O28=""),"",YEAR(O28))</f>
        <v>2020</v>
      </c>
      <c r="U28" s="161" t="str">
        <f t="shared" si="9"/>
        <v>42020</v>
      </c>
      <c r="V28" s="6">
        <f t="array" ref="V28">IF(OR(O28=0,O28=""),"",BE28)</f>
        <v>45100</v>
      </c>
      <c r="W28" s="18">
        <f t="array" ref="W28">IF(OR(O28=0,O28=""),"",ROUND(V28*H28,0))</f>
        <v>7667</v>
      </c>
      <c r="X28" s="18">
        <f t="shared" si="10"/>
        <v>0</v>
      </c>
      <c r="Y28" s="18">
        <f t="array" ref="Y28">IF(OR(O28=0,O28=""),"",ROUND(V28*J28,0))</f>
        <v>3608</v>
      </c>
      <c r="Z28" s="135">
        <f t="array" ref="Z28">IF(OR(O28=0,O28=""),"",SUM(V28:Y28))</f>
        <v>56375</v>
      </c>
      <c r="AA28" s="1">
        <f t="array" ref="AA28">IF(OR(O28=0,O28=""),"",IF(V28=0,0,IF($E$2="FIXATION",$B$5,IF(V28=0,0,IF(BD28=7,ROUND(AA27*1.03,-2),AA27)))))</f>
        <v>40300</v>
      </c>
      <c r="AB28" s="2">
        <f t="array" ref="AB28">IF(OR(O28=0,O28=""),"",IF($E$2="fixation",0,ROUND(AA28*G28,0)))</f>
        <v>6851</v>
      </c>
      <c r="AC28" s="18">
        <f t="array" ref="AC28">IF(OR(O28=0,O28=""),"",AC27)</f>
        <v>0</v>
      </c>
      <c r="AD28" s="2">
        <f t="array" ref="AD28">IF(OR(O28=0,O28=""),"",IF($E$2="fixation",0,ROUND(AA28*I28,0)))</f>
        <v>3224</v>
      </c>
      <c r="AE28" s="135">
        <f t="array" ref="AE28">IF(OR(O28=0,O28=""),"",SUM(AA28:AD28))</f>
        <v>50375</v>
      </c>
      <c r="AF28" s="1">
        <f t="array" ref="AF28">IF(OR(O28=0,O28=""),"",V28-AA28)</f>
        <v>4800</v>
      </c>
      <c r="AG28" s="2">
        <f t="array" ref="AG28">IF(OR(O28=0,O28=""),"",W28-AB28)</f>
        <v>816</v>
      </c>
      <c r="AH28" s="2">
        <f t="array" ref="AH28">IF(OR(O28=0,O28=""),"",X28-AC28)</f>
        <v>0</v>
      </c>
      <c r="AI28" s="2">
        <f t="array" ref="AI28">IF(OR(O28=0,O28=""),"",Y28-AD28)</f>
        <v>384</v>
      </c>
      <c r="AJ28" s="136">
        <f t="array" ref="AJ28">IF(OR(O28=0,O28=""),"",Z28-AE28)</f>
        <v>6000</v>
      </c>
      <c r="AK28" s="4">
        <f t="array" ref="AK28">IF(OR(O28=0,O28=""),"",IF(M28="",$AZ$2,$AZ$2+M28))</f>
        <v>4500</v>
      </c>
      <c r="AL28" s="3">
        <f t="array" ref="AL28">IF(OR(O28=0,O28=""),"",$AQ$2)</f>
        <v>4500</v>
      </c>
      <c r="AM28" s="137">
        <f t="array" ref="AM28">IF(OR(O28=0,O28=""),"",AK28-AL28)</f>
        <v>0</v>
      </c>
      <c r="AN28" s="3">
        <f t="array" ref="AN28">IF(OR(O27=0,O27="",AN27="",AN27=""),"",AN27)</f>
        <v>3000</v>
      </c>
      <c r="AO28" s="2">
        <f t="array" ref="AO28">IF(OR(O27=0,O27="",AO27="",AO27=""),"",AO27)</f>
        <v>3000</v>
      </c>
      <c r="AP28" s="137">
        <f t="array" ref="AP28">IF(OR(O28=0,O28=""),"",SUM(AN28-AO28))</f>
        <v>0</v>
      </c>
      <c r="AQ28" s="106" t="str">
        <f t="array" ref="AQ28">IF(OR(O28=0,O28=""),"",IF(AND('Basic Data Entry'!$C$10="state Service",'Arear Table Unprotected)'!T28=2020,S28=3),ROUND(V28/31*5,0),IF(AND('Basic Data Entry'!$C$10="state Service",'Arear Table Unprotected)'!T28=2020,S28=9),ROUND(Z28/30*2,0),IF(AND('Basic Data Entry'!$C$10="state Service",'Arear Table Unprotected)'!T28=2020,S28=10),ROUND(Z28/31*2,0),IF(AND('Basic Data Entry'!$C$10="subordinate",'Arear Table Unprotected)'!T28=2020,S28=3),ROUND(V28/31*3,0),IF(AND('Basic Data Entry'!$C$10="subordinate",'Arear Table Unprotected)'!T28=2020,S28=9),ROUND(Z28/30*1,0),IF(AND('Basic Data Entry'!$C$10="subordinate",'Arear Table Unprotected)'!T28=2020,S28=10),ROUND(Z28/31*1,0),IF(AND('Basic Data Entry'!$C$10="ministrial",'Arear Table Unprotected)'!T28=2020,S28=3),ROUND(V28/31*1,0),""))))))))</f>
        <v/>
      </c>
      <c r="AR28" s="107" t="str">
        <f t="array" ref="AR28">IF(OR(O28=0,O28=""),"",IF(AND('Basic Data Entry'!$C$10="state Service",'Arear Table Unprotected)'!T28=2020,S28=3),ROUND(AA28/31*5,0),IF(AND('Basic Data Entry'!$C$10="state Service",'Arear Table Unprotected)'!T28=2020,S28=9),ROUND(AE28/30*2,0),IF(AND('Basic Data Entry'!$C$10="state Service",'Arear Table Unprotected)'!T28=2020,S28=10),ROUND(AE28/31*2,0),IF(AND('Basic Data Entry'!$C$10="subordinate",'Arear Table Unprotected)'!T28=2020,S28=3),ROUND(AA28/31*3,0),IF(AND('Basic Data Entry'!$C$10="subordinate",'Arear Table Unprotected)'!T28=2020,S28=9),ROUND(AE28/30*1,0),IF(AND('Basic Data Entry'!$C$10="subordinate",'Arear Table Unprotected)'!T28=2020,S28=10),ROUND(AE28/31*1,0),IF(AND('Basic Data Entry'!$C$10="ministrial",'Arear Table Unprotected)'!T28=2020,S28=3),ROUND(AA28/31*1,0),""))))))))</f>
        <v/>
      </c>
      <c r="AS28" s="138" t="str">
        <f t="array" ref="AS28">IF(OR(O28=0,O28="",AQ28="",AR28=""),"",AQ28-AR28)</f>
        <v/>
      </c>
      <c r="AT28" s="44">
        <f t="array" ref="AT28">IF(OR(O27=0,O27=""),"",AT27)</f>
        <v>0</v>
      </c>
      <c r="AU28" s="45">
        <f t="array" ref="AU28">IF(OR(O27=0,O27=""),"",AU27)</f>
        <v>0</v>
      </c>
      <c r="AV28" s="139">
        <f t="array" ref="AV28">IF(OR(O28=0,O28=""),"",SUM(AT28-AU28))</f>
        <v>0</v>
      </c>
      <c r="AW28" s="36">
        <f t="array" ref="AW28">IF(OR(O28=0,O28=""),"",ROUND((AJ28)*$E$3,0))</f>
        <v>600</v>
      </c>
      <c r="AX28" s="36">
        <f t="array" ref="AX28">IF(OR(O28=0,O28=""),"",SUM(AM28,AP28,AS28,AV28,AW28))</f>
        <v>600</v>
      </c>
      <c r="AY28" s="140">
        <f t="array" ref="AY28">IF(OR(O28=0,O28=""),"",AJ28-AX28)</f>
        <v>5400</v>
      </c>
      <c r="AZ28" s="46"/>
      <c r="BA28" s="24"/>
      <c r="BB28" s="24"/>
      <c r="BC28" s="11">
        <f t="shared" si="11"/>
        <v>43931</v>
      </c>
      <c r="BD28" s="84">
        <f t="shared" si="12"/>
        <v>4</v>
      </c>
      <c r="BE28" s="84">
        <f t="shared" si="18"/>
        <v>45100</v>
      </c>
      <c r="BI28" s="22">
        <f t="shared" si="19"/>
        <v>43931</v>
      </c>
      <c r="BK28" s="19">
        <f t="shared" si="13"/>
        <v>1</v>
      </c>
      <c r="BL28" s="20" t="str">
        <f t="array" ref="BL28">IF(OR(O28=0,O28=""),"",U28)</f>
        <v>42020</v>
      </c>
      <c r="BM28" s="19">
        <f t="array" ref="BM28">IF(OR(O28=0,O28=""),"",BK28+BL28)</f>
        <v>42021</v>
      </c>
      <c r="BN28" s="21">
        <f t="shared" si="14"/>
        <v>0</v>
      </c>
      <c r="BO28" s="21">
        <f t="shared" si="15"/>
        <v>0</v>
      </c>
      <c r="BP28" s="23">
        <f t="shared" si="16"/>
        <v>0</v>
      </c>
      <c r="BQ28" s="21" t="str">
        <f t="shared" si="17"/>
        <v>00</v>
      </c>
      <c r="BW28" s="81" t="str">
        <f>IF(OR(O28=0,O28=""),"",IF('Basic Data Entry'!$C$9="fixation","yes",""))</f>
        <v/>
      </c>
      <c r="BX28" s="81" t="str">
        <f>IF(OR(O28=0,O28=""),"",IF('Basic Data Entry'!$G$12="yes","yes","no"))</f>
        <v>no</v>
      </c>
    </row>
    <row r="29" spans="1:76" ht="18" customHeight="1" thickBot="1">
      <c r="A29" s="10">
        <f t="shared" si="6"/>
        <v>45100</v>
      </c>
      <c r="B29" s="305"/>
      <c r="C29" s="305"/>
      <c r="D29" s="305"/>
      <c r="E29" s="305"/>
      <c r="F29" s="108">
        <f t="shared" si="1"/>
        <v>43962</v>
      </c>
      <c r="G29" s="227">
        <f t="shared" si="2"/>
        <v>0.17</v>
      </c>
      <c r="H29" s="228">
        <f t="shared" si="3"/>
        <v>0.17</v>
      </c>
      <c r="I29" s="228">
        <f>IF(OR($E$2="fixation",O29="",O29=0),"",IF(AND('Basic Data Entry'!$G$11="Z-Rural",'Arear Table Unprotected)'!T29&lt;2021),0.08,IF(AND('Basic Data Entry'!$G$11="Y-Urban",'Arear Table Unprotected)'!T29&lt;2021),0.16,IF(AND('Basic Data Entry'!$G$11="Z-Rural",'Arear Table Unprotected)'!T29=2021,S29&gt;=7),0.09,IF(AND('Basic Data Entry'!$G$11="Y-Urban",'Arear Table Unprotected)'!T29=2021,'Arear Table Unprotected)'!S29&gt;=7),0.18,IF(AND('Basic Data Entry'!$G$11="Z-Rural",'Arear Table Unprotected)'!T29=2021,S29&lt;7),0.08,IF(AND('Basic Data Entry'!$G$11="Y-Urban",'Arear Table Unprotected)'!T29=2021,'Arear Table Unprotected)'!S29&lt;7),0.16,IF(AND('Basic Data Entry'!$G$11="Z-Rural",'Arear Table Unprotected)'!T29=2022),0.09,IF(AND('Basic Data Entry'!$G$11="Y-Urban",'Arear Table Unprotected)'!T29=2022),0.18,IF(AND('Basic Data Entry'!$G$11="Z-Rural",'Arear Table Unprotected)'!T29=2023),0.09,IF(AND('Basic Data Entry'!$G$11="Y-Urban",'Arear Table Unprotected)'!T29=2023),0.18,"")))))))))))</f>
        <v>0.08</v>
      </c>
      <c r="J29" s="229">
        <f>IF(OR(O29="",O29=0),"",IF(AND('Basic Data Entry'!$G$11="Z-Rural",'Arear Table Unprotected)'!T29&lt;2021),0.08,IF(AND('Basic Data Entry'!$G$11="Y-Urban",'Arear Table Unprotected)'!T29&lt;2021),0.16,IF(AND('Basic Data Entry'!$G$11="Z-Rural",'Arear Table Unprotected)'!T29=2021,S29&gt;=7),0.09,IF(AND('Basic Data Entry'!$G$11="Y-Urban",'Arear Table Unprotected)'!T29=2021,'Arear Table Unprotected)'!S29&gt;=7),0.18,IF(AND('Basic Data Entry'!$G$11="Z-Rural",'Arear Table Unprotected)'!T29=2021,S29&lt;7),0.08,IF(AND('Basic Data Entry'!$G$11="Y-Urban",'Arear Table Unprotected)'!T29=2021,'Arear Table Unprotected)'!S29&lt;7),0.16,IF(AND('Basic Data Entry'!$G$11="Z-Rural",'Arear Table Unprotected)'!T29=2022),0.09,IF(AND('Basic Data Entry'!$G$11="Y-Urban",'Arear Table Unprotected)'!T29=2022),0.18,IF(AND('Basic Data Entry'!$G$11="Z-Rural",'Arear Table Unprotected)'!T29=2023),0.09,IF(AND('Basic Data Entry'!$G$11="Y-Urban",'Arear Table Unprotected)'!T29=2023),0.18,"")))))))))))</f>
        <v>0.08</v>
      </c>
      <c r="K29" s="230" t="str">
        <f t="shared" si="4"/>
        <v/>
      </c>
      <c r="L29" s="231" t="str">
        <f t="shared" si="5"/>
        <v/>
      </c>
      <c r="M29" s="232" t="str">
        <f t="shared" si="7"/>
        <v/>
      </c>
      <c r="N29" s="196">
        <v>17</v>
      </c>
      <c r="O29" s="327">
        <f t="shared" si="8"/>
        <v>43962</v>
      </c>
      <c r="P29" s="328"/>
      <c r="Q29" s="328"/>
      <c r="R29" s="329"/>
      <c r="S29" s="161">
        <f t="array" ref="S29">IF(OR(O29=0,O29=""),"",MONTH(O29))</f>
        <v>5</v>
      </c>
      <c r="T29" s="161">
        <f t="array" ref="T29">IF(OR(O29=0,O29=""),"",YEAR(O29))</f>
        <v>2020</v>
      </c>
      <c r="U29" s="161" t="str">
        <f t="shared" si="9"/>
        <v>52020</v>
      </c>
      <c r="V29" s="6">
        <f t="array" ref="V29">IF(OR(O29=0,O29=""),"",BE29)</f>
        <v>45100</v>
      </c>
      <c r="W29" s="18">
        <f t="array" ref="W29">IF(OR(O29=0,O29=""),"",ROUND(V29*H29,0))</f>
        <v>7667</v>
      </c>
      <c r="X29" s="18">
        <f t="shared" si="10"/>
        <v>0</v>
      </c>
      <c r="Y29" s="18">
        <f t="array" ref="Y29">IF(OR(O29=0,O29=""),"",ROUND(V29*J29,0))</f>
        <v>3608</v>
      </c>
      <c r="Z29" s="135">
        <f t="array" ref="Z29">IF(OR(O29=0,O29=""),"",SUM(V29:Y29))</f>
        <v>56375</v>
      </c>
      <c r="AA29" s="1">
        <f t="array" ref="AA29">IF(OR(O29=0,O29=""),"",IF(V29=0,0,IF($E$2="FIXATION",$B$5,IF(V29=0,0,IF(BD29=7,ROUND(AA28*1.03,-2),AA28)))))</f>
        <v>40300</v>
      </c>
      <c r="AB29" s="2">
        <f t="array" ref="AB29">IF(OR(O29=0,O29=""),"",IF($E$2="fixation",0,ROUND(AA29*G29,0)))</f>
        <v>6851</v>
      </c>
      <c r="AC29" s="18">
        <f t="array" ref="AC29">IF(OR(O29=0,O29=""),"",AC28)</f>
        <v>0</v>
      </c>
      <c r="AD29" s="2">
        <f t="array" ref="AD29">IF(OR(O29=0,O29=""),"",IF($E$2="fixation",0,ROUND(AA29*I29,0)))</f>
        <v>3224</v>
      </c>
      <c r="AE29" s="135">
        <f t="array" ref="AE29">IF(OR(O29=0,O29=""),"",SUM(AA29:AD29))</f>
        <v>50375</v>
      </c>
      <c r="AF29" s="1">
        <f t="array" ref="AF29">IF(OR(O29=0,O29=""),"",V29-AA29)</f>
        <v>4800</v>
      </c>
      <c r="AG29" s="2">
        <f t="array" ref="AG29">IF(OR(O29=0,O29=""),"",W29-AB29)</f>
        <v>816</v>
      </c>
      <c r="AH29" s="2">
        <f t="array" ref="AH29">IF(OR(O29=0,O29=""),"",X29-AC29)</f>
        <v>0</v>
      </c>
      <c r="AI29" s="2">
        <f t="array" ref="AI29">IF(OR(O29=0,O29=""),"",Y29-AD29)</f>
        <v>384</v>
      </c>
      <c r="AJ29" s="136">
        <f t="array" ref="AJ29">IF(OR(O29=0,O29=""),"",Z29-AE29)</f>
        <v>6000</v>
      </c>
      <c r="AK29" s="4">
        <f t="array" ref="AK29">IF(OR(O29=0,O29=""),"",IF(M29="",$AZ$2,$AZ$2+M29))</f>
        <v>4500</v>
      </c>
      <c r="AL29" s="3">
        <f t="array" ref="AL29">IF(OR(O29=0,O29=""),"",$AQ$2)</f>
        <v>4500</v>
      </c>
      <c r="AM29" s="137">
        <f t="array" ref="AM29">IF(OR(O29=0,O29=""),"",AK29-AL29)</f>
        <v>0</v>
      </c>
      <c r="AN29" s="3">
        <f t="array" ref="AN29">IF(OR(O28=0,O28="",AN28="",AN28=""),"",AN28)</f>
        <v>3000</v>
      </c>
      <c r="AO29" s="2">
        <f t="array" ref="AO29">IF(OR(O28=0,O28="",AO28="",AO28=""),"",AO28)</f>
        <v>3000</v>
      </c>
      <c r="AP29" s="137">
        <f t="array" ref="AP29">IF(OR(O29=0,O29=""),"",SUM(AN29-AO29))</f>
        <v>0</v>
      </c>
      <c r="AQ29" s="106" t="str">
        <f t="array" ref="AQ29">IF(OR(O29=0,O29=""),"",IF(AND('Basic Data Entry'!$C$10="state Service",'Arear Table Unprotected)'!T29=2020,S29=3),ROUND(V29/31*5,0),IF(AND('Basic Data Entry'!$C$10="state Service",'Arear Table Unprotected)'!T29=2020,S29=9),ROUND(Z29/30*2,0),IF(AND('Basic Data Entry'!$C$10="state Service",'Arear Table Unprotected)'!T29=2020,S29=10),ROUND(Z29/31*2,0),IF(AND('Basic Data Entry'!$C$10="subordinate",'Arear Table Unprotected)'!T29=2020,S29=3),ROUND(V29/31*3,0),IF(AND('Basic Data Entry'!$C$10="subordinate",'Arear Table Unprotected)'!T29=2020,S29=9),ROUND(Z29/30*1,0),IF(AND('Basic Data Entry'!$C$10="subordinate",'Arear Table Unprotected)'!T29=2020,S29=10),ROUND(Z29/31*1,0),IF(AND('Basic Data Entry'!$C$10="ministrial",'Arear Table Unprotected)'!T29=2020,S29=3),ROUND(V29/31*1,0),""))))))))</f>
        <v/>
      </c>
      <c r="AR29" s="107" t="str">
        <f t="array" ref="AR29">IF(OR(O29=0,O29=""),"",IF(AND('Basic Data Entry'!$C$10="state Service",'Arear Table Unprotected)'!T29=2020,S29=3),ROUND(AA29/31*5,0),IF(AND('Basic Data Entry'!$C$10="state Service",'Arear Table Unprotected)'!T29=2020,S29=9),ROUND(AE29/30*2,0),IF(AND('Basic Data Entry'!$C$10="state Service",'Arear Table Unprotected)'!T29=2020,S29=10),ROUND(AE29/31*2,0),IF(AND('Basic Data Entry'!$C$10="subordinate",'Arear Table Unprotected)'!T29=2020,S29=3),ROUND(AA29/31*3,0),IF(AND('Basic Data Entry'!$C$10="subordinate",'Arear Table Unprotected)'!T29=2020,S29=9),ROUND(AE29/30*1,0),IF(AND('Basic Data Entry'!$C$10="subordinate",'Arear Table Unprotected)'!T29=2020,S29=10),ROUND(AE29/31*1,0),IF(AND('Basic Data Entry'!$C$10="ministrial",'Arear Table Unprotected)'!T29=2020,S29=3),ROUND(AA29/31*1,0),""))))))))</f>
        <v/>
      </c>
      <c r="AS29" s="138" t="str">
        <f t="array" ref="AS29">IF(OR(O29=0,O29="",AQ29="",AR29=""),"",AQ29-AR29)</f>
        <v/>
      </c>
      <c r="AT29" s="44">
        <f t="array" ref="AT29">IF(OR(O28=0,O28=""),"",AT28)</f>
        <v>0</v>
      </c>
      <c r="AU29" s="45">
        <f t="array" ref="AU29">IF(OR(O28=0,O28=""),"",AU28)</f>
        <v>0</v>
      </c>
      <c r="AV29" s="139">
        <f t="array" ref="AV29">IF(OR(O29=0,O29=""),"",SUM(AT29-AU29))</f>
        <v>0</v>
      </c>
      <c r="AW29" s="36">
        <f t="array" ref="AW29">IF(OR(O29=0,O29=""),"",ROUND((AJ29)*$E$3,0))</f>
        <v>600</v>
      </c>
      <c r="AX29" s="36">
        <f t="array" ref="AX29">IF(OR(O29=0,O29=""),"",SUM(AM29,AP29,AS29,AV29,AW29))</f>
        <v>600</v>
      </c>
      <c r="AY29" s="140">
        <f t="array" ref="AY29">IF(OR(O29=0,O29=""),"",AJ29-AX29)</f>
        <v>5400</v>
      </c>
      <c r="AZ29" s="46"/>
      <c r="BA29" s="24"/>
      <c r="BB29" s="24"/>
      <c r="BC29" s="11">
        <f t="shared" si="11"/>
        <v>43962</v>
      </c>
      <c r="BD29" s="84">
        <f t="shared" si="12"/>
        <v>5</v>
      </c>
      <c r="BE29" s="84">
        <f t="shared" si="18"/>
        <v>45100</v>
      </c>
      <c r="BI29" s="22">
        <f t="shared" si="19"/>
        <v>43962</v>
      </c>
      <c r="BK29" s="19">
        <f t="shared" si="13"/>
        <v>1</v>
      </c>
      <c r="BL29" s="20" t="str">
        <f t="array" ref="BL29">IF(OR(O29=0,O29=""),"",U29)</f>
        <v>52020</v>
      </c>
      <c r="BM29" s="19">
        <f t="array" ref="BM29">IF(OR(O29=0,O29=""),"",BK29+BL29)</f>
        <v>52021</v>
      </c>
      <c r="BN29" s="21">
        <f t="shared" si="14"/>
        <v>0</v>
      </c>
      <c r="BO29" s="21">
        <f t="shared" si="15"/>
        <v>0</v>
      </c>
      <c r="BP29" s="23">
        <f t="shared" si="16"/>
        <v>0</v>
      </c>
      <c r="BQ29" s="21" t="str">
        <f t="shared" si="17"/>
        <v>00</v>
      </c>
      <c r="BW29" s="81" t="str">
        <f>IF(OR(O29=0,O29=""),"",IF('Basic Data Entry'!$C$9="fixation","yes",""))</f>
        <v/>
      </c>
      <c r="BX29" s="81" t="str">
        <f>IF(OR(O29=0,O29=""),"",IF('Basic Data Entry'!$G$12="yes","yes","no"))</f>
        <v>no</v>
      </c>
    </row>
    <row r="30" spans="1:76" ht="18" customHeight="1" thickBot="1">
      <c r="A30" s="10">
        <f t="shared" si="6"/>
        <v>45100</v>
      </c>
      <c r="B30" s="305"/>
      <c r="C30" s="305"/>
      <c r="D30" s="305"/>
      <c r="E30" s="305"/>
      <c r="F30" s="108">
        <f t="shared" si="1"/>
        <v>43993</v>
      </c>
      <c r="G30" s="227">
        <f t="shared" si="2"/>
        <v>0.17</v>
      </c>
      <c r="H30" s="228">
        <f t="shared" si="3"/>
        <v>0.17</v>
      </c>
      <c r="I30" s="228">
        <f>IF(OR($E$2="fixation",O30="",O30=0),"",IF(AND('Basic Data Entry'!$G$11="Z-Rural",'Arear Table Unprotected)'!T30&lt;2021),0.08,IF(AND('Basic Data Entry'!$G$11="Y-Urban",'Arear Table Unprotected)'!T30&lt;2021),0.16,IF(AND('Basic Data Entry'!$G$11="Z-Rural",'Arear Table Unprotected)'!T30=2021,S30&gt;=7),0.09,IF(AND('Basic Data Entry'!$G$11="Y-Urban",'Arear Table Unprotected)'!T30=2021,'Arear Table Unprotected)'!S30&gt;=7),0.18,IF(AND('Basic Data Entry'!$G$11="Z-Rural",'Arear Table Unprotected)'!T30=2021,S30&lt;7),0.08,IF(AND('Basic Data Entry'!$G$11="Y-Urban",'Arear Table Unprotected)'!T30=2021,'Arear Table Unprotected)'!S30&lt;7),0.16,IF(AND('Basic Data Entry'!$G$11="Z-Rural",'Arear Table Unprotected)'!T30=2022),0.09,IF(AND('Basic Data Entry'!$G$11="Y-Urban",'Arear Table Unprotected)'!T30=2022),0.18,IF(AND('Basic Data Entry'!$G$11="Z-Rural",'Arear Table Unprotected)'!T30=2023),0.09,IF(AND('Basic Data Entry'!$G$11="Y-Urban",'Arear Table Unprotected)'!T30=2023),0.18,"")))))))))))</f>
        <v>0.08</v>
      </c>
      <c r="J30" s="229">
        <f>IF(OR(O30="",O30=0),"",IF(AND('Basic Data Entry'!$G$11="Z-Rural",'Arear Table Unprotected)'!T30&lt;2021),0.08,IF(AND('Basic Data Entry'!$G$11="Y-Urban",'Arear Table Unprotected)'!T30&lt;2021),0.16,IF(AND('Basic Data Entry'!$G$11="Z-Rural",'Arear Table Unprotected)'!T30=2021,S30&gt;=7),0.09,IF(AND('Basic Data Entry'!$G$11="Y-Urban",'Arear Table Unprotected)'!T30=2021,'Arear Table Unprotected)'!S30&gt;=7),0.18,IF(AND('Basic Data Entry'!$G$11="Z-Rural",'Arear Table Unprotected)'!T30=2021,S30&lt;7),0.08,IF(AND('Basic Data Entry'!$G$11="Y-Urban",'Arear Table Unprotected)'!T30=2021,'Arear Table Unprotected)'!S30&lt;7),0.16,IF(AND('Basic Data Entry'!$G$11="Z-Rural",'Arear Table Unprotected)'!T30=2022),0.09,IF(AND('Basic Data Entry'!$G$11="Y-Urban",'Arear Table Unprotected)'!T30=2022),0.18,IF(AND('Basic Data Entry'!$G$11="Z-Rural",'Arear Table Unprotected)'!T30=2023),0.09,IF(AND('Basic Data Entry'!$G$11="Y-Urban",'Arear Table Unprotected)'!T30=2023),0.18,"")))))))))))</f>
        <v>0.08</v>
      </c>
      <c r="K30" s="230" t="str">
        <f t="shared" si="4"/>
        <v/>
      </c>
      <c r="L30" s="231" t="str">
        <f t="shared" si="5"/>
        <v/>
      </c>
      <c r="M30" s="232" t="str">
        <f t="shared" si="7"/>
        <v/>
      </c>
      <c r="N30" s="196">
        <v>18</v>
      </c>
      <c r="O30" s="327">
        <f t="shared" si="8"/>
        <v>43993</v>
      </c>
      <c r="P30" s="328"/>
      <c r="Q30" s="328"/>
      <c r="R30" s="329"/>
      <c r="S30" s="161">
        <f t="array" ref="S30">IF(OR(O30=0,O30=""),"",MONTH(O30))</f>
        <v>6</v>
      </c>
      <c r="T30" s="161">
        <f t="array" ref="T30">IF(OR(O30=0,O30=""),"",YEAR(O30))</f>
        <v>2020</v>
      </c>
      <c r="U30" s="161" t="str">
        <f t="shared" si="9"/>
        <v>62020</v>
      </c>
      <c r="V30" s="6">
        <f t="array" ref="V30">IF(OR(O30=0,O30=""),"",BE30)</f>
        <v>45100</v>
      </c>
      <c r="W30" s="18">
        <f t="array" ref="W30">IF(OR(O30=0,O30=""),"",ROUND(V30*H30,0))</f>
        <v>7667</v>
      </c>
      <c r="X30" s="18">
        <f t="shared" si="10"/>
        <v>0</v>
      </c>
      <c r="Y30" s="18">
        <f t="array" ref="Y30">IF(OR(O30=0,O30=""),"",ROUND(V30*J30,0))</f>
        <v>3608</v>
      </c>
      <c r="Z30" s="135">
        <f t="array" ref="Z30">IF(OR(O30=0,O30=""),"",SUM(V30:Y30))</f>
        <v>56375</v>
      </c>
      <c r="AA30" s="1">
        <f t="array" ref="AA30">IF(OR(O30=0,O30=""),"",IF(V30=0,0,IF($E$2="FIXATION",$B$5,IF(V30=0,0,IF(BD30=7,ROUND(AA29*1.03,-2),AA29)))))</f>
        <v>40300</v>
      </c>
      <c r="AB30" s="2">
        <f t="array" ref="AB30">IF(OR(O30=0,O30=""),"",IF($E$2="fixation",0,ROUND(AA30*G30,0)))</f>
        <v>6851</v>
      </c>
      <c r="AC30" s="18">
        <f t="array" ref="AC30">IF(OR(O30=0,O30=""),"",AC29)</f>
        <v>0</v>
      </c>
      <c r="AD30" s="2">
        <f t="array" ref="AD30">IF(OR(O30=0,O30=""),"",IF($E$2="fixation",0,ROUND(AA30*I30,0)))</f>
        <v>3224</v>
      </c>
      <c r="AE30" s="135">
        <f t="array" ref="AE30">IF(OR(O30=0,O30=""),"",SUM(AA30:AD30))</f>
        <v>50375</v>
      </c>
      <c r="AF30" s="1">
        <f t="array" ref="AF30">IF(OR(O30=0,O30=""),"",V30-AA30)</f>
        <v>4800</v>
      </c>
      <c r="AG30" s="2">
        <f t="array" ref="AG30">IF(OR(O30=0,O30=""),"",W30-AB30)</f>
        <v>816</v>
      </c>
      <c r="AH30" s="2">
        <f t="array" ref="AH30">IF(OR(O30=0,O30=""),"",X30-AC30)</f>
        <v>0</v>
      </c>
      <c r="AI30" s="2">
        <f t="array" ref="AI30">IF(OR(O30=0,O30=""),"",Y30-AD30)</f>
        <v>384</v>
      </c>
      <c r="AJ30" s="136">
        <f t="array" ref="AJ30">IF(OR(O30=0,O30=""),"",Z30-AE30)</f>
        <v>6000</v>
      </c>
      <c r="AK30" s="4">
        <f t="array" ref="AK30">IF(OR(O30=0,O30=""),"",IF(M30="",$AZ$2,$AZ$2+M30))</f>
        <v>4500</v>
      </c>
      <c r="AL30" s="3">
        <f t="array" ref="AL30">IF(OR(O30=0,O30=""),"",$AQ$2)</f>
        <v>4500</v>
      </c>
      <c r="AM30" s="137">
        <f t="array" ref="AM30">IF(OR(O30=0,O30=""),"",AK30-AL30)</f>
        <v>0</v>
      </c>
      <c r="AN30" s="3">
        <f t="array" ref="AN30">IF(OR(O29=0,O29="",AN29="",AN29=""),"",AN29)</f>
        <v>3000</v>
      </c>
      <c r="AO30" s="2">
        <f t="array" ref="AO30">IF(OR(O29=0,O29="",AO29="",AO29=""),"",AO29)</f>
        <v>3000</v>
      </c>
      <c r="AP30" s="137">
        <f t="array" ref="AP30">IF(OR(O30=0,O30=""),"",SUM(AN30-AO30))</f>
        <v>0</v>
      </c>
      <c r="AQ30" s="106" t="str">
        <f t="array" ref="AQ30">IF(OR(O30=0,O30=""),"",IF(AND('Basic Data Entry'!$C$10="state Service",'Arear Table Unprotected)'!T30=2020,S30=3),ROUND(V30/31*5,0),IF(AND('Basic Data Entry'!$C$10="state Service",'Arear Table Unprotected)'!T30=2020,S30=9),ROUND(Z30/30*2,0),IF(AND('Basic Data Entry'!$C$10="state Service",'Arear Table Unprotected)'!T30=2020,S30=10),ROUND(Z30/31*2,0),IF(AND('Basic Data Entry'!$C$10="subordinate",'Arear Table Unprotected)'!T30=2020,S30=3),ROUND(V30/31*3,0),IF(AND('Basic Data Entry'!$C$10="subordinate",'Arear Table Unprotected)'!T30=2020,S30=9),ROUND(Z30/30*1,0),IF(AND('Basic Data Entry'!$C$10="subordinate",'Arear Table Unprotected)'!T30=2020,S30=10),ROUND(Z30/31*1,0),IF(AND('Basic Data Entry'!$C$10="ministrial",'Arear Table Unprotected)'!T30=2020,S30=3),ROUND(V30/31*1,0),""))))))))</f>
        <v/>
      </c>
      <c r="AR30" s="107" t="str">
        <f t="array" ref="AR30">IF(OR(O30=0,O30=""),"",IF(AND('Basic Data Entry'!$C$10="state Service",'Arear Table Unprotected)'!T30=2020,S30=3),ROUND(AA30/31*5,0),IF(AND('Basic Data Entry'!$C$10="state Service",'Arear Table Unprotected)'!T30=2020,S30=9),ROUND(AE30/30*2,0),IF(AND('Basic Data Entry'!$C$10="state Service",'Arear Table Unprotected)'!T30=2020,S30=10),ROUND(AE30/31*2,0),IF(AND('Basic Data Entry'!$C$10="subordinate",'Arear Table Unprotected)'!T30=2020,S30=3),ROUND(AA30/31*3,0),IF(AND('Basic Data Entry'!$C$10="subordinate",'Arear Table Unprotected)'!T30=2020,S30=9),ROUND(AE30/30*1,0),IF(AND('Basic Data Entry'!$C$10="subordinate",'Arear Table Unprotected)'!T30=2020,S30=10),ROUND(AE30/31*1,0),IF(AND('Basic Data Entry'!$C$10="ministrial",'Arear Table Unprotected)'!T30=2020,S30=3),ROUND(AA30/31*1,0),""))))))))</f>
        <v/>
      </c>
      <c r="AS30" s="138" t="str">
        <f t="array" ref="AS30">IF(OR(O30=0,O30="",AQ30="",AR30=""),"",AQ30-AR30)</f>
        <v/>
      </c>
      <c r="AT30" s="44">
        <f t="array" ref="AT30">IF(OR(O29=0,O29=""),"",AT29)</f>
        <v>0</v>
      </c>
      <c r="AU30" s="45">
        <f t="array" ref="AU30">IF(OR(O29=0,O29=""),"",AU29)</f>
        <v>0</v>
      </c>
      <c r="AV30" s="139">
        <f t="array" ref="AV30">IF(OR(O30=0,O30=""),"",SUM(AT30-AU30))</f>
        <v>0</v>
      </c>
      <c r="AW30" s="36">
        <f t="array" ref="AW30">IF(OR(O30=0,O30=""),"",ROUND((AJ30)*$E$3,0))</f>
        <v>600</v>
      </c>
      <c r="AX30" s="36">
        <f t="array" ref="AX30">IF(OR(O30=0,O30=""),"",SUM(AM30,AP30,AS30,AV30,AW30))</f>
        <v>600</v>
      </c>
      <c r="AY30" s="140">
        <f t="array" ref="AY30">IF(OR(O30=0,O30=""),"",AJ30-AX30)</f>
        <v>5400</v>
      </c>
      <c r="AZ30" s="46"/>
      <c r="BA30" s="24"/>
      <c r="BB30" s="24"/>
      <c r="BC30" s="11">
        <f t="shared" si="11"/>
        <v>43993</v>
      </c>
      <c r="BD30" s="84">
        <f t="shared" si="12"/>
        <v>6</v>
      </c>
      <c r="BE30" s="84">
        <f t="shared" si="18"/>
        <v>45100</v>
      </c>
      <c r="BI30" s="22">
        <f t="shared" si="19"/>
        <v>43993</v>
      </c>
      <c r="BK30" s="19">
        <f t="shared" si="13"/>
        <v>1</v>
      </c>
      <c r="BL30" s="20" t="str">
        <f t="array" ref="BL30">IF(OR(O30=0,O30=""),"",U30)</f>
        <v>62020</v>
      </c>
      <c r="BM30" s="19">
        <f t="array" ref="BM30">IF(OR(O30=0,O30=""),"",BK30+BL30)</f>
        <v>62021</v>
      </c>
      <c r="BN30" s="21">
        <f t="shared" si="14"/>
        <v>0</v>
      </c>
      <c r="BO30" s="21">
        <f t="shared" si="15"/>
        <v>0</v>
      </c>
      <c r="BP30" s="23">
        <f t="shared" si="16"/>
        <v>0</v>
      </c>
      <c r="BQ30" s="21" t="str">
        <f t="shared" si="17"/>
        <v>00</v>
      </c>
      <c r="BW30" s="81" t="str">
        <f>IF(OR(O30=0,O30=""),"",IF('Basic Data Entry'!$C$9="fixation","yes",""))</f>
        <v/>
      </c>
      <c r="BX30" s="81" t="str">
        <f>IF(OR(O30=0,O30=""),"",IF('Basic Data Entry'!$G$12="yes","yes","no"))</f>
        <v>no</v>
      </c>
    </row>
    <row r="31" spans="1:76" ht="18" customHeight="1" thickBot="1">
      <c r="A31" s="10">
        <f t="shared" si="6"/>
        <v>46500</v>
      </c>
      <c r="B31" s="305"/>
      <c r="C31" s="305"/>
      <c r="D31" s="305"/>
      <c r="E31" s="305"/>
      <c r="F31" s="108">
        <f t="shared" si="1"/>
        <v>44024</v>
      </c>
      <c r="G31" s="227">
        <f t="shared" si="2"/>
        <v>0.17</v>
      </c>
      <c r="H31" s="228">
        <f t="shared" si="3"/>
        <v>0.17</v>
      </c>
      <c r="I31" s="228">
        <f>IF(OR($E$2="fixation",O31="",O31=0),"",IF(AND('Basic Data Entry'!$G$11="Z-Rural",'Arear Table Unprotected)'!T31&lt;2021),0.08,IF(AND('Basic Data Entry'!$G$11="Y-Urban",'Arear Table Unprotected)'!T31&lt;2021),0.16,IF(AND('Basic Data Entry'!$G$11="Z-Rural",'Arear Table Unprotected)'!T31=2021,S31&gt;=7),0.09,IF(AND('Basic Data Entry'!$G$11="Y-Urban",'Arear Table Unprotected)'!T31=2021,'Arear Table Unprotected)'!S31&gt;=7),0.18,IF(AND('Basic Data Entry'!$G$11="Z-Rural",'Arear Table Unprotected)'!T31=2021,S31&lt;7),0.08,IF(AND('Basic Data Entry'!$G$11="Y-Urban",'Arear Table Unprotected)'!T31=2021,'Arear Table Unprotected)'!S31&lt;7),0.16,IF(AND('Basic Data Entry'!$G$11="Z-Rural",'Arear Table Unprotected)'!T31=2022),0.09,IF(AND('Basic Data Entry'!$G$11="Y-Urban",'Arear Table Unprotected)'!T31=2022),0.18,IF(AND('Basic Data Entry'!$G$11="Z-Rural",'Arear Table Unprotected)'!T31=2023),0.09,IF(AND('Basic Data Entry'!$G$11="Y-Urban",'Arear Table Unprotected)'!T31=2023),0.18,"")))))))))))</f>
        <v>0.08</v>
      </c>
      <c r="J31" s="229">
        <f>IF(OR(O31="",O31=0),"",IF(AND('Basic Data Entry'!$G$11="Z-Rural",'Arear Table Unprotected)'!T31&lt;2021),0.08,IF(AND('Basic Data Entry'!$G$11="Y-Urban",'Arear Table Unprotected)'!T31&lt;2021),0.16,IF(AND('Basic Data Entry'!$G$11="Z-Rural",'Arear Table Unprotected)'!T31=2021,S31&gt;=7),0.09,IF(AND('Basic Data Entry'!$G$11="Y-Urban",'Arear Table Unprotected)'!T31=2021,'Arear Table Unprotected)'!S31&gt;=7),0.18,IF(AND('Basic Data Entry'!$G$11="Z-Rural",'Arear Table Unprotected)'!T31=2021,S31&lt;7),0.08,IF(AND('Basic Data Entry'!$G$11="Y-Urban",'Arear Table Unprotected)'!T31=2021,'Arear Table Unprotected)'!S31&lt;7),0.16,IF(AND('Basic Data Entry'!$G$11="Z-Rural",'Arear Table Unprotected)'!T31=2022),0.09,IF(AND('Basic Data Entry'!$G$11="Y-Urban",'Arear Table Unprotected)'!T31=2022),0.18,IF(AND('Basic Data Entry'!$G$11="Z-Rural",'Arear Table Unprotected)'!T31=2023),0.09,IF(AND('Basic Data Entry'!$G$11="Y-Urban",'Arear Table Unprotected)'!T31=2023),0.18,"")))))))))))</f>
        <v>0.08</v>
      </c>
      <c r="K31" s="230" t="str">
        <f t="shared" si="4"/>
        <v/>
      </c>
      <c r="L31" s="231" t="str">
        <f t="shared" si="5"/>
        <v/>
      </c>
      <c r="M31" s="232" t="str">
        <f t="shared" si="7"/>
        <v/>
      </c>
      <c r="N31" s="196">
        <v>19</v>
      </c>
      <c r="O31" s="327">
        <f t="shared" si="8"/>
        <v>44024</v>
      </c>
      <c r="P31" s="328"/>
      <c r="Q31" s="328"/>
      <c r="R31" s="329"/>
      <c r="S31" s="161">
        <f t="array" ref="S31">IF(OR(O31=0,O31=""),"",MONTH(O31))</f>
        <v>7</v>
      </c>
      <c r="T31" s="161">
        <f t="array" ref="T31">IF(OR(O31=0,O31=""),"",YEAR(O31))</f>
        <v>2020</v>
      </c>
      <c r="U31" s="161" t="str">
        <f t="shared" si="9"/>
        <v>72020</v>
      </c>
      <c r="V31" s="6">
        <f t="array" ref="V31">IF(OR(O31=0,O31=""),"",BE31)</f>
        <v>46500</v>
      </c>
      <c r="W31" s="18">
        <f t="array" ref="W31">IF(OR(O31=0,O31=""),"",ROUND(V31*H31,0))</f>
        <v>7905</v>
      </c>
      <c r="X31" s="18">
        <f t="shared" si="10"/>
        <v>0</v>
      </c>
      <c r="Y31" s="18">
        <f t="array" ref="Y31">IF(OR(O31=0,O31=""),"",ROUND(V31*J31,0))</f>
        <v>3720</v>
      </c>
      <c r="Z31" s="135">
        <f t="array" ref="Z31">IF(OR(O31=0,O31=""),"",SUM(V31:Y31))</f>
        <v>58125</v>
      </c>
      <c r="AA31" s="1">
        <f t="array" ref="AA31">IF(OR(O31=0,O31=""),"",IF(V31=0,0,IF($E$2="FIXATION",$B$5,IF(V31=0,0,IF(BD31=7,ROUND(AA30*1.03,-2),AA30)))))</f>
        <v>41500</v>
      </c>
      <c r="AB31" s="2">
        <f t="array" ref="AB31">IF(OR(O31=0,O31=""),"",IF($E$2="fixation",0,ROUND(AA31*G31,0)))</f>
        <v>7055</v>
      </c>
      <c r="AC31" s="18">
        <f t="array" ref="AC31">IF(OR(O31=0,O31=""),"",AC30)</f>
        <v>0</v>
      </c>
      <c r="AD31" s="2">
        <f t="array" ref="AD31">IF(OR(O31=0,O31=""),"",IF($E$2="fixation",0,ROUND(AA31*I31,0)))</f>
        <v>3320</v>
      </c>
      <c r="AE31" s="135">
        <f t="array" ref="AE31">IF(OR(O31=0,O31=""),"",SUM(AA31:AD31))</f>
        <v>51875</v>
      </c>
      <c r="AF31" s="1">
        <f t="array" ref="AF31">IF(OR(O31=0,O31=""),"",V31-AA31)</f>
        <v>5000</v>
      </c>
      <c r="AG31" s="2">
        <f t="array" ref="AG31">IF(OR(O31=0,O31=""),"",W31-AB31)</f>
        <v>850</v>
      </c>
      <c r="AH31" s="2">
        <f t="array" ref="AH31">IF(OR(O31=0,O31=""),"",X31-AC31)</f>
        <v>0</v>
      </c>
      <c r="AI31" s="2">
        <f t="array" ref="AI31">IF(OR(O31=0,O31=""),"",Y31-AD31)</f>
        <v>400</v>
      </c>
      <c r="AJ31" s="136">
        <f t="array" ref="AJ31">IF(OR(O31=0,O31=""),"",Z31-AE31)</f>
        <v>6250</v>
      </c>
      <c r="AK31" s="4">
        <f t="array" ref="AK31">IF(OR(O31=0,O31=""),"",IF(M31="",$AZ$2,$AZ$2+M31))</f>
        <v>4500</v>
      </c>
      <c r="AL31" s="3">
        <f t="array" ref="AL31">IF(OR(O31=0,O31=""),"",$AQ$2)</f>
        <v>4500</v>
      </c>
      <c r="AM31" s="137">
        <f t="array" ref="AM31">IF(OR(O31=0,O31=""),"",AK31-AL31)</f>
        <v>0</v>
      </c>
      <c r="AN31" s="3">
        <f t="array" ref="AN31">IF(OR(O30=0,O30="",AN30="",AN30=""),"",AN30)</f>
        <v>3000</v>
      </c>
      <c r="AO31" s="2">
        <f t="array" ref="AO31">IF(OR(O30=0,O30="",AO30="",AO30=""),"",AO30)</f>
        <v>3000</v>
      </c>
      <c r="AP31" s="137">
        <f t="array" ref="AP31">IF(OR(O31=0,O31=""),"",SUM(AN31-AO31))</f>
        <v>0</v>
      </c>
      <c r="AQ31" s="106" t="str">
        <f t="array" ref="AQ31">IF(OR(O31=0,O31=""),"",IF(AND('Basic Data Entry'!$C$10="state Service",'Arear Table Unprotected)'!T31=2020,S31=3),ROUND(V31/31*5,0),IF(AND('Basic Data Entry'!$C$10="state Service",'Arear Table Unprotected)'!T31=2020,S31=9),ROUND(Z31/30*2,0),IF(AND('Basic Data Entry'!$C$10="state Service",'Arear Table Unprotected)'!T31=2020,S31=10),ROUND(Z31/31*2,0),IF(AND('Basic Data Entry'!$C$10="subordinate",'Arear Table Unprotected)'!T31=2020,S31=3),ROUND(V31/31*3,0),IF(AND('Basic Data Entry'!$C$10="subordinate",'Arear Table Unprotected)'!T31=2020,S31=9),ROUND(Z31/30*1,0),IF(AND('Basic Data Entry'!$C$10="subordinate",'Arear Table Unprotected)'!T31=2020,S31=10),ROUND(Z31/31*1,0),IF(AND('Basic Data Entry'!$C$10="ministrial",'Arear Table Unprotected)'!T31=2020,S31=3),ROUND(V31/31*1,0),""))))))))</f>
        <v/>
      </c>
      <c r="AR31" s="107" t="str">
        <f t="array" ref="AR31">IF(OR(O31=0,O31=""),"",IF(AND('Basic Data Entry'!$C$10="state Service",'Arear Table Unprotected)'!T31=2020,S31=3),ROUND(AA31/31*5,0),IF(AND('Basic Data Entry'!$C$10="state Service",'Arear Table Unprotected)'!T31=2020,S31=9),ROUND(AE31/30*2,0),IF(AND('Basic Data Entry'!$C$10="state Service",'Arear Table Unprotected)'!T31=2020,S31=10),ROUND(AE31/31*2,0),IF(AND('Basic Data Entry'!$C$10="subordinate",'Arear Table Unprotected)'!T31=2020,S31=3),ROUND(AA31/31*3,0),IF(AND('Basic Data Entry'!$C$10="subordinate",'Arear Table Unprotected)'!T31=2020,S31=9),ROUND(AE31/30*1,0),IF(AND('Basic Data Entry'!$C$10="subordinate",'Arear Table Unprotected)'!T31=2020,S31=10),ROUND(AE31/31*1,0),IF(AND('Basic Data Entry'!$C$10="ministrial",'Arear Table Unprotected)'!T31=2020,S31=3),ROUND(AA31/31*1,0),""))))))))</f>
        <v/>
      </c>
      <c r="AS31" s="138" t="str">
        <f t="array" ref="AS31">IF(OR(O31=0,O31="",AQ31="",AR31=""),"",AQ31-AR31)</f>
        <v/>
      </c>
      <c r="AT31" s="44">
        <f t="array" ref="AT31">IF(OR(O30=0,O30=""),"",AT30)</f>
        <v>0</v>
      </c>
      <c r="AU31" s="45">
        <f t="array" ref="AU31">IF(OR(O30=0,O30=""),"",AU30)</f>
        <v>0</v>
      </c>
      <c r="AV31" s="139">
        <f t="array" ref="AV31">IF(OR(O31=0,O31=""),"",SUM(AT31-AU31))</f>
        <v>0</v>
      </c>
      <c r="AW31" s="36">
        <f t="array" ref="AW31">IF(OR(O31=0,O31=""),"",ROUND((AJ31)*$E$3,0))</f>
        <v>625</v>
      </c>
      <c r="AX31" s="36">
        <f t="array" ref="AX31">IF(OR(O31=0,O31=""),"",SUM(AM31,AP31,AS31,AV31,AW31))</f>
        <v>625</v>
      </c>
      <c r="AY31" s="140">
        <f t="array" ref="AY31">IF(OR(O31=0,O31=""),"",AJ31-AX31)</f>
        <v>5625</v>
      </c>
      <c r="AZ31" s="46"/>
      <c r="BA31" s="24"/>
      <c r="BB31" s="24"/>
      <c r="BC31" s="11">
        <f t="shared" si="11"/>
        <v>44024</v>
      </c>
      <c r="BD31" s="84">
        <f t="shared" si="12"/>
        <v>7</v>
      </c>
      <c r="BE31" s="84">
        <f t="shared" si="18"/>
        <v>46500</v>
      </c>
      <c r="BI31" s="22">
        <f t="shared" si="19"/>
        <v>44024</v>
      </c>
      <c r="BK31" s="19">
        <f t="shared" si="13"/>
        <v>1</v>
      </c>
      <c r="BL31" s="20" t="str">
        <f t="array" ref="BL31">IF(OR(O31=0,O31=""),"",U31)</f>
        <v>72020</v>
      </c>
      <c r="BM31" s="19">
        <f t="array" ref="BM31">IF(OR(O31=0,O31=""),"",BK31+BL31)</f>
        <v>72021</v>
      </c>
      <c r="BN31" s="21">
        <f t="shared" si="14"/>
        <v>0</v>
      </c>
      <c r="BO31" s="21">
        <f t="shared" si="15"/>
        <v>0</v>
      </c>
      <c r="BP31" s="23">
        <f t="shared" si="16"/>
        <v>0</v>
      </c>
      <c r="BQ31" s="21" t="str">
        <f t="shared" si="17"/>
        <v>00</v>
      </c>
      <c r="BW31" s="81" t="str">
        <f>IF(OR(O31=0,O31=""),"",IF('Basic Data Entry'!$C$9="fixation","yes",""))</f>
        <v/>
      </c>
      <c r="BX31" s="81" t="str">
        <f>IF(OR(O31=0,O31=""),"",IF('Basic Data Entry'!$G$12="yes","yes","no"))</f>
        <v>no</v>
      </c>
    </row>
    <row r="32" spans="1:76" ht="18" customHeight="1" thickBot="1">
      <c r="A32" s="10">
        <f t="shared" si="6"/>
        <v>46500</v>
      </c>
      <c r="B32" s="305"/>
      <c r="C32" s="305"/>
      <c r="D32" s="305"/>
      <c r="E32" s="305"/>
      <c r="F32" s="108">
        <f t="shared" si="1"/>
        <v>44055</v>
      </c>
      <c r="G32" s="227">
        <f t="shared" si="2"/>
        <v>0.17</v>
      </c>
      <c r="H32" s="228">
        <f t="shared" si="3"/>
        <v>0.17</v>
      </c>
      <c r="I32" s="228">
        <f>IF(OR($E$2="fixation",O32="",O32=0),"",IF(AND('Basic Data Entry'!$G$11="Z-Rural",'Arear Table Unprotected)'!T32&lt;2021),0.08,IF(AND('Basic Data Entry'!$G$11="Y-Urban",'Arear Table Unprotected)'!T32&lt;2021),0.16,IF(AND('Basic Data Entry'!$G$11="Z-Rural",'Arear Table Unprotected)'!T32=2021,S32&gt;=7),0.09,IF(AND('Basic Data Entry'!$G$11="Y-Urban",'Arear Table Unprotected)'!T32=2021,'Arear Table Unprotected)'!S32&gt;=7),0.18,IF(AND('Basic Data Entry'!$G$11="Z-Rural",'Arear Table Unprotected)'!T32=2021,S32&lt;7),0.08,IF(AND('Basic Data Entry'!$G$11="Y-Urban",'Arear Table Unprotected)'!T32=2021,'Arear Table Unprotected)'!S32&lt;7),0.16,IF(AND('Basic Data Entry'!$G$11="Z-Rural",'Arear Table Unprotected)'!T32=2022),0.09,IF(AND('Basic Data Entry'!$G$11="Y-Urban",'Arear Table Unprotected)'!T32=2022),0.18,IF(AND('Basic Data Entry'!$G$11="Z-Rural",'Arear Table Unprotected)'!T32=2023),0.09,IF(AND('Basic Data Entry'!$G$11="Y-Urban",'Arear Table Unprotected)'!T32=2023),0.18,"")))))))))))</f>
        <v>0.08</v>
      </c>
      <c r="J32" s="229">
        <f>IF(OR(O32="",O32=0),"",IF(AND('Basic Data Entry'!$G$11="Z-Rural",'Arear Table Unprotected)'!T32&lt;2021),0.08,IF(AND('Basic Data Entry'!$G$11="Y-Urban",'Arear Table Unprotected)'!T32&lt;2021),0.16,IF(AND('Basic Data Entry'!$G$11="Z-Rural",'Arear Table Unprotected)'!T32=2021,S32&gt;=7),0.09,IF(AND('Basic Data Entry'!$G$11="Y-Urban",'Arear Table Unprotected)'!T32=2021,'Arear Table Unprotected)'!S32&gt;=7),0.18,IF(AND('Basic Data Entry'!$G$11="Z-Rural",'Arear Table Unprotected)'!T32=2021,S32&lt;7),0.08,IF(AND('Basic Data Entry'!$G$11="Y-Urban",'Arear Table Unprotected)'!T32=2021,'Arear Table Unprotected)'!S32&lt;7),0.16,IF(AND('Basic Data Entry'!$G$11="Z-Rural",'Arear Table Unprotected)'!T32=2022),0.09,IF(AND('Basic Data Entry'!$G$11="Y-Urban",'Arear Table Unprotected)'!T32=2022),0.18,IF(AND('Basic Data Entry'!$G$11="Z-Rural",'Arear Table Unprotected)'!T32=2023),0.09,IF(AND('Basic Data Entry'!$G$11="Y-Urban",'Arear Table Unprotected)'!T32=2023),0.18,"")))))))))))</f>
        <v>0.08</v>
      </c>
      <c r="K32" s="230" t="str">
        <f t="shared" si="4"/>
        <v/>
      </c>
      <c r="L32" s="231" t="str">
        <f t="shared" si="5"/>
        <v/>
      </c>
      <c r="M32" s="232" t="str">
        <f t="shared" si="7"/>
        <v/>
      </c>
      <c r="N32" s="196">
        <v>20</v>
      </c>
      <c r="O32" s="327">
        <f t="shared" si="8"/>
        <v>44055</v>
      </c>
      <c r="P32" s="328"/>
      <c r="Q32" s="328"/>
      <c r="R32" s="329"/>
      <c r="S32" s="161">
        <f t="array" ref="S32">IF(OR(O32=0,O32=""),"",MONTH(O32))</f>
        <v>8</v>
      </c>
      <c r="T32" s="161">
        <f t="array" ref="T32">IF(OR(O32=0,O32=""),"",YEAR(O32))</f>
        <v>2020</v>
      </c>
      <c r="U32" s="161" t="str">
        <f t="shared" si="9"/>
        <v>82020</v>
      </c>
      <c r="V32" s="6">
        <f t="array" ref="V32">IF(OR(O32=0,O32=""),"",BE32)</f>
        <v>46500</v>
      </c>
      <c r="W32" s="18">
        <f t="array" ref="W32">IF(OR(O32=0,O32=""),"",ROUND(V32*H32,0))</f>
        <v>7905</v>
      </c>
      <c r="X32" s="18">
        <f t="shared" si="10"/>
        <v>0</v>
      </c>
      <c r="Y32" s="18">
        <f t="array" ref="Y32">IF(OR(O32=0,O32=""),"",ROUND(V32*J32,0))</f>
        <v>3720</v>
      </c>
      <c r="Z32" s="135">
        <f t="array" ref="Z32">IF(OR(O32=0,O32=""),"",SUM(V32:Y32))</f>
        <v>58125</v>
      </c>
      <c r="AA32" s="1">
        <f t="array" ref="AA32">IF(OR(O32=0,O32=""),"",IF(V32=0,0,IF($E$2="FIXATION",$B$5,IF(V32=0,0,IF(BD32=7,ROUND(AA31*1.03,-2),AA31)))))</f>
        <v>41500</v>
      </c>
      <c r="AB32" s="2">
        <f t="array" ref="AB32">IF(OR(O32=0,O32=""),"",IF($E$2="fixation",0,ROUND(AA32*G32,0)))</f>
        <v>7055</v>
      </c>
      <c r="AC32" s="18">
        <f t="array" ref="AC32">IF(OR(O32=0,O32=""),"",AC31)</f>
        <v>0</v>
      </c>
      <c r="AD32" s="2">
        <f t="array" ref="AD32">IF(OR(O32=0,O32=""),"",IF($E$2="fixation",0,ROUND(AA32*I32,0)))</f>
        <v>3320</v>
      </c>
      <c r="AE32" s="135">
        <f t="array" ref="AE32">IF(OR(O32=0,O32=""),"",SUM(AA32:AD32))</f>
        <v>51875</v>
      </c>
      <c r="AF32" s="1">
        <f t="array" ref="AF32">IF(OR(O32=0,O32=""),"",V32-AA32)</f>
        <v>5000</v>
      </c>
      <c r="AG32" s="2">
        <f t="array" ref="AG32">IF(OR(O32=0,O32=""),"",W32-AB32)</f>
        <v>850</v>
      </c>
      <c r="AH32" s="2">
        <f t="array" ref="AH32">IF(OR(O32=0,O32=""),"",X32-AC32)</f>
        <v>0</v>
      </c>
      <c r="AI32" s="2">
        <f t="array" ref="AI32">IF(OR(O32=0,O32=""),"",Y32-AD32)</f>
        <v>400</v>
      </c>
      <c r="AJ32" s="136">
        <f t="array" ref="AJ32">IF(OR(O32=0,O32=""),"",Z32-AE32)</f>
        <v>6250</v>
      </c>
      <c r="AK32" s="4">
        <f t="array" ref="AK32">IF(OR(O32=0,O32=""),"",IF(M32="",$AZ$2,$AZ$2+M32))</f>
        <v>4500</v>
      </c>
      <c r="AL32" s="3">
        <f t="array" ref="AL32">IF(OR(O32=0,O32=""),"",$AQ$2)</f>
        <v>4500</v>
      </c>
      <c r="AM32" s="137">
        <f t="array" ref="AM32">IF(OR(O32=0,O32=""),"",AK32-AL32)</f>
        <v>0</v>
      </c>
      <c r="AN32" s="3">
        <f t="array" ref="AN32">IF(OR(O31=0,O31="",AN31="",AN31=""),"",AN31)</f>
        <v>3000</v>
      </c>
      <c r="AO32" s="2">
        <f t="array" ref="AO32">IF(OR(O31=0,O31="",AO31="",AO31=""),"",AO31)</f>
        <v>3000</v>
      </c>
      <c r="AP32" s="137">
        <f t="array" ref="AP32">IF(OR(O32=0,O32=""),"",SUM(AN32-AO32))</f>
        <v>0</v>
      </c>
      <c r="AQ32" s="106" t="str">
        <f t="array" ref="AQ32">IF(OR(O32=0,O32=""),"",IF(AND('Basic Data Entry'!$C$10="state Service",'Arear Table Unprotected)'!T32=2020,S32=3),ROUND(V32/31*5,0),IF(AND('Basic Data Entry'!$C$10="state Service",'Arear Table Unprotected)'!T32=2020,S32=9),ROUND(Z32/30*2,0),IF(AND('Basic Data Entry'!$C$10="state Service",'Arear Table Unprotected)'!T32=2020,S32=10),ROUND(Z32/31*2,0),IF(AND('Basic Data Entry'!$C$10="subordinate",'Arear Table Unprotected)'!T32=2020,S32=3),ROUND(V32/31*3,0),IF(AND('Basic Data Entry'!$C$10="subordinate",'Arear Table Unprotected)'!T32=2020,S32=9),ROUND(Z32/30*1,0),IF(AND('Basic Data Entry'!$C$10="subordinate",'Arear Table Unprotected)'!T32=2020,S32=10),ROUND(Z32/31*1,0),IF(AND('Basic Data Entry'!$C$10="ministrial",'Arear Table Unprotected)'!T32=2020,S32=3),ROUND(V32/31*1,0),""))))))))</f>
        <v/>
      </c>
      <c r="AR32" s="107" t="str">
        <f t="array" ref="AR32">IF(OR(O32=0,O32=""),"",IF(AND('Basic Data Entry'!$C$10="state Service",'Arear Table Unprotected)'!T32=2020,S32=3),ROUND(AA32/31*5,0),IF(AND('Basic Data Entry'!$C$10="state Service",'Arear Table Unprotected)'!T32=2020,S32=9),ROUND(AE32/30*2,0),IF(AND('Basic Data Entry'!$C$10="state Service",'Arear Table Unprotected)'!T32=2020,S32=10),ROUND(AE32/31*2,0),IF(AND('Basic Data Entry'!$C$10="subordinate",'Arear Table Unprotected)'!T32=2020,S32=3),ROUND(AA32/31*3,0),IF(AND('Basic Data Entry'!$C$10="subordinate",'Arear Table Unprotected)'!T32=2020,S32=9),ROUND(AE32/30*1,0),IF(AND('Basic Data Entry'!$C$10="subordinate",'Arear Table Unprotected)'!T32=2020,S32=10),ROUND(AE32/31*1,0),IF(AND('Basic Data Entry'!$C$10="ministrial",'Arear Table Unprotected)'!T32=2020,S32=3),ROUND(AA32/31*1,0),""))))))))</f>
        <v/>
      </c>
      <c r="AS32" s="138" t="str">
        <f t="array" ref="AS32">IF(OR(O32=0,O32="",AQ32="",AR32=""),"",AQ32-AR32)</f>
        <v/>
      </c>
      <c r="AT32" s="44">
        <f t="array" ref="AT32">IF(OR(O31=0,O31=""),"",AT31)</f>
        <v>0</v>
      </c>
      <c r="AU32" s="45">
        <f t="array" ref="AU32">IF(OR(O31=0,O31=""),"",AU31)</f>
        <v>0</v>
      </c>
      <c r="AV32" s="139">
        <f t="array" ref="AV32">IF(OR(O32=0,O32=""),"",SUM(AT32-AU32))</f>
        <v>0</v>
      </c>
      <c r="AW32" s="36">
        <f t="array" ref="AW32">IF(OR(O32=0,O32=""),"",ROUND((AJ32)*$E$3,0))</f>
        <v>625</v>
      </c>
      <c r="AX32" s="36">
        <f t="array" ref="AX32">IF(OR(O32=0,O32=""),"",SUM(AM32,AP32,AS32,AV32,AW32))</f>
        <v>625</v>
      </c>
      <c r="AY32" s="140">
        <f t="array" ref="AY32">IF(OR(O32=0,O32=""),"",AJ32-AX32)</f>
        <v>5625</v>
      </c>
      <c r="AZ32" s="46"/>
      <c r="BA32" s="24"/>
      <c r="BB32" s="24"/>
      <c r="BC32" s="11">
        <f t="shared" si="11"/>
        <v>44055</v>
      </c>
      <c r="BD32" s="84">
        <f t="shared" si="12"/>
        <v>8</v>
      </c>
      <c r="BE32" s="84">
        <f t="shared" si="18"/>
        <v>46500</v>
      </c>
      <c r="BI32" s="22">
        <f t="shared" si="19"/>
        <v>44055</v>
      </c>
      <c r="BK32" s="19">
        <f t="shared" si="13"/>
        <v>1</v>
      </c>
      <c r="BL32" s="20" t="str">
        <f t="array" ref="BL32">IF(OR(O32=0,O32=""),"",U32)</f>
        <v>82020</v>
      </c>
      <c r="BM32" s="19">
        <f t="array" ref="BM32">IF(OR(O32=0,O32=""),"",BK32+BL32)</f>
        <v>82021</v>
      </c>
      <c r="BN32" s="21">
        <f t="shared" si="14"/>
        <v>0</v>
      </c>
      <c r="BO32" s="21">
        <f t="shared" si="15"/>
        <v>0</v>
      </c>
      <c r="BP32" s="23">
        <f t="shared" si="16"/>
        <v>0</v>
      </c>
      <c r="BQ32" s="21" t="str">
        <f t="shared" si="17"/>
        <v>00</v>
      </c>
      <c r="BW32" s="81" t="str">
        <f>IF(OR(O32=0,O32=""),"",IF('Basic Data Entry'!$C$9="fixation","yes",""))</f>
        <v/>
      </c>
      <c r="BX32" s="81" t="str">
        <f>IF(OR(O32=0,O32=""),"",IF('Basic Data Entry'!$G$12="yes","yes","no"))</f>
        <v>no</v>
      </c>
    </row>
    <row r="33" spans="1:76" ht="18" customHeight="1" thickBot="1">
      <c r="A33" s="10">
        <f t="shared" si="6"/>
        <v>46500</v>
      </c>
      <c r="B33" s="305"/>
      <c r="C33" s="305"/>
      <c r="D33" s="305"/>
      <c r="E33" s="305"/>
      <c r="F33" s="108">
        <f t="shared" si="1"/>
        <v>44086</v>
      </c>
      <c r="G33" s="227">
        <f t="shared" si="2"/>
        <v>0.17</v>
      </c>
      <c r="H33" s="228">
        <f t="shared" si="3"/>
        <v>0.17</v>
      </c>
      <c r="I33" s="228">
        <f>IF(OR($E$2="fixation",O33="",O33=0),"",IF(AND('Basic Data Entry'!$G$11="Z-Rural",'Arear Table Unprotected)'!T33&lt;2021),0.08,IF(AND('Basic Data Entry'!$G$11="Y-Urban",'Arear Table Unprotected)'!T33&lt;2021),0.16,IF(AND('Basic Data Entry'!$G$11="Z-Rural",'Arear Table Unprotected)'!T33=2021,S33&gt;=7),0.09,IF(AND('Basic Data Entry'!$G$11="Y-Urban",'Arear Table Unprotected)'!T33=2021,'Arear Table Unprotected)'!S33&gt;=7),0.18,IF(AND('Basic Data Entry'!$G$11="Z-Rural",'Arear Table Unprotected)'!T33=2021,S33&lt;7),0.08,IF(AND('Basic Data Entry'!$G$11="Y-Urban",'Arear Table Unprotected)'!T33=2021,'Arear Table Unprotected)'!S33&lt;7),0.16,IF(AND('Basic Data Entry'!$G$11="Z-Rural",'Arear Table Unprotected)'!T33=2022),0.09,IF(AND('Basic Data Entry'!$G$11="Y-Urban",'Arear Table Unprotected)'!T33=2022),0.18,IF(AND('Basic Data Entry'!$G$11="Z-Rural",'Arear Table Unprotected)'!T33=2023),0.09,IF(AND('Basic Data Entry'!$G$11="Y-Urban",'Arear Table Unprotected)'!T33=2023),0.18,"")))))))))))</f>
        <v>0.08</v>
      </c>
      <c r="J33" s="229">
        <f>IF(OR(O33="",O33=0),"",IF(AND('Basic Data Entry'!$G$11="Z-Rural",'Arear Table Unprotected)'!T33&lt;2021),0.08,IF(AND('Basic Data Entry'!$G$11="Y-Urban",'Arear Table Unprotected)'!T33&lt;2021),0.16,IF(AND('Basic Data Entry'!$G$11="Z-Rural",'Arear Table Unprotected)'!T33=2021,S33&gt;=7),0.09,IF(AND('Basic Data Entry'!$G$11="Y-Urban",'Arear Table Unprotected)'!T33=2021,'Arear Table Unprotected)'!S33&gt;=7),0.18,IF(AND('Basic Data Entry'!$G$11="Z-Rural",'Arear Table Unprotected)'!T33=2021,S33&lt;7),0.08,IF(AND('Basic Data Entry'!$G$11="Y-Urban",'Arear Table Unprotected)'!T33=2021,'Arear Table Unprotected)'!S33&lt;7),0.16,IF(AND('Basic Data Entry'!$G$11="Z-Rural",'Arear Table Unprotected)'!T33=2022),0.09,IF(AND('Basic Data Entry'!$G$11="Y-Urban",'Arear Table Unprotected)'!T33=2022),0.18,IF(AND('Basic Data Entry'!$G$11="Z-Rural",'Arear Table Unprotected)'!T33=2023),0.09,IF(AND('Basic Data Entry'!$G$11="Y-Urban",'Arear Table Unprotected)'!T33=2023),0.18,"")))))))))))</f>
        <v>0.08</v>
      </c>
      <c r="K33" s="230" t="str">
        <f t="shared" si="4"/>
        <v/>
      </c>
      <c r="L33" s="231" t="str">
        <f t="shared" si="5"/>
        <v/>
      </c>
      <c r="M33" s="232" t="str">
        <f t="shared" si="7"/>
        <v/>
      </c>
      <c r="N33" s="196">
        <v>21</v>
      </c>
      <c r="O33" s="327">
        <f t="shared" si="8"/>
        <v>44086</v>
      </c>
      <c r="P33" s="328"/>
      <c r="Q33" s="328"/>
      <c r="R33" s="329"/>
      <c r="S33" s="161">
        <f t="array" ref="S33">IF(OR(O33=0,O33=""),"",MONTH(O33))</f>
        <v>9</v>
      </c>
      <c r="T33" s="161">
        <f t="array" ref="T33">IF(OR(O33=0,O33=""),"",YEAR(O33))</f>
        <v>2020</v>
      </c>
      <c r="U33" s="161" t="str">
        <f t="shared" si="9"/>
        <v>92020</v>
      </c>
      <c r="V33" s="6">
        <f t="array" ref="V33">IF(OR(O33=0,O33=""),"",BE33)</f>
        <v>46500</v>
      </c>
      <c r="W33" s="18">
        <f t="array" ref="W33">IF(OR(O33=0,O33=""),"",ROUND(V33*H33,0))</f>
        <v>7905</v>
      </c>
      <c r="X33" s="18">
        <f t="shared" si="10"/>
        <v>0</v>
      </c>
      <c r="Y33" s="18">
        <f t="array" ref="Y33">IF(OR(O33=0,O33=""),"",ROUND(V33*J33,0))</f>
        <v>3720</v>
      </c>
      <c r="Z33" s="135">
        <f t="array" ref="Z33">IF(OR(O33=0,O33=""),"",SUM(V33:Y33))</f>
        <v>58125</v>
      </c>
      <c r="AA33" s="1">
        <f t="array" ref="AA33">IF(OR(O33=0,O33=""),"",IF(V33=0,0,IF($E$2="FIXATION",$B$5,IF(V33=0,0,IF(BD33=7,ROUND(AA32*1.03,-2),AA32)))))</f>
        <v>41500</v>
      </c>
      <c r="AB33" s="2">
        <f t="array" ref="AB33">IF(OR(O33=0,O33=""),"",IF($E$2="fixation",0,ROUND(AA33*G33,0)))</f>
        <v>7055</v>
      </c>
      <c r="AC33" s="18">
        <f t="array" ref="AC33">IF(OR(O33=0,O33=""),"",AC32)</f>
        <v>0</v>
      </c>
      <c r="AD33" s="2">
        <f t="array" ref="AD33">IF(OR(O33=0,O33=""),"",IF($E$2="fixation",0,ROUND(AA33*I33,0)))</f>
        <v>3320</v>
      </c>
      <c r="AE33" s="135">
        <f t="array" ref="AE33">IF(OR(O33=0,O33=""),"",SUM(AA33:AD33))</f>
        <v>51875</v>
      </c>
      <c r="AF33" s="1">
        <f t="array" ref="AF33">IF(OR(O33=0,O33=""),"",V33-AA33)</f>
        <v>5000</v>
      </c>
      <c r="AG33" s="2">
        <f t="array" ref="AG33">IF(OR(O33=0,O33=""),"",W33-AB33)</f>
        <v>850</v>
      </c>
      <c r="AH33" s="2">
        <f t="array" ref="AH33">IF(OR(O33=0,O33=""),"",X33-AC33)</f>
        <v>0</v>
      </c>
      <c r="AI33" s="2">
        <f t="array" ref="AI33">IF(OR(O33=0,O33=""),"",Y33-AD33)</f>
        <v>400</v>
      </c>
      <c r="AJ33" s="136">
        <f t="array" ref="AJ33">IF(OR(O33=0,O33=""),"",Z33-AE33)</f>
        <v>6250</v>
      </c>
      <c r="AK33" s="4">
        <f t="array" ref="AK33">IF(OR(O33=0,O33=""),"",IF(M33="",$AZ$2,$AZ$2+M33))</f>
        <v>4500</v>
      </c>
      <c r="AL33" s="3">
        <f t="array" ref="AL33">IF(OR(O33=0,O33=""),"",$AQ$2)</f>
        <v>4500</v>
      </c>
      <c r="AM33" s="137">
        <f t="array" ref="AM33">IF(OR(O33=0,O33=""),"",AK33-AL33)</f>
        <v>0</v>
      </c>
      <c r="AN33" s="3">
        <f t="array" ref="AN33">IF(OR(O32=0,O32="",AN32="",AN32=""),"",AN32)</f>
        <v>3000</v>
      </c>
      <c r="AO33" s="2">
        <f t="array" ref="AO33">IF(OR(O32=0,O32="",AO32="",AO32=""),"",AO32)</f>
        <v>3000</v>
      </c>
      <c r="AP33" s="137">
        <f t="array" ref="AP33">IF(OR(O33=0,O33=""),"",SUM(AN33-AO33))</f>
        <v>0</v>
      </c>
      <c r="AQ33" s="106">
        <f t="array" ref="AQ33">IF(OR(O33=0,O33=""),"",IF(AND('Basic Data Entry'!$C$10="state Service",'Arear Table Unprotected)'!T33=2020,S33=3),ROUND(V33/31*5,0),IF(AND('Basic Data Entry'!$C$10="state Service",'Arear Table Unprotected)'!T33=2020,S33=9),ROUND(Z33/30*2,0),IF(AND('Basic Data Entry'!$C$10="state Service",'Arear Table Unprotected)'!T33=2020,S33=10),ROUND(Z33/31*2,0),IF(AND('Basic Data Entry'!$C$10="subordinate",'Arear Table Unprotected)'!T33=2020,S33=3),ROUND(V33/31*3,0),IF(AND('Basic Data Entry'!$C$10="subordinate",'Arear Table Unprotected)'!T33=2020,S33=9),ROUND(Z33/30*1,0),IF(AND('Basic Data Entry'!$C$10="subordinate",'Arear Table Unprotected)'!T33=2020,S33=10),ROUND(Z33/31*1,0),IF(AND('Basic Data Entry'!$C$10="ministrial",'Arear Table Unprotected)'!T33=2020,S33=3),ROUND(V33/31*1,0),""))))))))</f>
        <v>1938</v>
      </c>
      <c r="AR33" s="107">
        <f t="array" ref="AR33">IF(OR(O33=0,O33=""),"",IF(AND('Basic Data Entry'!$C$10="state Service",'Arear Table Unprotected)'!T33=2020,S33=3),ROUND(AA33/31*5,0),IF(AND('Basic Data Entry'!$C$10="state Service",'Arear Table Unprotected)'!T33=2020,S33=9),ROUND(AE33/30*2,0),IF(AND('Basic Data Entry'!$C$10="state Service",'Arear Table Unprotected)'!T33=2020,S33=10),ROUND(AE33/31*2,0),IF(AND('Basic Data Entry'!$C$10="subordinate",'Arear Table Unprotected)'!T33=2020,S33=3),ROUND(AA33/31*3,0),IF(AND('Basic Data Entry'!$C$10="subordinate",'Arear Table Unprotected)'!T33=2020,S33=9),ROUND(AE33/30*1,0),IF(AND('Basic Data Entry'!$C$10="subordinate",'Arear Table Unprotected)'!T33=2020,S33=10),ROUND(AE33/31*1,0),IF(AND('Basic Data Entry'!$C$10="ministrial",'Arear Table Unprotected)'!T33=2020,S33=3),ROUND(AA33/31*1,0),""))))))))</f>
        <v>1729</v>
      </c>
      <c r="AS33" s="138">
        <f t="array" ref="AS33">IF(OR(O33=0,O33="",AQ33="",AR33=""),"",AQ33-AR33)</f>
        <v>209</v>
      </c>
      <c r="AT33" s="44">
        <f t="array" ref="AT33">IF(OR(O32=0,O32=""),"",AT32)</f>
        <v>0</v>
      </c>
      <c r="AU33" s="45">
        <f t="array" ref="AU33">IF(OR(O32=0,O32=""),"",AU32)</f>
        <v>0</v>
      </c>
      <c r="AV33" s="139">
        <f t="array" ref="AV33">IF(OR(O33=0,O33=""),"",SUM(AT33-AU33))</f>
        <v>0</v>
      </c>
      <c r="AW33" s="36">
        <f t="array" ref="AW33">IF(OR(O33=0,O33=""),"",ROUND((AJ33)*$E$3,0))</f>
        <v>625</v>
      </c>
      <c r="AX33" s="36">
        <f t="array" ref="AX33">IF(OR(O33=0,O33=""),"",SUM(AM33,AP33,AS33,AV33,AW33))</f>
        <v>834</v>
      </c>
      <c r="AY33" s="140">
        <f t="array" ref="AY33">IF(OR(O33=0,O33=""),"",AJ33-AX33)</f>
        <v>5416</v>
      </c>
      <c r="AZ33" s="46"/>
      <c r="BA33" s="24"/>
      <c r="BB33" s="24"/>
      <c r="BC33" s="11">
        <f t="shared" si="11"/>
        <v>44086</v>
      </c>
      <c r="BD33" s="84">
        <f t="shared" si="12"/>
        <v>9</v>
      </c>
      <c r="BE33" s="84">
        <f t="shared" si="18"/>
        <v>46500</v>
      </c>
      <c r="BI33" s="22">
        <f t="shared" si="19"/>
        <v>44086</v>
      </c>
      <c r="BK33" s="19">
        <f t="shared" si="13"/>
        <v>1</v>
      </c>
      <c r="BL33" s="20" t="str">
        <f t="array" ref="BL33">IF(OR(O33=0,O33=""),"",U33)</f>
        <v>92020</v>
      </c>
      <c r="BM33" s="19">
        <f t="array" ref="BM33">IF(OR(O33=0,O33=""),"",BK33+BL33)</f>
        <v>92021</v>
      </c>
      <c r="BN33" s="21" t="str">
        <f t="shared" si="14"/>
        <v>FS</v>
      </c>
      <c r="BO33" s="21" t="str">
        <f t="shared" si="15"/>
        <v>S</v>
      </c>
      <c r="BP33" s="23" t="str">
        <f t="shared" si="16"/>
        <v>ss</v>
      </c>
      <c r="BQ33" s="21" t="str">
        <f t="shared" si="17"/>
        <v>Sss</v>
      </c>
      <c r="BW33" s="81" t="str">
        <f>IF(OR(O33=0,O33=""),"",IF('Basic Data Entry'!$C$9="fixation","yes",""))</f>
        <v/>
      </c>
      <c r="BX33" s="81" t="str">
        <f>IF(OR(O33=0,O33=""),"",IF('Basic Data Entry'!$G$12="yes","yes","no"))</f>
        <v>no</v>
      </c>
    </row>
    <row r="34" spans="1:76" ht="18" customHeight="1" thickBot="1">
      <c r="A34" s="10">
        <f t="shared" si="6"/>
        <v>46500</v>
      </c>
      <c r="B34" s="305"/>
      <c r="C34" s="305"/>
      <c r="D34" s="305"/>
      <c r="E34" s="305"/>
      <c r="F34" s="108">
        <f t="shared" si="1"/>
        <v>44117</v>
      </c>
      <c r="G34" s="227">
        <f t="shared" si="2"/>
        <v>0.17</v>
      </c>
      <c r="H34" s="228">
        <f t="shared" si="3"/>
        <v>0.17</v>
      </c>
      <c r="I34" s="228">
        <f>IF(OR($E$2="fixation",O34="",O34=0),"",IF(AND('Basic Data Entry'!$G$11="Z-Rural",'Arear Table Unprotected)'!T34&lt;2021),0.08,IF(AND('Basic Data Entry'!$G$11="Y-Urban",'Arear Table Unprotected)'!T34&lt;2021),0.16,IF(AND('Basic Data Entry'!$G$11="Z-Rural",'Arear Table Unprotected)'!T34=2021,S34&gt;=7),0.09,IF(AND('Basic Data Entry'!$G$11="Y-Urban",'Arear Table Unprotected)'!T34=2021,'Arear Table Unprotected)'!S34&gt;=7),0.18,IF(AND('Basic Data Entry'!$G$11="Z-Rural",'Arear Table Unprotected)'!T34=2021,S34&lt;7),0.08,IF(AND('Basic Data Entry'!$G$11="Y-Urban",'Arear Table Unprotected)'!T34=2021,'Arear Table Unprotected)'!S34&lt;7),0.16,IF(AND('Basic Data Entry'!$G$11="Z-Rural",'Arear Table Unprotected)'!T34=2022),0.09,IF(AND('Basic Data Entry'!$G$11="Y-Urban",'Arear Table Unprotected)'!T34=2022),0.18,IF(AND('Basic Data Entry'!$G$11="Z-Rural",'Arear Table Unprotected)'!T34=2023),0.09,IF(AND('Basic Data Entry'!$G$11="Y-Urban",'Arear Table Unprotected)'!T34=2023),0.18,"")))))))))))</f>
        <v>0.08</v>
      </c>
      <c r="J34" s="229">
        <f>IF(OR(O34="",O34=0),"",IF(AND('Basic Data Entry'!$G$11="Z-Rural",'Arear Table Unprotected)'!T34&lt;2021),0.08,IF(AND('Basic Data Entry'!$G$11="Y-Urban",'Arear Table Unprotected)'!T34&lt;2021),0.16,IF(AND('Basic Data Entry'!$G$11="Z-Rural",'Arear Table Unprotected)'!T34=2021,S34&gt;=7),0.09,IF(AND('Basic Data Entry'!$G$11="Y-Urban",'Arear Table Unprotected)'!T34=2021,'Arear Table Unprotected)'!S34&gt;=7),0.18,IF(AND('Basic Data Entry'!$G$11="Z-Rural",'Arear Table Unprotected)'!T34=2021,S34&lt;7),0.08,IF(AND('Basic Data Entry'!$G$11="Y-Urban",'Arear Table Unprotected)'!T34=2021,'Arear Table Unprotected)'!S34&lt;7),0.16,IF(AND('Basic Data Entry'!$G$11="Z-Rural",'Arear Table Unprotected)'!T34=2022),0.09,IF(AND('Basic Data Entry'!$G$11="Y-Urban",'Arear Table Unprotected)'!T34=2022),0.18,IF(AND('Basic Data Entry'!$G$11="Z-Rural",'Arear Table Unprotected)'!T34=2023),0.09,IF(AND('Basic Data Entry'!$G$11="Y-Urban",'Arear Table Unprotected)'!T34=2023),0.18,"")))))))))))</f>
        <v>0.08</v>
      </c>
      <c r="K34" s="230" t="str">
        <f t="shared" si="4"/>
        <v/>
      </c>
      <c r="L34" s="231" t="str">
        <f t="shared" si="5"/>
        <v/>
      </c>
      <c r="M34" s="232" t="str">
        <f t="shared" si="7"/>
        <v/>
      </c>
      <c r="N34" s="196">
        <v>22</v>
      </c>
      <c r="O34" s="327">
        <f t="shared" si="8"/>
        <v>44117</v>
      </c>
      <c r="P34" s="328"/>
      <c r="Q34" s="328"/>
      <c r="R34" s="329"/>
      <c r="S34" s="161">
        <f t="array" ref="S34">IF(OR(O34=0,O34=""),"",MONTH(O34))</f>
        <v>10</v>
      </c>
      <c r="T34" s="161">
        <f t="array" ref="T34">IF(OR(O34=0,O34=""),"",YEAR(O34))</f>
        <v>2020</v>
      </c>
      <c r="U34" s="161" t="str">
        <f t="shared" si="9"/>
        <v>102020</v>
      </c>
      <c r="V34" s="6">
        <f t="array" ref="V34">IF(OR(O34=0,O34=""),"",BE34)</f>
        <v>46500</v>
      </c>
      <c r="W34" s="18">
        <f t="array" ref="W34">IF(OR(O34=0,O34=""),"",ROUND(V34*H34,0))</f>
        <v>7905</v>
      </c>
      <c r="X34" s="18">
        <f t="shared" si="10"/>
        <v>0</v>
      </c>
      <c r="Y34" s="18">
        <f t="array" ref="Y34">IF(OR(O34=0,O34=""),"",ROUND(V34*J34,0))</f>
        <v>3720</v>
      </c>
      <c r="Z34" s="135">
        <f t="array" ref="Z34">IF(OR(O34=0,O34=""),"",SUM(V34:Y34))</f>
        <v>58125</v>
      </c>
      <c r="AA34" s="1">
        <f t="array" ref="AA34">IF(OR(O34=0,O34=""),"",IF(V34=0,0,IF($E$2="FIXATION",$B$5,IF(V34=0,0,IF(BD34=7,ROUND(AA33*1.03,-2),AA33)))))</f>
        <v>41500</v>
      </c>
      <c r="AB34" s="2">
        <f t="array" ref="AB34">IF(OR(O34=0,O34=""),"",IF($E$2="fixation",0,ROUND(AA34*G34,0)))</f>
        <v>7055</v>
      </c>
      <c r="AC34" s="18">
        <f t="array" ref="AC34">IF(OR(O34=0,O34=""),"",AC33)</f>
        <v>0</v>
      </c>
      <c r="AD34" s="2">
        <f t="array" ref="AD34">IF(OR(O34=0,O34=""),"",IF($E$2="fixation",0,ROUND(AA34*I34,0)))</f>
        <v>3320</v>
      </c>
      <c r="AE34" s="135">
        <f t="array" ref="AE34">IF(OR(O34=0,O34=""),"",SUM(AA34:AD34))</f>
        <v>51875</v>
      </c>
      <c r="AF34" s="1">
        <f t="array" ref="AF34">IF(OR(O34=0,O34=""),"",V34-AA34)</f>
        <v>5000</v>
      </c>
      <c r="AG34" s="2">
        <f t="array" ref="AG34">IF(OR(O34=0,O34=""),"",W34-AB34)</f>
        <v>850</v>
      </c>
      <c r="AH34" s="2">
        <f t="array" ref="AH34">IF(OR(O34=0,O34=""),"",X34-AC34)</f>
        <v>0</v>
      </c>
      <c r="AI34" s="2">
        <f t="array" ref="AI34">IF(OR(O34=0,O34=""),"",Y34-AD34)</f>
        <v>400</v>
      </c>
      <c r="AJ34" s="136">
        <f t="array" ref="AJ34">IF(OR(O34=0,O34=""),"",Z34-AE34)</f>
        <v>6250</v>
      </c>
      <c r="AK34" s="4">
        <f t="array" ref="AK34">IF(OR(O34=0,O34=""),"",IF(M34="",$AZ$2,$AZ$2+M34))</f>
        <v>4500</v>
      </c>
      <c r="AL34" s="3">
        <f t="array" ref="AL34">IF(OR(O34=0,O34=""),"",$AQ$2)</f>
        <v>4500</v>
      </c>
      <c r="AM34" s="137">
        <f t="array" ref="AM34">IF(OR(O34=0,O34=""),"",AK34-AL34)</f>
        <v>0</v>
      </c>
      <c r="AN34" s="3">
        <f t="array" ref="AN34">IF(OR(O33=0,O33="",AN33="",AN33=""),"",AN33)</f>
        <v>3000</v>
      </c>
      <c r="AO34" s="2">
        <f t="array" ref="AO34">IF(OR(O33=0,O33="",AO33="",AO33=""),"",AO33)</f>
        <v>3000</v>
      </c>
      <c r="AP34" s="137">
        <f t="array" ref="AP34">IF(OR(O34=0,O34=""),"",SUM(AN34-AO34))</f>
        <v>0</v>
      </c>
      <c r="AQ34" s="106">
        <f t="array" ref="AQ34">IF(OR(O34=0,O34=""),"",IF(AND('Basic Data Entry'!$C$10="state Service",'Arear Table Unprotected)'!T34=2020,S34=3),ROUND(V34/31*5,0),IF(AND('Basic Data Entry'!$C$10="state Service",'Arear Table Unprotected)'!T34=2020,S34=9),ROUND(Z34/30*2,0),IF(AND('Basic Data Entry'!$C$10="state Service",'Arear Table Unprotected)'!T34=2020,S34=10),ROUND(Z34/31*2,0),IF(AND('Basic Data Entry'!$C$10="subordinate",'Arear Table Unprotected)'!T34=2020,S34=3),ROUND(V34/31*3,0),IF(AND('Basic Data Entry'!$C$10="subordinate",'Arear Table Unprotected)'!T34=2020,S34=9),ROUND(Z34/30*1,0),IF(AND('Basic Data Entry'!$C$10="subordinate",'Arear Table Unprotected)'!T34=2020,S34=10),ROUND(Z34/31*1,0),IF(AND('Basic Data Entry'!$C$10="ministrial",'Arear Table Unprotected)'!T34=2020,S34=3),ROUND(V34/31*1,0),""))))))))</f>
        <v>1875</v>
      </c>
      <c r="AR34" s="107">
        <f t="array" ref="AR34">IF(OR(O34=0,O34=""),"",IF(AND('Basic Data Entry'!$C$10="state Service",'Arear Table Unprotected)'!T34=2020,S34=3),ROUND(AA34/31*5,0),IF(AND('Basic Data Entry'!$C$10="state Service",'Arear Table Unprotected)'!T34=2020,S34=9),ROUND(AE34/30*2,0),IF(AND('Basic Data Entry'!$C$10="state Service",'Arear Table Unprotected)'!T34=2020,S34=10),ROUND(AE34/31*2,0),IF(AND('Basic Data Entry'!$C$10="subordinate",'Arear Table Unprotected)'!T34=2020,S34=3),ROUND(AA34/31*3,0),IF(AND('Basic Data Entry'!$C$10="subordinate",'Arear Table Unprotected)'!T34=2020,S34=9),ROUND(AE34/30*1,0),IF(AND('Basic Data Entry'!$C$10="subordinate",'Arear Table Unprotected)'!T34=2020,S34=10),ROUND(AE34/31*1,0),IF(AND('Basic Data Entry'!$C$10="ministrial",'Arear Table Unprotected)'!T34=2020,S34=3),ROUND(AA34/31*1,0),""))))))))</f>
        <v>1673</v>
      </c>
      <c r="AS34" s="138">
        <f t="array" ref="AS34">IF(OR(O34=0,O34="",AQ34="",AR34=""),"",AQ34-AR34)</f>
        <v>202</v>
      </c>
      <c r="AT34" s="44">
        <f t="array" ref="AT34">IF(OR(O33=0,O33=""),"",AT33)</f>
        <v>0</v>
      </c>
      <c r="AU34" s="45">
        <f t="array" ref="AU34">IF(OR(O33=0,O33=""),"",AU33)</f>
        <v>0</v>
      </c>
      <c r="AV34" s="139">
        <f t="array" ref="AV34">IF(OR(O34=0,O34=""),"",SUM(AT34-AU34))</f>
        <v>0</v>
      </c>
      <c r="AW34" s="36">
        <f t="array" ref="AW34">IF(OR(O34=0,O34=""),"",ROUND((AJ34)*$E$3,0))</f>
        <v>625</v>
      </c>
      <c r="AX34" s="36">
        <f t="array" ref="AX34">IF(OR(O34=0,O34=""),"",SUM(AM34,AP34,AS34,AV34,AW34))</f>
        <v>827</v>
      </c>
      <c r="AY34" s="140">
        <f t="array" ref="AY34">IF(OR(O34=0,O34=""),"",AJ34-AX34)</f>
        <v>5423</v>
      </c>
      <c r="AZ34" s="46"/>
      <c r="BA34" s="24"/>
      <c r="BB34" s="24"/>
      <c r="BC34" s="11">
        <f t="shared" si="11"/>
        <v>44117</v>
      </c>
      <c r="BD34" s="84">
        <f t="shared" si="12"/>
        <v>10</v>
      </c>
      <c r="BE34" s="84">
        <f t="shared" si="18"/>
        <v>46500</v>
      </c>
      <c r="BI34" s="22">
        <f t="shared" si="19"/>
        <v>44117</v>
      </c>
      <c r="BK34" s="19">
        <f t="shared" si="13"/>
        <v>1</v>
      </c>
      <c r="BL34" s="20" t="str">
        <f t="array" ref="BL34">IF(OR(O34=0,O34=""),"",U34)</f>
        <v>102020</v>
      </c>
      <c r="BM34" s="19">
        <f t="array" ref="BM34">IF(OR(O34=0,O34=""),"",BK34+BL34)</f>
        <v>102021</v>
      </c>
      <c r="BN34" s="21" t="str">
        <f t="shared" si="14"/>
        <v>FO</v>
      </c>
      <c r="BO34" s="21" t="str">
        <f t="shared" si="15"/>
        <v>O</v>
      </c>
      <c r="BP34" s="23" t="str">
        <f t="shared" si="16"/>
        <v>ss</v>
      </c>
      <c r="BQ34" s="21" t="str">
        <f t="shared" si="17"/>
        <v>Oss</v>
      </c>
      <c r="BW34" s="81" t="str">
        <f>IF(OR(O34=0,O34=""),"",IF('Basic Data Entry'!$C$9="fixation","yes",""))</f>
        <v/>
      </c>
      <c r="BX34" s="81" t="str">
        <f>IF(OR(O34=0,O34=""),"",IF('Basic Data Entry'!$G$12="yes","yes","no"))</f>
        <v>no</v>
      </c>
    </row>
    <row r="35" spans="1:76" ht="18" customHeight="1" thickBot="1">
      <c r="A35" s="10">
        <f t="shared" si="6"/>
        <v>46500</v>
      </c>
      <c r="B35" s="305"/>
      <c r="C35" s="305"/>
      <c r="D35" s="305"/>
      <c r="E35" s="305"/>
      <c r="F35" s="108">
        <f t="shared" si="1"/>
        <v>44148</v>
      </c>
      <c r="G35" s="227">
        <f t="shared" si="2"/>
        <v>0.17</v>
      </c>
      <c r="H35" s="228">
        <f t="shared" si="3"/>
        <v>0.17</v>
      </c>
      <c r="I35" s="228">
        <f>IF(OR($E$2="fixation",O35="",O35=0),"",IF(AND('Basic Data Entry'!$G$11="Z-Rural",'Arear Table Unprotected)'!T35&lt;2021),0.08,IF(AND('Basic Data Entry'!$G$11="Y-Urban",'Arear Table Unprotected)'!T35&lt;2021),0.16,IF(AND('Basic Data Entry'!$G$11="Z-Rural",'Arear Table Unprotected)'!T35=2021,S35&gt;=7),0.09,IF(AND('Basic Data Entry'!$G$11="Y-Urban",'Arear Table Unprotected)'!T35=2021,'Arear Table Unprotected)'!S35&gt;=7),0.18,IF(AND('Basic Data Entry'!$G$11="Z-Rural",'Arear Table Unprotected)'!T35=2021,S35&lt;7),0.08,IF(AND('Basic Data Entry'!$G$11="Y-Urban",'Arear Table Unprotected)'!T35=2021,'Arear Table Unprotected)'!S35&lt;7),0.16,IF(AND('Basic Data Entry'!$G$11="Z-Rural",'Arear Table Unprotected)'!T35=2022),0.09,IF(AND('Basic Data Entry'!$G$11="Y-Urban",'Arear Table Unprotected)'!T35=2022),0.18,IF(AND('Basic Data Entry'!$G$11="Z-Rural",'Arear Table Unprotected)'!T35=2023),0.09,IF(AND('Basic Data Entry'!$G$11="Y-Urban",'Arear Table Unprotected)'!T35=2023),0.18,"")))))))))))</f>
        <v>0.08</v>
      </c>
      <c r="J35" s="229">
        <f>IF(OR(O35="",O35=0),"",IF(AND('Basic Data Entry'!$G$11="Z-Rural",'Arear Table Unprotected)'!T35&lt;2021),0.08,IF(AND('Basic Data Entry'!$G$11="Y-Urban",'Arear Table Unprotected)'!T35&lt;2021),0.16,IF(AND('Basic Data Entry'!$G$11="Z-Rural",'Arear Table Unprotected)'!T35=2021,S35&gt;=7),0.09,IF(AND('Basic Data Entry'!$G$11="Y-Urban",'Arear Table Unprotected)'!T35=2021,'Arear Table Unprotected)'!S35&gt;=7),0.18,IF(AND('Basic Data Entry'!$G$11="Z-Rural",'Arear Table Unprotected)'!T35=2021,S35&lt;7),0.08,IF(AND('Basic Data Entry'!$G$11="Y-Urban",'Arear Table Unprotected)'!T35=2021,'Arear Table Unprotected)'!S35&lt;7),0.16,IF(AND('Basic Data Entry'!$G$11="Z-Rural",'Arear Table Unprotected)'!T35=2022),0.09,IF(AND('Basic Data Entry'!$G$11="Y-Urban",'Arear Table Unprotected)'!T35=2022),0.18,IF(AND('Basic Data Entry'!$G$11="Z-Rural",'Arear Table Unprotected)'!T35=2023),0.09,IF(AND('Basic Data Entry'!$G$11="Y-Urban",'Arear Table Unprotected)'!T35=2023),0.18,"")))))))))))</f>
        <v>0.08</v>
      </c>
      <c r="K35" s="230" t="str">
        <f t="shared" si="4"/>
        <v/>
      </c>
      <c r="L35" s="231" t="str">
        <f t="shared" si="5"/>
        <v/>
      </c>
      <c r="M35" s="232" t="str">
        <f t="shared" si="7"/>
        <v/>
      </c>
      <c r="N35" s="196">
        <v>23</v>
      </c>
      <c r="O35" s="327">
        <f t="shared" si="8"/>
        <v>44148</v>
      </c>
      <c r="P35" s="328"/>
      <c r="Q35" s="328"/>
      <c r="R35" s="329"/>
      <c r="S35" s="161">
        <f t="array" ref="S35">IF(OR(O35=0,O35=""),"",MONTH(O35))</f>
        <v>11</v>
      </c>
      <c r="T35" s="161">
        <f t="array" ref="T35">IF(OR(O35=0,O35=""),"",YEAR(O35))</f>
        <v>2020</v>
      </c>
      <c r="U35" s="161" t="str">
        <f t="shared" si="9"/>
        <v>112020</v>
      </c>
      <c r="V35" s="6">
        <f t="array" ref="V35">IF(OR(O35=0,O35=""),"",BE35)</f>
        <v>46500</v>
      </c>
      <c r="W35" s="18">
        <f t="array" ref="W35">IF(OR(O35=0,O35=""),"",ROUND(V35*H35,0))</f>
        <v>7905</v>
      </c>
      <c r="X35" s="18">
        <f t="shared" si="10"/>
        <v>0</v>
      </c>
      <c r="Y35" s="18">
        <f t="array" ref="Y35">IF(OR(O35=0,O35=""),"",ROUND(V35*J35,0))</f>
        <v>3720</v>
      </c>
      <c r="Z35" s="135">
        <f t="array" ref="Z35">IF(OR(O35=0,O35=""),"",SUM(V35:Y35))</f>
        <v>58125</v>
      </c>
      <c r="AA35" s="1">
        <f t="array" ref="AA35">IF(OR(O35=0,O35=""),"",IF(V35=0,0,IF($E$2="FIXATION",$B$5,IF(V35=0,0,IF(BD35=7,ROUND(AA34*1.03,-2),AA34)))))</f>
        <v>41500</v>
      </c>
      <c r="AB35" s="2">
        <f t="array" ref="AB35">IF(OR(O35=0,O35=""),"",IF($E$2="fixation",0,ROUND(AA35*G35,0)))</f>
        <v>7055</v>
      </c>
      <c r="AC35" s="18">
        <f t="array" ref="AC35">IF(OR(O35=0,O35=""),"",AC34)</f>
        <v>0</v>
      </c>
      <c r="AD35" s="2">
        <f t="array" ref="AD35">IF(OR(O35=0,O35=""),"",IF($E$2="fixation",0,ROUND(AA35*I35,0)))</f>
        <v>3320</v>
      </c>
      <c r="AE35" s="135">
        <f t="array" ref="AE35">IF(OR(O35=0,O35=""),"",SUM(AA35:AD35))</f>
        <v>51875</v>
      </c>
      <c r="AF35" s="1">
        <f t="array" ref="AF35">IF(OR(O35=0,O35=""),"",V35-AA35)</f>
        <v>5000</v>
      </c>
      <c r="AG35" s="2">
        <f t="array" ref="AG35">IF(OR(O35=0,O35=""),"",W35-AB35)</f>
        <v>850</v>
      </c>
      <c r="AH35" s="2">
        <f t="array" ref="AH35">IF(OR(O35=0,O35=""),"",X35-AC35)</f>
        <v>0</v>
      </c>
      <c r="AI35" s="2">
        <f t="array" ref="AI35">IF(OR(O35=0,O35=""),"",Y35-AD35)</f>
        <v>400</v>
      </c>
      <c r="AJ35" s="136">
        <f t="array" ref="AJ35">IF(OR(O35=0,O35=""),"",Z35-AE35)</f>
        <v>6250</v>
      </c>
      <c r="AK35" s="4">
        <f t="array" ref="AK35">IF(OR(O35=0,O35=""),"",IF(M35="",$AZ$2,$AZ$2+M35))</f>
        <v>4500</v>
      </c>
      <c r="AL35" s="3">
        <f t="array" ref="AL35">IF(OR(O35=0,O35=""),"",$AQ$2)</f>
        <v>4500</v>
      </c>
      <c r="AM35" s="137">
        <f t="array" ref="AM35">IF(OR(O35=0,O35=""),"",AK35-AL35)</f>
        <v>0</v>
      </c>
      <c r="AN35" s="3">
        <f t="array" ref="AN35">IF(OR(O34=0,O34="",AN34="",AN34=""),"",AN34)</f>
        <v>3000</v>
      </c>
      <c r="AO35" s="2">
        <f t="array" ref="AO35">IF(OR(O34=0,O34="",AO34="",AO34=""),"",AO34)</f>
        <v>3000</v>
      </c>
      <c r="AP35" s="137">
        <f t="array" ref="AP35">IF(OR(O35=0,O35=""),"",SUM(AN35-AO35))</f>
        <v>0</v>
      </c>
      <c r="AQ35" s="106" t="str">
        <f t="array" ref="AQ35">IF(OR(O35=0,O35=""),"",IF(AND('Basic Data Entry'!$C$10="state Service",'Arear Table Unprotected)'!T35=2020,S35=3),ROUND(V35/31*5,0),IF(AND('Basic Data Entry'!$C$10="state Service",'Arear Table Unprotected)'!T35=2020,S35=9),ROUND(Z35/30*2,0),IF(AND('Basic Data Entry'!$C$10="state Service",'Arear Table Unprotected)'!T35=2020,S35=10),ROUND(Z35/31*2,0),IF(AND('Basic Data Entry'!$C$10="subordinate",'Arear Table Unprotected)'!T35=2020,S35=3),ROUND(V35/31*3,0),IF(AND('Basic Data Entry'!$C$10="subordinate",'Arear Table Unprotected)'!T35=2020,S35=9),ROUND(Z35/30*1,0),IF(AND('Basic Data Entry'!$C$10="subordinate",'Arear Table Unprotected)'!T35=2020,S35=10),ROUND(Z35/31*1,0),IF(AND('Basic Data Entry'!$C$10="ministrial",'Arear Table Unprotected)'!T35=2020,S35=3),ROUND(V35/31*1,0),""))))))))</f>
        <v/>
      </c>
      <c r="AR35" s="107" t="str">
        <f t="array" ref="AR35">IF(OR(O35=0,O35=""),"",IF(AND('Basic Data Entry'!$C$10="state Service",'Arear Table Unprotected)'!T35=2020,S35=3),ROUND(AA35/31*5,0),IF(AND('Basic Data Entry'!$C$10="state Service",'Arear Table Unprotected)'!T35=2020,S35=9),ROUND(AE35/30*2,0),IF(AND('Basic Data Entry'!$C$10="state Service",'Arear Table Unprotected)'!T35=2020,S35=10),ROUND(AE35/31*2,0),IF(AND('Basic Data Entry'!$C$10="subordinate",'Arear Table Unprotected)'!T35=2020,S35=3),ROUND(AA35/31*3,0),IF(AND('Basic Data Entry'!$C$10="subordinate",'Arear Table Unprotected)'!T35=2020,S35=9),ROUND(AE35/30*1,0),IF(AND('Basic Data Entry'!$C$10="subordinate",'Arear Table Unprotected)'!T35=2020,S35=10),ROUND(AE35/31*1,0),IF(AND('Basic Data Entry'!$C$10="ministrial",'Arear Table Unprotected)'!T35=2020,S35=3),ROUND(AA35/31*1,0),""))))))))</f>
        <v/>
      </c>
      <c r="AS35" s="138" t="str">
        <f t="array" ref="AS35">IF(OR(O35=0,O35="",AQ35="",AR35=""),"",AQ35-AR35)</f>
        <v/>
      </c>
      <c r="AT35" s="44">
        <f t="array" ref="AT35">IF(OR(O34=0,O34=""),"",AT34)</f>
        <v>0</v>
      </c>
      <c r="AU35" s="45">
        <f t="array" ref="AU35">IF(OR(O34=0,O34=""),"",AU34)</f>
        <v>0</v>
      </c>
      <c r="AV35" s="139">
        <f t="array" ref="AV35">IF(OR(O35=0,O35=""),"",SUM(AT35-AU35))</f>
        <v>0</v>
      </c>
      <c r="AW35" s="36">
        <f t="array" ref="AW35">IF(OR(O35=0,O35=""),"",ROUND((AJ35)*$E$3,0))</f>
        <v>625</v>
      </c>
      <c r="AX35" s="36">
        <f t="array" ref="AX35">IF(OR(O35=0,O35=""),"",SUM(AM35,AP35,AS35,AV35,AW35))</f>
        <v>625</v>
      </c>
      <c r="AY35" s="140">
        <f t="array" ref="AY35">IF(OR(O35=0,O35=""),"",AJ35-AX35)</f>
        <v>5625</v>
      </c>
      <c r="AZ35" s="46"/>
      <c r="BA35" s="24"/>
      <c r="BB35" s="24"/>
      <c r="BC35" s="11">
        <f t="shared" si="11"/>
        <v>44148</v>
      </c>
      <c r="BD35" s="84">
        <f t="shared" si="12"/>
        <v>11</v>
      </c>
      <c r="BE35" s="84">
        <f t="shared" si="18"/>
        <v>46500</v>
      </c>
      <c r="BI35" s="22">
        <f t="shared" si="19"/>
        <v>44148</v>
      </c>
      <c r="BK35" s="19">
        <f t="shared" si="13"/>
        <v>1</v>
      </c>
      <c r="BL35" s="20" t="str">
        <f t="array" ref="BL35">IF(OR(O35=0,O35=""),"",U35)</f>
        <v>112020</v>
      </c>
      <c r="BM35" s="19">
        <f t="array" ref="BM35">IF(OR(O35=0,O35=""),"",BK35+BL35)</f>
        <v>112021</v>
      </c>
      <c r="BN35" s="21">
        <f t="shared" si="14"/>
        <v>0</v>
      </c>
      <c r="BO35" s="21">
        <f t="shared" si="15"/>
        <v>0</v>
      </c>
      <c r="BP35" s="23">
        <f t="shared" si="16"/>
        <v>0</v>
      </c>
      <c r="BQ35" s="21" t="str">
        <f t="shared" si="17"/>
        <v>00</v>
      </c>
      <c r="BW35" s="81" t="str">
        <f>IF(OR(O35=0,O35=""),"",IF('Basic Data Entry'!$C$9="fixation","yes",""))</f>
        <v/>
      </c>
      <c r="BX35" s="81" t="str">
        <f>IF(OR(O35=0,O35=""),"",IF('Basic Data Entry'!$G$12="yes","yes","no"))</f>
        <v>no</v>
      </c>
    </row>
    <row r="36" spans="1:76" ht="18" customHeight="1" thickBot="1">
      <c r="A36" s="10">
        <f t="shared" si="6"/>
        <v>46500</v>
      </c>
      <c r="B36" s="305"/>
      <c r="C36" s="305"/>
      <c r="D36" s="305"/>
      <c r="E36" s="305"/>
      <c r="F36" s="108">
        <f t="shared" si="1"/>
        <v>44179</v>
      </c>
      <c r="G36" s="227">
        <f t="shared" si="2"/>
        <v>0.17</v>
      </c>
      <c r="H36" s="228">
        <f t="shared" si="3"/>
        <v>0.17</v>
      </c>
      <c r="I36" s="228">
        <f>IF(OR($E$2="fixation",O36="",O36=0),"",IF(AND('Basic Data Entry'!$G$11="Z-Rural",'Arear Table Unprotected)'!T36&lt;2021),0.08,IF(AND('Basic Data Entry'!$G$11="Y-Urban",'Arear Table Unprotected)'!T36&lt;2021),0.16,IF(AND('Basic Data Entry'!$G$11="Z-Rural",'Arear Table Unprotected)'!T36=2021,S36&gt;=7),0.09,IF(AND('Basic Data Entry'!$G$11="Y-Urban",'Arear Table Unprotected)'!T36=2021,'Arear Table Unprotected)'!S36&gt;=7),0.18,IF(AND('Basic Data Entry'!$G$11="Z-Rural",'Arear Table Unprotected)'!T36=2021,S36&lt;7),0.08,IF(AND('Basic Data Entry'!$G$11="Y-Urban",'Arear Table Unprotected)'!T36=2021,'Arear Table Unprotected)'!S36&lt;7),0.16,IF(AND('Basic Data Entry'!$G$11="Z-Rural",'Arear Table Unprotected)'!T36=2022),0.09,IF(AND('Basic Data Entry'!$G$11="Y-Urban",'Arear Table Unprotected)'!T36=2022),0.18,IF(AND('Basic Data Entry'!$G$11="Z-Rural",'Arear Table Unprotected)'!T36=2023),0.09,IF(AND('Basic Data Entry'!$G$11="Y-Urban",'Arear Table Unprotected)'!T36=2023),0.18,"")))))))))))</f>
        <v>0.08</v>
      </c>
      <c r="J36" s="229">
        <f>IF(OR(O36="",O36=0),"",IF(AND('Basic Data Entry'!$G$11="Z-Rural",'Arear Table Unprotected)'!T36&lt;2021),0.08,IF(AND('Basic Data Entry'!$G$11="Y-Urban",'Arear Table Unprotected)'!T36&lt;2021),0.16,IF(AND('Basic Data Entry'!$G$11="Z-Rural",'Arear Table Unprotected)'!T36=2021,S36&gt;=7),0.09,IF(AND('Basic Data Entry'!$G$11="Y-Urban",'Arear Table Unprotected)'!T36=2021,'Arear Table Unprotected)'!S36&gt;=7),0.18,IF(AND('Basic Data Entry'!$G$11="Z-Rural",'Arear Table Unprotected)'!T36=2021,S36&lt;7),0.08,IF(AND('Basic Data Entry'!$G$11="Y-Urban",'Arear Table Unprotected)'!T36=2021,'Arear Table Unprotected)'!S36&lt;7),0.16,IF(AND('Basic Data Entry'!$G$11="Z-Rural",'Arear Table Unprotected)'!T36=2022),0.09,IF(AND('Basic Data Entry'!$G$11="Y-Urban",'Arear Table Unprotected)'!T36=2022),0.18,IF(AND('Basic Data Entry'!$G$11="Z-Rural",'Arear Table Unprotected)'!T36=2023),0.09,IF(AND('Basic Data Entry'!$G$11="Y-Urban",'Arear Table Unprotected)'!T36=2023),0.18,"")))))))))))</f>
        <v>0.08</v>
      </c>
      <c r="K36" s="230" t="str">
        <f t="shared" si="4"/>
        <v/>
      </c>
      <c r="L36" s="231" t="str">
        <f t="shared" si="5"/>
        <v/>
      </c>
      <c r="M36" s="232" t="str">
        <f t="shared" si="7"/>
        <v/>
      </c>
      <c r="N36" s="196">
        <v>24</v>
      </c>
      <c r="O36" s="327">
        <f t="shared" si="8"/>
        <v>44179</v>
      </c>
      <c r="P36" s="328"/>
      <c r="Q36" s="328"/>
      <c r="R36" s="329"/>
      <c r="S36" s="161">
        <f t="array" ref="S36">IF(OR(O36=0,O36=""),"",MONTH(O36))</f>
        <v>12</v>
      </c>
      <c r="T36" s="161">
        <f t="array" ref="T36">IF(OR(O36=0,O36=""),"",YEAR(O36))</f>
        <v>2020</v>
      </c>
      <c r="U36" s="161" t="str">
        <f t="shared" si="9"/>
        <v>122020</v>
      </c>
      <c r="V36" s="6">
        <f t="array" ref="V36">IF(OR(O36=0,O36=""),"",BE36)</f>
        <v>46500</v>
      </c>
      <c r="W36" s="18">
        <f t="array" ref="W36">IF(OR(O36=0,O36=""),"",ROUND(V36*H36,0))</f>
        <v>7905</v>
      </c>
      <c r="X36" s="18">
        <f t="shared" si="10"/>
        <v>0</v>
      </c>
      <c r="Y36" s="18">
        <f t="array" ref="Y36">IF(OR(O36=0,O36=""),"",ROUND(V36*J36,0))</f>
        <v>3720</v>
      </c>
      <c r="Z36" s="135">
        <f t="array" ref="Z36">IF(OR(O36=0,O36=""),"",SUM(V36:Y36))</f>
        <v>58125</v>
      </c>
      <c r="AA36" s="1">
        <f t="array" ref="AA36">IF(OR(O36=0,O36=""),"",IF(V36=0,0,IF($E$2="FIXATION",$B$5,IF(V36=0,0,IF(BD36=7,ROUND(AA35*1.03,-2),AA35)))))</f>
        <v>41500</v>
      </c>
      <c r="AB36" s="2">
        <f t="array" ref="AB36">IF(OR(O36=0,O36=""),"",IF($E$2="fixation",0,ROUND(AA36*G36,0)))</f>
        <v>7055</v>
      </c>
      <c r="AC36" s="18">
        <f t="array" ref="AC36">IF(OR(O36=0,O36=""),"",AC35)</f>
        <v>0</v>
      </c>
      <c r="AD36" s="2">
        <f t="array" ref="AD36">IF(OR(O36=0,O36=""),"",IF($E$2="fixation",0,ROUND(AA36*I36,0)))</f>
        <v>3320</v>
      </c>
      <c r="AE36" s="135">
        <f t="array" ref="AE36">IF(OR(O36=0,O36=""),"",SUM(AA36:AD36))</f>
        <v>51875</v>
      </c>
      <c r="AF36" s="1">
        <f t="array" ref="AF36">IF(OR(O36=0,O36=""),"",V36-AA36)</f>
        <v>5000</v>
      </c>
      <c r="AG36" s="2">
        <f t="array" ref="AG36">IF(OR(O36=0,O36=""),"",W36-AB36)</f>
        <v>850</v>
      </c>
      <c r="AH36" s="2">
        <f t="array" ref="AH36">IF(OR(O36=0,O36=""),"",X36-AC36)</f>
        <v>0</v>
      </c>
      <c r="AI36" s="2">
        <f t="array" ref="AI36">IF(OR(O36=0,O36=""),"",Y36-AD36)</f>
        <v>400</v>
      </c>
      <c r="AJ36" s="136">
        <f t="array" ref="AJ36">IF(OR(O36=0,O36=""),"",Z36-AE36)</f>
        <v>6250</v>
      </c>
      <c r="AK36" s="4">
        <f t="array" ref="AK36">IF(OR(O36=0,O36=""),"",IF(M36="",$AZ$2,$AZ$2+M36))</f>
        <v>4500</v>
      </c>
      <c r="AL36" s="3">
        <f t="array" ref="AL36">IF(OR(O36=0,O36=""),"",$AQ$2)</f>
        <v>4500</v>
      </c>
      <c r="AM36" s="137">
        <f t="array" ref="AM36">IF(OR(O36=0,O36=""),"",AK36-AL36)</f>
        <v>0</v>
      </c>
      <c r="AN36" s="3">
        <f t="array" ref="AN36">IF(OR(O35=0,O35="",AN35="",AN35=""),"",AN35)</f>
        <v>3000</v>
      </c>
      <c r="AO36" s="2">
        <f t="array" ref="AO36">IF(OR(O35=0,O35="",AO35="",AO35=""),"",AO35)</f>
        <v>3000</v>
      </c>
      <c r="AP36" s="137">
        <f t="array" ref="AP36">IF(OR(O36=0,O36=""),"",SUM(AN36-AO36))</f>
        <v>0</v>
      </c>
      <c r="AQ36" s="106" t="str">
        <f t="array" ref="AQ36">IF(OR(O36=0,O36=""),"",IF(AND('Basic Data Entry'!$C$10="state Service",'Arear Table Unprotected)'!T36=2020,S36=3),ROUND(V36/31*5,0),IF(AND('Basic Data Entry'!$C$10="state Service",'Arear Table Unprotected)'!T36=2020,S36=9),ROUND(Z36/30*2,0),IF(AND('Basic Data Entry'!$C$10="state Service",'Arear Table Unprotected)'!T36=2020,S36=10),ROUND(Z36/31*2,0),IF(AND('Basic Data Entry'!$C$10="subordinate",'Arear Table Unprotected)'!T36=2020,S36=3),ROUND(V36/31*3,0),IF(AND('Basic Data Entry'!$C$10="subordinate",'Arear Table Unprotected)'!T36=2020,S36=9),ROUND(Z36/30*1,0),IF(AND('Basic Data Entry'!$C$10="subordinate",'Arear Table Unprotected)'!T36=2020,S36=10),ROUND(Z36/31*1,0),IF(AND('Basic Data Entry'!$C$10="ministrial",'Arear Table Unprotected)'!T36=2020,S36=3),ROUND(V36/31*1,0),""))))))))</f>
        <v/>
      </c>
      <c r="AR36" s="107" t="str">
        <f t="array" ref="AR36">IF(OR(O36=0,O36=""),"",IF(AND('Basic Data Entry'!$C$10="state Service",'Arear Table Unprotected)'!T36=2020,S36=3),ROUND(AA36/31*5,0),IF(AND('Basic Data Entry'!$C$10="state Service",'Arear Table Unprotected)'!T36=2020,S36=9),ROUND(AE36/30*2,0),IF(AND('Basic Data Entry'!$C$10="state Service",'Arear Table Unprotected)'!T36=2020,S36=10),ROUND(AE36/31*2,0),IF(AND('Basic Data Entry'!$C$10="subordinate",'Arear Table Unprotected)'!T36=2020,S36=3),ROUND(AA36/31*3,0),IF(AND('Basic Data Entry'!$C$10="subordinate",'Arear Table Unprotected)'!T36=2020,S36=9),ROUND(AE36/30*1,0),IF(AND('Basic Data Entry'!$C$10="subordinate",'Arear Table Unprotected)'!T36=2020,S36=10),ROUND(AE36/31*1,0),IF(AND('Basic Data Entry'!$C$10="ministrial",'Arear Table Unprotected)'!T36=2020,S36=3),ROUND(AA36/31*1,0),""))))))))</f>
        <v/>
      </c>
      <c r="AS36" s="138" t="str">
        <f t="array" ref="AS36">IF(OR(O36=0,O36="",AQ36="",AR36=""),"",AQ36-AR36)</f>
        <v/>
      </c>
      <c r="AT36" s="44">
        <f t="array" ref="AT36">IF(OR(O35=0,O35=""),"",AT35)</f>
        <v>0</v>
      </c>
      <c r="AU36" s="45">
        <f t="array" ref="AU36">IF(OR(O35=0,O35=""),"",AU35)</f>
        <v>0</v>
      </c>
      <c r="AV36" s="139">
        <f t="array" ref="AV36">IF(OR(O36=0,O36=""),"",SUM(AT36-AU36))</f>
        <v>0</v>
      </c>
      <c r="AW36" s="36">
        <f t="array" ref="AW36">IF(OR(O36=0,O36=""),"",ROUND((AJ36)*$E$3,0))</f>
        <v>625</v>
      </c>
      <c r="AX36" s="36">
        <f t="array" ref="AX36">IF(OR(O36=0,O36=""),"",SUM(AM36,AP36,AS36,AV36,AW36))</f>
        <v>625</v>
      </c>
      <c r="AY36" s="140">
        <f t="array" ref="AY36">IF(OR(O36=0,O36=""),"",AJ36-AX36)</f>
        <v>5625</v>
      </c>
      <c r="AZ36" s="46"/>
      <c r="BA36" s="24"/>
      <c r="BB36" s="24"/>
      <c r="BC36" s="11">
        <f t="shared" si="11"/>
        <v>44179</v>
      </c>
      <c r="BD36" s="84">
        <f t="shared" si="12"/>
        <v>12</v>
      </c>
      <c r="BE36" s="84">
        <f t="shared" si="18"/>
        <v>46500</v>
      </c>
      <c r="BI36" s="22">
        <f t="shared" si="19"/>
        <v>44179</v>
      </c>
      <c r="BK36" s="19">
        <f t="shared" si="13"/>
        <v>1</v>
      </c>
      <c r="BL36" s="20" t="str">
        <f t="array" ref="BL36">IF(OR(O36=0,O36=""),"",U36)</f>
        <v>122020</v>
      </c>
      <c r="BM36" s="19">
        <f t="array" ref="BM36">IF(OR(O36=0,O36=""),"",BK36+BL36)</f>
        <v>122021</v>
      </c>
      <c r="BN36" s="21">
        <f t="shared" si="14"/>
        <v>0</v>
      </c>
      <c r="BO36" s="21">
        <f t="shared" si="15"/>
        <v>0</v>
      </c>
      <c r="BP36" s="23">
        <f t="shared" si="16"/>
        <v>0</v>
      </c>
      <c r="BQ36" s="21" t="str">
        <f t="shared" si="17"/>
        <v>00</v>
      </c>
      <c r="BW36" s="81" t="str">
        <f>IF(OR(O36=0,O36=""),"",IF('Basic Data Entry'!$C$9="fixation","yes",""))</f>
        <v/>
      </c>
      <c r="BX36" s="81" t="str">
        <f>IF(OR(O36=0,O36=""),"",IF('Basic Data Entry'!$G$12="yes","yes","no"))</f>
        <v>no</v>
      </c>
    </row>
    <row r="37" spans="1:76" ht="18" customHeight="1" thickBot="1">
      <c r="A37" s="10">
        <f t="shared" si="6"/>
        <v>46500</v>
      </c>
      <c r="B37" s="305"/>
      <c r="C37" s="305"/>
      <c r="D37" s="305"/>
      <c r="E37" s="305"/>
      <c r="F37" s="108">
        <f t="shared" si="1"/>
        <v>44210</v>
      </c>
      <c r="G37" s="227">
        <f t="shared" si="2"/>
        <v>0.17</v>
      </c>
      <c r="H37" s="228">
        <f t="shared" si="3"/>
        <v>0.17</v>
      </c>
      <c r="I37" s="228">
        <f>IF(OR($E$2="fixation",O37="",O37=0),"",IF(AND('Basic Data Entry'!$G$11="Z-Rural",'Arear Table Unprotected)'!T37&lt;2021),0.08,IF(AND('Basic Data Entry'!$G$11="Y-Urban",'Arear Table Unprotected)'!T37&lt;2021),0.16,IF(AND('Basic Data Entry'!$G$11="Z-Rural",'Arear Table Unprotected)'!T37=2021,S37&gt;=7),0.09,IF(AND('Basic Data Entry'!$G$11="Y-Urban",'Arear Table Unprotected)'!T37=2021,'Arear Table Unprotected)'!S37&gt;=7),0.18,IF(AND('Basic Data Entry'!$G$11="Z-Rural",'Arear Table Unprotected)'!T37=2021,S37&lt;7),0.08,IF(AND('Basic Data Entry'!$G$11="Y-Urban",'Arear Table Unprotected)'!T37=2021,'Arear Table Unprotected)'!S37&lt;7),0.16,IF(AND('Basic Data Entry'!$G$11="Z-Rural",'Arear Table Unprotected)'!T37=2022),0.09,IF(AND('Basic Data Entry'!$G$11="Y-Urban",'Arear Table Unprotected)'!T37=2022),0.18,IF(AND('Basic Data Entry'!$G$11="Z-Rural",'Arear Table Unprotected)'!T37=2023),0.09,IF(AND('Basic Data Entry'!$G$11="Y-Urban",'Arear Table Unprotected)'!T37=2023),0.18,"")))))))))))</f>
        <v>0.08</v>
      </c>
      <c r="J37" s="229">
        <f>IF(OR(O37="",O37=0),"",IF(AND('Basic Data Entry'!$G$11="Z-Rural",'Arear Table Unprotected)'!T37&lt;2021),0.08,IF(AND('Basic Data Entry'!$G$11="Y-Urban",'Arear Table Unprotected)'!T37&lt;2021),0.16,IF(AND('Basic Data Entry'!$G$11="Z-Rural",'Arear Table Unprotected)'!T37=2021,S37&gt;=7),0.09,IF(AND('Basic Data Entry'!$G$11="Y-Urban",'Arear Table Unprotected)'!T37=2021,'Arear Table Unprotected)'!S37&gt;=7),0.18,IF(AND('Basic Data Entry'!$G$11="Z-Rural",'Arear Table Unprotected)'!T37=2021,S37&lt;7),0.08,IF(AND('Basic Data Entry'!$G$11="Y-Urban",'Arear Table Unprotected)'!T37=2021,'Arear Table Unprotected)'!S37&lt;7),0.16,IF(AND('Basic Data Entry'!$G$11="Z-Rural",'Arear Table Unprotected)'!T37=2022),0.09,IF(AND('Basic Data Entry'!$G$11="Y-Urban",'Arear Table Unprotected)'!T37=2022),0.18,IF(AND('Basic Data Entry'!$G$11="Z-Rural",'Arear Table Unprotected)'!T37=2023),0.09,IF(AND('Basic Data Entry'!$G$11="Y-Urban",'Arear Table Unprotected)'!T37=2023),0.18,"")))))))))))</f>
        <v>0.08</v>
      </c>
      <c r="K37" s="230" t="str">
        <f t="shared" si="4"/>
        <v/>
      </c>
      <c r="L37" s="231" t="str">
        <f t="shared" si="5"/>
        <v/>
      </c>
      <c r="M37" s="232" t="str">
        <f t="shared" si="7"/>
        <v/>
      </c>
      <c r="N37" s="196">
        <v>25</v>
      </c>
      <c r="O37" s="327">
        <f t="shared" si="8"/>
        <v>44210</v>
      </c>
      <c r="P37" s="328"/>
      <c r="Q37" s="328"/>
      <c r="R37" s="329"/>
      <c r="S37" s="161">
        <f t="array" ref="S37">IF(OR(O37=0,O37=""),"",MONTH(O37))</f>
        <v>1</v>
      </c>
      <c r="T37" s="161">
        <f t="array" ref="T37">IF(OR(O37=0,O37=""),"",YEAR(O37))</f>
        <v>2021</v>
      </c>
      <c r="U37" s="161" t="str">
        <f t="shared" si="9"/>
        <v>12021</v>
      </c>
      <c r="V37" s="6">
        <f t="array" ref="V37">IF(OR(O37=0,O37=""),"",BE37)</f>
        <v>46500</v>
      </c>
      <c r="W37" s="18">
        <f t="array" ref="W37">IF(OR(O37=0,O37=""),"",ROUND(V37*H37,0))</f>
        <v>7905</v>
      </c>
      <c r="X37" s="18">
        <f t="shared" si="10"/>
        <v>0</v>
      </c>
      <c r="Y37" s="18">
        <f t="array" ref="Y37">IF(OR(O37=0,O37=""),"",ROUND(V37*J37,0))</f>
        <v>3720</v>
      </c>
      <c r="Z37" s="135">
        <f t="array" ref="Z37">IF(OR(O37=0,O37=""),"",SUM(V37:Y37))</f>
        <v>58125</v>
      </c>
      <c r="AA37" s="1">
        <f t="array" ref="AA37">IF(OR(O37=0,O37=""),"",IF(V37=0,0,IF($E$2="FIXATION",$B$5,IF(V37=0,0,IF(BD37=7,ROUND(AA36*1.03,-2),AA36)))))</f>
        <v>41500</v>
      </c>
      <c r="AB37" s="2">
        <f t="array" ref="AB37">IF(OR(O37=0,O37=""),"",IF($E$2="fixation",0,ROUND(AA37*G37,0)))</f>
        <v>7055</v>
      </c>
      <c r="AC37" s="18">
        <f t="array" ref="AC37">IF(OR(O37=0,O37=""),"",AC36)</f>
        <v>0</v>
      </c>
      <c r="AD37" s="2">
        <f t="array" ref="AD37">IF(OR(O37=0,O37=""),"",IF($E$2="fixation",0,ROUND(AA37*I37,0)))</f>
        <v>3320</v>
      </c>
      <c r="AE37" s="135">
        <f t="array" ref="AE37">IF(OR(O37=0,O37=""),"",SUM(AA37:AD37))</f>
        <v>51875</v>
      </c>
      <c r="AF37" s="1">
        <f t="array" ref="AF37">IF(OR(O37=0,O37=""),"",V37-AA37)</f>
        <v>5000</v>
      </c>
      <c r="AG37" s="2">
        <f t="array" ref="AG37">IF(OR(O37=0,O37=""),"",W37-AB37)</f>
        <v>850</v>
      </c>
      <c r="AH37" s="2">
        <f t="array" ref="AH37">IF(OR(O37=0,O37=""),"",X37-AC37)</f>
        <v>0</v>
      </c>
      <c r="AI37" s="2">
        <f t="array" ref="AI37">IF(OR(O37=0,O37=""),"",Y37-AD37)</f>
        <v>400</v>
      </c>
      <c r="AJ37" s="136">
        <f t="array" ref="AJ37">IF(OR(O37=0,O37=""),"",Z37-AE37)</f>
        <v>6250</v>
      </c>
      <c r="AK37" s="4">
        <f t="array" ref="AK37">IF(OR(O37=0,O37=""),"",IF(M37="",$AZ$2,$AZ$2+M37))</f>
        <v>4500</v>
      </c>
      <c r="AL37" s="3">
        <f t="array" ref="AL37">IF(OR(O37=0,O37=""),"",$AQ$2)</f>
        <v>4500</v>
      </c>
      <c r="AM37" s="137">
        <f t="array" ref="AM37">IF(OR(O37=0,O37=""),"",AK37-AL37)</f>
        <v>0</v>
      </c>
      <c r="AN37" s="3">
        <f t="array" ref="AN37">IF(OR(O36=0,O36="",AN36="",AN36=""),"",AN36)</f>
        <v>3000</v>
      </c>
      <c r="AO37" s="2">
        <f t="array" ref="AO37">IF(OR(O36=0,O36="",AO36="",AO36=""),"",AO36)</f>
        <v>3000</v>
      </c>
      <c r="AP37" s="137">
        <f t="array" ref="AP37">IF(OR(O37=0,O37=""),"",SUM(AN37-AO37))</f>
        <v>0</v>
      </c>
      <c r="AQ37" s="106" t="str">
        <f t="array" ref="AQ37">IF(OR(O37=0,O37=""),"",IF(AND('Basic Data Entry'!$C$10="state Service",'Arear Table Unprotected)'!T37=2020,S37=3),ROUND(V37/31*5,0),IF(AND('Basic Data Entry'!$C$10="state Service",'Arear Table Unprotected)'!T37=2020,S37=9),ROUND(Z37/30*2,0),IF(AND('Basic Data Entry'!$C$10="state Service",'Arear Table Unprotected)'!T37=2020,S37=10),ROUND(Z37/31*2,0),IF(AND('Basic Data Entry'!$C$10="subordinate",'Arear Table Unprotected)'!T37=2020,S37=3),ROUND(V37/31*3,0),IF(AND('Basic Data Entry'!$C$10="subordinate",'Arear Table Unprotected)'!T37=2020,S37=9),ROUND(Z37/30*1,0),IF(AND('Basic Data Entry'!$C$10="subordinate",'Arear Table Unprotected)'!T37=2020,S37=10),ROUND(Z37/31*1,0),IF(AND('Basic Data Entry'!$C$10="ministrial",'Arear Table Unprotected)'!T37=2020,S37=3),ROUND(V37/31*1,0),""))))))))</f>
        <v/>
      </c>
      <c r="AR37" s="107" t="str">
        <f t="array" ref="AR37">IF(OR(O37=0,O37=""),"",IF(AND('Basic Data Entry'!$C$10="state Service",'Arear Table Unprotected)'!T37=2020,S37=3),ROUND(AA37/31*5,0),IF(AND('Basic Data Entry'!$C$10="state Service",'Arear Table Unprotected)'!T37=2020,S37=9),ROUND(AE37/30*2,0),IF(AND('Basic Data Entry'!$C$10="state Service",'Arear Table Unprotected)'!T37=2020,S37=10),ROUND(AE37/31*2,0),IF(AND('Basic Data Entry'!$C$10="subordinate",'Arear Table Unprotected)'!T37=2020,S37=3),ROUND(AA37/31*3,0),IF(AND('Basic Data Entry'!$C$10="subordinate",'Arear Table Unprotected)'!T37=2020,S37=9),ROUND(AE37/30*1,0),IF(AND('Basic Data Entry'!$C$10="subordinate",'Arear Table Unprotected)'!T37=2020,S37=10),ROUND(AE37/31*1,0),IF(AND('Basic Data Entry'!$C$10="ministrial",'Arear Table Unprotected)'!T37=2020,S37=3),ROUND(AA37/31*1,0),""))))))))</f>
        <v/>
      </c>
      <c r="AS37" s="138" t="str">
        <f t="array" ref="AS37">IF(OR(O37=0,O37="",AQ37="",AR37=""),"",AQ37-AR37)</f>
        <v/>
      </c>
      <c r="AT37" s="44">
        <f t="array" ref="AT37">IF(OR(O36=0,O36=""),"",AT36)</f>
        <v>0</v>
      </c>
      <c r="AU37" s="45">
        <f t="array" ref="AU37">IF(OR(O36=0,O36=""),"",AU36)</f>
        <v>0</v>
      </c>
      <c r="AV37" s="139">
        <f t="array" ref="AV37">IF(OR(O37=0,O37=""),"",SUM(AT37-AU37))</f>
        <v>0</v>
      </c>
      <c r="AW37" s="36">
        <f t="array" ref="AW37">IF(OR(O37=0,O37=""),"",ROUND((AJ37)*$E$3,0))</f>
        <v>625</v>
      </c>
      <c r="AX37" s="36">
        <f t="array" ref="AX37">IF(OR(O37=0,O37=""),"",SUM(AM37,AP37,AS37,AV37,AW37))</f>
        <v>625</v>
      </c>
      <c r="AY37" s="140">
        <f t="array" ref="AY37">IF(OR(O37=0,O37=""),"",AJ37-AX37)</f>
        <v>5625</v>
      </c>
      <c r="AZ37" s="46"/>
      <c r="BA37" s="24"/>
      <c r="BB37" s="24"/>
      <c r="BC37" s="11">
        <f t="shared" si="11"/>
        <v>44210</v>
      </c>
      <c r="BD37" s="84">
        <f t="shared" si="12"/>
        <v>1</v>
      </c>
      <c r="BE37" s="84">
        <f t="shared" si="18"/>
        <v>46500</v>
      </c>
      <c r="BI37" s="22">
        <f t="shared" si="19"/>
        <v>44210</v>
      </c>
      <c r="BK37" s="19">
        <f t="shared" si="13"/>
        <v>1</v>
      </c>
      <c r="BL37" s="20" t="str">
        <f t="array" ref="BL37">IF(OR(O37=0,O37=""),"",U37)</f>
        <v>12021</v>
      </c>
      <c r="BM37" s="19">
        <f t="array" ref="BM37">IF(OR(O37=0,O37=""),"",BK37+BL37)</f>
        <v>12022</v>
      </c>
      <c r="BN37" s="21">
        <f t="shared" si="14"/>
        <v>0</v>
      </c>
      <c r="BO37" s="21">
        <f t="shared" si="15"/>
        <v>0</v>
      </c>
      <c r="BP37" s="23">
        <f t="shared" si="16"/>
        <v>0</v>
      </c>
      <c r="BQ37" s="21" t="str">
        <f t="shared" si="17"/>
        <v>00</v>
      </c>
      <c r="BW37" s="81" t="str">
        <f>IF(OR(O37=0,O37=""),"",IF('Basic Data Entry'!$C$9="fixation","yes",""))</f>
        <v/>
      </c>
      <c r="BX37" s="81" t="str">
        <f>IF(OR(O37=0,O37=""),"",IF('Basic Data Entry'!$G$12="yes","yes","no"))</f>
        <v>no</v>
      </c>
    </row>
    <row r="38" spans="1:76" ht="18" customHeight="1" thickBot="1">
      <c r="A38" s="10">
        <f t="shared" si="6"/>
        <v>46500</v>
      </c>
      <c r="B38" s="305"/>
      <c r="C38" s="305"/>
      <c r="D38" s="305"/>
      <c r="E38" s="305"/>
      <c r="F38" s="108">
        <f t="shared" si="1"/>
        <v>44241</v>
      </c>
      <c r="G38" s="227">
        <f t="shared" si="2"/>
        <v>0.17</v>
      </c>
      <c r="H38" s="228">
        <f t="shared" si="3"/>
        <v>0.17</v>
      </c>
      <c r="I38" s="228">
        <f>IF(OR($E$2="fixation",O38="",O38=0),"",IF(AND('Basic Data Entry'!$G$11="Z-Rural",'Arear Table Unprotected)'!T38&lt;2021),0.08,IF(AND('Basic Data Entry'!$G$11="Y-Urban",'Arear Table Unprotected)'!T38&lt;2021),0.16,IF(AND('Basic Data Entry'!$G$11="Z-Rural",'Arear Table Unprotected)'!T38=2021,S38&gt;=7),0.09,IF(AND('Basic Data Entry'!$G$11="Y-Urban",'Arear Table Unprotected)'!T38=2021,'Arear Table Unprotected)'!S38&gt;=7),0.18,IF(AND('Basic Data Entry'!$G$11="Z-Rural",'Arear Table Unprotected)'!T38=2021,S38&lt;7),0.08,IF(AND('Basic Data Entry'!$G$11="Y-Urban",'Arear Table Unprotected)'!T38=2021,'Arear Table Unprotected)'!S38&lt;7),0.16,IF(AND('Basic Data Entry'!$G$11="Z-Rural",'Arear Table Unprotected)'!T38=2022),0.09,IF(AND('Basic Data Entry'!$G$11="Y-Urban",'Arear Table Unprotected)'!T38=2022),0.18,IF(AND('Basic Data Entry'!$G$11="Z-Rural",'Arear Table Unprotected)'!T38=2023),0.09,IF(AND('Basic Data Entry'!$G$11="Y-Urban",'Arear Table Unprotected)'!T38=2023),0.18,"")))))))))))</f>
        <v>0.08</v>
      </c>
      <c r="J38" s="229">
        <f>IF(OR(O38="",O38=0),"",IF(AND('Basic Data Entry'!$G$11="Z-Rural",'Arear Table Unprotected)'!T38&lt;2021),0.08,IF(AND('Basic Data Entry'!$G$11="Y-Urban",'Arear Table Unprotected)'!T38&lt;2021),0.16,IF(AND('Basic Data Entry'!$G$11="Z-Rural",'Arear Table Unprotected)'!T38=2021,S38&gt;=7),0.09,IF(AND('Basic Data Entry'!$G$11="Y-Urban",'Arear Table Unprotected)'!T38=2021,'Arear Table Unprotected)'!S38&gt;=7),0.18,IF(AND('Basic Data Entry'!$G$11="Z-Rural",'Arear Table Unprotected)'!T38=2021,S38&lt;7),0.08,IF(AND('Basic Data Entry'!$G$11="Y-Urban",'Arear Table Unprotected)'!T38=2021,'Arear Table Unprotected)'!S38&lt;7),0.16,IF(AND('Basic Data Entry'!$G$11="Z-Rural",'Arear Table Unprotected)'!T38=2022),0.09,IF(AND('Basic Data Entry'!$G$11="Y-Urban",'Arear Table Unprotected)'!T38=2022),0.18,IF(AND('Basic Data Entry'!$G$11="Z-Rural",'Arear Table Unprotected)'!T38=2023),0.09,IF(AND('Basic Data Entry'!$G$11="Y-Urban",'Arear Table Unprotected)'!T38=2023),0.18,"")))))))))))</f>
        <v>0.08</v>
      </c>
      <c r="K38" s="230" t="str">
        <f t="shared" si="4"/>
        <v/>
      </c>
      <c r="L38" s="231" t="str">
        <f t="shared" si="5"/>
        <v/>
      </c>
      <c r="M38" s="232" t="str">
        <f t="shared" si="7"/>
        <v/>
      </c>
      <c r="N38" s="196">
        <v>26</v>
      </c>
      <c r="O38" s="327">
        <f t="shared" si="8"/>
        <v>44241</v>
      </c>
      <c r="P38" s="328"/>
      <c r="Q38" s="328"/>
      <c r="R38" s="329"/>
      <c r="S38" s="161">
        <f t="array" ref="S38">IF(OR(O38=0,O38=""),"",MONTH(O38))</f>
        <v>2</v>
      </c>
      <c r="T38" s="161">
        <f t="array" ref="T38">IF(OR(O38=0,O38=""),"",YEAR(O38))</f>
        <v>2021</v>
      </c>
      <c r="U38" s="161" t="str">
        <f t="shared" si="9"/>
        <v>22021</v>
      </c>
      <c r="V38" s="6">
        <f t="array" ref="V38">IF(OR(O38=0,O38=""),"",BE38)</f>
        <v>46500</v>
      </c>
      <c r="W38" s="18">
        <f t="array" ref="W38">IF(OR(O38=0,O38=""),"",ROUND(V38*H38,0))</f>
        <v>7905</v>
      </c>
      <c r="X38" s="18">
        <f t="shared" si="10"/>
        <v>0</v>
      </c>
      <c r="Y38" s="18">
        <f t="array" ref="Y38">IF(OR(O38=0,O38=""),"",ROUND(V38*J38,0))</f>
        <v>3720</v>
      </c>
      <c r="Z38" s="135">
        <f t="array" ref="Z38">IF(OR(O38=0,O38=""),"",SUM(V38:Y38))</f>
        <v>58125</v>
      </c>
      <c r="AA38" s="1">
        <f t="array" ref="AA38">IF(OR(O38=0,O38=""),"",IF(V38=0,0,IF($E$2="FIXATION",$B$5,IF(V38=0,0,IF(BD38=7,ROUND(AA37*1.03,-2),AA37)))))</f>
        <v>41500</v>
      </c>
      <c r="AB38" s="2">
        <f t="array" ref="AB38">IF(OR(O38=0,O38=""),"",IF($E$2="fixation",0,ROUND(AA38*G38,0)))</f>
        <v>7055</v>
      </c>
      <c r="AC38" s="18">
        <f t="array" ref="AC38">IF(OR(O38=0,O38=""),"",AC37)</f>
        <v>0</v>
      </c>
      <c r="AD38" s="2">
        <f t="array" ref="AD38">IF(OR(O38=0,O38=""),"",IF($E$2="fixation",0,ROUND(AA38*I38,0)))</f>
        <v>3320</v>
      </c>
      <c r="AE38" s="135">
        <f t="array" ref="AE38">IF(OR(O38=0,O38=""),"",SUM(AA38:AD38))</f>
        <v>51875</v>
      </c>
      <c r="AF38" s="1">
        <f t="array" ref="AF38">IF(OR(O38=0,O38=""),"",V38-AA38)</f>
        <v>5000</v>
      </c>
      <c r="AG38" s="2">
        <f t="array" ref="AG38">IF(OR(O38=0,O38=""),"",W38-AB38)</f>
        <v>850</v>
      </c>
      <c r="AH38" s="2">
        <f t="array" ref="AH38">IF(OR(O38=0,O38=""),"",X38-AC38)</f>
        <v>0</v>
      </c>
      <c r="AI38" s="2">
        <f t="array" ref="AI38">IF(OR(O38=0,O38=""),"",Y38-AD38)</f>
        <v>400</v>
      </c>
      <c r="AJ38" s="136">
        <f t="array" ref="AJ38">IF(OR(O38=0,O38=""),"",Z38-AE38)</f>
        <v>6250</v>
      </c>
      <c r="AK38" s="4">
        <f t="array" ref="AK38">IF(OR(O38=0,O38=""),"",IF(M38="",$AZ$2,$AZ$2+M38))</f>
        <v>4500</v>
      </c>
      <c r="AL38" s="3">
        <f t="array" ref="AL38">IF(OR(O38=0,O38=""),"",$AQ$2)</f>
        <v>4500</v>
      </c>
      <c r="AM38" s="137">
        <f t="array" ref="AM38">IF(OR(O38=0,O38=""),"",AK38-AL38)</f>
        <v>0</v>
      </c>
      <c r="AN38" s="3">
        <f t="array" ref="AN38">IF(OR(O37=0,O37="",AN37="",AN37=""),"",AN37)</f>
        <v>3000</v>
      </c>
      <c r="AO38" s="2">
        <f t="array" ref="AO38">IF(OR(O37=0,O37="",AO37="",AO37=""),"",AO37)</f>
        <v>3000</v>
      </c>
      <c r="AP38" s="137">
        <f t="array" ref="AP38">IF(OR(O38=0,O38=""),"",SUM(AN38-AO38))</f>
        <v>0</v>
      </c>
      <c r="AQ38" s="106" t="str">
        <f t="array" ref="AQ38">IF(OR(O38=0,O38=""),"",IF(AND('Basic Data Entry'!$C$10="state Service",'Arear Table Unprotected)'!T38=2020,S38=3),ROUND(V38/31*5,0),IF(AND('Basic Data Entry'!$C$10="state Service",'Arear Table Unprotected)'!T38=2020,S38=9),ROUND(Z38/30*2,0),IF(AND('Basic Data Entry'!$C$10="state Service",'Arear Table Unprotected)'!T38=2020,S38=10),ROUND(Z38/31*2,0),IF(AND('Basic Data Entry'!$C$10="subordinate",'Arear Table Unprotected)'!T38=2020,S38=3),ROUND(V38/31*3,0),IF(AND('Basic Data Entry'!$C$10="subordinate",'Arear Table Unprotected)'!T38=2020,S38=9),ROUND(Z38/30*1,0),IF(AND('Basic Data Entry'!$C$10="subordinate",'Arear Table Unprotected)'!T38=2020,S38=10),ROUND(Z38/31*1,0),IF(AND('Basic Data Entry'!$C$10="ministrial",'Arear Table Unprotected)'!T38=2020,S38=3),ROUND(V38/31*1,0),""))))))))</f>
        <v/>
      </c>
      <c r="AR38" s="107" t="str">
        <f t="array" ref="AR38">IF(OR(O38=0,O38=""),"",IF(AND('Basic Data Entry'!$C$10="state Service",'Arear Table Unprotected)'!T38=2020,S38=3),ROUND(AA38/31*5,0),IF(AND('Basic Data Entry'!$C$10="state Service",'Arear Table Unprotected)'!T38=2020,S38=9),ROUND(AE38/30*2,0),IF(AND('Basic Data Entry'!$C$10="state Service",'Arear Table Unprotected)'!T38=2020,S38=10),ROUND(AE38/31*2,0),IF(AND('Basic Data Entry'!$C$10="subordinate",'Arear Table Unprotected)'!T38=2020,S38=3),ROUND(AA38/31*3,0),IF(AND('Basic Data Entry'!$C$10="subordinate",'Arear Table Unprotected)'!T38=2020,S38=9),ROUND(AE38/30*1,0),IF(AND('Basic Data Entry'!$C$10="subordinate",'Arear Table Unprotected)'!T38=2020,S38=10),ROUND(AE38/31*1,0),IF(AND('Basic Data Entry'!$C$10="ministrial",'Arear Table Unprotected)'!T38=2020,S38=3),ROUND(AA38/31*1,0),""))))))))</f>
        <v/>
      </c>
      <c r="AS38" s="138" t="str">
        <f t="array" ref="AS38">IF(OR(O38=0,O38="",AQ38="",AR38=""),"",AQ38-AR38)</f>
        <v/>
      </c>
      <c r="AT38" s="44">
        <f t="array" ref="AT38">IF(OR(O37=0,O37=""),"",AT37)</f>
        <v>0</v>
      </c>
      <c r="AU38" s="45">
        <f t="array" ref="AU38">IF(OR(O37=0,O37=""),"",AU37)</f>
        <v>0</v>
      </c>
      <c r="AV38" s="139">
        <f t="array" ref="AV38">IF(OR(O38=0,O38=""),"",SUM(AT38-AU38))</f>
        <v>0</v>
      </c>
      <c r="AW38" s="36">
        <f t="array" ref="AW38">IF(OR(O38=0,O38=""),"",ROUND((AJ38)*$E$3,0))</f>
        <v>625</v>
      </c>
      <c r="AX38" s="36">
        <f t="array" ref="AX38">IF(OR(O38=0,O38=""),"",SUM(AM38,AP38,AS38,AV38,AW38))</f>
        <v>625</v>
      </c>
      <c r="AY38" s="140">
        <f t="array" ref="AY38">IF(OR(O38=0,O38=""),"",AJ38-AX38)</f>
        <v>5625</v>
      </c>
      <c r="AZ38" s="46"/>
      <c r="BA38" s="24"/>
      <c r="BB38" s="24"/>
      <c r="BC38" s="11">
        <f t="shared" si="11"/>
        <v>44241</v>
      </c>
      <c r="BD38" s="84">
        <f t="shared" si="12"/>
        <v>2</v>
      </c>
      <c r="BE38" s="84">
        <f t="shared" si="18"/>
        <v>46500</v>
      </c>
      <c r="BI38" s="22">
        <f t="shared" si="19"/>
        <v>44241</v>
      </c>
      <c r="BK38" s="19">
        <f t="shared" si="13"/>
        <v>1</v>
      </c>
      <c r="BL38" s="20" t="str">
        <f t="array" ref="BL38">IF(OR(O38=0,O38=""),"",U38)</f>
        <v>22021</v>
      </c>
      <c r="BM38" s="19">
        <f t="array" ref="BM38">IF(OR(O38=0,O38=""),"",BK38+BL38)</f>
        <v>22022</v>
      </c>
      <c r="BN38" s="21">
        <f t="shared" si="14"/>
        <v>0</v>
      </c>
      <c r="BO38" s="21">
        <f t="shared" si="15"/>
        <v>0</v>
      </c>
      <c r="BP38" s="23">
        <f t="shared" si="16"/>
        <v>0</v>
      </c>
      <c r="BQ38" s="21" t="str">
        <f t="shared" si="17"/>
        <v>00</v>
      </c>
      <c r="BW38" s="81" t="str">
        <f>IF(OR(O38=0,O38=""),"",IF('Basic Data Entry'!$C$9="fixation","yes",""))</f>
        <v/>
      </c>
      <c r="BX38" s="81" t="str">
        <f>IF(OR(O38=0,O38=""),"",IF('Basic Data Entry'!$G$12="yes","yes","no"))</f>
        <v>no</v>
      </c>
    </row>
    <row r="39" spans="1:76" ht="18" customHeight="1" thickBot="1">
      <c r="A39" s="10">
        <f t="shared" si="6"/>
        <v>46500</v>
      </c>
      <c r="B39" s="305"/>
      <c r="C39" s="305"/>
      <c r="D39" s="305"/>
      <c r="E39" s="305"/>
      <c r="F39" s="108">
        <f t="shared" si="1"/>
        <v>44272</v>
      </c>
      <c r="G39" s="227">
        <f t="shared" si="2"/>
        <v>0.17</v>
      </c>
      <c r="H39" s="228">
        <f t="shared" si="3"/>
        <v>0.17</v>
      </c>
      <c r="I39" s="228">
        <f>IF(OR($E$2="fixation",O39="",O39=0),"",IF(AND('Basic Data Entry'!$G$11="Z-Rural",'Arear Table Unprotected)'!T39&lt;2021),0.08,IF(AND('Basic Data Entry'!$G$11="Y-Urban",'Arear Table Unprotected)'!T39&lt;2021),0.16,IF(AND('Basic Data Entry'!$G$11="Z-Rural",'Arear Table Unprotected)'!T39=2021,S39&gt;=7),0.09,IF(AND('Basic Data Entry'!$G$11="Y-Urban",'Arear Table Unprotected)'!T39=2021,'Arear Table Unprotected)'!S39&gt;=7),0.18,IF(AND('Basic Data Entry'!$G$11="Z-Rural",'Arear Table Unprotected)'!T39=2021,S39&lt;7),0.08,IF(AND('Basic Data Entry'!$G$11="Y-Urban",'Arear Table Unprotected)'!T39=2021,'Arear Table Unprotected)'!S39&lt;7),0.16,IF(AND('Basic Data Entry'!$G$11="Z-Rural",'Arear Table Unprotected)'!T39=2022),0.09,IF(AND('Basic Data Entry'!$G$11="Y-Urban",'Arear Table Unprotected)'!T39=2022),0.18,IF(AND('Basic Data Entry'!$G$11="Z-Rural",'Arear Table Unprotected)'!T39=2023),0.09,IF(AND('Basic Data Entry'!$G$11="Y-Urban",'Arear Table Unprotected)'!T39=2023),0.18,"")))))))))))</f>
        <v>0.08</v>
      </c>
      <c r="J39" s="229">
        <f>IF(OR(O39="",O39=0),"",IF(AND('Basic Data Entry'!$G$11="Z-Rural",'Arear Table Unprotected)'!T39&lt;2021),0.08,IF(AND('Basic Data Entry'!$G$11="Y-Urban",'Arear Table Unprotected)'!T39&lt;2021),0.16,IF(AND('Basic Data Entry'!$G$11="Z-Rural",'Arear Table Unprotected)'!T39=2021,S39&gt;=7),0.09,IF(AND('Basic Data Entry'!$G$11="Y-Urban",'Arear Table Unprotected)'!T39=2021,'Arear Table Unprotected)'!S39&gt;=7),0.18,IF(AND('Basic Data Entry'!$G$11="Z-Rural",'Arear Table Unprotected)'!T39=2021,S39&lt;7),0.08,IF(AND('Basic Data Entry'!$G$11="Y-Urban",'Arear Table Unprotected)'!T39=2021,'Arear Table Unprotected)'!S39&lt;7),0.16,IF(AND('Basic Data Entry'!$G$11="Z-Rural",'Arear Table Unprotected)'!T39=2022),0.09,IF(AND('Basic Data Entry'!$G$11="Y-Urban",'Arear Table Unprotected)'!T39=2022),0.18,IF(AND('Basic Data Entry'!$G$11="Z-Rural",'Arear Table Unprotected)'!T39=2023),0.09,IF(AND('Basic Data Entry'!$G$11="Y-Urban",'Arear Table Unprotected)'!T39=2023),0.18,"")))))))))))</f>
        <v>0.08</v>
      </c>
      <c r="K39" s="230" t="str">
        <f t="shared" si="4"/>
        <v/>
      </c>
      <c r="L39" s="231" t="str">
        <f t="shared" si="5"/>
        <v/>
      </c>
      <c r="M39" s="232" t="str">
        <f t="shared" si="7"/>
        <v/>
      </c>
      <c r="N39" s="196">
        <v>27</v>
      </c>
      <c r="O39" s="327">
        <f t="shared" si="8"/>
        <v>44272</v>
      </c>
      <c r="P39" s="328"/>
      <c r="Q39" s="328"/>
      <c r="R39" s="329"/>
      <c r="S39" s="161">
        <f t="array" ref="S39">IF(OR(O39=0,O39=""),"",MONTH(O39))</f>
        <v>3</v>
      </c>
      <c r="T39" s="161">
        <f t="array" ref="T39">IF(OR(O39=0,O39=""),"",YEAR(O39))</f>
        <v>2021</v>
      </c>
      <c r="U39" s="161" t="str">
        <f t="shared" si="9"/>
        <v>32021</v>
      </c>
      <c r="V39" s="6">
        <f t="array" ref="V39">IF(OR(O39=0,O39=""),"",BE39)</f>
        <v>46500</v>
      </c>
      <c r="W39" s="18">
        <f t="array" ref="W39">IF(OR(O39=0,O39=""),"",ROUND(V39*H39,0))</f>
        <v>7905</v>
      </c>
      <c r="X39" s="18">
        <f t="shared" si="10"/>
        <v>0</v>
      </c>
      <c r="Y39" s="18">
        <f t="array" ref="Y39">IF(OR(O39=0,O39=""),"",ROUND(V39*J39,0))</f>
        <v>3720</v>
      </c>
      <c r="Z39" s="135">
        <f t="array" ref="Z39">IF(OR(O39=0,O39=""),"",SUM(V39:Y39))</f>
        <v>58125</v>
      </c>
      <c r="AA39" s="1">
        <f t="array" ref="AA39">IF(OR(O39=0,O39=""),"",IF(V39=0,0,IF($E$2="FIXATION",$B$5,IF(V39=0,0,IF(BD39=7,ROUND(AA38*1.03,-2),AA38)))))</f>
        <v>41500</v>
      </c>
      <c r="AB39" s="2">
        <f t="array" ref="AB39">IF(OR(O39=0,O39=""),"",IF($E$2="fixation",0,ROUND(AA39*G39,0)))</f>
        <v>7055</v>
      </c>
      <c r="AC39" s="18">
        <f t="array" ref="AC39">IF(OR(O39=0,O39=""),"",AC38)</f>
        <v>0</v>
      </c>
      <c r="AD39" s="2">
        <f t="array" ref="AD39">IF(OR(O39=0,O39=""),"",IF($E$2="fixation",0,ROUND(AA39*I39,0)))</f>
        <v>3320</v>
      </c>
      <c r="AE39" s="135">
        <f t="array" ref="AE39">IF(OR(O39=0,O39=""),"",SUM(AA39:AD39))</f>
        <v>51875</v>
      </c>
      <c r="AF39" s="1">
        <f t="array" ref="AF39">IF(OR(O39=0,O39=""),"",V39-AA39)</f>
        <v>5000</v>
      </c>
      <c r="AG39" s="2">
        <f t="array" ref="AG39">IF(OR(O39=0,O39=""),"",W39-AB39)</f>
        <v>850</v>
      </c>
      <c r="AH39" s="2">
        <f t="array" ref="AH39">IF(OR(O39=0,O39=""),"",X39-AC39)</f>
        <v>0</v>
      </c>
      <c r="AI39" s="2">
        <f t="array" ref="AI39">IF(OR(O39=0,O39=""),"",Y39-AD39)</f>
        <v>400</v>
      </c>
      <c r="AJ39" s="136">
        <f t="array" ref="AJ39">IF(OR(O39=0,O39=""),"",Z39-AE39)</f>
        <v>6250</v>
      </c>
      <c r="AK39" s="4">
        <f t="array" ref="AK39">IF(OR(O39=0,O39=""),"",IF(M39="",$AZ$2,$AZ$2+M39))</f>
        <v>4500</v>
      </c>
      <c r="AL39" s="3">
        <f t="array" ref="AL39">IF(OR(O39=0,O39=""),"",$AQ$2)</f>
        <v>4500</v>
      </c>
      <c r="AM39" s="137">
        <f t="array" ref="AM39">IF(OR(O39=0,O39=""),"",AK39-AL39)</f>
        <v>0</v>
      </c>
      <c r="AN39" s="3">
        <f t="array" ref="AN39">IF(OR(O38=0,O38="",AN38="",AN38=""),"",AN38)</f>
        <v>3000</v>
      </c>
      <c r="AO39" s="2">
        <f t="array" ref="AO39">IF(OR(O38=0,O38="",AO38="",AO38=""),"",AO38)</f>
        <v>3000</v>
      </c>
      <c r="AP39" s="137">
        <f t="array" ref="AP39">IF(OR(O39=0,O39=""),"",SUM(AN39-AO39))</f>
        <v>0</v>
      </c>
      <c r="AQ39" s="106" t="str">
        <f t="array" ref="AQ39">IF(OR(O39=0,O39=""),"",IF(AND('Basic Data Entry'!$C$10="state Service",'Arear Table Unprotected)'!T39=2020,S39=3),ROUND(V39/31*5,0),IF(AND('Basic Data Entry'!$C$10="state Service",'Arear Table Unprotected)'!T39=2020,S39=9),ROUND(Z39/30*2,0),IF(AND('Basic Data Entry'!$C$10="state Service",'Arear Table Unprotected)'!T39=2020,S39=10),ROUND(Z39/31*2,0),IF(AND('Basic Data Entry'!$C$10="subordinate",'Arear Table Unprotected)'!T39=2020,S39=3),ROUND(V39/31*3,0),IF(AND('Basic Data Entry'!$C$10="subordinate",'Arear Table Unprotected)'!T39=2020,S39=9),ROUND(Z39/30*1,0),IF(AND('Basic Data Entry'!$C$10="subordinate",'Arear Table Unprotected)'!T39=2020,S39=10),ROUND(Z39/31*1,0),IF(AND('Basic Data Entry'!$C$10="ministrial",'Arear Table Unprotected)'!T39=2020,S39=3),ROUND(V39/31*1,0),""))))))))</f>
        <v/>
      </c>
      <c r="AR39" s="107" t="str">
        <f t="array" ref="AR39">IF(OR(O39=0,O39=""),"",IF(AND('Basic Data Entry'!$C$10="state Service",'Arear Table Unprotected)'!T39=2020,S39=3),ROUND(AA39/31*5,0),IF(AND('Basic Data Entry'!$C$10="state Service",'Arear Table Unprotected)'!T39=2020,S39=9),ROUND(AE39/30*2,0),IF(AND('Basic Data Entry'!$C$10="state Service",'Arear Table Unprotected)'!T39=2020,S39=10),ROUND(AE39/31*2,0),IF(AND('Basic Data Entry'!$C$10="subordinate",'Arear Table Unprotected)'!T39=2020,S39=3),ROUND(AA39/31*3,0),IF(AND('Basic Data Entry'!$C$10="subordinate",'Arear Table Unprotected)'!T39=2020,S39=9),ROUND(AE39/30*1,0),IF(AND('Basic Data Entry'!$C$10="subordinate",'Arear Table Unprotected)'!T39=2020,S39=10),ROUND(AE39/31*1,0),IF(AND('Basic Data Entry'!$C$10="ministrial",'Arear Table Unprotected)'!T39=2020,S39=3),ROUND(AA39/31*1,0),""))))))))</f>
        <v/>
      </c>
      <c r="AS39" s="138" t="str">
        <f t="array" ref="AS39">IF(OR(O39=0,O39="",AQ39="",AR39=""),"",AQ39-AR39)</f>
        <v/>
      </c>
      <c r="AT39" s="44">
        <f t="array" ref="AT39">IF(OR(O38=0,O38=""),"",AT38)</f>
        <v>0</v>
      </c>
      <c r="AU39" s="45">
        <f t="array" ref="AU39">IF(OR(O38=0,O38=""),"",AU38)</f>
        <v>0</v>
      </c>
      <c r="AV39" s="139">
        <f t="array" ref="AV39">IF(OR(O39=0,O39=""),"",SUM(AT39-AU39))</f>
        <v>0</v>
      </c>
      <c r="AW39" s="36">
        <f t="array" ref="AW39">IF(OR(O39=0,O39=""),"",ROUND((AJ39)*$E$3,0))</f>
        <v>625</v>
      </c>
      <c r="AX39" s="36">
        <f t="array" ref="AX39">IF(OR(O39=0,O39=""),"",SUM(AM39,AP39,AS39,AV39,AW39))</f>
        <v>625</v>
      </c>
      <c r="AY39" s="140">
        <f t="array" ref="AY39">IF(OR(O39=0,O39=""),"",AJ39-AX39)</f>
        <v>5625</v>
      </c>
      <c r="AZ39" s="46"/>
      <c r="BA39" s="24"/>
      <c r="BB39" s="24"/>
      <c r="BC39" s="11">
        <f t="shared" si="11"/>
        <v>44272</v>
      </c>
      <c r="BD39" s="84">
        <f t="shared" si="12"/>
        <v>3</v>
      </c>
      <c r="BE39" s="84">
        <f t="shared" si="18"/>
        <v>46500</v>
      </c>
      <c r="BI39" s="22">
        <f t="shared" si="19"/>
        <v>44272</v>
      </c>
      <c r="BK39" s="19">
        <f t="shared" si="13"/>
        <v>1</v>
      </c>
      <c r="BL39" s="20" t="str">
        <f t="array" ref="BL39">IF(OR(O39=0,O39=""),"",U39)</f>
        <v>32021</v>
      </c>
      <c r="BM39" s="19">
        <f t="array" ref="BM39">IF(OR(O39=0,O39=""),"",BK39+BL39)</f>
        <v>32022</v>
      </c>
      <c r="BN39" s="21" t="str">
        <f t="shared" si="14"/>
        <v>MM</v>
      </c>
      <c r="BO39" s="21">
        <f t="shared" si="15"/>
        <v>0</v>
      </c>
      <c r="BP39" s="23">
        <f t="shared" si="16"/>
        <v>0</v>
      </c>
      <c r="BQ39" s="21" t="str">
        <f t="shared" si="17"/>
        <v>00</v>
      </c>
      <c r="BW39" s="81" t="str">
        <f>IF(OR(O39=0,O39=""),"",IF('Basic Data Entry'!$C$9="fixation","yes",""))</f>
        <v/>
      </c>
      <c r="BX39" s="81" t="str">
        <f>IF(OR(O39=0,O39=""),"",IF('Basic Data Entry'!$G$12="yes","yes","no"))</f>
        <v>no</v>
      </c>
    </row>
    <row r="40" spans="1:76" ht="18" customHeight="1" thickBot="1">
      <c r="A40" s="10">
        <f t="shared" si="6"/>
        <v>46500</v>
      </c>
      <c r="B40" s="305"/>
      <c r="C40" s="305"/>
      <c r="D40" s="305"/>
      <c r="E40" s="305"/>
      <c r="F40" s="108">
        <f t="shared" si="1"/>
        <v>44303</v>
      </c>
      <c r="G40" s="227">
        <f t="shared" si="2"/>
        <v>0.17</v>
      </c>
      <c r="H40" s="228">
        <f t="shared" si="3"/>
        <v>0.17</v>
      </c>
      <c r="I40" s="228">
        <f>IF(OR($E$2="fixation",O40="",O40=0),"",IF(AND('Basic Data Entry'!$G$11="Z-Rural",'Arear Table Unprotected)'!T40&lt;2021),0.08,IF(AND('Basic Data Entry'!$G$11="Y-Urban",'Arear Table Unprotected)'!T40&lt;2021),0.16,IF(AND('Basic Data Entry'!$G$11="Z-Rural",'Arear Table Unprotected)'!T40=2021,S40&gt;=7),0.09,IF(AND('Basic Data Entry'!$G$11="Y-Urban",'Arear Table Unprotected)'!T40=2021,'Arear Table Unprotected)'!S40&gt;=7),0.18,IF(AND('Basic Data Entry'!$G$11="Z-Rural",'Arear Table Unprotected)'!T40=2021,S40&lt;7),0.08,IF(AND('Basic Data Entry'!$G$11="Y-Urban",'Arear Table Unprotected)'!T40=2021,'Arear Table Unprotected)'!S40&lt;7),0.16,IF(AND('Basic Data Entry'!$G$11="Z-Rural",'Arear Table Unprotected)'!T40=2022),0.09,IF(AND('Basic Data Entry'!$G$11="Y-Urban",'Arear Table Unprotected)'!T40=2022),0.18,IF(AND('Basic Data Entry'!$G$11="Z-Rural",'Arear Table Unprotected)'!T40=2023),0.09,IF(AND('Basic Data Entry'!$G$11="Y-Urban",'Arear Table Unprotected)'!T40=2023),0.18,"")))))))))))</f>
        <v>0.08</v>
      </c>
      <c r="J40" s="229">
        <f>IF(OR(O40="",O40=0),"",IF(AND('Basic Data Entry'!$G$11="Z-Rural",'Arear Table Unprotected)'!T40&lt;2021),0.08,IF(AND('Basic Data Entry'!$G$11="Y-Urban",'Arear Table Unprotected)'!T40&lt;2021),0.16,IF(AND('Basic Data Entry'!$G$11="Z-Rural",'Arear Table Unprotected)'!T40=2021,S40&gt;=7),0.09,IF(AND('Basic Data Entry'!$G$11="Y-Urban",'Arear Table Unprotected)'!T40=2021,'Arear Table Unprotected)'!S40&gt;=7),0.18,IF(AND('Basic Data Entry'!$G$11="Z-Rural",'Arear Table Unprotected)'!T40=2021,S40&lt;7),0.08,IF(AND('Basic Data Entry'!$G$11="Y-Urban",'Arear Table Unprotected)'!T40=2021,'Arear Table Unprotected)'!S40&lt;7),0.16,IF(AND('Basic Data Entry'!$G$11="Z-Rural",'Arear Table Unprotected)'!T40=2022),0.09,IF(AND('Basic Data Entry'!$G$11="Y-Urban",'Arear Table Unprotected)'!T40=2022),0.18,IF(AND('Basic Data Entry'!$G$11="Z-Rural",'Arear Table Unprotected)'!T40=2023),0.09,IF(AND('Basic Data Entry'!$G$11="Y-Urban",'Arear Table Unprotected)'!T40=2023),0.18,"")))))))))))</f>
        <v>0.08</v>
      </c>
      <c r="K40" s="230" t="str">
        <f t="shared" si="4"/>
        <v/>
      </c>
      <c r="L40" s="231" t="str">
        <f t="shared" si="5"/>
        <v/>
      </c>
      <c r="M40" s="232" t="str">
        <f t="shared" si="7"/>
        <v/>
      </c>
      <c r="N40" s="196">
        <v>28</v>
      </c>
      <c r="O40" s="327">
        <f t="shared" si="8"/>
        <v>44303</v>
      </c>
      <c r="P40" s="328"/>
      <c r="Q40" s="328"/>
      <c r="R40" s="329"/>
      <c r="S40" s="161">
        <f t="array" ref="S40">IF(OR(O40=0,O40=""),"",MONTH(O40))</f>
        <v>4</v>
      </c>
      <c r="T40" s="161">
        <f t="array" ref="T40">IF(OR(O40=0,O40=""),"",YEAR(O40))</f>
        <v>2021</v>
      </c>
      <c r="U40" s="161" t="str">
        <f t="shared" si="9"/>
        <v>42021</v>
      </c>
      <c r="V40" s="6">
        <f t="array" ref="V40">IF(OR(O40=0,O40=""),"",BE40)</f>
        <v>46500</v>
      </c>
      <c r="W40" s="18">
        <f t="array" ref="W40">IF(OR(O40=0,O40=""),"",ROUND(V40*H40,0))</f>
        <v>7905</v>
      </c>
      <c r="X40" s="18">
        <f t="shared" si="10"/>
        <v>0</v>
      </c>
      <c r="Y40" s="18">
        <f t="array" ref="Y40">IF(OR(O40=0,O40=""),"",ROUND(V40*J40,0))</f>
        <v>3720</v>
      </c>
      <c r="Z40" s="135">
        <f t="array" ref="Z40">IF(OR(O40=0,O40=""),"",SUM(V40:Y40))</f>
        <v>58125</v>
      </c>
      <c r="AA40" s="1">
        <f t="array" ref="AA40">IF(OR(O40=0,O40=""),"",IF(V40=0,0,IF($E$2="FIXATION",$B$5,IF(V40=0,0,IF(BD40=7,ROUND(AA39*1.03,-2),AA39)))))</f>
        <v>41500</v>
      </c>
      <c r="AB40" s="2">
        <f t="array" ref="AB40">IF(OR(O40=0,O40=""),"",IF($E$2="fixation",0,ROUND(AA40*G40,0)))</f>
        <v>7055</v>
      </c>
      <c r="AC40" s="18">
        <f t="array" ref="AC40">IF(OR(O40=0,O40=""),"",AC39)</f>
        <v>0</v>
      </c>
      <c r="AD40" s="2">
        <f t="array" ref="AD40">IF(OR(O40=0,O40=""),"",IF($E$2="fixation",0,ROUND(AA40*I40,0)))</f>
        <v>3320</v>
      </c>
      <c r="AE40" s="135">
        <f t="array" ref="AE40">IF(OR(O40=0,O40=""),"",SUM(AA40:AD40))</f>
        <v>51875</v>
      </c>
      <c r="AF40" s="1">
        <f t="array" ref="AF40">IF(OR(O40=0,O40=""),"",V40-AA40)</f>
        <v>5000</v>
      </c>
      <c r="AG40" s="2">
        <f t="array" ref="AG40">IF(OR(O40=0,O40=""),"",W40-AB40)</f>
        <v>850</v>
      </c>
      <c r="AH40" s="2">
        <f t="array" ref="AH40">IF(OR(O40=0,O40=""),"",X40-AC40)</f>
        <v>0</v>
      </c>
      <c r="AI40" s="2">
        <f t="array" ref="AI40">IF(OR(O40=0,O40=""),"",Y40-AD40)</f>
        <v>400</v>
      </c>
      <c r="AJ40" s="136">
        <f t="array" ref="AJ40">IF(OR(O40=0,O40=""),"",Z40-AE40)</f>
        <v>6250</v>
      </c>
      <c r="AK40" s="4">
        <f t="array" ref="AK40">IF(OR(O40=0,O40=""),"",IF(M40="",$AZ$2,$AZ$2+M40))</f>
        <v>4500</v>
      </c>
      <c r="AL40" s="3">
        <f t="array" ref="AL40">IF(OR(O40=0,O40=""),"",$AQ$2)</f>
        <v>4500</v>
      </c>
      <c r="AM40" s="137">
        <f t="array" ref="AM40">IF(OR(O40=0,O40=""),"",AK40-AL40)</f>
        <v>0</v>
      </c>
      <c r="AN40" s="3">
        <f t="array" ref="AN40">IF(OR(O39=0,O39="",AN39="",AN39=""),"",AN39)</f>
        <v>3000</v>
      </c>
      <c r="AO40" s="2">
        <f t="array" ref="AO40">IF(OR(O39=0,O39="",AO39="",AO39=""),"",AO39)</f>
        <v>3000</v>
      </c>
      <c r="AP40" s="137">
        <f t="array" ref="AP40">IF(OR(O40=0,O40=""),"",SUM(AN40-AO40))</f>
        <v>0</v>
      </c>
      <c r="AQ40" s="106" t="str">
        <f t="array" ref="AQ40">IF(OR(O40=0,O40=""),"",IF(AND('Basic Data Entry'!$C$10="state Service",'Arear Table Unprotected)'!T40=2020,S40=3),ROUND(V40/31*5,0),IF(AND('Basic Data Entry'!$C$10="state Service",'Arear Table Unprotected)'!T40=2020,S40=9),ROUND(Z40/30*2,0),IF(AND('Basic Data Entry'!$C$10="state Service",'Arear Table Unprotected)'!T40=2020,S40=10),ROUND(Z40/31*2,0),IF(AND('Basic Data Entry'!$C$10="subordinate",'Arear Table Unprotected)'!T40=2020,S40=3),ROUND(V40/31*3,0),IF(AND('Basic Data Entry'!$C$10="subordinate",'Arear Table Unprotected)'!T40=2020,S40=9),ROUND(Z40/30*1,0),IF(AND('Basic Data Entry'!$C$10="subordinate",'Arear Table Unprotected)'!T40=2020,S40=10),ROUND(Z40/31*1,0),IF(AND('Basic Data Entry'!$C$10="ministrial",'Arear Table Unprotected)'!T40=2020,S40=3),ROUND(V40/31*1,0),""))))))))</f>
        <v/>
      </c>
      <c r="AR40" s="107" t="str">
        <f t="array" ref="AR40">IF(OR(O40=0,O40=""),"",IF(AND('Basic Data Entry'!$C$10="state Service",'Arear Table Unprotected)'!T40=2020,S40=3),ROUND(AA40/31*5,0),IF(AND('Basic Data Entry'!$C$10="state Service",'Arear Table Unprotected)'!T40=2020,S40=9),ROUND(AE40/30*2,0),IF(AND('Basic Data Entry'!$C$10="state Service",'Arear Table Unprotected)'!T40=2020,S40=10),ROUND(AE40/31*2,0),IF(AND('Basic Data Entry'!$C$10="subordinate",'Arear Table Unprotected)'!T40=2020,S40=3),ROUND(AA40/31*3,0),IF(AND('Basic Data Entry'!$C$10="subordinate",'Arear Table Unprotected)'!T40=2020,S40=9),ROUND(AE40/30*1,0),IF(AND('Basic Data Entry'!$C$10="subordinate",'Arear Table Unprotected)'!T40=2020,S40=10),ROUND(AE40/31*1,0),IF(AND('Basic Data Entry'!$C$10="ministrial",'Arear Table Unprotected)'!T40=2020,S40=3),ROUND(AA40/31*1,0),""))))))))</f>
        <v/>
      </c>
      <c r="AS40" s="138" t="str">
        <f t="array" ref="AS40">IF(OR(O40=0,O40="",AQ40="",AR40=""),"",AQ40-AR40)</f>
        <v/>
      </c>
      <c r="AT40" s="44">
        <f t="array" ref="AT40">IF(OR(O39=0,O39=""),"",AT39)</f>
        <v>0</v>
      </c>
      <c r="AU40" s="45">
        <f t="array" ref="AU40">IF(OR(O39=0,O39=""),"",AU39)</f>
        <v>0</v>
      </c>
      <c r="AV40" s="139">
        <f t="array" ref="AV40">IF(OR(O40=0,O40=""),"",SUM(AT40-AU40))</f>
        <v>0</v>
      </c>
      <c r="AW40" s="36">
        <f t="array" ref="AW40">IF(OR(O40=0,O40=""),"",ROUND((AJ40)*$E$3,0))</f>
        <v>625</v>
      </c>
      <c r="AX40" s="36">
        <f t="array" ref="AX40">IF(OR(O40=0,O40=""),"",SUM(AM40,AP40,AS40,AV40,AW40))</f>
        <v>625</v>
      </c>
      <c r="AY40" s="140">
        <f t="array" ref="AY40">IF(OR(O40=0,O40=""),"",AJ40-AX40)</f>
        <v>5625</v>
      </c>
      <c r="AZ40" s="46"/>
      <c r="BA40" s="24"/>
      <c r="BB40" s="24"/>
      <c r="BC40" s="11">
        <f t="shared" si="11"/>
        <v>44303</v>
      </c>
      <c r="BD40" s="84">
        <f t="shared" si="12"/>
        <v>4</v>
      </c>
      <c r="BE40" s="84">
        <f t="shared" si="18"/>
        <v>46500</v>
      </c>
      <c r="BI40" s="22">
        <f t="shared" si="19"/>
        <v>44303</v>
      </c>
      <c r="BK40" s="19">
        <f t="shared" si="13"/>
        <v>1</v>
      </c>
      <c r="BL40" s="20" t="str">
        <f t="array" ref="BL40">IF(OR(O40=0,O40=""),"",U40)</f>
        <v>42021</v>
      </c>
      <c r="BM40" s="19">
        <f t="array" ref="BM40">IF(OR(O40=0,O40=""),"",BK40+BL40)</f>
        <v>42022</v>
      </c>
      <c r="BN40" s="21">
        <f t="shared" si="14"/>
        <v>0</v>
      </c>
      <c r="BO40" s="21">
        <f t="shared" si="15"/>
        <v>0</v>
      </c>
      <c r="BP40" s="23">
        <f t="shared" si="16"/>
        <v>0</v>
      </c>
      <c r="BQ40" s="21" t="str">
        <f t="shared" si="17"/>
        <v>00</v>
      </c>
      <c r="BW40" s="81" t="str">
        <f>IF(OR(O40=0,O40=""),"",IF('Basic Data Entry'!$C$9="fixation","yes",""))</f>
        <v/>
      </c>
      <c r="BX40" s="81" t="str">
        <f>IF(OR(O40=0,O40=""),"",IF('Basic Data Entry'!$G$12="yes","yes","no"))</f>
        <v>no</v>
      </c>
    </row>
    <row r="41" spans="1:76" ht="18" customHeight="1" thickBot="1">
      <c r="A41" s="10">
        <f t="shared" si="6"/>
        <v>46500</v>
      </c>
      <c r="B41" s="305"/>
      <c r="C41" s="305"/>
      <c r="D41" s="305"/>
      <c r="E41" s="305"/>
      <c r="F41" s="108">
        <f t="shared" si="1"/>
        <v>44334</v>
      </c>
      <c r="G41" s="227">
        <f t="shared" si="2"/>
        <v>0.17</v>
      </c>
      <c r="H41" s="228">
        <f t="shared" si="3"/>
        <v>0.17</v>
      </c>
      <c r="I41" s="228">
        <f>IF(OR($E$2="fixation",O41="",O41=0),"",IF(AND('Basic Data Entry'!$G$11="Z-Rural",'Arear Table Unprotected)'!T41&lt;2021),0.08,IF(AND('Basic Data Entry'!$G$11="Y-Urban",'Arear Table Unprotected)'!T41&lt;2021),0.16,IF(AND('Basic Data Entry'!$G$11="Z-Rural",'Arear Table Unprotected)'!T41=2021,S41&gt;=7),0.09,IF(AND('Basic Data Entry'!$G$11="Y-Urban",'Arear Table Unprotected)'!T41=2021,'Arear Table Unprotected)'!S41&gt;=7),0.18,IF(AND('Basic Data Entry'!$G$11="Z-Rural",'Arear Table Unprotected)'!T41=2021,S41&lt;7),0.08,IF(AND('Basic Data Entry'!$G$11="Y-Urban",'Arear Table Unprotected)'!T41=2021,'Arear Table Unprotected)'!S41&lt;7),0.16,IF(AND('Basic Data Entry'!$G$11="Z-Rural",'Arear Table Unprotected)'!T41=2022),0.09,IF(AND('Basic Data Entry'!$G$11="Y-Urban",'Arear Table Unprotected)'!T41=2022),0.18,IF(AND('Basic Data Entry'!$G$11="Z-Rural",'Arear Table Unprotected)'!T41=2023),0.09,IF(AND('Basic Data Entry'!$G$11="Y-Urban",'Arear Table Unprotected)'!T41=2023),0.18,"")))))))))))</f>
        <v>0.08</v>
      </c>
      <c r="J41" s="229">
        <f>IF(OR(O41="",O41=0),"",IF(AND('Basic Data Entry'!$G$11="Z-Rural",'Arear Table Unprotected)'!T41&lt;2021),0.08,IF(AND('Basic Data Entry'!$G$11="Y-Urban",'Arear Table Unprotected)'!T41&lt;2021),0.16,IF(AND('Basic Data Entry'!$G$11="Z-Rural",'Arear Table Unprotected)'!T41=2021,S41&gt;=7),0.09,IF(AND('Basic Data Entry'!$G$11="Y-Urban",'Arear Table Unprotected)'!T41=2021,'Arear Table Unprotected)'!S41&gt;=7),0.18,IF(AND('Basic Data Entry'!$G$11="Z-Rural",'Arear Table Unprotected)'!T41=2021,S41&lt;7),0.08,IF(AND('Basic Data Entry'!$G$11="Y-Urban",'Arear Table Unprotected)'!T41=2021,'Arear Table Unprotected)'!S41&lt;7),0.16,IF(AND('Basic Data Entry'!$G$11="Z-Rural",'Arear Table Unprotected)'!T41=2022),0.09,IF(AND('Basic Data Entry'!$G$11="Y-Urban",'Arear Table Unprotected)'!T41=2022),0.18,IF(AND('Basic Data Entry'!$G$11="Z-Rural",'Arear Table Unprotected)'!T41=2023),0.09,IF(AND('Basic Data Entry'!$G$11="Y-Urban",'Arear Table Unprotected)'!T41=2023),0.18,"")))))))))))</f>
        <v>0.08</v>
      </c>
      <c r="K41" s="230" t="str">
        <f t="shared" si="4"/>
        <v/>
      </c>
      <c r="L41" s="231" t="str">
        <f t="shared" si="5"/>
        <v/>
      </c>
      <c r="M41" s="232" t="str">
        <f t="shared" si="7"/>
        <v/>
      </c>
      <c r="N41" s="196">
        <v>29</v>
      </c>
      <c r="O41" s="327">
        <f t="shared" si="8"/>
        <v>44334</v>
      </c>
      <c r="P41" s="328"/>
      <c r="Q41" s="328"/>
      <c r="R41" s="329"/>
      <c r="S41" s="161">
        <f t="array" ref="S41">IF(OR(O41=0,O41=""),"",MONTH(O41))</f>
        <v>5</v>
      </c>
      <c r="T41" s="161">
        <f t="array" ref="T41">IF(OR(O41=0,O41=""),"",YEAR(O41))</f>
        <v>2021</v>
      </c>
      <c r="U41" s="161" t="str">
        <f t="shared" si="9"/>
        <v>52021</v>
      </c>
      <c r="V41" s="6">
        <f t="array" ref="V41">IF(OR(O41=0,O41=""),"",BE41)</f>
        <v>46500</v>
      </c>
      <c r="W41" s="18">
        <f t="array" ref="W41">IF(OR(O41=0,O41=""),"",ROUND(V41*H41,0))</f>
        <v>7905</v>
      </c>
      <c r="X41" s="18">
        <f t="shared" si="10"/>
        <v>0</v>
      </c>
      <c r="Y41" s="18">
        <f t="array" ref="Y41">IF(OR(O41=0,O41=""),"",ROUND(V41*J41,0))</f>
        <v>3720</v>
      </c>
      <c r="Z41" s="135">
        <f t="array" ref="Z41">IF(OR(O41=0,O41=""),"",SUM(V41:Y41))</f>
        <v>58125</v>
      </c>
      <c r="AA41" s="1">
        <f t="array" ref="AA41">IF(OR(O41=0,O41=""),"",IF(V41=0,0,IF($E$2="FIXATION",$B$5,IF(V41=0,0,IF(BD41=7,ROUND(AA40*1.03,-2),AA40)))))</f>
        <v>41500</v>
      </c>
      <c r="AB41" s="2">
        <f t="array" ref="AB41">IF(OR(O41=0,O41=""),"",IF($E$2="fixation",0,ROUND(AA41*G41,0)))</f>
        <v>7055</v>
      </c>
      <c r="AC41" s="18">
        <f t="array" ref="AC41">IF(OR(O41=0,O41=""),"",AC40)</f>
        <v>0</v>
      </c>
      <c r="AD41" s="2">
        <f t="array" ref="AD41">IF(OR(O41=0,O41=""),"",IF($E$2="fixation",0,ROUND(AA41*I41,0)))</f>
        <v>3320</v>
      </c>
      <c r="AE41" s="135">
        <f t="array" ref="AE41">IF(OR(O41=0,O41=""),"",SUM(AA41:AD41))</f>
        <v>51875</v>
      </c>
      <c r="AF41" s="1">
        <f t="array" ref="AF41">IF(OR(O41=0,O41=""),"",V41-AA41)</f>
        <v>5000</v>
      </c>
      <c r="AG41" s="2">
        <f t="array" ref="AG41">IF(OR(O41=0,O41=""),"",W41-AB41)</f>
        <v>850</v>
      </c>
      <c r="AH41" s="2">
        <f t="array" ref="AH41">IF(OR(O41=0,O41=""),"",X41-AC41)</f>
        <v>0</v>
      </c>
      <c r="AI41" s="2">
        <f t="array" ref="AI41">IF(OR(O41=0,O41=""),"",Y41-AD41)</f>
        <v>400</v>
      </c>
      <c r="AJ41" s="136">
        <f t="array" ref="AJ41">IF(OR(O41=0,O41=""),"",Z41-AE41)</f>
        <v>6250</v>
      </c>
      <c r="AK41" s="4">
        <f t="array" ref="AK41">IF(OR(O41=0,O41=""),"",IF(M41="",$AZ$2,$AZ$2+M41))</f>
        <v>4500</v>
      </c>
      <c r="AL41" s="3">
        <f t="array" ref="AL41">IF(OR(O41=0,O41=""),"",$AQ$2)</f>
        <v>4500</v>
      </c>
      <c r="AM41" s="137">
        <f t="array" ref="AM41">IF(OR(O41=0,O41=""),"",AK41-AL41)</f>
        <v>0</v>
      </c>
      <c r="AN41" s="3">
        <f t="array" ref="AN41">IF(OR(O40=0,O40="",AN40="",AN40=""),"",AN40)</f>
        <v>3000</v>
      </c>
      <c r="AO41" s="2">
        <f t="array" ref="AO41">IF(OR(O40=0,O40="",AO40="",AO40=""),"",AO40)</f>
        <v>3000</v>
      </c>
      <c r="AP41" s="137">
        <f t="array" ref="AP41">IF(OR(O41=0,O41=""),"",SUM(AN41-AO41))</f>
        <v>0</v>
      </c>
      <c r="AQ41" s="106" t="str">
        <f t="array" ref="AQ41">IF(OR(O41=0,O41=""),"",IF(AND('Basic Data Entry'!$C$10="state Service",'Arear Table Unprotected)'!T41=2020,S41=3),ROUND(V41/31*5,0),IF(AND('Basic Data Entry'!$C$10="state Service",'Arear Table Unprotected)'!T41=2020,S41=9),ROUND(Z41/30*2,0),IF(AND('Basic Data Entry'!$C$10="state Service",'Arear Table Unprotected)'!T41=2020,S41=10),ROUND(Z41/31*2,0),IF(AND('Basic Data Entry'!$C$10="subordinate",'Arear Table Unprotected)'!T41=2020,S41=3),ROUND(V41/31*3,0),IF(AND('Basic Data Entry'!$C$10="subordinate",'Arear Table Unprotected)'!T41=2020,S41=9),ROUND(Z41/30*1,0),IF(AND('Basic Data Entry'!$C$10="subordinate",'Arear Table Unprotected)'!T41=2020,S41=10),ROUND(Z41/31*1,0),IF(AND('Basic Data Entry'!$C$10="ministrial",'Arear Table Unprotected)'!T41=2020,S41=3),ROUND(V41/31*1,0),""))))))))</f>
        <v/>
      </c>
      <c r="AR41" s="107" t="str">
        <f t="array" ref="AR41">IF(OR(O41=0,O41=""),"",IF(AND('Basic Data Entry'!$C$10="state Service",'Arear Table Unprotected)'!T41=2020,S41=3),ROUND(AA41/31*5,0),IF(AND('Basic Data Entry'!$C$10="state Service",'Arear Table Unprotected)'!T41=2020,S41=9),ROUND(AE41/30*2,0),IF(AND('Basic Data Entry'!$C$10="state Service",'Arear Table Unprotected)'!T41=2020,S41=10),ROUND(AE41/31*2,0),IF(AND('Basic Data Entry'!$C$10="subordinate",'Arear Table Unprotected)'!T41=2020,S41=3),ROUND(AA41/31*3,0),IF(AND('Basic Data Entry'!$C$10="subordinate",'Arear Table Unprotected)'!T41=2020,S41=9),ROUND(AE41/30*1,0),IF(AND('Basic Data Entry'!$C$10="subordinate",'Arear Table Unprotected)'!T41=2020,S41=10),ROUND(AE41/31*1,0),IF(AND('Basic Data Entry'!$C$10="ministrial",'Arear Table Unprotected)'!T41=2020,S41=3),ROUND(AA41/31*1,0),""))))))))</f>
        <v/>
      </c>
      <c r="AS41" s="138" t="str">
        <f t="array" ref="AS41">IF(OR(O41=0,O41="",AQ41="",AR41=""),"",AQ41-AR41)</f>
        <v/>
      </c>
      <c r="AT41" s="44">
        <f t="array" ref="AT41">IF(OR(O40=0,O40=""),"",AT40)</f>
        <v>0</v>
      </c>
      <c r="AU41" s="45">
        <f t="array" ref="AU41">IF(OR(O40=0,O40=""),"",AU40)</f>
        <v>0</v>
      </c>
      <c r="AV41" s="139">
        <f t="array" ref="AV41">IF(OR(O41=0,O41=""),"",SUM(AT41-AU41))</f>
        <v>0</v>
      </c>
      <c r="AW41" s="36">
        <f t="array" ref="AW41">IF(OR(O41=0,O41=""),"",ROUND((AJ41)*$E$3,0))</f>
        <v>625</v>
      </c>
      <c r="AX41" s="36">
        <f t="array" ref="AX41">IF(OR(O41=0,O41=""),"",SUM(AM41,AP41,AS41,AV41,AW41))</f>
        <v>625</v>
      </c>
      <c r="AY41" s="140">
        <f t="array" ref="AY41">IF(OR(O41=0,O41=""),"",AJ41-AX41)</f>
        <v>5625</v>
      </c>
      <c r="AZ41" s="46"/>
      <c r="BA41" s="24"/>
      <c r="BB41" s="24"/>
      <c r="BC41" s="11">
        <f t="shared" si="11"/>
        <v>44334</v>
      </c>
      <c r="BD41" s="84">
        <f t="shared" si="12"/>
        <v>5</v>
      </c>
      <c r="BE41" s="84">
        <f t="shared" si="18"/>
        <v>46500</v>
      </c>
      <c r="BI41" s="22">
        <f t="shared" si="19"/>
        <v>44334</v>
      </c>
      <c r="BK41" s="19">
        <f t="shared" si="13"/>
        <v>1</v>
      </c>
      <c r="BL41" s="20" t="str">
        <f t="array" ref="BL41">IF(OR(O41=0,O41=""),"",U41)</f>
        <v>52021</v>
      </c>
      <c r="BM41" s="19">
        <f t="array" ref="BM41">IF(OR(O41=0,O41=""),"",BK41+BL41)</f>
        <v>52022</v>
      </c>
      <c r="BN41" s="21">
        <f t="shared" si="14"/>
        <v>0</v>
      </c>
      <c r="BO41" s="21">
        <f t="shared" si="15"/>
        <v>0</v>
      </c>
      <c r="BP41" s="23">
        <f t="shared" si="16"/>
        <v>0</v>
      </c>
      <c r="BQ41" s="21" t="str">
        <f t="shared" si="17"/>
        <v>00</v>
      </c>
      <c r="BW41" s="81" t="str">
        <f>IF(OR(O41=0,O41=""),"",IF('Basic Data Entry'!$C$9="fixation","yes",""))</f>
        <v/>
      </c>
      <c r="BX41" s="81" t="str">
        <f>IF(OR(O41=0,O41=""),"",IF('Basic Data Entry'!$G$12="yes","yes","no"))</f>
        <v>no</v>
      </c>
    </row>
    <row r="42" spans="1:76" ht="18" customHeight="1" thickBot="1">
      <c r="A42" s="10">
        <f t="shared" si="6"/>
        <v>46500</v>
      </c>
      <c r="B42" s="305"/>
      <c r="C42" s="305"/>
      <c r="D42" s="305"/>
      <c r="E42" s="305"/>
      <c r="F42" s="108">
        <f t="shared" si="1"/>
        <v>44365</v>
      </c>
      <c r="G42" s="227">
        <f t="shared" si="2"/>
        <v>0.17</v>
      </c>
      <c r="H42" s="228">
        <f t="shared" si="3"/>
        <v>0.17</v>
      </c>
      <c r="I42" s="228">
        <f>IF(OR($E$2="fixation",O42="",O42=0),"",IF(AND('Basic Data Entry'!$G$11="Z-Rural",'Arear Table Unprotected)'!T42&lt;2021),0.08,IF(AND('Basic Data Entry'!$G$11="Y-Urban",'Arear Table Unprotected)'!T42&lt;2021),0.16,IF(AND('Basic Data Entry'!$G$11="Z-Rural",'Arear Table Unprotected)'!T42=2021,S42&gt;=7),0.09,IF(AND('Basic Data Entry'!$G$11="Y-Urban",'Arear Table Unprotected)'!T42=2021,'Arear Table Unprotected)'!S42&gt;=7),0.18,IF(AND('Basic Data Entry'!$G$11="Z-Rural",'Arear Table Unprotected)'!T42=2021,S42&lt;7),0.08,IF(AND('Basic Data Entry'!$G$11="Y-Urban",'Arear Table Unprotected)'!T42=2021,'Arear Table Unprotected)'!S42&lt;7),0.16,IF(AND('Basic Data Entry'!$G$11="Z-Rural",'Arear Table Unprotected)'!T42=2022),0.09,IF(AND('Basic Data Entry'!$G$11="Y-Urban",'Arear Table Unprotected)'!T42=2022),0.18,IF(AND('Basic Data Entry'!$G$11="Z-Rural",'Arear Table Unprotected)'!T42=2023),0.09,IF(AND('Basic Data Entry'!$G$11="Y-Urban",'Arear Table Unprotected)'!T42=2023),0.18,"")))))))))))</f>
        <v>0.08</v>
      </c>
      <c r="J42" s="229">
        <f>IF(OR(O42="",O42=0),"",IF(AND('Basic Data Entry'!$G$11="Z-Rural",'Arear Table Unprotected)'!T42&lt;2021),0.08,IF(AND('Basic Data Entry'!$G$11="Y-Urban",'Arear Table Unprotected)'!T42&lt;2021),0.16,IF(AND('Basic Data Entry'!$G$11="Z-Rural",'Arear Table Unprotected)'!T42=2021,S42&gt;=7),0.09,IF(AND('Basic Data Entry'!$G$11="Y-Urban",'Arear Table Unprotected)'!T42=2021,'Arear Table Unprotected)'!S42&gt;=7),0.18,IF(AND('Basic Data Entry'!$G$11="Z-Rural",'Arear Table Unprotected)'!T42=2021,S42&lt;7),0.08,IF(AND('Basic Data Entry'!$G$11="Y-Urban",'Arear Table Unprotected)'!T42=2021,'Arear Table Unprotected)'!S42&lt;7),0.16,IF(AND('Basic Data Entry'!$G$11="Z-Rural",'Arear Table Unprotected)'!T42=2022),0.09,IF(AND('Basic Data Entry'!$G$11="Y-Urban",'Arear Table Unprotected)'!T42=2022),0.18,IF(AND('Basic Data Entry'!$G$11="Z-Rural",'Arear Table Unprotected)'!T42=2023),0.09,IF(AND('Basic Data Entry'!$G$11="Y-Urban",'Arear Table Unprotected)'!T42=2023),0.18,"")))))))))))</f>
        <v>0.08</v>
      </c>
      <c r="K42" s="230" t="str">
        <f t="shared" si="4"/>
        <v/>
      </c>
      <c r="L42" s="231" t="str">
        <f t="shared" si="5"/>
        <v/>
      </c>
      <c r="M42" s="232" t="str">
        <f t="shared" si="7"/>
        <v/>
      </c>
      <c r="N42" s="196">
        <v>30</v>
      </c>
      <c r="O42" s="327">
        <f t="shared" si="8"/>
        <v>44365</v>
      </c>
      <c r="P42" s="328"/>
      <c r="Q42" s="328"/>
      <c r="R42" s="329"/>
      <c r="S42" s="161">
        <f t="array" ref="S42">IF(OR(O42=0,O42=""),"",MONTH(O42))</f>
        <v>6</v>
      </c>
      <c r="T42" s="161">
        <f t="array" ref="T42">IF(OR(O42=0,O42=""),"",YEAR(O42))</f>
        <v>2021</v>
      </c>
      <c r="U42" s="161" t="str">
        <f t="shared" si="9"/>
        <v>62021</v>
      </c>
      <c r="V42" s="6">
        <f t="array" ref="V42">IF(OR(O42=0,O42=""),"",BE42)</f>
        <v>46500</v>
      </c>
      <c r="W42" s="18">
        <f t="array" ref="W42">IF(OR(O42=0,O42=""),"",ROUND(V42*H42,0))</f>
        <v>7905</v>
      </c>
      <c r="X42" s="18">
        <f t="shared" si="10"/>
        <v>0</v>
      </c>
      <c r="Y42" s="18">
        <f t="array" ref="Y42">IF(OR(O42=0,O42=""),"",ROUND(V42*J42,0))</f>
        <v>3720</v>
      </c>
      <c r="Z42" s="135">
        <f t="array" ref="Z42">IF(OR(O42=0,O42=""),"",SUM(V42:Y42))</f>
        <v>58125</v>
      </c>
      <c r="AA42" s="1">
        <f t="array" ref="AA42">IF(OR(O42=0,O42=""),"",IF(V42=0,0,IF($E$2="FIXATION",$B$5,IF(V42=0,0,IF(BD42=7,ROUND(AA41*1.03,-2),AA41)))))</f>
        <v>41500</v>
      </c>
      <c r="AB42" s="2">
        <f t="array" ref="AB42">IF(OR(O42=0,O42=""),"",IF($E$2="fixation",0,ROUND(AA42*G42,0)))</f>
        <v>7055</v>
      </c>
      <c r="AC42" s="18">
        <f t="array" ref="AC42">IF(OR(O42=0,O42=""),"",AC41)</f>
        <v>0</v>
      </c>
      <c r="AD42" s="2">
        <f t="array" ref="AD42">IF(OR(O42=0,O42=""),"",IF($E$2="fixation",0,ROUND(AA42*I42,0)))</f>
        <v>3320</v>
      </c>
      <c r="AE42" s="135">
        <f t="array" ref="AE42">IF(OR(O42=0,O42=""),"",SUM(AA42:AD42))</f>
        <v>51875</v>
      </c>
      <c r="AF42" s="1">
        <f t="array" ref="AF42">IF(OR(O42=0,O42=""),"",V42-AA42)</f>
        <v>5000</v>
      </c>
      <c r="AG42" s="2">
        <f t="array" ref="AG42">IF(OR(O42=0,O42=""),"",W42-AB42)</f>
        <v>850</v>
      </c>
      <c r="AH42" s="2">
        <f t="array" ref="AH42">IF(OR(O42=0,O42=""),"",X42-AC42)</f>
        <v>0</v>
      </c>
      <c r="AI42" s="2">
        <f t="array" ref="AI42">IF(OR(O42=0,O42=""),"",Y42-AD42)</f>
        <v>400</v>
      </c>
      <c r="AJ42" s="136">
        <f t="array" ref="AJ42">IF(OR(O42=0,O42=""),"",Z42-AE42)</f>
        <v>6250</v>
      </c>
      <c r="AK42" s="4">
        <f t="array" ref="AK42">IF(OR(O42=0,O42=""),"",IF(M42="",$AZ$2,$AZ$2+M42))</f>
        <v>4500</v>
      </c>
      <c r="AL42" s="3">
        <f t="array" ref="AL42">IF(OR(O42=0,O42=""),"",$AQ$2)</f>
        <v>4500</v>
      </c>
      <c r="AM42" s="137">
        <f t="array" ref="AM42">IF(OR(O42=0,O42=""),"",AK42-AL42)</f>
        <v>0</v>
      </c>
      <c r="AN42" s="3">
        <f t="array" ref="AN42">IF(OR(O41=0,O41="",AN41="",AN41=""),"",AN41)</f>
        <v>3000</v>
      </c>
      <c r="AO42" s="2">
        <f t="array" ref="AO42">IF(OR(O41=0,O41="",AO41="",AO41=""),"",AO41)</f>
        <v>3000</v>
      </c>
      <c r="AP42" s="137">
        <f t="array" ref="AP42">IF(OR(O42=0,O42=""),"",SUM(AN42-AO42))</f>
        <v>0</v>
      </c>
      <c r="AQ42" s="106" t="str">
        <f t="array" ref="AQ42">IF(OR(O42=0,O42=""),"",IF(AND('Basic Data Entry'!$C$10="state Service",'Arear Table Unprotected)'!T42=2020,S42=3),ROUND(V42/31*5,0),IF(AND('Basic Data Entry'!$C$10="state Service",'Arear Table Unprotected)'!T42=2020,S42=9),ROUND(Z42/30*2,0),IF(AND('Basic Data Entry'!$C$10="state Service",'Arear Table Unprotected)'!T42=2020,S42=10),ROUND(Z42/31*2,0),IF(AND('Basic Data Entry'!$C$10="subordinate",'Arear Table Unprotected)'!T42=2020,S42=3),ROUND(V42/31*3,0),IF(AND('Basic Data Entry'!$C$10="subordinate",'Arear Table Unprotected)'!T42=2020,S42=9),ROUND(Z42/30*1,0),IF(AND('Basic Data Entry'!$C$10="subordinate",'Arear Table Unprotected)'!T42=2020,S42=10),ROUND(Z42/31*1,0),IF(AND('Basic Data Entry'!$C$10="ministrial",'Arear Table Unprotected)'!T42=2020,S42=3),ROUND(V42/31*1,0),""))))))))</f>
        <v/>
      </c>
      <c r="AR42" s="107" t="str">
        <f t="array" ref="AR42">IF(OR(O42=0,O42=""),"",IF(AND('Basic Data Entry'!$C$10="state Service",'Arear Table Unprotected)'!T42=2020,S42=3),ROUND(AA42/31*5,0),IF(AND('Basic Data Entry'!$C$10="state Service",'Arear Table Unprotected)'!T42=2020,S42=9),ROUND(AE42/30*2,0),IF(AND('Basic Data Entry'!$C$10="state Service",'Arear Table Unprotected)'!T42=2020,S42=10),ROUND(AE42/31*2,0),IF(AND('Basic Data Entry'!$C$10="subordinate",'Arear Table Unprotected)'!T42=2020,S42=3),ROUND(AA42/31*3,0),IF(AND('Basic Data Entry'!$C$10="subordinate",'Arear Table Unprotected)'!T42=2020,S42=9),ROUND(AE42/30*1,0),IF(AND('Basic Data Entry'!$C$10="subordinate",'Arear Table Unprotected)'!T42=2020,S42=10),ROUND(AE42/31*1,0),IF(AND('Basic Data Entry'!$C$10="ministrial",'Arear Table Unprotected)'!T42=2020,S42=3),ROUND(AA42/31*1,0),""))))))))</f>
        <v/>
      </c>
      <c r="AS42" s="138" t="str">
        <f t="array" ref="AS42">IF(OR(O42=0,O42="",AQ42="",AR42=""),"",AQ42-AR42)</f>
        <v/>
      </c>
      <c r="AT42" s="44">
        <f t="array" ref="AT42">IF(OR(O41=0,O41=""),"",AT41)</f>
        <v>0</v>
      </c>
      <c r="AU42" s="45">
        <f t="array" ref="AU42">IF(OR(O41=0,O41=""),"",AU41)</f>
        <v>0</v>
      </c>
      <c r="AV42" s="139">
        <f t="array" ref="AV42">IF(OR(O42=0,O42=""),"",SUM(AT42-AU42))</f>
        <v>0</v>
      </c>
      <c r="AW42" s="36">
        <f t="array" ref="AW42">IF(OR(O42=0,O42=""),"",ROUND((AJ42)*$E$3,0))</f>
        <v>625</v>
      </c>
      <c r="AX42" s="36">
        <f t="array" ref="AX42">IF(OR(O42=0,O42=""),"",SUM(AM42,AP42,AS42,AV42,AW42))</f>
        <v>625</v>
      </c>
      <c r="AY42" s="140">
        <f t="array" ref="AY42">IF(OR(O42=0,O42=""),"",AJ42-AX42)</f>
        <v>5625</v>
      </c>
      <c r="AZ42" s="46"/>
      <c r="BA42" s="24"/>
      <c r="BB42" s="24"/>
      <c r="BC42" s="11">
        <f t="shared" si="11"/>
        <v>44365</v>
      </c>
      <c r="BD42" s="84">
        <f t="shared" si="12"/>
        <v>6</v>
      </c>
      <c r="BE42" s="84">
        <f t="shared" si="18"/>
        <v>46500</v>
      </c>
      <c r="BI42" s="22">
        <f t="shared" si="19"/>
        <v>44365</v>
      </c>
      <c r="BK42" s="19">
        <f t="shared" si="13"/>
        <v>1</v>
      </c>
      <c r="BL42" s="20" t="str">
        <f t="array" ref="BL42">IF(OR(O42=0,O42=""),"",U42)</f>
        <v>62021</v>
      </c>
      <c r="BM42" s="19">
        <f t="array" ref="BM42">IF(OR(O42=0,O42=""),"",BK42+BL42)</f>
        <v>62022</v>
      </c>
      <c r="BN42" s="21">
        <f t="shared" si="14"/>
        <v>0</v>
      </c>
      <c r="BO42" s="21">
        <f t="shared" si="15"/>
        <v>0</v>
      </c>
      <c r="BP42" s="23">
        <f t="shared" si="16"/>
        <v>0</v>
      </c>
      <c r="BQ42" s="21" t="str">
        <f t="shared" si="17"/>
        <v>00</v>
      </c>
      <c r="BW42" s="81" t="str">
        <f>IF(OR(O42=0,O42=""),"",IF('Basic Data Entry'!$C$9="fixation","yes",""))</f>
        <v/>
      </c>
      <c r="BX42" s="81" t="str">
        <f>IF(OR(O42=0,O42=""),"",IF('Basic Data Entry'!$G$12="yes","yes","no"))</f>
        <v>no</v>
      </c>
    </row>
    <row r="43" spans="1:76" ht="18" customHeight="1" thickBot="1">
      <c r="A43" s="10">
        <f t="shared" si="6"/>
        <v>47900</v>
      </c>
      <c r="B43" s="305"/>
      <c r="C43" s="305"/>
      <c r="D43" s="305"/>
      <c r="E43" s="305"/>
      <c r="F43" s="108">
        <f t="shared" si="1"/>
        <v>44396</v>
      </c>
      <c r="G43" s="227">
        <f t="shared" si="2"/>
        <v>0.31</v>
      </c>
      <c r="H43" s="228">
        <f t="shared" si="3"/>
        <v>0.31</v>
      </c>
      <c r="I43" s="228">
        <f>IF(OR($E$2="fixation",O43="",O43=0),"",IF(AND('Basic Data Entry'!$G$11="Z-Rural",'Arear Table Unprotected)'!T43&lt;2021),0.08,IF(AND('Basic Data Entry'!$G$11="Y-Urban",'Arear Table Unprotected)'!T43&lt;2021),0.16,IF(AND('Basic Data Entry'!$G$11="Z-Rural",'Arear Table Unprotected)'!T43=2021,S43&gt;=7),0.09,IF(AND('Basic Data Entry'!$G$11="Y-Urban",'Arear Table Unprotected)'!T43=2021,'Arear Table Unprotected)'!S43&gt;=7),0.18,IF(AND('Basic Data Entry'!$G$11="Z-Rural",'Arear Table Unprotected)'!T43=2021,S43&lt;7),0.08,IF(AND('Basic Data Entry'!$G$11="Y-Urban",'Arear Table Unprotected)'!T43=2021,'Arear Table Unprotected)'!S43&lt;7),0.16,IF(AND('Basic Data Entry'!$G$11="Z-Rural",'Arear Table Unprotected)'!T43=2022),0.09,IF(AND('Basic Data Entry'!$G$11="Y-Urban",'Arear Table Unprotected)'!T43=2022),0.18,IF(AND('Basic Data Entry'!$G$11="Z-Rural",'Arear Table Unprotected)'!T43=2023),0.09,IF(AND('Basic Data Entry'!$G$11="Y-Urban",'Arear Table Unprotected)'!T43=2023),0.18,"")))))))))))</f>
        <v>0.09</v>
      </c>
      <c r="J43" s="229">
        <f>IF(OR(O43="",O43=0),"",IF(AND('Basic Data Entry'!$G$11="Z-Rural",'Arear Table Unprotected)'!T43&lt;2021),0.08,IF(AND('Basic Data Entry'!$G$11="Y-Urban",'Arear Table Unprotected)'!T43&lt;2021),0.16,IF(AND('Basic Data Entry'!$G$11="Z-Rural",'Arear Table Unprotected)'!T43=2021,S43&gt;=7),0.09,IF(AND('Basic Data Entry'!$G$11="Y-Urban",'Arear Table Unprotected)'!T43=2021,'Arear Table Unprotected)'!S43&gt;=7),0.18,IF(AND('Basic Data Entry'!$G$11="Z-Rural",'Arear Table Unprotected)'!T43=2021,S43&lt;7),0.08,IF(AND('Basic Data Entry'!$G$11="Y-Urban",'Arear Table Unprotected)'!T43=2021,'Arear Table Unprotected)'!S43&lt;7),0.16,IF(AND('Basic Data Entry'!$G$11="Z-Rural",'Arear Table Unprotected)'!T43=2022),0.09,IF(AND('Basic Data Entry'!$G$11="Y-Urban",'Arear Table Unprotected)'!T43=2022),0.18,IF(AND('Basic Data Entry'!$G$11="Z-Rural",'Arear Table Unprotected)'!T43=2023),0.09,IF(AND('Basic Data Entry'!$G$11="Y-Urban",'Arear Table Unprotected)'!T43=2023),0.18,"")))))))))))</f>
        <v>0.09</v>
      </c>
      <c r="K43" s="230" t="str">
        <f t="shared" si="4"/>
        <v/>
      </c>
      <c r="L43" s="231" t="str">
        <f t="shared" si="5"/>
        <v/>
      </c>
      <c r="M43" s="232" t="str">
        <f t="shared" si="7"/>
        <v/>
      </c>
      <c r="N43" s="196">
        <v>31</v>
      </c>
      <c r="O43" s="327">
        <f t="shared" si="8"/>
        <v>44396</v>
      </c>
      <c r="P43" s="328"/>
      <c r="Q43" s="328"/>
      <c r="R43" s="329"/>
      <c r="S43" s="161">
        <f t="array" ref="S43">IF(OR(O43=0,O43=""),"",MONTH(O43))</f>
        <v>7</v>
      </c>
      <c r="T43" s="161">
        <f t="array" ref="T43">IF(OR(O43=0,O43=""),"",YEAR(O43))</f>
        <v>2021</v>
      </c>
      <c r="U43" s="161" t="str">
        <f t="shared" si="9"/>
        <v>72021</v>
      </c>
      <c r="V43" s="6">
        <f t="array" ref="V43">IF(OR(O43=0,O43=""),"",BE43)</f>
        <v>47900</v>
      </c>
      <c r="W43" s="18">
        <f t="array" ref="W43">IF(OR(O43=0,O43=""),"",ROUND(V43*H43,0))</f>
        <v>14849</v>
      </c>
      <c r="X43" s="18">
        <f t="shared" si="10"/>
        <v>0</v>
      </c>
      <c r="Y43" s="18">
        <f t="array" ref="Y43">IF(OR(O43=0,O43=""),"",ROUND(V43*J43,0))</f>
        <v>4311</v>
      </c>
      <c r="Z43" s="135">
        <f t="array" ref="Z43">IF(OR(O43=0,O43=""),"",SUM(V43:Y43))</f>
        <v>67060</v>
      </c>
      <c r="AA43" s="1">
        <f t="array" ref="AA43">IF(OR(O43=0,O43=""),"",IF(V43=0,0,IF($E$2="FIXATION",$B$5,IF(V43=0,0,IF(BD43=7,ROUND(AA42*1.03,-2),AA42)))))</f>
        <v>42700</v>
      </c>
      <c r="AB43" s="2">
        <f t="array" ref="AB43">IF(OR(O43=0,O43=""),"",IF($E$2="fixation",0,ROUND(AA43*G43,0)))</f>
        <v>13237</v>
      </c>
      <c r="AC43" s="18">
        <f t="array" ref="AC43">IF(OR(O43=0,O43=""),"",AC42)</f>
        <v>0</v>
      </c>
      <c r="AD43" s="2">
        <f t="array" ref="AD43">IF(OR(O43=0,O43=""),"",IF($E$2="fixation",0,ROUND(AA43*I43,0)))</f>
        <v>3843</v>
      </c>
      <c r="AE43" s="135">
        <f t="array" ref="AE43">IF(OR(O43=0,O43=""),"",SUM(AA43:AD43))</f>
        <v>59780</v>
      </c>
      <c r="AF43" s="1">
        <f t="array" ref="AF43">IF(OR(O43=0,O43=""),"",V43-AA43)</f>
        <v>5200</v>
      </c>
      <c r="AG43" s="2">
        <f t="array" ref="AG43">IF(OR(O43=0,O43=""),"",W43-AB43)</f>
        <v>1612</v>
      </c>
      <c r="AH43" s="2">
        <f t="array" ref="AH43">IF(OR(O43=0,O43=""),"",X43-AC43)</f>
        <v>0</v>
      </c>
      <c r="AI43" s="2">
        <f t="array" ref="AI43">IF(OR(O43=0,O43=""),"",Y43-AD43)</f>
        <v>468</v>
      </c>
      <c r="AJ43" s="136">
        <f t="array" ref="AJ43">IF(OR(O43=0,O43=""),"",Z43-AE43)</f>
        <v>7280</v>
      </c>
      <c r="AK43" s="4">
        <f t="array" ref="AK43">IF(OR(O43=0,O43=""),"",IF(M43="",$AZ$2,$AZ$2+M43))</f>
        <v>4500</v>
      </c>
      <c r="AL43" s="3">
        <f t="array" ref="AL43">IF(OR(O43=0,O43=""),"",$AQ$2)</f>
        <v>4500</v>
      </c>
      <c r="AM43" s="137">
        <f t="array" ref="AM43">IF(OR(O43=0,O43=""),"",AK43-AL43)</f>
        <v>0</v>
      </c>
      <c r="AN43" s="3">
        <f t="array" ref="AN43">IF(OR(O42=0,O42="",AN42="",AN42=""),"",AN42)</f>
        <v>3000</v>
      </c>
      <c r="AO43" s="2">
        <f t="array" ref="AO43">IF(OR(O42=0,O42="",AO42="",AO42=""),"",AO42)</f>
        <v>3000</v>
      </c>
      <c r="AP43" s="137">
        <f t="array" ref="AP43">IF(OR(O43=0,O43=""),"",SUM(AN43-AO43))</f>
        <v>0</v>
      </c>
      <c r="AQ43" s="106" t="str">
        <f t="array" ref="AQ43">IF(OR(O43=0,O43=""),"",IF(AND('Basic Data Entry'!$C$10="state Service",'Arear Table Unprotected)'!T43=2020,S43=3),ROUND(V43/31*5,0),IF(AND('Basic Data Entry'!$C$10="state Service",'Arear Table Unprotected)'!T43=2020,S43=9),ROUND(Z43/30*2,0),IF(AND('Basic Data Entry'!$C$10="state Service",'Arear Table Unprotected)'!T43=2020,S43=10),ROUND(Z43/31*2,0),IF(AND('Basic Data Entry'!$C$10="subordinate",'Arear Table Unprotected)'!T43=2020,S43=3),ROUND(V43/31*3,0),IF(AND('Basic Data Entry'!$C$10="subordinate",'Arear Table Unprotected)'!T43=2020,S43=9),ROUND(Z43/30*1,0),IF(AND('Basic Data Entry'!$C$10="subordinate",'Arear Table Unprotected)'!T43=2020,S43=10),ROUND(Z43/31*1,0),IF(AND('Basic Data Entry'!$C$10="ministrial",'Arear Table Unprotected)'!T43=2020,S43=3),ROUND(V43/31*1,0),""))))))))</f>
        <v/>
      </c>
      <c r="AR43" s="107" t="str">
        <f t="array" ref="AR43">IF(OR(O43=0,O43=""),"",IF(AND('Basic Data Entry'!$C$10="state Service",'Arear Table Unprotected)'!T43=2020,S43=3),ROUND(AA43/31*5,0),IF(AND('Basic Data Entry'!$C$10="state Service",'Arear Table Unprotected)'!T43=2020,S43=9),ROUND(AE43/30*2,0),IF(AND('Basic Data Entry'!$C$10="state Service",'Arear Table Unprotected)'!T43=2020,S43=10),ROUND(AE43/31*2,0),IF(AND('Basic Data Entry'!$C$10="subordinate",'Arear Table Unprotected)'!T43=2020,S43=3),ROUND(AA43/31*3,0),IF(AND('Basic Data Entry'!$C$10="subordinate",'Arear Table Unprotected)'!T43=2020,S43=9),ROUND(AE43/30*1,0),IF(AND('Basic Data Entry'!$C$10="subordinate",'Arear Table Unprotected)'!T43=2020,S43=10),ROUND(AE43/31*1,0),IF(AND('Basic Data Entry'!$C$10="ministrial",'Arear Table Unprotected)'!T43=2020,S43=3),ROUND(AA43/31*1,0),""))))))))</f>
        <v/>
      </c>
      <c r="AS43" s="138" t="str">
        <f t="array" ref="AS43">IF(OR(O43=0,O43="",AQ43="",AR43=""),"",AQ43-AR43)</f>
        <v/>
      </c>
      <c r="AT43" s="44">
        <f t="array" ref="AT43">IF(OR(O42=0,O42=""),"",AT42)</f>
        <v>0</v>
      </c>
      <c r="AU43" s="45">
        <f t="array" ref="AU43">IF(OR(O42=0,O42=""),"",AU42)</f>
        <v>0</v>
      </c>
      <c r="AV43" s="139">
        <f t="array" ref="AV43">IF(OR(O43=0,O43=""),"",SUM(AT43-AU43))</f>
        <v>0</v>
      </c>
      <c r="AW43" s="36">
        <f t="array" ref="AW43">IF(OR(O43=0,O43=""),"",ROUND((AJ43)*$E$3,0))</f>
        <v>728</v>
      </c>
      <c r="AX43" s="36">
        <f t="array" ref="AX43">IF(OR(O43=0,O43=""),"",SUM(AM43,AP43,AS43,AV43,AW43))</f>
        <v>728</v>
      </c>
      <c r="AY43" s="140">
        <f t="array" ref="AY43">IF(OR(O43=0,O43=""),"",AJ43-AX43)</f>
        <v>6552</v>
      </c>
      <c r="AZ43" s="46"/>
      <c r="BA43" s="24"/>
      <c r="BB43" s="24"/>
      <c r="BC43" s="11">
        <f t="shared" si="11"/>
        <v>44396</v>
      </c>
      <c r="BD43" s="84">
        <f t="shared" si="12"/>
        <v>7</v>
      </c>
      <c r="BE43" s="84">
        <f t="shared" si="18"/>
        <v>47900</v>
      </c>
      <c r="BI43" s="22">
        <f t="shared" si="19"/>
        <v>44396</v>
      </c>
      <c r="BK43" s="19">
        <f t="shared" si="13"/>
        <v>1</v>
      </c>
      <c r="BL43" s="20" t="str">
        <f t="array" ref="BL43">IF(OR(O43=0,O43=""),"",U43)</f>
        <v>72021</v>
      </c>
      <c r="BM43" s="19">
        <f t="array" ref="BM43">IF(OR(O43=0,O43=""),"",BK43+BL43)</f>
        <v>72022</v>
      </c>
      <c r="BN43" s="21">
        <f t="shared" si="14"/>
        <v>0</v>
      </c>
      <c r="BO43" s="21">
        <f t="shared" si="15"/>
        <v>0</v>
      </c>
      <c r="BP43" s="23">
        <f t="shared" si="16"/>
        <v>0</v>
      </c>
      <c r="BQ43" s="21" t="str">
        <f t="shared" si="17"/>
        <v>00</v>
      </c>
      <c r="BW43" s="81" t="str">
        <f>IF(OR(O43=0,O43=""),"",IF('Basic Data Entry'!$C$9="fixation","yes",""))</f>
        <v/>
      </c>
      <c r="BX43" s="81" t="str">
        <f>IF(OR(O43=0,O43=""),"",IF('Basic Data Entry'!$G$12="yes","yes","no"))</f>
        <v>no</v>
      </c>
    </row>
    <row r="44" spans="1:76" ht="18" customHeight="1" thickBot="1">
      <c r="A44" s="10">
        <f t="shared" si="6"/>
        <v>47900</v>
      </c>
      <c r="B44" s="305"/>
      <c r="C44" s="305"/>
      <c r="D44" s="305"/>
      <c r="E44" s="305"/>
      <c r="F44" s="108">
        <f t="shared" si="1"/>
        <v>44427</v>
      </c>
      <c r="G44" s="227">
        <f t="shared" si="2"/>
        <v>0.31</v>
      </c>
      <c r="H44" s="228">
        <f t="shared" si="3"/>
        <v>0.31</v>
      </c>
      <c r="I44" s="228">
        <f>IF(OR($E$2="fixation",O44="",O44=0),"",IF(AND('Basic Data Entry'!$G$11="Z-Rural",'Arear Table Unprotected)'!T44&lt;2021),0.08,IF(AND('Basic Data Entry'!$G$11="Y-Urban",'Arear Table Unprotected)'!T44&lt;2021),0.16,IF(AND('Basic Data Entry'!$G$11="Z-Rural",'Arear Table Unprotected)'!T44=2021,S44&gt;=7),0.09,IF(AND('Basic Data Entry'!$G$11="Y-Urban",'Arear Table Unprotected)'!T44=2021,'Arear Table Unprotected)'!S44&gt;=7),0.18,IF(AND('Basic Data Entry'!$G$11="Z-Rural",'Arear Table Unprotected)'!T44=2021,S44&lt;7),0.08,IF(AND('Basic Data Entry'!$G$11="Y-Urban",'Arear Table Unprotected)'!T44=2021,'Arear Table Unprotected)'!S44&lt;7),0.16,IF(AND('Basic Data Entry'!$G$11="Z-Rural",'Arear Table Unprotected)'!T44=2022),0.09,IF(AND('Basic Data Entry'!$G$11="Y-Urban",'Arear Table Unprotected)'!T44=2022),0.18,IF(AND('Basic Data Entry'!$G$11="Z-Rural",'Arear Table Unprotected)'!T44=2023),0.09,IF(AND('Basic Data Entry'!$G$11="Y-Urban",'Arear Table Unprotected)'!T44=2023),0.18,"")))))))))))</f>
        <v>0.09</v>
      </c>
      <c r="J44" s="229">
        <f>IF(OR(O44="",O44=0),"",IF(AND('Basic Data Entry'!$G$11="Z-Rural",'Arear Table Unprotected)'!T44&lt;2021),0.08,IF(AND('Basic Data Entry'!$G$11="Y-Urban",'Arear Table Unprotected)'!T44&lt;2021),0.16,IF(AND('Basic Data Entry'!$G$11="Z-Rural",'Arear Table Unprotected)'!T44=2021,S44&gt;=7),0.09,IF(AND('Basic Data Entry'!$G$11="Y-Urban",'Arear Table Unprotected)'!T44=2021,'Arear Table Unprotected)'!S44&gt;=7),0.18,IF(AND('Basic Data Entry'!$G$11="Z-Rural",'Arear Table Unprotected)'!T44=2021,S44&lt;7),0.08,IF(AND('Basic Data Entry'!$G$11="Y-Urban",'Arear Table Unprotected)'!T44=2021,'Arear Table Unprotected)'!S44&lt;7),0.16,IF(AND('Basic Data Entry'!$G$11="Z-Rural",'Arear Table Unprotected)'!T44=2022),0.09,IF(AND('Basic Data Entry'!$G$11="Y-Urban",'Arear Table Unprotected)'!T44=2022),0.18,IF(AND('Basic Data Entry'!$G$11="Z-Rural",'Arear Table Unprotected)'!T44=2023),0.09,IF(AND('Basic Data Entry'!$G$11="Y-Urban",'Arear Table Unprotected)'!T44=2023),0.18,"")))))))))))</f>
        <v>0.09</v>
      </c>
      <c r="K44" s="230" t="str">
        <f t="shared" si="4"/>
        <v/>
      </c>
      <c r="L44" s="231" t="str">
        <f t="shared" si="5"/>
        <v/>
      </c>
      <c r="M44" s="232" t="str">
        <f t="shared" si="7"/>
        <v/>
      </c>
      <c r="N44" s="196">
        <v>32</v>
      </c>
      <c r="O44" s="327">
        <f t="shared" si="8"/>
        <v>44427</v>
      </c>
      <c r="P44" s="328"/>
      <c r="Q44" s="328"/>
      <c r="R44" s="329"/>
      <c r="S44" s="161">
        <f t="array" ref="S44">IF(OR(O44=0,O44=""),"",MONTH(O44))</f>
        <v>8</v>
      </c>
      <c r="T44" s="161">
        <f t="array" ref="T44">IF(OR(O44=0,O44=""),"",YEAR(O44))</f>
        <v>2021</v>
      </c>
      <c r="U44" s="161" t="str">
        <f t="shared" si="9"/>
        <v>82021</v>
      </c>
      <c r="V44" s="6">
        <f t="array" ref="V44">IF(OR(O44=0,O44=""),"",BE44)</f>
        <v>47900</v>
      </c>
      <c r="W44" s="18">
        <f t="array" ref="W44">IF(OR(O44=0,O44=""),"",ROUND(V44*H44,0))</f>
        <v>14849</v>
      </c>
      <c r="X44" s="18">
        <f t="shared" si="10"/>
        <v>0</v>
      </c>
      <c r="Y44" s="18">
        <f t="array" ref="Y44">IF(OR(O44=0,O44=""),"",ROUND(V44*J44,0))</f>
        <v>4311</v>
      </c>
      <c r="Z44" s="135">
        <f t="array" ref="Z44">IF(OR(O44=0,O44=""),"",SUM(V44:Y44))</f>
        <v>67060</v>
      </c>
      <c r="AA44" s="1">
        <f t="array" ref="AA44">IF(OR(O44=0,O44=""),"",IF(V44=0,0,IF($E$2="FIXATION",$B$5,IF(V44=0,0,IF(BD44=7,ROUND(AA43*1.03,-2),AA43)))))</f>
        <v>42700</v>
      </c>
      <c r="AB44" s="2">
        <f t="array" ref="AB44">IF(OR(O44=0,O44=""),"",IF($E$2="fixation",0,ROUND(AA44*G44,0)))</f>
        <v>13237</v>
      </c>
      <c r="AC44" s="18">
        <f t="array" ref="AC44">IF(OR(O44=0,O44=""),"",AC43)</f>
        <v>0</v>
      </c>
      <c r="AD44" s="2">
        <f t="array" ref="AD44">IF(OR(O44=0,O44=""),"",IF($E$2="fixation",0,ROUND(AA44*I44,0)))</f>
        <v>3843</v>
      </c>
      <c r="AE44" s="135">
        <f t="array" ref="AE44">IF(OR(O44=0,O44=""),"",SUM(AA44:AD44))</f>
        <v>59780</v>
      </c>
      <c r="AF44" s="1">
        <f t="array" ref="AF44">IF(OR(O44=0,O44=""),"",V44-AA44)</f>
        <v>5200</v>
      </c>
      <c r="AG44" s="2">
        <f t="array" ref="AG44">IF(OR(O44=0,O44=""),"",W44-AB44)</f>
        <v>1612</v>
      </c>
      <c r="AH44" s="2">
        <f t="array" ref="AH44">IF(OR(O44=0,O44=""),"",X44-AC44)</f>
        <v>0</v>
      </c>
      <c r="AI44" s="2">
        <f t="array" ref="AI44">IF(OR(O44=0,O44=""),"",Y44-AD44)</f>
        <v>468</v>
      </c>
      <c r="AJ44" s="136">
        <f t="array" ref="AJ44">IF(OR(O44=0,O44=""),"",Z44-AE44)</f>
        <v>7280</v>
      </c>
      <c r="AK44" s="4">
        <f t="array" ref="AK44">IF(OR(O44=0,O44=""),"",IF(M44="",$AZ$2,$AZ$2+M44))</f>
        <v>4500</v>
      </c>
      <c r="AL44" s="3">
        <f t="array" ref="AL44">IF(OR(O44=0,O44=""),"",$AQ$2)</f>
        <v>4500</v>
      </c>
      <c r="AM44" s="137">
        <f t="array" ref="AM44">IF(OR(O44=0,O44=""),"",AK44-AL44)</f>
        <v>0</v>
      </c>
      <c r="AN44" s="3">
        <f t="array" ref="AN44">IF(OR(O43=0,O43="",AN43="",AN43=""),"",AN43)</f>
        <v>3000</v>
      </c>
      <c r="AO44" s="2">
        <f t="array" ref="AO44">IF(OR(O43=0,O43="",AO43="",AO43=""),"",AO43)</f>
        <v>3000</v>
      </c>
      <c r="AP44" s="137">
        <f t="array" ref="AP44">IF(OR(O44=0,O44=""),"",SUM(AN44-AO44))</f>
        <v>0</v>
      </c>
      <c r="AQ44" s="106" t="str">
        <f t="array" ref="AQ44">IF(OR(O44=0,O44=""),"",IF(AND('Basic Data Entry'!$C$10="state Service",'Arear Table Unprotected)'!T44=2020,S44=3),ROUND(V44/31*5,0),IF(AND('Basic Data Entry'!$C$10="state Service",'Arear Table Unprotected)'!T44=2020,S44=9),ROUND(Z44/30*2,0),IF(AND('Basic Data Entry'!$C$10="state Service",'Arear Table Unprotected)'!T44=2020,S44=10),ROUND(Z44/31*2,0),IF(AND('Basic Data Entry'!$C$10="subordinate",'Arear Table Unprotected)'!T44=2020,S44=3),ROUND(V44/31*3,0),IF(AND('Basic Data Entry'!$C$10="subordinate",'Arear Table Unprotected)'!T44=2020,S44=9),ROUND(Z44/30*1,0),IF(AND('Basic Data Entry'!$C$10="subordinate",'Arear Table Unprotected)'!T44=2020,S44=10),ROUND(Z44/31*1,0),IF(AND('Basic Data Entry'!$C$10="ministrial",'Arear Table Unprotected)'!T44=2020,S44=3),ROUND(V44/31*1,0),""))))))))</f>
        <v/>
      </c>
      <c r="AR44" s="107" t="str">
        <f t="array" ref="AR44">IF(OR(O44=0,O44=""),"",IF(AND('Basic Data Entry'!$C$10="state Service",'Arear Table Unprotected)'!T44=2020,S44=3),ROUND(AA44/31*5,0),IF(AND('Basic Data Entry'!$C$10="state Service",'Arear Table Unprotected)'!T44=2020,S44=9),ROUND(AE44/30*2,0),IF(AND('Basic Data Entry'!$C$10="state Service",'Arear Table Unprotected)'!T44=2020,S44=10),ROUND(AE44/31*2,0),IF(AND('Basic Data Entry'!$C$10="subordinate",'Arear Table Unprotected)'!T44=2020,S44=3),ROUND(AA44/31*3,0),IF(AND('Basic Data Entry'!$C$10="subordinate",'Arear Table Unprotected)'!T44=2020,S44=9),ROUND(AE44/30*1,0),IF(AND('Basic Data Entry'!$C$10="subordinate",'Arear Table Unprotected)'!T44=2020,S44=10),ROUND(AE44/31*1,0),IF(AND('Basic Data Entry'!$C$10="ministrial",'Arear Table Unprotected)'!T44=2020,S44=3),ROUND(AA44/31*1,0),""))))))))</f>
        <v/>
      </c>
      <c r="AS44" s="138" t="str">
        <f t="array" ref="AS44">IF(OR(O44=0,O44="",AQ44="",AR44=""),"",AQ44-AR44)</f>
        <v/>
      </c>
      <c r="AT44" s="44">
        <f t="array" ref="AT44">IF(OR(O43=0,O43=""),"",AT43)</f>
        <v>0</v>
      </c>
      <c r="AU44" s="45">
        <f t="array" ref="AU44">IF(OR(O43=0,O43=""),"",AU43)</f>
        <v>0</v>
      </c>
      <c r="AV44" s="139">
        <f t="array" ref="AV44">IF(OR(O44=0,O44=""),"",SUM(AT44-AU44))</f>
        <v>0</v>
      </c>
      <c r="AW44" s="36">
        <f t="array" ref="AW44">IF(OR(O44=0,O44=""),"",ROUND((AJ44)*$E$3,0))</f>
        <v>728</v>
      </c>
      <c r="AX44" s="36">
        <f t="array" ref="AX44">IF(OR(O44=0,O44=""),"",SUM(AM44,AP44,AS44,AV44,AW44))</f>
        <v>728</v>
      </c>
      <c r="AY44" s="140">
        <f t="array" ref="AY44">IF(OR(O44=0,O44=""),"",AJ44-AX44)</f>
        <v>6552</v>
      </c>
      <c r="AZ44" s="46"/>
      <c r="BA44" s="24"/>
      <c r="BB44" s="24"/>
      <c r="BC44" s="11">
        <f t="shared" si="11"/>
        <v>44427</v>
      </c>
      <c r="BD44" s="84">
        <f t="shared" si="12"/>
        <v>8</v>
      </c>
      <c r="BE44" s="84">
        <f t="shared" si="18"/>
        <v>47900</v>
      </c>
      <c r="BI44" s="22">
        <f t="shared" si="19"/>
        <v>44427</v>
      </c>
      <c r="BK44" s="19">
        <f t="shared" si="13"/>
        <v>1</v>
      </c>
      <c r="BL44" s="20" t="str">
        <f t="array" ref="BL44">IF(OR(O44=0,O44=""),"",U44)</f>
        <v>82021</v>
      </c>
      <c r="BM44" s="19">
        <f t="array" ref="BM44">IF(OR(O44=0,O44=""),"",BK44+BL44)</f>
        <v>82022</v>
      </c>
      <c r="BN44" s="21">
        <f t="shared" si="14"/>
        <v>0</v>
      </c>
      <c r="BO44" s="21">
        <f t="shared" si="15"/>
        <v>0</v>
      </c>
      <c r="BP44" s="23">
        <f t="shared" si="16"/>
        <v>0</v>
      </c>
      <c r="BQ44" s="21" t="str">
        <f t="shared" si="17"/>
        <v>00</v>
      </c>
      <c r="BW44" s="81" t="str">
        <f>IF(OR(O44=0,O44=""),"",IF('Basic Data Entry'!$C$9="fixation","yes",""))</f>
        <v/>
      </c>
      <c r="BX44" s="81" t="str">
        <f>IF(OR(O44=0,O44=""),"",IF('Basic Data Entry'!$G$12="yes","yes","no"))</f>
        <v>no</v>
      </c>
    </row>
    <row r="45" spans="1:76" ht="18" customHeight="1" thickBot="1">
      <c r="A45" s="10">
        <f t="shared" si="6"/>
        <v>47900</v>
      </c>
      <c r="B45" s="305"/>
      <c r="C45" s="305"/>
      <c r="D45" s="305"/>
      <c r="E45" s="305"/>
      <c r="F45" s="108">
        <f t="shared" si="1"/>
        <v>44458</v>
      </c>
      <c r="G45" s="227">
        <f t="shared" si="2"/>
        <v>0.31</v>
      </c>
      <c r="H45" s="228">
        <f t="shared" si="3"/>
        <v>0.31</v>
      </c>
      <c r="I45" s="228">
        <f>IF(OR($E$2="fixation",O45="",O45=0),"",IF(AND('Basic Data Entry'!$G$11="Z-Rural",'Arear Table Unprotected)'!T45&lt;2021),0.08,IF(AND('Basic Data Entry'!$G$11="Y-Urban",'Arear Table Unprotected)'!T45&lt;2021),0.16,IF(AND('Basic Data Entry'!$G$11="Z-Rural",'Arear Table Unprotected)'!T45=2021,S45&gt;=7),0.09,IF(AND('Basic Data Entry'!$G$11="Y-Urban",'Arear Table Unprotected)'!T45=2021,'Arear Table Unprotected)'!S45&gt;=7),0.18,IF(AND('Basic Data Entry'!$G$11="Z-Rural",'Arear Table Unprotected)'!T45=2021,S45&lt;7),0.08,IF(AND('Basic Data Entry'!$G$11="Y-Urban",'Arear Table Unprotected)'!T45=2021,'Arear Table Unprotected)'!S45&lt;7),0.16,IF(AND('Basic Data Entry'!$G$11="Z-Rural",'Arear Table Unprotected)'!T45=2022),0.09,IF(AND('Basic Data Entry'!$G$11="Y-Urban",'Arear Table Unprotected)'!T45=2022),0.18,IF(AND('Basic Data Entry'!$G$11="Z-Rural",'Arear Table Unprotected)'!T45=2023),0.09,IF(AND('Basic Data Entry'!$G$11="Y-Urban",'Arear Table Unprotected)'!T45=2023),0.18,"")))))))))))</f>
        <v>0.09</v>
      </c>
      <c r="J45" s="229">
        <f>IF(OR(O45="",O45=0),"",IF(AND('Basic Data Entry'!$G$11="Z-Rural",'Arear Table Unprotected)'!T45&lt;2021),0.08,IF(AND('Basic Data Entry'!$G$11="Y-Urban",'Arear Table Unprotected)'!T45&lt;2021),0.16,IF(AND('Basic Data Entry'!$G$11="Z-Rural",'Arear Table Unprotected)'!T45=2021,S45&gt;=7),0.09,IF(AND('Basic Data Entry'!$G$11="Y-Urban",'Arear Table Unprotected)'!T45=2021,'Arear Table Unprotected)'!S45&gt;=7),0.18,IF(AND('Basic Data Entry'!$G$11="Z-Rural",'Arear Table Unprotected)'!T45=2021,S45&lt;7),0.08,IF(AND('Basic Data Entry'!$G$11="Y-Urban",'Arear Table Unprotected)'!T45=2021,'Arear Table Unprotected)'!S45&lt;7),0.16,IF(AND('Basic Data Entry'!$G$11="Z-Rural",'Arear Table Unprotected)'!T45=2022),0.09,IF(AND('Basic Data Entry'!$G$11="Y-Urban",'Arear Table Unprotected)'!T45=2022),0.18,IF(AND('Basic Data Entry'!$G$11="Z-Rural",'Arear Table Unprotected)'!T45=2023),0.09,IF(AND('Basic Data Entry'!$G$11="Y-Urban",'Arear Table Unprotected)'!T45=2023),0.18,"")))))))))))</f>
        <v>0.09</v>
      </c>
      <c r="K45" s="230" t="str">
        <f t="shared" si="4"/>
        <v/>
      </c>
      <c r="L45" s="231" t="str">
        <f t="shared" si="5"/>
        <v/>
      </c>
      <c r="M45" s="232" t="str">
        <f t="shared" si="7"/>
        <v/>
      </c>
      <c r="N45" s="196">
        <v>33</v>
      </c>
      <c r="O45" s="327">
        <f t="shared" si="8"/>
        <v>44458</v>
      </c>
      <c r="P45" s="328"/>
      <c r="Q45" s="328"/>
      <c r="R45" s="329"/>
      <c r="S45" s="161">
        <f t="array" ref="S45">IF(OR(O45=0,O45=""),"",MONTH(O45))</f>
        <v>9</v>
      </c>
      <c r="T45" s="161">
        <f t="array" ref="T45">IF(OR(O45=0,O45=""),"",YEAR(O45))</f>
        <v>2021</v>
      </c>
      <c r="U45" s="161" t="str">
        <f t="shared" si="9"/>
        <v>92021</v>
      </c>
      <c r="V45" s="6">
        <f t="array" ref="V45">IF(OR(O45=0,O45=""),"",BE45)</f>
        <v>47900</v>
      </c>
      <c r="W45" s="18">
        <f t="array" ref="W45">IF(OR(O45=0,O45=""),"",ROUND(V45*H45,0))</f>
        <v>14849</v>
      </c>
      <c r="X45" s="18">
        <f t="shared" si="10"/>
        <v>0</v>
      </c>
      <c r="Y45" s="18">
        <f t="array" ref="Y45">IF(OR(O45=0,O45=""),"",ROUND(V45*J45,0))</f>
        <v>4311</v>
      </c>
      <c r="Z45" s="135">
        <f t="array" ref="Z45">IF(OR(O45=0,O45=""),"",SUM(V45:Y45))</f>
        <v>67060</v>
      </c>
      <c r="AA45" s="1">
        <f t="array" ref="AA45">IF(OR(O45=0,O45=""),"",IF(V45=0,0,IF($E$2="FIXATION",$B$5,IF(V45=0,0,IF(BD45=7,ROUND(AA44*1.03,-2),AA44)))))</f>
        <v>42700</v>
      </c>
      <c r="AB45" s="2">
        <f t="array" ref="AB45">IF(OR(O45=0,O45=""),"",IF($E$2="fixation",0,ROUND(AA45*G45,0)))</f>
        <v>13237</v>
      </c>
      <c r="AC45" s="18">
        <f t="array" ref="AC45">IF(OR(O45=0,O45=""),"",AC44)</f>
        <v>0</v>
      </c>
      <c r="AD45" s="2">
        <f t="array" ref="AD45">IF(OR(O45=0,O45=""),"",IF($E$2="fixation",0,ROUND(AA45*I45,0)))</f>
        <v>3843</v>
      </c>
      <c r="AE45" s="135">
        <f t="array" ref="AE45">IF(OR(O45=0,O45=""),"",SUM(AA45:AD45))</f>
        <v>59780</v>
      </c>
      <c r="AF45" s="1">
        <f t="array" ref="AF45">IF(OR(O45=0,O45=""),"",V45-AA45)</f>
        <v>5200</v>
      </c>
      <c r="AG45" s="2">
        <f t="array" ref="AG45">IF(OR(O45=0,O45=""),"",W45-AB45)</f>
        <v>1612</v>
      </c>
      <c r="AH45" s="2">
        <f t="array" ref="AH45">IF(OR(O45=0,O45=""),"",X45-AC45)</f>
        <v>0</v>
      </c>
      <c r="AI45" s="2">
        <f t="array" ref="AI45">IF(OR(O45=0,O45=""),"",Y45-AD45)</f>
        <v>468</v>
      </c>
      <c r="AJ45" s="136">
        <f t="array" ref="AJ45">IF(OR(O45=0,O45=""),"",Z45-AE45)</f>
        <v>7280</v>
      </c>
      <c r="AK45" s="4">
        <f t="array" ref="AK45">IF(OR(O45=0,O45=""),"",IF(M45="",$AZ$2,$AZ$2+M45))</f>
        <v>4500</v>
      </c>
      <c r="AL45" s="3">
        <f t="array" ref="AL45">IF(OR(O45=0,O45=""),"",$AQ$2)</f>
        <v>4500</v>
      </c>
      <c r="AM45" s="137">
        <f t="array" ref="AM45">IF(OR(O45=0,O45=""),"",AK45-AL45)</f>
        <v>0</v>
      </c>
      <c r="AN45" s="3">
        <f t="array" ref="AN45">IF(OR(O44=0,O44="",AN44="",AN44=""),"",AN44)</f>
        <v>3000</v>
      </c>
      <c r="AO45" s="2">
        <f t="array" ref="AO45">IF(OR(O44=0,O44="",AO44="",AO44=""),"",AO44)</f>
        <v>3000</v>
      </c>
      <c r="AP45" s="137">
        <f t="array" ref="AP45">IF(OR(O45=0,O45=""),"",SUM(AN45-AO45))</f>
        <v>0</v>
      </c>
      <c r="AQ45" s="106" t="str">
        <f t="array" ref="AQ45">IF(OR(O45=0,O45=""),"",IF(AND('Basic Data Entry'!$C$10="state Service",'Arear Table Unprotected)'!T45=2020,S45=3),ROUND(V45/31*5,0),IF(AND('Basic Data Entry'!$C$10="state Service",'Arear Table Unprotected)'!T45=2020,S45=9),ROUND(Z45/30*2,0),IF(AND('Basic Data Entry'!$C$10="state Service",'Arear Table Unprotected)'!T45=2020,S45=10),ROUND(Z45/31*2,0),IF(AND('Basic Data Entry'!$C$10="subordinate",'Arear Table Unprotected)'!T45=2020,S45=3),ROUND(V45/31*3,0),IF(AND('Basic Data Entry'!$C$10="subordinate",'Arear Table Unprotected)'!T45=2020,S45=9),ROUND(Z45/30*1,0),IF(AND('Basic Data Entry'!$C$10="subordinate",'Arear Table Unprotected)'!T45=2020,S45=10),ROUND(Z45/31*1,0),IF(AND('Basic Data Entry'!$C$10="ministrial",'Arear Table Unprotected)'!T45=2020,S45=3),ROUND(V45/31*1,0),""))))))))</f>
        <v/>
      </c>
      <c r="AR45" s="107" t="str">
        <f t="array" ref="AR45">IF(OR(O45=0,O45=""),"",IF(AND('Basic Data Entry'!$C$10="state Service",'Arear Table Unprotected)'!T45=2020,S45=3),ROUND(AA45/31*5,0),IF(AND('Basic Data Entry'!$C$10="state Service",'Arear Table Unprotected)'!T45=2020,S45=9),ROUND(AE45/30*2,0),IF(AND('Basic Data Entry'!$C$10="state Service",'Arear Table Unprotected)'!T45=2020,S45=10),ROUND(AE45/31*2,0),IF(AND('Basic Data Entry'!$C$10="subordinate",'Arear Table Unprotected)'!T45=2020,S45=3),ROUND(AA45/31*3,0),IF(AND('Basic Data Entry'!$C$10="subordinate",'Arear Table Unprotected)'!T45=2020,S45=9),ROUND(AE45/30*1,0),IF(AND('Basic Data Entry'!$C$10="subordinate",'Arear Table Unprotected)'!T45=2020,S45=10),ROUND(AE45/31*1,0),IF(AND('Basic Data Entry'!$C$10="ministrial",'Arear Table Unprotected)'!T45=2020,S45=3),ROUND(AA45/31*1,0),""))))))))</f>
        <v/>
      </c>
      <c r="AS45" s="138" t="str">
        <f t="array" ref="AS45">IF(OR(O45=0,O45="",AQ45="",AR45=""),"",AQ45-AR45)</f>
        <v/>
      </c>
      <c r="AT45" s="44">
        <f t="array" ref="AT45">IF(OR(O44=0,O44=""),"",AT44)</f>
        <v>0</v>
      </c>
      <c r="AU45" s="45">
        <f t="array" ref="AU45">IF(OR(O44=0,O44=""),"",AU44)</f>
        <v>0</v>
      </c>
      <c r="AV45" s="139">
        <f t="array" ref="AV45">IF(OR(O45=0,O45=""),"",SUM(AT45-AU45))</f>
        <v>0</v>
      </c>
      <c r="AW45" s="36">
        <f t="array" ref="AW45">IF(OR(O45=0,O45=""),"",ROUND((AJ45)*$E$3,0))</f>
        <v>728</v>
      </c>
      <c r="AX45" s="36">
        <f t="array" ref="AX45">IF(OR(O45=0,O45=""),"",SUM(AM45,AP45,AS45,AV45,AW45))</f>
        <v>728</v>
      </c>
      <c r="AY45" s="140">
        <f t="array" ref="AY45">IF(OR(O45=0,O45=""),"",AJ45-AX45)</f>
        <v>6552</v>
      </c>
      <c r="AZ45" s="46"/>
      <c r="BA45" s="24"/>
      <c r="BB45" s="24"/>
      <c r="BC45" s="11">
        <f t="shared" si="11"/>
        <v>44458</v>
      </c>
      <c r="BD45" s="84">
        <f t="shared" si="12"/>
        <v>9</v>
      </c>
      <c r="BE45" s="84">
        <f t="shared" si="18"/>
        <v>47900</v>
      </c>
      <c r="BI45" s="22">
        <f t="shared" si="19"/>
        <v>44458</v>
      </c>
      <c r="BK45" s="19">
        <f t="shared" si="13"/>
        <v>1</v>
      </c>
      <c r="BL45" s="20" t="str">
        <f t="array" ref="BL45">IF(OR(O45=0,O45=""),"",U45)</f>
        <v>92021</v>
      </c>
      <c r="BM45" s="19">
        <f t="array" ref="BM45">IF(OR(O45=0,O45=""),"",BK45+BL45)</f>
        <v>92022</v>
      </c>
      <c r="BN45" s="21" t="str">
        <f t="shared" si="14"/>
        <v>MS</v>
      </c>
      <c r="BO45" s="21">
        <f t="shared" si="15"/>
        <v>0</v>
      </c>
      <c r="BP45" s="23">
        <f t="shared" si="16"/>
        <v>0</v>
      </c>
      <c r="BQ45" s="21" t="str">
        <f t="shared" si="17"/>
        <v>00</v>
      </c>
      <c r="BW45" s="81" t="str">
        <f>IF(OR(O45=0,O45=""),"",IF('Basic Data Entry'!$C$9="fixation","yes",""))</f>
        <v/>
      </c>
      <c r="BX45" s="81" t="str">
        <f>IF(OR(O45=0,O45=""),"",IF('Basic Data Entry'!$G$12="yes","yes","no"))</f>
        <v>no</v>
      </c>
    </row>
    <row r="46" spans="1:76" ht="18" customHeight="1" thickBot="1">
      <c r="A46" s="10">
        <f t="shared" si="6"/>
        <v>47900</v>
      </c>
      <c r="B46" s="305"/>
      <c r="C46" s="305"/>
      <c r="D46" s="305"/>
      <c r="E46" s="305"/>
      <c r="F46" s="108">
        <f t="shared" si="1"/>
        <v>44489</v>
      </c>
      <c r="G46" s="227">
        <f t="shared" si="2"/>
        <v>0.31</v>
      </c>
      <c r="H46" s="228">
        <f t="shared" si="3"/>
        <v>0.31</v>
      </c>
      <c r="I46" s="228">
        <f>IF(OR($E$2="fixation",O46="",O46=0),"",IF(AND('Basic Data Entry'!$G$11="Z-Rural",'Arear Table Unprotected)'!T46&lt;2021),0.08,IF(AND('Basic Data Entry'!$G$11="Y-Urban",'Arear Table Unprotected)'!T46&lt;2021),0.16,IF(AND('Basic Data Entry'!$G$11="Z-Rural",'Arear Table Unprotected)'!T46=2021,S46&gt;=7),0.09,IF(AND('Basic Data Entry'!$G$11="Y-Urban",'Arear Table Unprotected)'!T46=2021,'Arear Table Unprotected)'!S46&gt;=7),0.18,IF(AND('Basic Data Entry'!$G$11="Z-Rural",'Arear Table Unprotected)'!T46=2021,S46&lt;7),0.08,IF(AND('Basic Data Entry'!$G$11="Y-Urban",'Arear Table Unprotected)'!T46=2021,'Arear Table Unprotected)'!S46&lt;7),0.16,IF(AND('Basic Data Entry'!$G$11="Z-Rural",'Arear Table Unprotected)'!T46=2022),0.09,IF(AND('Basic Data Entry'!$G$11="Y-Urban",'Arear Table Unprotected)'!T46=2022),0.18,IF(AND('Basic Data Entry'!$G$11="Z-Rural",'Arear Table Unprotected)'!T46=2023),0.09,IF(AND('Basic Data Entry'!$G$11="Y-Urban",'Arear Table Unprotected)'!T46=2023),0.18,"")))))))))))</f>
        <v>0.09</v>
      </c>
      <c r="J46" s="229">
        <f>IF(OR(O46="",O46=0),"",IF(AND('Basic Data Entry'!$G$11="Z-Rural",'Arear Table Unprotected)'!T46&lt;2021),0.08,IF(AND('Basic Data Entry'!$G$11="Y-Urban",'Arear Table Unprotected)'!T46&lt;2021),0.16,IF(AND('Basic Data Entry'!$G$11="Z-Rural",'Arear Table Unprotected)'!T46=2021,S46&gt;=7),0.09,IF(AND('Basic Data Entry'!$G$11="Y-Urban",'Arear Table Unprotected)'!T46=2021,'Arear Table Unprotected)'!S46&gt;=7),0.18,IF(AND('Basic Data Entry'!$G$11="Z-Rural",'Arear Table Unprotected)'!T46=2021,S46&lt;7),0.08,IF(AND('Basic Data Entry'!$G$11="Y-Urban",'Arear Table Unprotected)'!T46=2021,'Arear Table Unprotected)'!S46&lt;7),0.16,IF(AND('Basic Data Entry'!$G$11="Z-Rural",'Arear Table Unprotected)'!T46=2022),0.09,IF(AND('Basic Data Entry'!$G$11="Y-Urban",'Arear Table Unprotected)'!T46=2022),0.18,IF(AND('Basic Data Entry'!$G$11="Z-Rural",'Arear Table Unprotected)'!T46=2023),0.09,IF(AND('Basic Data Entry'!$G$11="Y-Urban",'Arear Table Unprotected)'!T46=2023),0.18,"")))))))))))</f>
        <v>0.09</v>
      </c>
      <c r="K46" s="230" t="str">
        <f t="shared" si="4"/>
        <v/>
      </c>
      <c r="L46" s="231" t="str">
        <f t="shared" si="5"/>
        <v/>
      </c>
      <c r="M46" s="232" t="str">
        <f t="shared" si="7"/>
        <v/>
      </c>
      <c r="N46" s="196">
        <v>34</v>
      </c>
      <c r="O46" s="327">
        <f t="shared" si="8"/>
        <v>44489</v>
      </c>
      <c r="P46" s="328"/>
      <c r="Q46" s="328"/>
      <c r="R46" s="329"/>
      <c r="S46" s="161">
        <f t="array" ref="S46">IF(OR(O46=0,O46=""),"",MONTH(O46))</f>
        <v>10</v>
      </c>
      <c r="T46" s="161">
        <f t="array" ref="T46">IF(OR(O46=0,O46=""),"",YEAR(O46))</f>
        <v>2021</v>
      </c>
      <c r="U46" s="161" t="str">
        <f t="shared" si="9"/>
        <v>102021</v>
      </c>
      <c r="V46" s="6">
        <f t="array" ref="V46">IF(OR(O46=0,O46=""),"",BE46)</f>
        <v>47900</v>
      </c>
      <c r="W46" s="18">
        <f t="array" ref="W46">IF(OR(O46=0,O46=""),"",ROUND(V46*H46,0))</f>
        <v>14849</v>
      </c>
      <c r="X46" s="18">
        <f t="shared" si="10"/>
        <v>0</v>
      </c>
      <c r="Y46" s="18">
        <f t="array" ref="Y46">IF(OR(O46=0,O46=""),"",ROUND(V46*J46,0))</f>
        <v>4311</v>
      </c>
      <c r="Z46" s="135">
        <f t="array" ref="Z46">IF(OR(O46=0,O46=""),"",SUM(V46:Y46))</f>
        <v>67060</v>
      </c>
      <c r="AA46" s="1">
        <f t="array" ref="AA46">IF(OR(O46=0,O46=""),"",IF(V46=0,0,IF($E$2="FIXATION",$B$5,IF(V46=0,0,IF(BD46=7,ROUND(AA45*1.03,-2),AA45)))))</f>
        <v>42700</v>
      </c>
      <c r="AB46" s="2">
        <f t="array" ref="AB46">IF(OR(O46=0,O46=""),"",IF($E$2="fixation",0,ROUND(AA46*G46,0)))</f>
        <v>13237</v>
      </c>
      <c r="AC46" s="18">
        <f t="array" ref="AC46">IF(OR(O46=0,O46=""),"",AC45)</f>
        <v>0</v>
      </c>
      <c r="AD46" s="2">
        <f t="array" ref="AD46">IF(OR(O46=0,O46=""),"",IF($E$2="fixation",0,ROUND(AA46*I46,0)))</f>
        <v>3843</v>
      </c>
      <c r="AE46" s="135">
        <f t="array" ref="AE46">IF(OR(O46=0,O46=""),"",SUM(AA46:AD46))</f>
        <v>59780</v>
      </c>
      <c r="AF46" s="1">
        <f t="array" ref="AF46">IF(OR(O46=0,O46=""),"",V46-AA46)</f>
        <v>5200</v>
      </c>
      <c r="AG46" s="2">
        <f t="array" ref="AG46">IF(OR(O46=0,O46=""),"",W46-AB46)</f>
        <v>1612</v>
      </c>
      <c r="AH46" s="2">
        <f t="array" ref="AH46">IF(OR(O46=0,O46=""),"",X46-AC46)</f>
        <v>0</v>
      </c>
      <c r="AI46" s="2">
        <f t="array" ref="AI46">IF(OR(O46=0,O46=""),"",Y46-AD46)</f>
        <v>468</v>
      </c>
      <c r="AJ46" s="136">
        <f t="array" ref="AJ46">IF(OR(O46=0,O46=""),"",Z46-AE46)</f>
        <v>7280</v>
      </c>
      <c r="AK46" s="4">
        <f t="array" ref="AK46">IF(OR(O46=0,O46=""),"",IF(M46="",$AZ$2,$AZ$2+M46))</f>
        <v>4500</v>
      </c>
      <c r="AL46" s="3">
        <f t="array" ref="AL46">IF(OR(O46=0,O46=""),"",$AQ$2)</f>
        <v>4500</v>
      </c>
      <c r="AM46" s="137">
        <f t="array" ref="AM46">IF(OR(O46=0,O46=""),"",AK46-AL46)</f>
        <v>0</v>
      </c>
      <c r="AN46" s="3">
        <f t="array" ref="AN46">IF(OR(O45=0,O45="",AN45="",AN45=""),"",AN45)</f>
        <v>3000</v>
      </c>
      <c r="AO46" s="2">
        <f t="array" ref="AO46">IF(OR(O45=0,O45="",AO45="",AO45=""),"",AO45)</f>
        <v>3000</v>
      </c>
      <c r="AP46" s="137">
        <f t="array" ref="AP46">IF(OR(O46=0,O46=""),"",SUM(AN46-AO46))</f>
        <v>0</v>
      </c>
      <c r="AQ46" s="106" t="str">
        <f t="array" ref="AQ46">IF(OR(O46=0,O46=""),"",IF(AND('Basic Data Entry'!$C$10="state Service",'Arear Table Unprotected)'!T46=2020,S46=3),ROUND(V46/31*5,0),IF(AND('Basic Data Entry'!$C$10="state Service",'Arear Table Unprotected)'!T46=2020,S46=9),ROUND(Z46/30*2,0),IF(AND('Basic Data Entry'!$C$10="state Service",'Arear Table Unprotected)'!T46=2020,S46=10),ROUND(Z46/31*2,0),IF(AND('Basic Data Entry'!$C$10="subordinate",'Arear Table Unprotected)'!T46=2020,S46=3),ROUND(V46/31*3,0),IF(AND('Basic Data Entry'!$C$10="subordinate",'Arear Table Unprotected)'!T46=2020,S46=9),ROUND(Z46/30*1,0),IF(AND('Basic Data Entry'!$C$10="subordinate",'Arear Table Unprotected)'!T46=2020,S46=10),ROUND(Z46/31*1,0),IF(AND('Basic Data Entry'!$C$10="ministrial",'Arear Table Unprotected)'!T46=2020,S46=3),ROUND(V46/31*1,0),""))))))))</f>
        <v/>
      </c>
      <c r="AR46" s="107" t="str">
        <f t="array" ref="AR46">IF(OR(O46=0,O46=""),"",IF(AND('Basic Data Entry'!$C$10="state Service",'Arear Table Unprotected)'!T46=2020,S46=3),ROUND(AA46/31*5,0),IF(AND('Basic Data Entry'!$C$10="state Service",'Arear Table Unprotected)'!T46=2020,S46=9),ROUND(AE46/30*2,0),IF(AND('Basic Data Entry'!$C$10="state Service",'Arear Table Unprotected)'!T46=2020,S46=10),ROUND(AE46/31*2,0),IF(AND('Basic Data Entry'!$C$10="subordinate",'Arear Table Unprotected)'!T46=2020,S46=3),ROUND(AA46/31*3,0),IF(AND('Basic Data Entry'!$C$10="subordinate",'Arear Table Unprotected)'!T46=2020,S46=9),ROUND(AE46/30*1,0),IF(AND('Basic Data Entry'!$C$10="subordinate",'Arear Table Unprotected)'!T46=2020,S46=10),ROUND(AE46/31*1,0),IF(AND('Basic Data Entry'!$C$10="ministrial",'Arear Table Unprotected)'!T46=2020,S46=3),ROUND(AA46/31*1,0),""))))))))</f>
        <v/>
      </c>
      <c r="AS46" s="138" t="str">
        <f t="array" ref="AS46">IF(OR(O46=0,O46="",AQ46="",AR46=""),"",AQ46-AR46)</f>
        <v/>
      </c>
      <c r="AT46" s="44">
        <f t="array" ref="AT46">IF(OR(O45=0,O45=""),"",AT45)</f>
        <v>0</v>
      </c>
      <c r="AU46" s="45">
        <f t="array" ref="AU46">IF(OR(O45=0,O45=""),"",AU45)</f>
        <v>0</v>
      </c>
      <c r="AV46" s="139">
        <f t="array" ref="AV46">IF(OR(O46=0,O46=""),"",SUM(AT46-AU46))</f>
        <v>0</v>
      </c>
      <c r="AW46" s="36">
        <f t="array" ref="AW46">IF(OR(O46=0,O46=""),"",ROUND((AJ46)*$E$3,0))</f>
        <v>728</v>
      </c>
      <c r="AX46" s="36">
        <f t="array" ref="AX46">IF(OR(O46=0,O46=""),"",SUM(AM46,AP46,AS46,AV46,AW46))</f>
        <v>728</v>
      </c>
      <c r="AY46" s="140">
        <f t="array" ref="AY46">IF(OR(O46=0,O46=""),"",AJ46-AX46)</f>
        <v>6552</v>
      </c>
      <c r="AZ46" s="46"/>
      <c r="BA46" s="24"/>
      <c r="BB46" s="24"/>
      <c r="BC46" s="11">
        <f t="shared" si="11"/>
        <v>44489</v>
      </c>
      <c r="BD46" s="84">
        <f t="shared" si="12"/>
        <v>10</v>
      </c>
      <c r="BE46" s="84">
        <f t="shared" si="18"/>
        <v>47900</v>
      </c>
      <c r="BI46" s="22">
        <f t="shared" si="19"/>
        <v>44489</v>
      </c>
      <c r="BK46" s="19">
        <f t="shared" si="13"/>
        <v>1</v>
      </c>
      <c r="BL46" s="20" t="str">
        <f t="array" ref="BL46">IF(OR(O46=0,O46=""),"",U46)</f>
        <v>102021</v>
      </c>
      <c r="BM46" s="19">
        <f t="array" ref="BM46">IF(OR(O46=0,O46=""),"",BK46+BL46)</f>
        <v>102022</v>
      </c>
      <c r="BN46" s="21" t="str">
        <f t="shared" si="14"/>
        <v>MO</v>
      </c>
      <c r="BO46" s="21">
        <f t="shared" si="15"/>
        <v>0</v>
      </c>
      <c r="BP46" s="23">
        <f t="shared" si="16"/>
        <v>0</v>
      </c>
      <c r="BQ46" s="21" t="str">
        <f t="shared" si="17"/>
        <v>00</v>
      </c>
      <c r="BW46" s="81" t="str">
        <f>IF(OR(O46=0,O46=""),"",IF('Basic Data Entry'!$C$9="fixation","yes",""))</f>
        <v/>
      </c>
      <c r="BX46" s="81" t="str">
        <f>IF(OR(O46=0,O46=""),"",IF('Basic Data Entry'!$G$12="yes","yes","no"))</f>
        <v>no</v>
      </c>
    </row>
    <row r="47" spans="1:76" ht="18" customHeight="1" thickBot="1">
      <c r="A47" s="10" t="str">
        <f t="shared" si="6"/>
        <v/>
      </c>
      <c r="B47" s="305"/>
      <c r="C47" s="305"/>
      <c r="D47" s="305"/>
      <c r="E47" s="305"/>
      <c r="F47" s="108" t="str">
        <f t="shared" si="1"/>
        <v/>
      </c>
      <c r="G47" s="227" t="str">
        <f t="shared" si="2"/>
        <v/>
      </c>
      <c r="H47" s="228" t="str">
        <f t="shared" si="3"/>
        <v/>
      </c>
      <c r="I47" s="228" t="str">
        <f>IF(OR($E$2="fixation",O47="",O47=0),"",IF(AND('Basic Data Entry'!$G$11="Z-Rural",'Arear Table Unprotected)'!T47&lt;2021),0.08,IF(AND('Basic Data Entry'!$G$11="Y-Urban",'Arear Table Unprotected)'!T47&lt;2021),0.16,IF(AND('Basic Data Entry'!$G$11="Z-Rural",'Arear Table Unprotected)'!T47=2021,S47&gt;=7),0.09,IF(AND('Basic Data Entry'!$G$11="Y-Urban",'Arear Table Unprotected)'!T47=2021,'Arear Table Unprotected)'!S47&gt;=7),0.18,IF(AND('Basic Data Entry'!$G$11="Z-Rural",'Arear Table Unprotected)'!T47=2021,S47&lt;7),0.08,IF(AND('Basic Data Entry'!$G$11="Y-Urban",'Arear Table Unprotected)'!T47=2021,'Arear Table Unprotected)'!S47&lt;7),0.16,IF(AND('Basic Data Entry'!$G$11="Z-Rural",'Arear Table Unprotected)'!T47=2022),0.09,IF(AND('Basic Data Entry'!$G$11="Y-Urban",'Arear Table Unprotected)'!T47=2022),0.18,IF(AND('Basic Data Entry'!$G$11="Z-Rural",'Arear Table Unprotected)'!T47=2023),0.09,IF(AND('Basic Data Entry'!$G$11="Y-Urban",'Arear Table Unprotected)'!T47=2023),0.18,"")))))))))))</f>
        <v/>
      </c>
      <c r="J47" s="229" t="str">
        <f>IF(OR(O47="",O47=0),"",IF(AND('Basic Data Entry'!$G$11="Z-Rural",'Arear Table Unprotected)'!T47&lt;2021),0.08,IF(AND('Basic Data Entry'!$G$11="Y-Urban",'Arear Table Unprotected)'!T47&lt;2021),0.16,IF(AND('Basic Data Entry'!$G$11="Z-Rural",'Arear Table Unprotected)'!T47=2021,S47&gt;=7),0.09,IF(AND('Basic Data Entry'!$G$11="Y-Urban",'Arear Table Unprotected)'!T47=2021,'Arear Table Unprotected)'!S47&gt;=7),0.18,IF(AND('Basic Data Entry'!$G$11="Z-Rural",'Arear Table Unprotected)'!T47=2021,S47&lt;7),0.08,IF(AND('Basic Data Entry'!$G$11="Y-Urban",'Arear Table Unprotected)'!T47=2021,'Arear Table Unprotected)'!S47&lt;7),0.16,IF(AND('Basic Data Entry'!$G$11="Z-Rural",'Arear Table Unprotected)'!T47=2022),0.09,IF(AND('Basic Data Entry'!$G$11="Y-Urban",'Arear Table Unprotected)'!T47=2022),0.18,IF(AND('Basic Data Entry'!$G$11="Z-Rural",'Arear Table Unprotected)'!T47=2023),0.09,IF(AND('Basic Data Entry'!$G$11="Y-Urban",'Arear Table Unprotected)'!T47=2023),0.18,"")))))))))))</f>
        <v/>
      </c>
      <c r="K47" s="230" t="str">
        <f t="shared" si="4"/>
        <v/>
      </c>
      <c r="L47" s="231" t="str">
        <f t="shared" si="5"/>
        <v/>
      </c>
      <c r="M47" s="232" t="str">
        <f t="shared" si="7"/>
        <v/>
      </c>
      <c r="N47" s="196">
        <v>35</v>
      </c>
      <c r="O47" s="327">
        <f t="shared" si="8"/>
        <v>0</v>
      </c>
      <c r="P47" s="328"/>
      <c r="Q47" s="328"/>
      <c r="R47" s="329"/>
      <c r="S47" s="161" t="str">
        <f t="array" ref="S47">IF(OR(O47=0,O47=""),"",MONTH(O47))</f>
        <v/>
      </c>
      <c r="T47" s="161" t="str">
        <f t="array" ref="T47">IF(OR(O47=0,O47=""),"",YEAR(O47))</f>
        <v/>
      </c>
      <c r="U47" s="161" t="str">
        <f t="shared" si="9"/>
        <v/>
      </c>
      <c r="V47" s="6" t="str">
        <f t="array" ref="V47">IF(OR(O47=0,O47=""),"",BE47)</f>
        <v/>
      </c>
      <c r="W47" s="18" t="str">
        <f t="array" ref="W47">IF(OR(O47=0,O47=""),"",ROUND(V47*H47,0))</f>
        <v/>
      </c>
      <c r="X47" s="18">
        <f t="shared" si="10"/>
        <v>0</v>
      </c>
      <c r="Y47" s="18" t="str">
        <f t="array" ref="Y47">IF(OR(O47=0,O47=""),"",ROUND(V47*J47,0))</f>
        <v/>
      </c>
      <c r="Z47" s="135" t="str">
        <f t="array" ref="Z47">IF(OR(O47=0,O47=""),"",SUM(V47:Y47))</f>
        <v/>
      </c>
      <c r="AA47" s="1" t="str">
        <f t="array" ref="AA47">IF(OR(O47=0,O47=""),"",IF(V47=0,0,IF($E$2="FIXATION",$B$5,IF(V47=0,0,IF(BD47=7,ROUND(AA46*1.03,-2),AA46)))))</f>
        <v/>
      </c>
      <c r="AB47" s="2" t="str">
        <f t="array" ref="AB47">IF(OR(O47=0,O47=""),"",IF($E$2="fixation",0,ROUND(AA47*G47,0)))</f>
        <v/>
      </c>
      <c r="AC47" s="18" t="str">
        <f t="array" ref="AC47">IF(OR(O47=0,O47=""),"",AC46)</f>
        <v/>
      </c>
      <c r="AD47" s="2" t="str">
        <f t="array" ref="AD47">IF(OR(O47=0,O47=""),"",IF($E$2="fixation",0,ROUND(AA47*I47,0)))</f>
        <v/>
      </c>
      <c r="AE47" s="135" t="str">
        <f t="array" ref="AE47">IF(OR(O47=0,O47=""),"",SUM(AA47:AD47))</f>
        <v/>
      </c>
      <c r="AF47" s="1" t="str">
        <f t="array" ref="AF47">IF(OR(O47=0,O47=""),"",V47-AA47)</f>
        <v/>
      </c>
      <c r="AG47" s="2" t="str">
        <f t="array" ref="AG47">IF(OR(O47=0,O47=""),"",W47-AB47)</f>
        <v/>
      </c>
      <c r="AH47" s="2" t="str">
        <f t="array" ref="AH47">IF(OR(O47=0,O47=""),"",X47-AC47)</f>
        <v/>
      </c>
      <c r="AI47" s="2" t="str">
        <f t="array" ref="AI47">IF(OR(O47=0,O47=""),"",Y47-AD47)</f>
        <v/>
      </c>
      <c r="AJ47" s="136" t="str">
        <f t="array" ref="AJ47">IF(OR(O47=0,O47=""),"",Z47-AE47)</f>
        <v/>
      </c>
      <c r="AK47" s="4" t="str">
        <f t="array" ref="AK47">IF(OR(O47=0,O47=""),"",IF(M47="",$AZ$2,$AZ$2+M47))</f>
        <v/>
      </c>
      <c r="AL47" s="3" t="str">
        <f t="array" ref="AL47">IF(OR(O47=0,O47=""),"",$AQ$2)</f>
        <v/>
      </c>
      <c r="AM47" s="137" t="str">
        <f t="array" ref="AM47">IF(OR(O47=0,O47=""),"",AK47-AL47)</f>
        <v/>
      </c>
      <c r="AN47" s="3">
        <f t="array" ref="AN47">IF(OR(O46=0,O46="",AN46="",AN46=""),"",AN46)</f>
        <v>3000</v>
      </c>
      <c r="AO47" s="2">
        <f t="array" ref="AO47">IF(OR(O46=0,O46="",AO46="",AO46=""),"",AO46)</f>
        <v>3000</v>
      </c>
      <c r="AP47" s="137" t="str">
        <f t="array" ref="AP47">IF(OR(O47=0,O47=""),"",SUM(AN47-AO47))</f>
        <v/>
      </c>
      <c r="AQ47" s="106" t="str">
        <f t="array" ref="AQ47">IF(OR(O47=0,O47=""),"",IF(AND('Basic Data Entry'!$C$10="state Service",'Arear Table Unprotected)'!T47=2020,S47=3),ROUND(V47/31*5,0),IF(AND('Basic Data Entry'!$C$10="state Service",'Arear Table Unprotected)'!T47=2020,S47=9),ROUND(Z47/30*2,0),IF(AND('Basic Data Entry'!$C$10="state Service",'Arear Table Unprotected)'!T47=2020,S47=10),ROUND(Z47/31*2,0),IF(AND('Basic Data Entry'!$C$10="subordinate",'Arear Table Unprotected)'!T47=2020,S47=3),ROUND(V47/31*3,0),IF(AND('Basic Data Entry'!$C$10="subordinate",'Arear Table Unprotected)'!T47=2020,S47=9),ROUND(Z47/30*1,0),IF(AND('Basic Data Entry'!$C$10="subordinate",'Arear Table Unprotected)'!T47=2020,S47=10),ROUND(Z47/31*1,0),IF(AND('Basic Data Entry'!$C$10="ministrial",'Arear Table Unprotected)'!T47=2020,S47=3),ROUND(V47/31*1,0),""))))))))</f>
        <v/>
      </c>
      <c r="AR47" s="107" t="str">
        <f t="array" ref="AR47">IF(OR(O47=0,O47=""),"",IF(AND('Basic Data Entry'!$C$10="state Service",'Arear Table Unprotected)'!T47=2020,S47=3),ROUND(AA47/31*5,0),IF(AND('Basic Data Entry'!$C$10="state Service",'Arear Table Unprotected)'!T47=2020,S47=9),ROUND(AE47/30*2,0),IF(AND('Basic Data Entry'!$C$10="state Service",'Arear Table Unprotected)'!T47=2020,S47=10),ROUND(AE47/31*2,0),IF(AND('Basic Data Entry'!$C$10="subordinate",'Arear Table Unprotected)'!T47=2020,S47=3),ROUND(AA47/31*3,0),IF(AND('Basic Data Entry'!$C$10="subordinate",'Arear Table Unprotected)'!T47=2020,S47=9),ROUND(AE47/30*1,0),IF(AND('Basic Data Entry'!$C$10="subordinate",'Arear Table Unprotected)'!T47=2020,S47=10),ROUND(AE47/31*1,0),IF(AND('Basic Data Entry'!$C$10="ministrial",'Arear Table Unprotected)'!T47=2020,S47=3),ROUND(AA47/31*1,0),""))))))))</f>
        <v/>
      </c>
      <c r="AS47" s="138" t="str">
        <f t="array" ref="AS47">IF(OR(O47=0,O47="",AQ47="",AR47=""),"",AQ47-AR47)</f>
        <v/>
      </c>
      <c r="AT47" s="44">
        <f t="array" ref="AT47">IF(OR(O46=0,O46=""),"",AT46)</f>
        <v>0</v>
      </c>
      <c r="AU47" s="45">
        <f t="array" ref="AU47">IF(OR(O46=0,O46=""),"",AU46)</f>
        <v>0</v>
      </c>
      <c r="AV47" s="139" t="str">
        <f t="array" ref="AV47">IF(OR(O47=0,O47=""),"",SUM(AT47-AU47))</f>
        <v/>
      </c>
      <c r="AW47" s="36" t="str">
        <f t="array" ref="AW47">IF(OR(O47=0,O47=""),"",ROUND((AJ47)*$E$3,0))</f>
        <v/>
      </c>
      <c r="AX47" s="36" t="str">
        <f t="array" ref="AX47">IF(OR(O47=0,O47=""),"",SUM(AM47,AP47,AS47,AV47,AW47))</f>
        <v/>
      </c>
      <c r="AY47" s="140" t="str">
        <f t="array" ref="AY47">IF(OR(O47=0,O47=""),"",AJ47-AX47)</f>
        <v/>
      </c>
      <c r="AZ47" s="46"/>
      <c r="BA47" s="24"/>
      <c r="BB47" s="24"/>
      <c r="BC47" s="11">
        <f t="shared" si="11"/>
        <v>0</v>
      </c>
      <c r="BD47" s="84">
        <f t="shared" si="12"/>
        <v>0</v>
      </c>
      <c r="BE47" s="84">
        <f t="shared" si="18"/>
        <v>0</v>
      </c>
      <c r="BI47" s="22">
        <f t="shared" si="19"/>
        <v>44520</v>
      </c>
      <c r="BK47" s="19">
        <f t="shared" si="13"/>
        <v>1</v>
      </c>
      <c r="BL47" s="20" t="str">
        <f t="array" ref="BL47">IF(OR(O47=0,O47=""),"",U47)</f>
        <v/>
      </c>
      <c r="BM47" s="19" t="str">
        <f t="array" ref="BM47">IF(OR(O47=0,O47=""),"",BK47+BL47)</f>
        <v/>
      </c>
      <c r="BN47" s="21">
        <f t="shared" si="14"/>
        <v>0</v>
      </c>
      <c r="BO47" s="21">
        <f t="shared" si="15"/>
        <v>0</v>
      </c>
      <c r="BP47" s="23">
        <f t="shared" si="16"/>
        <v>0</v>
      </c>
      <c r="BQ47" s="21" t="str">
        <f t="shared" si="17"/>
        <v>00</v>
      </c>
      <c r="BW47" s="81" t="str">
        <f>IF(OR(O47=0,O47=""),"",IF('Basic Data Entry'!$C$9="fixation","yes",""))</f>
        <v/>
      </c>
      <c r="BX47" s="81" t="str">
        <f>IF(OR(O47=0,O47=""),"",IF('Basic Data Entry'!$G$12="yes","yes","no"))</f>
        <v/>
      </c>
    </row>
    <row r="48" spans="1:76" ht="18" customHeight="1" thickBot="1">
      <c r="A48" s="10" t="str">
        <f t="shared" si="6"/>
        <v/>
      </c>
      <c r="B48" s="305"/>
      <c r="C48" s="305"/>
      <c r="D48" s="305"/>
      <c r="E48" s="305"/>
      <c r="F48" s="108" t="str">
        <f t="shared" si="1"/>
        <v/>
      </c>
      <c r="G48" s="227" t="str">
        <f t="shared" si="2"/>
        <v/>
      </c>
      <c r="H48" s="228" t="str">
        <f t="shared" si="3"/>
        <v/>
      </c>
      <c r="I48" s="228" t="str">
        <f>IF(OR($E$2="fixation",O48="",O48=0),"",IF(AND('Basic Data Entry'!$G$11="Z-Rural",'Arear Table Unprotected)'!T48&lt;2021),0.08,IF(AND('Basic Data Entry'!$G$11="Y-Urban",'Arear Table Unprotected)'!T48&lt;2021),0.16,IF(AND('Basic Data Entry'!$G$11="Z-Rural",'Arear Table Unprotected)'!T48=2021,S48&gt;=7),0.09,IF(AND('Basic Data Entry'!$G$11="Y-Urban",'Arear Table Unprotected)'!T48=2021,'Arear Table Unprotected)'!S48&gt;=7),0.18,IF(AND('Basic Data Entry'!$G$11="Z-Rural",'Arear Table Unprotected)'!T48=2021,S48&lt;7),0.08,IF(AND('Basic Data Entry'!$G$11="Y-Urban",'Arear Table Unprotected)'!T48=2021,'Arear Table Unprotected)'!S48&lt;7),0.16,IF(AND('Basic Data Entry'!$G$11="Z-Rural",'Arear Table Unprotected)'!T48=2022),0.09,IF(AND('Basic Data Entry'!$G$11="Y-Urban",'Arear Table Unprotected)'!T48=2022),0.18,IF(AND('Basic Data Entry'!$G$11="Z-Rural",'Arear Table Unprotected)'!T48=2023),0.09,IF(AND('Basic Data Entry'!$G$11="Y-Urban",'Arear Table Unprotected)'!T48=2023),0.18,"")))))))))))</f>
        <v/>
      </c>
      <c r="J48" s="229" t="str">
        <f>IF(OR(O48="",O48=0),"",IF(AND('Basic Data Entry'!$G$11="Z-Rural",'Arear Table Unprotected)'!T48&lt;2021),0.08,IF(AND('Basic Data Entry'!$G$11="Y-Urban",'Arear Table Unprotected)'!T48&lt;2021),0.16,IF(AND('Basic Data Entry'!$G$11="Z-Rural",'Arear Table Unprotected)'!T48=2021,S48&gt;=7),0.09,IF(AND('Basic Data Entry'!$G$11="Y-Urban",'Arear Table Unprotected)'!T48=2021,'Arear Table Unprotected)'!S48&gt;=7),0.18,IF(AND('Basic Data Entry'!$G$11="Z-Rural",'Arear Table Unprotected)'!T48=2021,S48&lt;7),0.08,IF(AND('Basic Data Entry'!$G$11="Y-Urban",'Arear Table Unprotected)'!T48=2021,'Arear Table Unprotected)'!S48&lt;7),0.16,IF(AND('Basic Data Entry'!$G$11="Z-Rural",'Arear Table Unprotected)'!T48=2022),0.09,IF(AND('Basic Data Entry'!$G$11="Y-Urban",'Arear Table Unprotected)'!T48=2022),0.18,IF(AND('Basic Data Entry'!$G$11="Z-Rural",'Arear Table Unprotected)'!T48=2023),0.09,IF(AND('Basic Data Entry'!$G$11="Y-Urban",'Arear Table Unprotected)'!T48=2023),0.18,"")))))))))))</f>
        <v/>
      </c>
      <c r="K48" s="230" t="str">
        <f t="shared" si="4"/>
        <v/>
      </c>
      <c r="L48" s="231" t="str">
        <f t="shared" si="5"/>
        <v/>
      </c>
      <c r="M48" s="232" t="str">
        <f t="shared" si="7"/>
        <v/>
      </c>
      <c r="N48" s="196">
        <v>36</v>
      </c>
      <c r="O48" s="327">
        <f t="shared" si="8"/>
        <v>0</v>
      </c>
      <c r="P48" s="328"/>
      <c r="Q48" s="328"/>
      <c r="R48" s="329"/>
      <c r="S48" s="161" t="str">
        <f t="array" ref="S48">IF(OR(O48=0,O48=""),"",MONTH(O48))</f>
        <v/>
      </c>
      <c r="T48" s="161" t="str">
        <f t="array" ref="T48">IF(OR(O48=0,O48=""),"",YEAR(O48))</f>
        <v/>
      </c>
      <c r="U48" s="161" t="str">
        <f t="shared" si="9"/>
        <v/>
      </c>
      <c r="V48" s="6" t="str">
        <f t="array" ref="V48">IF(OR(O48=0,O48=""),"",BE48)</f>
        <v/>
      </c>
      <c r="W48" s="18" t="str">
        <f t="array" ref="W48">IF(OR(O48=0,O48=""),"",ROUND(V48*H48,0))</f>
        <v/>
      </c>
      <c r="X48" s="18">
        <f t="shared" si="10"/>
        <v>0</v>
      </c>
      <c r="Y48" s="18" t="str">
        <f t="array" ref="Y48">IF(OR(O48=0,O48=""),"",ROUND(V48*J48,0))</f>
        <v/>
      </c>
      <c r="Z48" s="135" t="str">
        <f t="array" ref="Z48">IF(OR(O48=0,O48=""),"",SUM(V48:Y48))</f>
        <v/>
      </c>
      <c r="AA48" s="1" t="str">
        <f t="array" ref="AA48">IF(OR(O48=0,O48=""),"",IF(V48=0,0,IF($E$2="FIXATION",$B$5,IF(V48=0,0,IF(BD48=7,ROUND(AA47*1.03,-2),AA47)))))</f>
        <v/>
      </c>
      <c r="AB48" s="2" t="str">
        <f t="array" ref="AB48">IF(OR(O48=0,O48=""),"",IF($E$2="fixation",0,ROUND(AA48*G48,0)))</f>
        <v/>
      </c>
      <c r="AC48" s="18" t="str">
        <f t="array" ref="AC48">IF(OR(O48=0,O48=""),"",AC47)</f>
        <v/>
      </c>
      <c r="AD48" s="2" t="str">
        <f t="array" ref="AD48">IF(OR(O48=0,O48=""),"",IF($E$2="fixation",0,ROUND(AA48*I48,0)))</f>
        <v/>
      </c>
      <c r="AE48" s="135" t="str">
        <f t="array" ref="AE48">IF(OR(O48=0,O48=""),"",SUM(AA48:AD48))</f>
        <v/>
      </c>
      <c r="AF48" s="1" t="str">
        <f t="array" ref="AF48">IF(OR(O48=0,O48=""),"",V48-AA48)</f>
        <v/>
      </c>
      <c r="AG48" s="2" t="str">
        <f t="array" ref="AG48">IF(OR(O48=0,O48=""),"",W48-AB48)</f>
        <v/>
      </c>
      <c r="AH48" s="2" t="str">
        <f t="array" ref="AH48">IF(OR(O48=0,O48=""),"",X48-AC48)</f>
        <v/>
      </c>
      <c r="AI48" s="2" t="str">
        <f t="array" ref="AI48">IF(OR(O48=0,O48=""),"",Y48-AD48)</f>
        <v/>
      </c>
      <c r="AJ48" s="136" t="str">
        <f t="array" ref="AJ48">IF(OR(O48=0,O48=""),"",Z48-AE48)</f>
        <v/>
      </c>
      <c r="AK48" s="4" t="str">
        <f t="array" ref="AK48">IF(OR(O48=0,O48=""),"",IF(M48="",$AZ$2,$AZ$2+M48))</f>
        <v/>
      </c>
      <c r="AL48" s="3" t="str">
        <f t="array" ref="AL48">IF(OR(O48=0,O48=""),"",$AQ$2)</f>
        <v/>
      </c>
      <c r="AM48" s="137" t="str">
        <f t="array" ref="AM48">IF(OR(O48=0,O48=""),"",AK48-AL48)</f>
        <v/>
      </c>
      <c r="AN48" s="3" t="str">
        <f t="array" ref="AN48">IF(OR(O47=0,O47="",AN47="",AN47=""),"",AN47)</f>
        <v/>
      </c>
      <c r="AO48" s="2" t="str">
        <f t="array" ref="AO48">IF(OR(O47=0,O47="",AO47="",AO47=""),"",AO47)</f>
        <v/>
      </c>
      <c r="AP48" s="137" t="str">
        <f t="array" ref="AP48">IF(OR(O48=0,O48=""),"",SUM(AN48-AO48))</f>
        <v/>
      </c>
      <c r="AQ48" s="106" t="str">
        <f t="array" ref="AQ48">IF(OR(O48=0,O48=""),"",IF(AND('Basic Data Entry'!$C$10="state Service",'Arear Table Unprotected)'!T48=2020,S48=3),ROUND(V48/31*5,0),IF(AND('Basic Data Entry'!$C$10="state Service",'Arear Table Unprotected)'!T48=2020,S48=9),ROUND(Z48/30*2,0),IF(AND('Basic Data Entry'!$C$10="state Service",'Arear Table Unprotected)'!T48=2020,S48=10),ROUND(Z48/31*2,0),IF(AND('Basic Data Entry'!$C$10="subordinate",'Arear Table Unprotected)'!T48=2020,S48=3),ROUND(V48/31*3,0),IF(AND('Basic Data Entry'!$C$10="subordinate",'Arear Table Unprotected)'!T48=2020,S48=9),ROUND(Z48/30*1,0),IF(AND('Basic Data Entry'!$C$10="subordinate",'Arear Table Unprotected)'!T48=2020,S48=10),ROUND(Z48/31*1,0),IF(AND('Basic Data Entry'!$C$10="ministrial",'Arear Table Unprotected)'!T48=2020,S48=3),ROUND(V48/31*1,0),""))))))))</f>
        <v/>
      </c>
      <c r="AR48" s="107" t="str">
        <f t="array" ref="AR48">IF(OR(O48=0,O48=""),"",IF(AND('Basic Data Entry'!$C$10="state Service",'Arear Table Unprotected)'!T48=2020,S48=3),ROUND(AA48/31*5,0),IF(AND('Basic Data Entry'!$C$10="state Service",'Arear Table Unprotected)'!T48=2020,S48=9),ROUND(AE48/30*2,0),IF(AND('Basic Data Entry'!$C$10="state Service",'Arear Table Unprotected)'!T48=2020,S48=10),ROUND(AE48/31*2,0),IF(AND('Basic Data Entry'!$C$10="subordinate",'Arear Table Unprotected)'!T48=2020,S48=3),ROUND(AA48/31*3,0),IF(AND('Basic Data Entry'!$C$10="subordinate",'Arear Table Unprotected)'!T48=2020,S48=9),ROUND(AE48/30*1,0),IF(AND('Basic Data Entry'!$C$10="subordinate",'Arear Table Unprotected)'!T48=2020,S48=10),ROUND(AE48/31*1,0),IF(AND('Basic Data Entry'!$C$10="ministrial",'Arear Table Unprotected)'!T48=2020,S48=3),ROUND(AA48/31*1,0),""))))))))</f>
        <v/>
      </c>
      <c r="AS48" s="138" t="str">
        <f t="array" ref="AS48">IF(OR(O48=0,O48="",AQ48="",AR48=""),"",AQ48-AR48)</f>
        <v/>
      </c>
      <c r="AT48" s="44" t="str">
        <f t="array" ref="AT48">IF(OR(O47=0,O47=""),"",AT47)</f>
        <v/>
      </c>
      <c r="AU48" s="45" t="str">
        <f t="array" ref="AU48">IF(OR(O47=0,O47=""),"",AU47)</f>
        <v/>
      </c>
      <c r="AV48" s="139" t="str">
        <f t="array" ref="AV48">IF(OR(O48=0,O48=""),"",SUM(AT48-AU48))</f>
        <v/>
      </c>
      <c r="AW48" s="36" t="str">
        <f t="array" ref="AW48">IF(OR(O48=0,O48=""),"",ROUND((AJ48)*$E$3,0))</f>
        <v/>
      </c>
      <c r="AX48" s="36" t="str">
        <f t="array" ref="AX48">IF(OR(O48=0,O48=""),"",SUM(AM48,AP48,AS48,AV48,AW48))</f>
        <v/>
      </c>
      <c r="AY48" s="140" t="str">
        <f t="array" ref="AY48">IF(OR(O48=0,O48=""),"",AJ48-AX48)</f>
        <v/>
      </c>
      <c r="AZ48" s="46"/>
      <c r="BA48" s="24"/>
      <c r="BB48" s="24"/>
      <c r="BC48" s="11">
        <f t="shared" si="11"/>
        <v>0</v>
      </c>
      <c r="BD48" s="84">
        <f t="shared" si="12"/>
        <v>0</v>
      </c>
      <c r="BE48" s="84">
        <f t="shared" si="18"/>
        <v>0</v>
      </c>
      <c r="BI48" s="22">
        <f t="shared" si="19"/>
        <v>44551</v>
      </c>
      <c r="BK48" s="19">
        <f t="shared" si="13"/>
        <v>1</v>
      </c>
      <c r="BL48" s="20" t="str">
        <f t="array" ref="BL48">IF(OR(O48=0,O48=""),"",U48)</f>
        <v/>
      </c>
      <c r="BM48" s="19" t="str">
        <f t="array" ref="BM48">IF(OR(O48=0,O48=""),"",BK48+BL48)</f>
        <v/>
      </c>
      <c r="BN48" s="21">
        <f t="shared" si="14"/>
        <v>0</v>
      </c>
      <c r="BO48" s="21">
        <f t="shared" si="15"/>
        <v>0</v>
      </c>
      <c r="BP48" s="23">
        <f t="shared" si="16"/>
        <v>0</v>
      </c>
      <c r="BQ48" s="21" t="str">
        <f t="shared" si="17"/>
        <v>00</v>
      </c>
      <c r="BW48" s="81" t="str">
        <f>IF(OR(O48=0,O48=""),"",IF('Basic Data Entry'!$C$9="fixation","yes",""))</f>
        <v/>
      </c>
      <c r="BX48" s="81" t="str">
        <f>IF(OR(O48=0,O48=""),"",IF('Basic Data Entry'!$G$12="yes","yes","no"))</f>
        <v/>
      </c>
    </row>
    <row r="49" spans="1:76" ht="18" customHeight="1" thickBot="1">
      <c r="A49" s="10" t="str">
        <f t="shared" si="6"/>
        <v/>
      </c>
      <c r="B49" s="305"/>
      <c r="C49" s="305"/>
      <c r="D49" s="305"/>
      <c r="E49" s="305"/>
      <c r="F49" s="108" t="str">
        <f t="shared" si="1"/>
        <v/>
      </c>
      <c r="G49" s="227" t="str">
        <f t="shared" si="2"/>
        <v/>
      </c>
      <c r="H49" s="228" t="str">
        <f t="shared" si="3"/>
        <v/>
      </c>
      <c r="I49" s="228" t="str">
        <f>IF(OR($E$2="fixation",O49="",O49=0),"",IF(AND('Basic Data Entry'!$G$11="Z-Rural",'Arear Table Unprotected)'!T49&lt;2021),0.08,IF(AND('Basic Data Entry'!$G$11="Y-Urban",'Arear Table Unprotected)'!T49&lt;2021),0.16,IF(AND('Basic Data Entry'!$G$11="Z-Rural",'Arear Table Unprotected)'!T49=2021,S49&gt;=7),0.09,IF(AND('Basic Data Entry'!$G$11="Y-Urban",'Arear Table Unprotected)'!T49=2021,'Arear Table Unprotected)'!S49&gt;=7),0.18,IF(AND('Basic Data Entry'!$G$11="Z-Rural",'Arear Table Unprotected)'!T49=2021,S49&lt;7),0.08,IF(AND('Basic Data Entry'!$G$11="Y-Urban",'Arear Table Unprotected)'!T49=2021,'Arear Table Unprotected)'!S49&lt;7),0.16,IF(AND('Basic Data Entry'!$G$11="Z-Rural",'Arear Table Unprotected)'!T49=2022),0.09,IF(AND('Basic Data Entry'!$G$11="Y-Urban",'Arear Table Unprotected)'!T49=2022),0.18,IF(AND('Basic Data Entry'!$G$11="Z-Rural",'Arear Table Unprotected)'!T49=2023),0.09,IF(AND('Basic Data Entry'!$G$11="Y-Urban",'Arear Table Unprotected)'!T49=2023),0.18,"")))))))))))</f>
        <v/>
      </c>
      <c r="J49" s="229" t="str">
        <f>IF(OR(O49="",O49=0),"",IF(AND('Basic Data Entry'!$G$11="Z-Rural",'Arear Table Unprotected)'!T49&lt;2021),0.08,IF(AND('Basic Data Entry'!$G$11="Y-Urban",'Arear Table Unprotected)'!T49&lt;2021),0.16,IF(AND('Basic Data Entry'!$G$11="Z-Rural",'Arear Table Unprotected)'!T49=2021,S49&gt;=7),0.09,IF(AND('Basic Data Entry'!$G$11="Y-Urban",'Arear Table Unprotected)'!T49=2021,'Arear Table Unprotected)'!S49&gt;=7),0.18,IF(AND('Basic Data Entry'!$G$11="Z-Rural",'Arear Table Unprotected)'!T49=2021,S49&lt;7),0.08,IF(AND('Basic Data Entry'!$G$11="Y-Urban",'Arear Table Unprotected)'!T49=2021,'Arear Table Unprotected)'!S49&lt;7),0.16,IF(AND('Basic Data Entry'!$G$11="Z-Rural",'Arear Table Unprotected)'!T49=2022),0.09,IF(AND('Basic Data Entry'!$G$11="Y-Urban",'Arear Table Unprotected)'!T49=2022),0.18,IF(AND('Basic Data Entry'!$G$11="Z-Rural",'Arear Table Unprotected)'!T49=2023),0.09,IF(AND('Basic Data Entry'!$G$11="Y-Urban",'Arear Table Unprotected)'!T49=2023),0.18,"")))))))))))</f>
        <v/>
      </c>
      <c r="K49" s="230" t="str">
        <f t="shared" si="4"/>
        <v/>
      </c>
      <c r="L49" s="231" t="str">
        <f t="shared" si="5"/>
        <v/>
      </c>
      <c r="M49" s="232" t="str">
        <f t="shared" si="7"/>
        <v/>
      </c>
      <c r="N49" s="196">
        <v>37</v>
      </c>
      <c r="O49" s="327">
        <f t="shared" si="8"/>
        <v>0</v>
      </c>
      <c r="P49" s="328"/>
      <c r="Q49" s="328"/>
      <c r="R49" s="329"/>
      <c r="S49" s="161" t="str">
        <f t="array" ref="S49">IF(OR(O49=0,O49=""),"",MONTH(O49))</f>
        <v/>
      </c>
      <c r="T49" s="161" t="str">
        <f t="array" ref="T49">IF(OR(O49=0,O49=""),"",YEAR(O49))</f>
        <v/>
      </c>
      <c r="U49" s="161" t="str">
        <f t="shared" si="9"/>
        <v/>
      </c>
      <c r="V49" s="6" t="str">
        <f t="array" ref="V49">IF(OR(O49=0,O49=""),"",BE49)</f>
        <v/>
      </c>
      <c r="W49" s="18" t="str">
        <f t="array" ref="W49">IF(OR(O49=0,O49=""),"",ROUND(V49*H49,0))</f>
        <v/>
      </c>
      <c r="X49" s="18">
        <f t="shared" si="10"/>
        <v>0</v>
      </c>
      <c r="Y49" s="18" t="str">
        <f t="array" ref="Y49">IF(OR(O49=0,O49=""),"",ROUND(V49*J49,0))</f>
        <v/>
      </c>
      <c r="Z49" s="135" t="str">
        <f t="array" ref="Z49">IF(OR(O49=0,O49=""),"",SUM(V49:Y49))</f>
        <v/>
      </c>
      <c r="AA49" s="1" t="str">
        <f t="array" ref="AA49">IF(OR(O49=0,O49=""),"",IF(V49=0,0,IF($E$2="FIXATION",$B$5,IF(V49=0,0,IF(BD49=7,ROUND(AA48*1.03,-2),AA48)))))</f>
        <v/>
      </c>
      <c r="AB49" s="2" t="str">
        <f t="array" ref="AB49">IF(OR(O49=0,O49=""),"",IF($E$2="fixation",0,ROUND(AA49*G49,0)))</f>
        <v/>
      </c>
      <c r="AC49" s="18" t="str">
        <f t="array" ref="AC49">IF(OR(O49=0,O49=""),"",AC48)</f>
        <v/>
      </c>
      <c r="AD49" s="2" t="str">
        <f t="array" ref="AD49">IF(OR(O49=0,O49=""),"",IF($E$2="fixation",0,ROUND(AA49*I49,0)))</f>
        <v/>
      </c>
      <c r="AE49" s="135" t="str">
        <f t="array" ref="AE49">IF(OR(O49=0,O49=""),"",SUM(AA49:AD49))</f>
        <v/>
      </c>
      <c r="AF49" s="1" t="str">
        <f t="array" ref="AF49">IF(OR(O49=0,O49=""),"",V49-AA49)</f>
        <v/>
      </c>
      <c r="AG49" s="2" t="str">
        <f t="array" ref="AG49">IF(OR(O49=0,O49=""),"",W49-AB49)</f>
        <v/>
      </c>
      <c r="AH49" s="2" t="str">
        <f t="array" ref="AH49">IF(OR(O49=0,O49=""),"",X49-AC49)</f>
        <v/>
      </c>
      <c r="AI49" s="2" t="str">
        <f t="array" ref="AI49">IF(OR(O49=0,O49=""),"",Y49-AD49)</f>
        <v/>
      </c>
      <c r="AJ49" s="136" t="str">
        <f t="array" ref="AJ49">IF(OR(O49=0,O49=""),"",Z49-AE49)</f>
        <v/>
      </c>
      <c r="AK49" s="4" t="str">
        <f t="array" ref="AK49">IF(OR(O49=0,O49=""),"",IF(M49="",$AZ$2,$AZ$2+M49))</f>
        <v/>
      </c>
      <c r="AL49" s="3" t="str">
        <f t="array" ref="AL49">IF(OR(O49=0,O49=""),"",$AQ$2)</f>
        <v/>
      </c>
      <c r="AM49" s="137" t="str">
        <f t="array" ref="AM49">IF(OR(O49=0,O49=""),"",AK49-AL49)</f>
        <v/>
      </c>
      <c r="AN49" s="3" t="str">
        <f t="array" ref="AN49">IF(OR(O48=0,O48="",AN48="",AN48=""),"",AN48)</f>
        <v/>
      </c>
      <c r="AO49" s="2" t="str">
        <f t="array" ref="AO49">IF(OR(O48=0,O48="",AO48="",AO48=""),"",AO48)</f>
        <v/>
      </c>
      <c r="AP49" s="137" t="str">
        <f t="array" ref="AP49">IF(OR(O49=0,O49=""),"",SUM(AN49-AO49))</f>
        <v/>
      </c>
      <c r="AQ49" s="106" t="str">
        <f t="array" ref="AQ49">IF(OR(O49=0,O49=""),"",IF(AND('Basic Data Entry'!$C$10="state Service",'Arear Table Unprotected)'!T49=2020,S49=3),ROUND(V49/31*5,0),IF(AND('Basic Data Entry'!$C$10="state Service",'Arear Table Unprotected)'!T49=2020,S49=9),ROUND(Z49/30*2,0),IF(AND('Basic Data Entry'!$C$10="state Service",'Arear Table Unprotected)'!T49=2020,S49=10),ROUND(Z49/31*2,0),IF(AND('Basic Data Entry'!$C$10="subordinate",'Arear Table Unprotected)'!T49=2020,S49=3),ROUND(V49/31*3,0),IF(AND('Basic Data Entry'!$C$10="subordinate",'Arear Table Unprotected)'!T49=2020,S49=9),ROUND(Z49/30*1,0),IF(AND('Basic Data Entry'!$C$10="subordinate",'Arear Table Unprotected)'!T49=2020,S49=10),ROUND(Z49/31*1,0),IF(AND('Basic Data Entry'!$C$10="ministrial",'Arear Table Unprotected)'!T49=2020,S49=3),ROUND(V49/31*1,0),""))))))))</f>
        <v/>
      </c>
      <c r="AR49" s="107" t="str">
        <f t="array" ref="AR49">IF(OR(O49=0,O49=""),"",IF(AND('Basic Data Entry'!$C$10="state Service",'Arear Table Unprotected)'!T49=2020,S49=3),ROUND(AA49/31*5,0),IF(AND('Basic Data Entry'!$C$10="state Service",'Arear Table Unprotected)'!T49=2020,S49=9),ROUND(AE49/30*2,0),IF(AND('Basic Data Entry'!$C$10="state Service",'Arear Table Unprotected)'!T49=2020,S49=10),ROUND(AE49/31*2,0),IF(AND('Basic Data Entry'!$C$10="subordinate",'Arear Table Unprotected)'!T49=2020,S49=3),ROUND(AA49/31*3,0),IF(AND('Basic Data Entry'!$C$10="subordinate",'Arear Table Unprotected)'!T49=2020,S49=9),ROUND(AE49/30*1,0),IF(AND('Basic Data Entry'!$C$10="subordinate",'Arear Table Unprotected)'!T49=2020,S49=10),ROUND(AE49/31*1,0),IF(AND('Basic Data Entry'!$C$10="ministrial",'Arear Table Unprotected)'!T49=2020,S49=3),ROUND(AA49/31*1,0),""))))))))</f>
        <v/>
      </c>
      <c r="AS49" s="138" t="str">
        <f t="array" ref="AS49">IF(OR(O49=0,O49="",AQ49="",AR49=""),"",AQ49-AR49)</f>
        <v/>
      </c>
      <c r="AT49" s="44" t="str">
        <f t="array" ref="AT49">IF(OR(O48=0,O48=""),"",AT48)</f>
        <v/>
      </c>
      <c r="AU49" s="45" t="str">
        <f t="array" ref="AU49">IF(OR(O48=0,O48=""),"",AU48)</f>
        <v/>
      </c>
      <c r="AV49" s="139" t="str">
        <f t="array" ref="AV49">IF(OR(O49=0,O49=""),"",SUM(AT49-AU49))</f>
        <v/>
      </c>
      <c r="AW49" s="36" t="str">
        <f t="array" ref="AW49">IF(OR(O49=0,O49=""),"",ROUND((AJ49)*$E$3,0))</f>
        <v/>
      </c>
      <c r="AX49" s="36" t="str">
        <f t="array" ref="AX49">IF(OR(O49=0,O49=""),"",SUM(AM49,AP49,AS49,AV49,AW49))</f>
        <v/>
      </c>
      <c r="AY49" s="140" t="str">
        <f t="array" ref="AY49">IF(OR(O49=0,O49=""),"",AJ49-AX49)</f>
        <v/>
      </c>
      <c r="AZ49" s="46"/>
      <c r="BA49" s="24"/>
      <c r="BB49" s="24"/>
      <c r="BC49" s="11">
        <f t="shared" si="11"/>
        <v>0</v>
      </c>
      <c r="BD49" s="84">
        <f t="shared" si="12"/>
        <v>0</v>
      </c>
      <c r="BE49" s="84">
        <f t="shared" si="18"/>
        <v>0</v>
      </c>
      <c r="BI49" s="22">
        <f t="shared" si="19"/>
        <v>44582</v>
      </c>
      <c r="BK49" s="19">
        <f t="shared" si="13"/>
        <v>1</v>
      </c>
      <c r="BL49" s="20" t="str">
        <f t="array" ref="BL49">IF(OR(O49=0,O49=""),"",U49)</f>
        <v/>
      </c>
      <c r="BM49" s="19" t="str">
        <f t="array" ref="BM49">IF(OR(O49=0,O49=""),"",BK49+BL49)</f>
        <v/>
      </c>
      <c r="BN49" s="21">
        <f t="shared" si="14"/>
        <v>0</v>
      </c>
      <c r="BO49" s="21">
        <f t="shared" si="15"/>
        <v>0</v>
      </c>
      <c r="BP49" s="23">
        <f t="shared" si="16"/>
        <v>0</v>
      </c>
      <c r="BQ49" s="21" t="str">
        <f t="shared" si="17"/>
        <v>00</v>
      </c>
      <c r="BW49" s="81" t="str">
        <f>IF(OR(O49=0,O49=""),"",IF('Basic Data Entry'!$C$9="fixation","yes",""))</f>
        <v/>
      </c>
      <c r="BX49" s="81" t="str">
        <f>IF(OR(O49=0,O49=""),"",IF('Basic Data Entry'!$G$12="yes","yes","no"))</f>
        <v/>
      </c>
    </row>
    <row r="50" spans="1:76" ht="18" customHeight="1" thickBot="1">
      <c r="A50" s="10" t="str">
        <f t="shared" si="6"/>
        <v/>
      </c>
      <c r="B50" s="305"/>
      <c r="C50" s="305"/>
      <c r="D50" s="305"/>
      <c r="E50" s="305"/>
      <c r="F50" s="108" t="str">
        <f t="shared" si="1"/>
        <v/>
      </c>
      <c r="G50" s="227" t="str">
        <f t="shared" si="2"/>
        <v/>
      </c>
      <c r="H50" s="228" t="str">
        <f t="shared" si="3"/>
        <v/>
      </c>
      <c r="I50" s="228" t="str">
        <f>IF(OR($E$2="fixation",O50="",O50=0),"",IF(AND('Basic Data Entry'!$G$11="Z-Rural",'Arear Table Unprotected)'!T50&lt;2021),0.08,IF(AND('Basic Data Entry'!$G$11="Y-Urban",'Arear Table Unprotected)'!T50&lt;2021),0.16,IF(AND('Basic Data Entry'!$G$11="Z-Rural",'Arear Table Unprotected)'!T50=2021,S50&gt;=7),0.09,IF(AND('Basic Data Entry'!$G$11="Y-Urban",'Arear Table Unprotected)'!T50=2021,'Arear Table Unprotected)'!S50&gt;=7),0.18,IF(AND('Basic Data Entry'!$G$11="Z-Rural",'Arear Table Unprotected)'!T50=2021,S50&lt;7),0.08,IF(AND('Basic Data Entry'!$G$11="Y-Urban",'Arear Table Unprotected)'!T50=2021,'Arear Table Unprotected)'!S50&lt;7),0.16,IF(AND('Basic Data Entry'!$G$11="Z-Rural",'Arear Table Unprotected)'!T50=2022),0.09,IF(AND('Basic Data Entry'!$G$11="Y-Urban",'Arear Table Unprotected)'!T50=2022),0.18,IF(AND('Basic Data Entry'!$G$11="Z-Rural",'Arear Table Unprotected)'!T50=2023),0.09,IF(AND('Basic Data Entry'!$G$11="Y-Urban",'Arear Table Unprotected)'!T50=2023),0.18,"")))))))))))</f>
        <v/>
      </c>
      <c r="J50" s="229" t="str">
        <f>IF(OR(O50="",O50=0),"",IF(AND('Basic Data Entry'!$G$11="Z-Rural",'Arear Table Unprotected)'!T50&lt;2021),0.08,IF(AND('Basic Data Entry'!$G$11="Y-Urban",'Arear Table Unprotected)'!T50&lt;2021),0.16,IF(AND('Basic Data Entry'!$G$11="Z-Rural",'Arear Table Unprotected)'!T50=2021,S50&gt;=7),0.09,IF(AND('Basic Data Entry'!$G$11="Y-Urban",'Arear Table Unprotected)'!T50=2021,'Arear Table Unprotected)'!S50&gt;=7),0.18,IF(AND('Basic Data Entry'!$G$11="Z-Rural",'Arear Table Unprotected)'!T50=2021,S50&lt;7),0.08,IF(AND('Basic Data Entry'!$G$11="Y-Urban",'Arear Table Unprotected)'!T50=2021,'Arear Table Unprotected)'!S50&lt;7),0.16,IF(AND('Basic Data Entry'!$G$11="Z-Rural",'Arear Table Unprotected)'!T50=2022),0.09,IF(AND('Basic Data Entry'!$G$11="Y-Urban",'Arear Table Unprotected)'!T50=2022),0.18,IF(AND('Basic Data Entry'!$G$11="Z-Rural",'Arear Table Unprotected)'!T50=2023),0.09,IF(AND('Basic Data Entry'!$G$11="Y-Urban",'Arear Table Unprotected)'!T50=2023),0.18,"")))))))))))</f>
        <v/>
      </c>
      <c r="K50" s="230" t="str">
        <f t="shared" si="4"/>
        <v/>
      </c>
      <c r="L50" s="231" t="str">
        <f t="shared" si="5"/>
        <v/>
      </c>
      <c r="M50" s="232" t="str">
        <f t="shared" si="7"/>
        <v/>
      </c>
      <c r="N50" s="196">
        <v>38</v>
      </c>
      <c r="O50" s="327">
        <f t="shared" si="8"/>
        <v>0</v>
      </c>
      <c r="P50" s="328"/>
      <c r="Q50" s="328"/>
      <c r="R50" s="329"/>
      <c r="S50" s="161" t="str">
        <f t="array" ref="S50">IF(OR(O50=0,O50=""),"",MONTH(O50))</f>
        <v/>
      </c>
      <c r="T50" s="161" t="str">
        <f t="array" ref="T50">IF(OR(O50=0,O50=""),"",YEAR(O50))</f>
        <v/>
      </c>
      <c r="U50" s="161" t="str">
        <f t="shared" si="9"/>
        <v/>
      </c>
      <c r="V50" s="6" t="str">
        <f t="array" ref="V50">IF(OR(O50=0,O50=""),"",BE50)</f>
        <v/>
      </c>
      <c r="W50" s="18" t="str">
        <f t="array" ref="W50">IF(OR(O50=0,O50=""),"",ROUND(V50*H50,0))</f>
        <v/>
      </c>
      <c r="X50" s="18">
        <f t="shared" si="10"/>
        <v>0</v>
      </c>
      <c r="Y50" s="18" t="str">
        <f t="array" ref="Y50">IF(OR(O50=0,O50=""),"",ROUND(V50*J50,0))</f>
        <v/>
      </c>
      <c r="Z50" s="135" t="str">
        <f t="array" ref="Z50">IF(OR(O50=0,O50=""),"",SUM(V50:Y50))</f>
        <v/>
      </c>
      <c r="AA50" s="1" t="str">
        <f t="array" ref="AA50">IF(OR(O50=0,O50=""),"",IF(V50=0,0,IF($E$2="FIXATION",$B$5,IF(V50=0,0,IF(BD50=7,ROUND(AA49*1.03,-2),AA49)))))</f>
        <v/>
      </c>
      <c r="AB50" s="2" t="str">
        <f t="array" ref="AB50">IF(OR(O50=0,O50=""),"",IF($E$2="fixation",0,ROUND(AA50*G50,0)))</f>
        <v/>
      </c>
      <c r="AC50" s="18" t="str">
        <f t="array" ref="AC50">IF(OR(O50=0,O50=""),"",AC49)</f>
        <v/>
      </c>
      <c r="AD50" s="2" t="str">
        <f t="array" ref="AD50">IF(OR(O50=0,O50=""),"",IF($E$2="fixation",0,ROUND(AA50*I50,0)))</f>
        <v/>
      </c>
      <c r="AE50" s="135" t="str">
        <f t="array" ref="AE50">IF(OR(O50=0,O50=""),"",SUM(AA50:AD50))</f>
        <v/>
      </c>
      <c r="AF50" s="1" t="str">
        <f t="array" ref="AF50">IF(OR(O50=0,O50=""),"",V50-AA50)</f>
        <v/>
      </c>
      <c r="AG50" s="2" t="str">
        <f t="array" ref="AG50">IF(OR(O50=0,O50=""),"",W50-AB50)</f>
        <v/>
      </c>
      <c r="AH50" s="2" t="str">
        <f t="array" ref="AH50">IF(OR(O50=0,O50=""),"",X50-AC50)</f>
        <v/>
      </c>
      <c r="AI50" s="2" t="str">
        <f t="array" ref="AI50">IF(OR(O50=0,O50=""),"",Y50-AD50)</f>
        <v/>
      </c>
      <c r="AJ50" s="136" t="str">
        <f t="array" ref="AJ50">IF(OR(O50=0,O50=""),"",Z50-AE50)</f>
        <v/>
      </c>
      <c r="AK50" s="4" t="str">
        <f t="array" ref="AK50">IF(OR(O50=0,O50=""),"",IF(M50="",$AZ$2,$AZ$2+M50))</f>
        <v/>
      </c>
      <c r="AL50" s="3" t="str">
        <f t="array" ref="AL50">IF(OR(O50=0,O50=""),"",$AQ$2)</f>
        <v/>
      </c>
      <c r="AM50" s="137" t="str">
        <f t="array" ref="AM50">IF(OR(O50=0,O50=""),"",AK50-AL50)</f>
        <v/>
      </c>
      <c r="AN50" s="3" t="str">
        <f t="array" ref="AN50">IF(OR(O49=0,O49="",AN49="",AN49=""),"",AN49)</f>
        <v/>
      </c>
      <c r="AO50" s="2" t="str">
        <f t="array" ref="AO50">IF(OR(O49=0,O49="",AO49="",AO49=""),"",AO49)</f>
        <v/>
      </c>
      <c r="AP50" s="137" t="str">
        <f t="array" ref="AP50">IF(OR(O50=0,O50=""),"",SUM(AN50-AO50))</f>
        <v/>
      </c>
      <c r="AQ50" s="106" t="str">
        <f t="array" ref="AQ50">IF(OR(O50=0,O50=""),"",IF(AND('Basic Data Entry'!$C$10="state Service",'Arear Table Unprotected)'!T50=2020,S50=3),ROUND(V50/31*5,0),IF(AND('Basic Data Entry'!$C$10="state Service",'Arear Table Unprotected)'!T50=2020,S50=9),ROUND(Z50/30*2,0),IF(AND('Basic Data Entry'!$C$10="state Service",'Arear Table Unprotected)'!T50=2020,S50=10),ROUND(Z50/31*2,0),IF(AND('Basic Data Entry'!$C$10="subordinate",'Arear Table Unprotected)'!T50=2020,S50=3),ROUND(V50/31*3,0),IF(AND('Basic Data Entry'!$C$10="subordinate",'Arear Table Unprotected)'!T50=2020,S50=9),ROUND(Z50/30*1,0),IF(AND('Basic Data Entry'!$C$10="subordinate",'Arear Table Unprotected)'!T50=2020,S50=10),ROUND(Z50/31*1,0),IF(AND('Basic Data Entry'!$C$10="ministrial",'Arear Table Unprotected)'!T50=2020,S50=3),ROUND(V50/31*1,0),""))))))))</f>
        <v/>
      </c>
      <c r="AR50" s="107" t="str">
        <f t="array" ref="AR50">IF(OR(O50=0,O50=""),"",IF(AND('Basic Data Entry'!$C$10="state Service",'Arear Table Unprotected)'!T50=2020,S50=3),ROUND(AA50/31*5,0),IF(AND('Basic Data Entry'!$C$10="state Service",'Arear Table Unprotected)'!T50=2020,S50=9),ROUND(AE50/30*2,0),IF(AND('Basic Data Entry'!$C$10="state Service",'Arear Table Unprotected)'!T50=2020,S50=10),ROUND(AE50/31*2,0),IF(AND('Basic Data Entry'!$C$10="subordinate",'Arear Table Unprotected)'!T50=2020,S50=3),ROUND(AA50/31*3,0),IF(AND('Basic Data Entry'!$C$10="subordinate",'Arear Table Unprotected)'!T50=2020,S50=9),ROUND(AE50/30*1,0),IF(AND('Basic Data Entry'!$C$10="subordinate",'Arear Table Unprotected)'!T50=2020,S50=10),ROUND(AE50/31*1,0),IF(AND('Basic Data Entry'!$C$10="ministrial",'Arear Table Unprotected)'!T50=2020,S50=3),ROUND(AA50/31*1,0),""))))))))</f>
        <v/>
      </c>
      <c r="AS50" s="138" t="str">
        <f t="array" ref="AS50">IF(OR(O50=0,O50="",AQ50="",AR50=""),"",AQ50-AR50)</f>
        <v/>
      </c>
      <c r="AT50" s="44" t="str">
        <f t="array" ref="AT50">IF(OR(O49=0,O49=""),"",AT49)</f>
        <v/>
      </c>
      <c r="AU50" s="45" t="str">
        <f t="array" ref="AU50">IF(OR(O49=0,O49=""),"",AU49)</f>
        <v/>
      </c>
      <c r="AV50" s="139" t="str">
        <f t="array" ref="AV50">IF(OR(O50=0,O50=""),"",SUM(AT50-AU50))</f>
        <v/>
      </c>
      <c r="AW50" s="36" t="str">
        <f t="array" ref="AW50">IF(OR(O50=0,O50=""),"",ROUND((AJ50)*$E$3,0))</f>
        <v/>
      </c>
      <c r="AX50" s="36" t="str">
        <f t="array" ref="AX50">IF(OR(O50=0,O50=""),"",SUM(AM50,AP50,AS50,AV50,AW50))</f>
        <v/>
      </c>
      <c r="AY50" s="140" t="str">
        <f t="array" ref="AY50">IF(OR(O50=0,O50=""),"",AJ50-AX50)</f>
        <v/>
      </c>
      <c r="AZ50" s="46"/>
      <c r="BA50" s="24"/>
      <c r="BB50" s="24"/>
      <c r="BC50" s="11">
        <f t="shared" si="11"/>
        <v>0</v>
      </c>
      <c r="BD50" s="84">
        <f t="shared" si="12"/>
        <v>0</v>
      </c>
      <c r="BE50" s="84">
        <f t="shared" si="18"/>
        <v>0</v>
      </c>
      <c r="BI50" s="22">
        <f t="shared" si="19"/>
        <v>44613</v>
      </c>
      <c r="BK50" s="19">
        <f t="shared" si="13"/>
        <v>1</v>
      </c>
      <c r="BL50" s="20" t="str">
        <f t="array" ref="BL50">IF(OR(O50=0,O50=""),"",U50)</f>
        <v/>
      </c>
      <c r="BM50" s="19" t="str">
        <f t="array" ref="BM50">IF(OR(O50=0,O50=""),"",BK50+BL50)</f>
        <v/>
      </c>
      <c r="BN50" s="21">
        <f t="shared" si="14"/>
        <v>0</v>
      </c>
      <c r="BO50" s="21">
        <f t="shared" si="15"/>
        <v>0</v>
      </c>
      <c r="BP50" s="23">
        <f t="shared" si="16"/>
        <v>0</v>
      </c>
      <c r="BQ50" s="21" t="str">
        <f t="shared" si="17"/>
        <v>00</v>
      </c>
      <c r="BW50" s="81" t="str">
        <f>IF(OR(O50=0,O50=""),"",IF('Basic Data Entry'!$C$9="fixation","yes",""))</f>
        <v/>
      </c>
      <c r="BX50" s="81" t="str">
        <f>IF(OR(O50=0,O50=""),"",IF('Basic Data Entry'!$G$12="yes","yes","no"))</f>
        <v/>
      </c>
    </row>
    <row r="51" spans="1:76" ht="18" customHeight="1" thickBot="1">
      <c r="A51" s="10" t="str">
        <f t="shared" si="6"/>
        <v/>
      </c>
      <c r="B51" s="305"/>
      <c r="C51" s="305"/>
      <c r="D51" s="305"/>
      <c r="E51" s="305"/>
      <c r="F51" s="108" t="str">
        <f t="shared" si="1"/>
        <v/>
      </c>
      <c r="G51" s="227" t="str">
        <f t="shared" si="2"/>
        <v/>
      </c>
      <c r="H51" s="228" t="str">
        <f t="shared" si="3"/>
        <v/>
      </c>
      <c r="I51" s="228" t="str">
        <f>IF(OR($E$2="fixation",O51="",O51=0),"",IF(AND('Basic Data Entry'!$G$11="Z-Rural",'Arear Table Unprotected)'!T51&lt;2021),0.08,IF(AND('Basic Data Entry'!$G$11="Y-Urban",'Arear Table Unprotected)'!T51&lt;2021),0.16,IF(AND('Basic Data Entry'!$G$11="Z-Rural",'Arear Table Unprotected)'!T51=2021,S51&gt;=7),0.09,IF(AND('Basic Data Entry'!$G$11="Y-Urban",'Arear Table Unprotected)'!T51=2021,'Arear Table Unprotected)'!S51&gt;=7),0.18,IF(AND('Basic Data Entry'!$G$11="Z-Rural",'Arear Table Unprotected)'!T51=2021,S51&lt;7),0.08,IF(AND('Basic Data Entry'!$G$11="Y-Urban",'Arear Table Unprotected)'!T51=2021,'Arear Table Unprotected)'!S51&lt;7),0.16,IF(AND('Basic Data Entry'!$G$11="Z-Rural",'Arear Table Unprotected)'!T51=2022),0.09,IF(AND('Basic Data Entry'!$G$11="Y-Urban",'Arear Table Unprotected)'!T51=2022),0.18,IF(AND('Basic Data Entry'!$G$11="Z-Rural",'Arear Table Unprotected)'!T51=2023),0.09,IF(AND('Basic Data Entry'!$G$11="Y-Urban",'Arear Table Unprotected)'!T51=2023),0.18,"")))))))))))</f>
        <v/>
      </c>
      <c r="J51" s="229" t="str">
        <f>IF(OR(O51="",O51=0),"",IF(AND('Basic Data Entry'!$G$11="Z-Rural",'Arear Table Unprotected)'!T51&lt;2021),0.08,IF(AND('Basic Data Entry'!$G$11="Y-Urban",'Arear Table Unprotected)'!T51&lt;2021),0.16,IF(AND('Basic Data Entry'!$G$11="Z-Rural",'Arear Table Unprotected)'!T51=2021,S51&gt;=7),0.09,IF(AND('Basic Data Entry'!$G$11="Y-Urban",'Arear Table Unprotected)'!T51=2021,'Arear Table Unprotected)'!S51&gt;=7),0.18,IF(AND('Basic Data Entry'!$G$11="Z-Rural",'Arear Table Unprotected)'!T51=2021,S51&lt;7),0.08,IF(AND('Basic Data Entry'!$G$11="Y-Urban",'Arear Table Unprotected)'!T51=2021,'Arear Table Unprotected)'!S51&lt;7),0.16,IF(AND('Basic Data Entry'!$G$11="Z-Rural",'Arear Table Unprotected)'!T51=2022),0.09,IF(AND('Basic Data Entry'!$G$11="Y-Urban",'Arear Table Unprotected)'!T51=2022),0.18,IF(AND('Basic Data Entry'!$G$11="Z-Rural",'Arear Table Unprotected)'!T51=2023),0.09,IF(AND('Basic Data Entry'!$G$11="Y-Urban",'Arear Table Unprotected)'!T51=2023),0.18,"")))))))))))</f>
        <v/>
      </c>
      <c r="K51" s="230" t="str">
        <f t="shared" si="4"/>
        <v/>
      </c>
      <c r="L51" s="231" t="str">
        <f t="shared" si="5"/>
        <v/>
      </c>
      <c r="M51" s="232" t="str">
        <f t="shared" si="7"/>
        <v/>
      </c>
      <c r="N51" s="196">
        <v>39</v>
      </c>
      <c r="O51" s="327">
        <f t="shared" si="8"/>
        <v>0</v>
      </c>
      <c r="P51" s="328"/>
      <c r="Q51" s="328"/>
      <c r="R51" s="329"/>
      <c r="S51" s="161" t="str">
        <f t="array" ref="S51">IF(OR(O51=0,O51=""),"",MONTH(O51))</f>
        <v/>
      </c>
      <c r="T51" s="161" t="str">
        <f t="array" ref="T51">IF(OR(O51=0,O51=""),"",YEAR(O51))</f>
        <v/>
      </c>
      <c r="U51" s="161" t="str">
        <f t="shared" si="9"/>
        <v/>
      </c>
      <c r="V51" s="6" t="str">
        <f t="array" ref="V51">IF(OR(O51=0,O51=""),"",BE51)</f>
        <v/>
      </c>
      <c r="W51" s="18" t="str">
        <f t="array" ref="W51">IF(OR(O51=0,O51=""),"",ROUND(V51*H51,0))</f>
        <v/>
      </c>
      <c r="X51" s="18">
        <f t="shared" si="10"/>
        <v>0</v>
      </c>
      <c r="Y51" s="18" t="str">
        <f t="array" ref="Y51">IF(OR(O51=0,O51=""),"",ROUND(V51*J51,0))</f>
        <v/>
      </c>
      <c r="Z51" s="135" t="str">
        <f t="array" ref="Z51">IF(OR(O51=0,O51=""),"",SUM(V51:Y51))</f>
        <v/>
      </c>
      <c r="AA51" s="1" t="str">
        <f t="array" ref="AA51">IF(OR(O51=0,O51=""),"",IF(V51=0,0,IF($E$2="FIXATION",$B$5,IF(V51=0,0,IF(BD51=7,ROUND(AA50*1.03,-2),AA50)))))</f>
        <v/>
      </c>
      <c r="AB51" s="2" t="str">
        <f t="array" ref="AB51">IF(OR(O51=0,O51=""),"",IF($E$2="fixation",0,ROUND(AA51*G51,0)))</f>
        <v/>
      </c>
      <c r="AC51" s="18" t="str">
        <f t="array" ref="AC51">IF(OR(O51=0,O51=""),"",AC50)</f>
        <v/>
      </c>
      <c r="AD51" s="2" t="str">
        <f t="array" ref="AD51">IF(OR(O51=0,O51=""),"",IF($E$2="fixation",0,ROUND(AA51*I51,0)))</f>
        <v/>
      </c>
      <c r="AE51" s="135" t="str">
        <f t="array" ref="AE51">IF(OR(O51=0,O51=""),"",SUM(AA51:AD51))</f>
        <v/>
      </c>
      <c r="AF51" s="1" t="str">
        <f t="array" ref="AF51">IF(OR(O51=0,O51=""),"",V51-AA51)</f>
        <v/>
      </c>
      <c r="AG51" s="2" t="str">
        <f t="array" ref="AG51">IF(OR(O51=0,O51=""),"",W51-AB51)</f>
        <v/>
      </c>
      <c r="AH51" s="2" t="str">
        <f t="array" ref="AH51">IF(OR(O51=0,O51=""),"",X51-AC51)</f>
        <v/>
      </c>
      <c r="AI51" s="2" t="str">
        <f t="array" ref="AI51">IF(OR(O51=0,O51=""),"",Y51-AD51)</f>
        <v/>
      </c>
      <c r="AJ51" s="136" t="str">
        <f t="array" ref="AJ51">IF(OR(O51=0,O51=""),"",Z51-AE51)</f>
        <v/>
      </c>
      <c r="AK51" s="4" t="str">
        <f t="array" ref="AK51">IF(OR(O51=0,O51=""),"",IF(M51="",$AZ$2,$AZ$2+M51))</f>
        <v/>
      </c>
      <c r="AL51" s="3" t="str">
        <f t="array" ref="AL51">IF(OR(O51=0,O51=""),"",$AQ$2)</f>
        <v/>
      </c>
      <c r="AM51" s="137" t="str">
        <f t="array" ref="AM51">IF(OR(O51=0,O51=""),"",AK51-AL51)</f>
        <v/>
      </c>
      <c r="AN51" s="3" t="str">
        <f t="array" ref="AN51">IF(OR(O50=0,O50="",AN50="",AN50=""),"",AN50)</f>
        <v/>
      </c>
      <c r="AO51" s="2" t="str">
        <f t="array" ref="AO51">IF(OR(O50=0,O50="",AO50="",AO50=""),"",AO50)</f>
        <v/>
      </c>
      <c r="AP51" s="137" t="str">
        <f t="array" ref="AP51">IF(OR(O51=0,O51=""),"",SUM(AN51-AO51))</f>
        <v/>
      </c>
      <c r="AQ51" s="106" t="str">
        <f t="array" ref="AQ51">IF(OR(O51=0,O51=""),"",IF(AND('Basic Data Entry'!$C$10="state Service",'Arear Table Unprotected)'!T51=2020,S51=3),ROUND(V51/31*5,0),IF(AND('Basic Data Entry'!$C$10="state Service",'Arear Table Unprotected)'!T51=2020,S51=9),ROUND(Z51/30*2,0),IF(AND('Basic Data Entry'!$C$10="state Service",'Arear Table Unprotected)'!T51=2020,S51=10),ROUND(Z51/31*2,0),IF(AND('Basic Data Entry'!$C$10="subordinate",'Arear Table Unprotected)'!T51=2020,S51=3),ROUND(V51/31*3,0),IF(AND('Basic Data Entry'!$C$10="subordinate",'Arear Table Unprotected)'!T51=2020,S51=9),ROUND(Z51/30*1,0),IF(AND('Basic Data Entry'!$C$10="subordinate",'Arear Table Unprotected)'!T51=2020,S51=10),ROUND(Z51/31*1,0),IF(AND('Basic Data Entry'!$C$10="ministrial",'Arear Table Unprotected)'!T51=2020,S51=3),ROUND(V51/31*1,0),""))))))))</f>
        <v/>
      </c>
      <c r="AR51" s="107" t="str">
        <f t="array" ref="AR51">IF(OR(O51=0,O51=""),"",IF(AND('Basic Data Entry'!$C$10="state Service",'Arear Table Unprotected)'!T51=2020,S51=3),ROUND(AA51/31*5,0),IF(AND('Basic Data Entry'!$C$10="state Service",'Arear Table Unprotected)'!T51=2020,S51=9),ROUND(AE51/30*2,0),IF(AND('Basic Data Entry'!$C$10="state Service",'Arear Table Unprotected)'!T51=2020,S51=10),ROUND(AE51/31*2,0),IF(AND('Basic Data Entry'!$C$10="subordinate",'Arear Table Unprotected)'!T51=2020,S51=3),ROUND(AA51/31*3,0),IF(AND('Basic Data Entry'!$C$10="subordinate",'Arear Table Unprotected)'!T51=2020,S51=9),ROUND(AE51/30*1,0),IF(AND('Basic Data Entry'!$C$10="subordinate",'Arear Table Unprotected)'!T51=2020,S51=10),ROUND(AE51/31*1,0),IF(AND('Basic Data Entry'!$C$10="ministrial",'Arear Table Unprotected)'!T51=2020,S51=3),ROUND(AA51/31*1,0),""))))))))</f>
        <v/>
      </c>
      <c r="AS51" s="138" t="str">
        <f t="array" ref="AS51">IF(OR(O51=0,O51="",AQ51="",AR51=""),"",AQ51-AR51)</f>
        <v/>
      </c>
      <c r="AT51" s="44" t="str">
        <f t="array" ref="AT51">IF(OR(O50=0,O50=""),"",AT50)</f>
        <v/>
      </c>
      <c r="AU51" s="45" t="str">
        <f t="array" ref="AU51">IF(OR(O50=0,O50=""),"",AU50)</f>
        <v/>
      </c>
      <c r="AV51" s="139" t="str">
        <f t="array" ref="AV51">IF(OR(O51=0,O51=""),"",SUM(AT51-AU51))</f>
        <v/>
      </c>
      <c r="AW51" s="36" t="str">
        <f t="array" ref="AW51">IF(OR(O51=0,O51=""),"",ROUND((AJ51)*$E$3,0))</f>
        <v/>
      </c>
      <c r="AX51" s="36" t="str">
        <f t="array" ref="AX51">IF(OR(O51=0,O51=""),"",SUM(AM51,AP51,AS51,AV51,AW51))</f>
        <v/>
      </c>
      <c r="AY51" s="140" t="str">
        <f t="array" ref="AY51">IF(OR(O51=0,O51=""),"",AJ51-AX51)</f>
        <v/>
      </c>
      <c r="AZ51" s="46"/>
      <c r="BA51" s="24"/>
      <c r="BB51" s="24"/>
      <c r="BC51" s="11">
        <f t="shared" si="11"/>
        <v>0</v>
      </c>
      <c r="BD51" s="84">
        <f t="shared" si="12"/>
        <v>0</v>
      </c>
      <c r="BE51" s="84">
        <f t="shared" si="18"/>
        <v>0</v>
      </c>
      <c r="BI51" s="22">
        <f t="shared" si="19"/>
        <v>44644</v>
      </c>
      <c r="BK51" s="19">
        <f t="shared" si="13"/>
        <v>1</v>
      </c>
      <c r="BL51" s="20" t="str">
        <f t="array" ref="BL51">IF(OR(O51=0,O51=""),"",U51)</f>
        <v/>
      </c>
      <c r="BM51" s="19" t="str">
        <f t="array" ref="BM51">IF(OR(O51=0,O51=""),"",BK51+BL51)</f>
        <v/>
      </c>
      <c r="BN51" s="21">
        <f t="shared" si="14"/>
        <v>0</v>
      </c>
      <c r="BO51" s="21">
        <f t="shared" si="15"/>
        <v>0</v>
      </c>
      <c r="BP51" s="23">
        <f t="shared" si="16"/>
        <v>0</v>
      </c>
      <c r="BQ51" s="21" t="str">
        <f t="shared" si="17"/>
        <v>00</v>
      </c>
      <c r="BW51" s="81" t="str">
        <f>IF(OR(O51=0,O51=""),"",IF('Basic Data Entry'!$C$9="fixation","yes",""))</f>
        <v/>
      </c>
      <c r="BX51" s="81" t="str">
        <f>IF(OR(O51=0,O51=""),"",IF('Basic Data Entry'!$G$12="yes","yes","no"))</f>
        <v/>
      </c>
    </row>
    <row r="52" spans="1:76" ht="18" customHeight="1" thickBot="1">
      <c r="A52" s="10" t="str">
        <f t="shared" si="6"/>
        <v/>
      </c>
      <c r="B52" s="305"/>
      <c r="C52" s="305"/>
      <c r="D52" s="305"/>
      <c r="E52" s="305"/>
      <c r="F52" s="108" t="str">
        <f t="shared" si="1"/>
        <v/>
      </c>
      <c r="G52" s="227" t="str">
        <f t="shared" si="2"/>
        <v/>
      </c>
      <c r="H52" s="228" t="str">
        <f t="shared" si="3"/>
        <v/>
      </c>
      <c r="I52" s="228" t="str">
        <f>IF(OR($E$2="fixation",O52="",O52=0),"",IF(AND('Basic Data Entry'!$G$11="Z-Rural",'Arear Table Unprotected)'!T52&lt;2021),0.08,IF(AND('Basic Data Entry'!$G$11="Y-Urban",'Arear Table Unprotected)'!T52&lt;2021),0.16,IF(AND('Basic Data Entry'!$G$11="Z-Rural",'Arear Table Unprotected)'!T52=2021,S52&gt;=7),0.09,IF(AND('Basic Data Entry'!$G$11="Y-Urban",'Arear Table Unprotected)'!T52=2021,'Arear Table Unprotected)'!S52&gt;=7),0.18,IF(AND('Basic Data Entry'!$G$11="Z-Rural",'Arear Table Unprotected)'!T52=2021,S52&lt;7),0.08,IF(AND('Basic Data Entry'!$G$11="Y-Urban",'Arear Table Unprotected)'!T52=2021,'Arear Table Unprotected)'!S52&lt;7),0.16,IF(AND('Basic Data Entry'!$G$11="Z-Rural",'Arear Table Unprotected)'!T52=2022),0.09,IF(AND('Basic Data Entry'!$G$11="Y-Urban",'Arear Table Unprotected)'!T52=2022),0.18,IF(AND('Basic Data Entry'!$G$11="Z-Rural",'Arear Table Unprotected)'!T52=2023),0.09,IF(AND('Basic Data Entry'!$G$11="Y-Urban",'Arear Table Unprotected)'!T52=2023),0.18,"")))))))))))</f>
        <v/>
      </c>
      <c r="J52" s="229" t="str">
        <f>IF(OR(O52="",O52=0),"",IF(AND('Basic Data Entry'!$G$11="Z-Rural",'Arear Table Unprotected)'!T52&lt;2021),0.08,IF(AND('Basic Data Entry'!$G$11="Y-Urban",'Arear Table Unprotected)'!T52&lt;2021),0.16,IF(AND('Basic Data Entry'!$G$11="Z-Rural",'Arear Table Unprotected)'!T52=2021,S52&gt;=7),0.09,IF(AND('Basic Data Entry'!$G$11="Y-Urban",'Arear Table Unprotected)'!T52=2021,'Arear Table Unprotected)'!S52&gt;=7),0.18,IF(AND('Basic Data Entry'!$G$11="Z-Rural",'Arear Table Unprotected)'!T52=2021,S52&lt;7),0.08,IF(AND('Basic Data Entry'!$G$11="Y-Urban",'Arear Table Unprotected)'!T52=2021,'Arear Table Unprotected)'!S52&lt;7),0.16,IF(AND('Basic Data Entry'!$G$11="Z-Rural",'Arear Table Unprotected)'!T52=2022),0.09,IF(AND('Basic Data Entry'!$G$11="Y-Urban",'Arear Table Unprotected)'!T52=2022),0.18,IF(AND('Basic Data Entry'!$G$11="Z-Rural",'Arear Table Unprotected)'!T52=2023),0.09,IF(AND('Basic Data Entry'!$G$11="Y-Urban",'Arear Table Unprotected)'!T52=2023),0.18,"")))))))))))</f>
        <v/>
      </c>
      <c r="K52" s="230" t="str">
        <f t="shared" si="4"/>
        <v/>
      </c>
      <c r="L52" s="231" t="str">
        <f t="shared" si="5"/>
        <v/>
      </c>
      <c r="M52" s="232" t="str">
        <f t="shared" si="7"/>
        <v/>
      </c>
      <c r="N52" s="196">
        <v>40</v>
      </c>
      <c r="O52" s="327">
        <f t="shared" si="8"/>
        <v>0</v>
      </c>
      <c r="P52" s="328"/>
      <c r="Q52" s="328"/>
      <c r="R52" s="329"/>
      <c r="S52" s="161" t="str">
        <f t="array" ref="S52">IF(OR(O52=0,O52=""),"",MONTH(O52))</f>
        <v/>
      </c>
      <c r="T52" s="161" t="str">
        <f t="array" ref="T52">IF(OR(O52=0,O52=""),"",YEAR(O52))</f>
        <v/>
      </c>
      <c r="U52" s="161" t="str">
        <f t="shared" si="9"/>
        <v/>
      </c>
      <c r="V52" s="6" t="str">
        <f t="array" ref="V52">IF(OR(O52=0,O52=""),"",BE52)</f>
        <v/>
      </c>
      <c r="W52" s="18" t="str">
        <f t="array" ref="W52">IF(OR(O52=0,O52=""),"",ROUND(V52*H52,0))</f>
        <v/>
      </c>
      <c r="X52" s="18">
        <f t="shared" si="10"/>
        <v>0</v>
      </c>
      <c r="Y52" s="18" t="str">
        <f t="array" ref="Y52">IF(OR(O52=0,O52=""),"",ROUND(V52*J52,0))</f>
        <v/>
      </c>
      <c r="Z52" s="135" t="str">
        <f t="array" ref="Z52">IF(OR(O52=0,O52=""),"",SUM(V52:Y52))</f>
        <v/>
      </c>
      <c r="AA52" s="1" t="str">
        <f t="array" ref="AA52">IF(OR(O52=0,O52=""),"",IF(V52=0,0,IF($E$2="FIXATION",$B$5,IF(V52=0,0,IF(BD52=7,ROUND(AA51*1.03,-2),AA51)))))</f>
        <v/>
      </c>
      <c r="AB52" s="2" t="str">
        <f t="array" ref="AB52">IF(OR(O52=0,O52=""),"",IF($E$2="fixation",0,ROUND(AA52*G52,0)))</f>
        <v/>
      </c>
      <c r="AC52" s="18" t="str">
        <f t="array" ref="AC52">IF(OR(O52=0,O52=""),"",AC51)</f>
        <v/>
      </c>
      <c r="AD52" s="2" t="str">
        <f t="array" ref="AD52">IF(OR(O52=0,O52=""),"",IF($E$2="fixation",0,ROUND(AA52*I52,0)))</f>
        <v/>
      </c>
      <c r="AE52" s="135" t="str">
        <f t="array" ref="AE52">IF(OR(O52=0,O52=""),"",SUM(AA52:AD52))</f>
        <v/>
      </c>
      <c r="AF52" s="1" t="str">
        <f t="array" ref="AF52">IF(OR(O52=0,O52=""),"",V52-AA52)</f>
        <v/>
      </c>
      <c r="AG52" s="2" t="str">
        <f t="array" ref="AG52">IF(OR(O52=0,O52=""),"",W52-AB52)</f>
        <v/>
      </c>
      <c r="AH52" s="2" t="str">
        <f t="array" ref="AH52">IF(OR(O52=0,O52=""),"",X52-AC52)</f>
        <v/>
      </c>
      <c r="AI52" s="2" t="str">
        <f t="array" ref="AI52">IF(OR(O52=0,O52=""),"",Y52-AD52)</f>
        <v/>
      </c>
      <c r="AJ52" s="136" t="str">
        <f t="array" ref="AJ52">IF(OR(O52=0,O52=""),"",Z52-AE52)</f>
        <v/>
      </c>
      <c r="AK52" s="4" t="str">
        <f t="array" ref="AK52">IF(OR(O52=0,O52=""),"",IF(M52="",$AZ$2,$AZ$2+M52))</f>
        <v/>
      </c>
      <c r="AL52" s="3" t="str">
        <f t="array" ref="AL52">IF(OR(O52=0,O52=""),"",$AQ$2)</f>
        <v/>
      </c>
      <c r="AM52" s="137" t="str">
        <f t="array" ref="AM52">IF(OR(O52=0,O52=""),"",AK52-AL52)</f>
        <v/>
      </c>
      <c r="AN52" s="3" t="str">
        <f t="array" ref="AN52">IF(OR(O51=0,O51="",AN51="",AN51=""),"",AN51)</f>
        <v/>
      </c>
      <c r="AO52" s="2" t="str">
        <f t="array" ref="AO52">IF(OR(O51=0,O51="",AO51="",AO51=""),"",AO51)</f>
        <v/>
      </c>
      <c r="AP52" s="137" t="str">
        <f t="array" ref="AP52">IF(OR(O52=0,O52=""),"",SUM(AN52-AO52))</f>
        <v/>
      </c>
      <c r="AQ52" s="106" t="str">
        <f t="array" ref="AQ52">IF(OR(O52=0,O52=""),"",IF(AND('Basic Data Entry'!$C$10="state Service",'Arear Table Unprotected)'!T52=2020,S52=3),ROUND(V52/31*5,0),IF(AND('Basic Data Entry'!$C$10="state Service",'Arear Table Unprotected)'!T52=2020,S52=9),ROUND(Z52/30*2,0),IF(AND('Basic Data Entry'!$C$10="state Service",'Arear Table Unprotected)'!T52=2020,S52=10),ROUND(Z52/31*2,0),IF(AND('Basic Data Entry'!$C$10="subordinate",'Arear Table Unprotected)'!T52=2020,S52=3),ROUND(V52/31*3,0),IF(AND('Basic Data Entry'!$C$10="subordinate",'Arear Table Unprotected)'!T52=2020,S52=9),ROUND(Z52/30*1,0),IF(AND('Basic Data Entry'!$C$10="subordinate",'Arear Table Unprotected)'!T52=2020,S52=10),ROUND(Z52/31*1,0),IF(AND('Basic Data Entry'!$C$10="ministrial",'Arear Table Unprotected)'!T52=2020,S52=3),ROUND(V52/31*1,0),""))))))))</f>
        <v/>
      </c>
      <c r="AR52" s="107" t="str">
        <f t="array" ref="AR52">IF(OR(O52=0,O52=""),"",IF(AND('Basic Data Entry'!$C$10="state Service",'Arear Table Unprotected)'!T52=2020,S52=3),ROUND(AA52/31*5,0),IF(AND('Basic Data Entry'!$C$10="state Service",'Arear Table Unprotected)'!T52=2020,S52=9),ROUND(AE52/30*2,0),IF(AND('Basic Data Entry'!$C$10="state Service",'Arear Table Unprotected)'!T52=2020,S52=10),ROUND(AE52/31*2,0),IF(AND('Basic Data Entry'!$C$10="subordinate",'Arear Table Unprotected)'!T52=2020,S52=3),ROUND(AA52/31*3,0),IF(AND('Basic Data Entry'!$C$10="subordinate",'Arear Table Unprotected)'!T52=2020,S52=9),ROUND(AE52/30*1,0),IF(AND('Basic Data Entry'!$C$10="subordinate",'Arear Table Unprotected)'!T52=2020,S52=10),ROUND(AE52/31*1,0),IF(AND('Basic Data Entry'!$C$10="ministrial",'Arear Table Unprotected)'!T52=2020,S52=3),ROUND(AA52/31*1,0),""))))))))</f>
        <v/>
      </c>
      <c r="AS52" s="138" t="str">
        <f t="array" ref="AS52">IF(OR(O52=0,O52="",AQ52="",AR52=""),"",AQ52-AR52)</f>
        <v/>
      </c>
      <c r="AT52" s="44" t="str">
        <f t="array" ref="AT52">IF(OR(O51=0,O51=""),"",AT51)</f>
        <v/>
      </c>
      <c r="AU52" s="45" t="str">
        <f t="array" ref="AU52">IF(OR(O51=0,O51=""),"",AU51)</f>
        <v/>
      </c>
      <c r="AV52" s="139" t="str">
        <f t="array" ref="AV52">IF(OR(O52=0,O52=""),"",SUM(AT52-AU52))</f>
        <v/>
      </c>
      <c r="AW52" s="36" t="str">
        <f t="array" ref="AW52">IF(OR(O52=0,O52=""),"",ROUND((AJ52)*$E$3,0))</f>
        <v/>
      </c>
      <c r="AX52" s="36" t="str">
        <f t="array" ref="AX52">IF(OR(O52=0,O52=""),"",SUM(AM52,AP52,AS52,AV52,AW52))</f>
        <v/>
      </c>
      <c r="AY52" s="140" t="str">
        <f t="array" ref="AY52">IF(OR(O52=0,O52=""),"",AJ52-AX52)</f>
        <v/>
      </c>
      <c r="AZ52" s="46"/>
      <c r="BA52" s="24"/>
      <c r="BB52" s="24"/>
      <c r="BC52" s="11">
        <f t="shared" si="11"/>
        <v>0</v>
      </c>
      <c r="BD52" s="84">
        <f t="shared" si="12"/>
        <v>0</v>
      </c>
      <c r="BE52" s="84">
        <f t="shared" si="18"/>
        <v>0</v>
      </c>
      <c r="BI52" s="22">
        <f t="shared" si="19"/>
        <v>44675</v>
      </c>
      <c r="BK52" s="19">
        <f t="shared" si="13"/>
        <v>1</v>
      </c>
      <c r="BL52" s="20" t="str">
        <f t="array" ref="BL52">IF(OR(O52=0,O52=""),"",U52)</f>
        <v/>
      </c>
      <c r="BM52" s="19" t="str">
        <f t="array" ref="BM52">IF(OR(O52=0,O52=""),"",BK52+BL52)</f>
        <v/>
      </c>
      <c r="BN52" s="21">
        <f t="shared" si="14"/>
        <v>0</v>
      </c>
      <c r="BO52" s="21">
        <f t="shared" si="15"/>
        <v>0</v>
      </c>
      <c r="BP52" s="23">
        <f t="shared" si="16"/>
        <v>0</v>
      </c>
      <c r="BQ52" s="21" t="str">
        <f t="shared" si="17"/>
        <v>00</v>
      </c>
      <c r="BW52" s="81" t="str">
        <f>IF(OR(O52=0,O52=""),"",IF('Basic Data Entry'!$C$9="fixation","yes",""))</f>
        <v/>
      </c>
      <c r="BX52" s="81" t="str">
        <f>IF(OR(O52=0,O52=""),"",IF('Basic Data Entry'!$G$12="yes","yes","no"))</f>
        <v/>
      </c>
    </row>
    <row r="53" spans="1:76" ht="18" customHeight="1" thickBot="1">
      <c r="A53" s="10" t="str">
        <f t="shared" si="6"/>
        <v/>
      </c>
      <c r="B53" s="305"/>
      <c r="C53" s="305"/>
      <c r="D53" s="305"/>
      <c r="E53" s="305"/>
      <c r="F53" s="108" t="str">
        <f t="shared" si="1"/>
        <v/>
      </c>
      <c r="G53" s="227" t="str">
        <f t="shared" si="2"/>
        <v/>
      </c>
      <c r="H53" s="228" t="str">
        <f t="shared" si="3"/>
        <v/>
      </c>
      <c r="I53" s="228" t="str">
        <f>IF(OR($E$2="fixation",O53="",O53=0),"",IF(AND('Basic Data Entry'!$G$11="Z-Rural",'Arear Table Unprotected)'!T53&lt;2021),0.08,IF(AND('Basic Data Entry'!$G$11="Y-Urban",'Arear Table Unprotected)'!T53&lt;2021),0.16,IF(AND('Basic Data Entry'!$G$11="Z-Rural",'Arear Table Unprotected)'!T53=2021,S53&gt;=7),0.09,IF(AND('Basic Data Entry'!$G$11="Y-Urban",'Arear Table Unprotected)'!T53=2021,'Arear Table Unprotected)'!S53&gt;=7),0.18,IF(AND('Basic Data Entry'!$G$11="Z-Rural",'Arear Table Unprotected)'!T53=2021,S53&lt;7),0.08,IF(AND('Basic Data Entry'!$G$11="Y-Urban",'Arear Table Unprotected)'!T53=2021,'Arear Table Unprotected)'!S53&lt;7),0.16,IF(AND('Basic Data Entry'!$G$11="Z-Rural",'Arear Table Unprotected)'!T53=2022),0.09,IF(AND('Basic Data Entry'!$G$11="Y-Urban",'Arear Table Unprotected)'!T53=2022),0.18,IF(AND('Basic Data Entry'!$G$11="Z-Rural",'Arear Table Unprotected)'!T53=2023),0.09,IF(AND('Basic Data Entry'!$G$11="Y-Urban",'Arear Table Unprotected)'!T53=2023),0.18,"")))))))))))</f>
        <v/>
      </c>
      <c r="J53" s="229" t="str">
        <f>IF(OR(O53="",O53=0),"",IF(AND('Basic Data Entry'!$G$11="Z-Rural",'Arear Table Unprotected)'!T53&lt;2021),0.08,IF(AND('Basic Data Entry'!$G$11="Y-Urban",'Arear Table Unprotected)'!T53&lt;2021),0.16,IF(AND('Basic Data Entry'!$G$11="Z-Rural",'Arear Table Unprotected)'!T53=2021,S53&gt;=7),0.09,IF(AND('Basic Data Entry'!$G$11="Y-Urban",'Arear Table Unprotected)'!T53=2021,'Arear Table Unprotected)'!S53&gt;=7),0.18,IF(AND('Basic Data Entry'!$G$11="Z-Rural",'Arear Table Unprotected)'!T53=2021,S53&lt;7),0.08,IF(AND('Basic Data Entry'!$G$11="Y-Urban",'Arear Table Unprotected)'!T53=2021,'Arear Table Unprotected)'!S53&lt;7),0.16,IF(AND('Basic Data Entry'!$G$11="Z-Rural",'Arear Table Unprotected)'!T53=2022),0.09,IF(AND('Basic Data Entry'!$G$11="Y-Urban",'Arear Table Unprotected)'!T53=2022),0.18,IF(AND('Basic Data Entry'!$G$11="Z-Rural",'Arear Table Unprotected)'!T53=2023),0.09,IF(AND('Basic Data Entry'!$G$11="Y-Urban",'Arear Table Unprotected)'!T53=2023),0.18,"")))))))))))</f>
        <v/>
      </c>
      <c r="K53" s="230" t="str">
        <f t="shared" si="4"/>
        <v/>
      </c>
      <c r="L53" s="231" t="str">
        <f t="shared" si="5"/>
        <v/>
      </c>
      <c r="M53" s="232" t="str">
        <f t="shared" si="7"/>
        <v/>
      </c>
      <c r="N53" s="196">
        <v>41</v>
      </c>
      <c r="O53" s="327">
        <f t="shared" si="8"/>
        <v>0</v>
      </c>
      <c r="P53" s="328"/>
      <c r="Q53" s="328"/>
      <c r="R53" s="329"/>
      <c r="S53" s="161" t="str">
        <f t="array" ref="S53">IF(OR(O53=0,O53=""),"",MONTH(O53))</f>
        <v/>
      </c>
      <c r="T53" s="161" t="str">
        <f t="array" ref="T53">IF(OR(O53=0,O53=""),"",YEAR(O53))</f>
        <v/>
      </c>
      <c r="U53" s="161" t="str">
        <f t="shared" si="9"/>
        <v/>
      </c>
      <c r="V53" s="6" t="str">
        <f t="array" ref="V53">IF(OR(O53=0,O53=""),"",BE53)</f>
        <v/>
      </c>
      <c r="W53" s="18" t="str">
        <f t="array" ref="W53">IF(OR(O53=0,O53=""),"",ROUND(V53*H53,0))</f>
        <v/>
      </c>
      <c r="X53" s="18">
        <f t="shared" si="10"/>
        <v>0</v>
      </c>
      <c r="Y53" s="18" t="str">
        <f t="array" ref="Y53">IF(OR(O53=0,O53=""),"",ROUND(V53*J53,0))</f>
        <v/>
      </c>
      <c r="Z53" s="135" t="str">
        <f t="array" ref="Z53">IF(OR(O53=0,O53=""),"",SUM(V53:Y53))</f>
        <v/>
      </c>
      <c r="AA53" s="1" t="str">
        <f t="array" ref="AA53">IF(OR(O53=0,O53=""),"",IF(V53=0,0,IF($E$2="FIXATION",$B$5,IF(V53=0,0,IF(BD53=7,ROUND(AA52*1.03,-2),AA52)))))</f>
        <v/>
      </c>
      <c r="AB53" s="2" t="str">
        <f t="array" ref="AB53">IF(OR(O53=0,O53=""),"",IF($E$2="fixation",0,ROUND(AA53*G53,0)))</f>
        <v/>
      </c>
      <c r="AC53" s="18" t="str">
        <f t="array" ref="AC53">IF(OR(O53=0,O53=""),"",AC52)</f>
        <v/>
      </c>
      <c r="AD53" s="2" t="str">
        <f t="array" ref="AD53">IF(OR(O53=0,O53=""),"",IF($E$2="fixation",0,ROUND(AA53*I53,0)))</f>
        <v/>
      </c>
      <c r="AE53" s="135" t="str">
        <f t="array" ref="AE53">IF(OR(O53=0,O53=""),"",SUM(AA53:AD53))</f>
        <v/>
      </c>
      <c r="AF53" s="1" t="str">
        <f t="array" ref="AF53">IF(OR(O53=0,O53=""),"",V53-AA53)</f>
        <v/>
      </c>
      <c r="AG53" s="2" t="str">
        <f t="array" ref="AG53">IF(OR(O53=0,O53=""),"",W53-AB53)</f>
        <v/>
      </c>
      <c r="AH53" s="2" t="str">
        <f t="array" ref="AH53">IF(OR(O53=0,O53=""),"",X53-AC53)</f>
        <v/>
      </c>
      <c r="AI53" s="2" t="str">
        <f t="array" ref="AI53">IF(OR(O53=0,O53=""),"",Y53-AD53)</f>
        <v/>
      </c>
      <c r="AJ53" s="136" t="str">
        <f t="array" ref="AJ53">IF(OR(O53=0,O53=""),"",Z53-AE53)</f>
        <v/>
      </c>
      <c r="AK53" s="4" t="str">
        <f t="array" ref="AK53">IF(OR(O53=0,O53=""),"",IF(M53="",$AZ$2,$AZ$2+M53))</f>
        <v/>
      </c>
      <c r="AL53" s="3" t="str">
        <f t="array" ref="AL53">IF(OR(O53=0,O53=""),"",$AQ$2)</f>
        <v/>
      </c>
      <c r="AM53" s="137" t="str">
        <f t="array" ref="AM53">IF(OR(O53=0,O53=""),"",AK53-AL53)</f>
        <v/>
      </c>
      <c r="AN53" s="3" t="str">
        <f t="array" ref="AN53">IF(OR(O52=0,O52="",AN52="",AN52=""),"",AN52)</f>
        <v/>
      </c>
      <c r="AO53" s="2" t="str">
        <f t="array" ref="AO53">IF(OR(O52=0,O52="",AO52="",AO52=""),"",AO52)</f>
        <v/>
      </c>
      <c r="AP53" s="137" t="str">
        <f t="array" ref="AP53">IF(OR(O53=0,O53=""),"",SUM(AN53-AO53))</f>
        <v/>
      </c>
      <c r="AQ53" s="106" t="str">
        <f t="array" ref="AQ53">IF(OR(O53=0,O53=""),"",IF(AND('Basic Data Entry'!$C$10="state Service",'Arear Table Unprotected)'!T53=2020,S53=3),ROUND(V53/31*5,0),IF(AND('Basic Data Entry'!$C$10="state Service",'Arear Table Unprotected)'!T53=2020,S53=9),ROUND(Z53/30*2,0),IF(AND('Basic Data Entry'!$C$10="state Service",'Arear Table Unprotected)'!T53=2020,S53=10),ROUND(Z53/31*2,0),IF(AND('Basic Data Entry'!$C$10="subordinate",'Arear Table Unprotected)'!T53=2020,S53=3),ROUND(V53/31*3,0),IF(AND('Basic Data Entry'!$C$10="subordinate",'Arear Table Unprotected)'!T53=2020,S53=9),ROUND(Z53/30*1,0),IF(AND('Basic Data Entry'!$C$10="subordinate",'Arear Table Unprotected)'!T53=2020,S53=10),ROUND(Z53/31*1,0),IF(AND('Basic Data Entry'!$C$10="ministrial",'Arear Table Unprotected)'!T53=2020,S53=3),ROUND(V53/31*1,0),""))))))))</f>
        <v/>
      </c>
      <c r="AR53" s="107" t="str">
        <f t="array" ref="AR53">IF(OR(O53=0,O53=""),"",IF(AND('Basic Data Entry'!$C$10="state Service",'Arear Table Unprotected)'!T53=2020,S53=3),ROUND(AA53/31*5,0),IF(AND('Basic Data Entry'!$C$10="state Service",'Arear Table Unprotected)'!T53=2020,S53=9),ROUND(AE53/30*2,0),IF(AND('Basic Data Entry'!$C$10="state Service",'Arear Table Unprotected)'!T53=2020,S53=10),ROUND(AE53/31*2,0),IF(AND('Basic Data Entry'!$C$10="subordinate",'Arear Table Unprotected)'!T53=2020,S53=3),ROUND(AA53/31*3,0),IF(AND('Basic Data Entry'!$C$10="subordinate",'Arear Table Unprotected)'!T53=2020,S53=9),ROUND(AE53/30*1,0),IF(AND('Basic Data Entry'!$C$10="subordinate",'Arear Table Unprotected)'!T53=2020,S53=10),ROUND(AE53/31*1,0),IF(AND('Basic Data Entry'!$C$10="ministrial",'Arear Table Unprotected)'!T53=2020,S53=3),ROUND(AA53/31*1,0),""))))))))</f>
        <v/>
      </c>
      <c r="AS53" s="138" t="str">
        <f t="array" ref="AS53">IF(OR(O53=0,O53="",AQ53="",AR53=""),"",AQ53-AR53)</f>
        <v/>
      </c>
      <c r="AT53" s="44" t="str">
        <f t="array" ref="AT53">IF(OR(O52=0,O52=""),"",AT52)</f>
        <v/>
      </c>
      <c r="AU53" s="45" t="str">
        <f t="array" ref="AU53">IF(OR(O52=0,O52=""),"",AU52)</f>
        <v/>
      </c>
      <c r="AV53" s="139" t="str">
        <f t="array" ref="AV53">IF(OR(O53=0,O53=""),"",SUM(AT53-AU53))</f>
        <v/>
      </c>
      <c r="AW53" s="36" t="str">
        <f t="array" ref="AW53">IF(OR(O53=0,O53=""),"",ROUND((AJ53)*$E$3,0))</f>
        <v/>
      </c>
      <c r="AX53" s="36" t="str">
        <f t="array" ref="AX53">IF(OR(O53=0,O53=""),"",SUM(AM53,AP53,AS53,AV53,AW53))</f>
        <v/>
      </c>
      <c r="AY53" s="140" t="str">
        <f t="array" ref="AY53">IF(OR(O53=0,O53=""),"",AJ53-AX53)</f>
        <v/>
      </c>
      <c r="AZ53" s="46"/>
      <c r="BA53" s="24"/>
      <c r="BB53" s="24"/>
      <c r="BC53" s="11">
        <f t="shared" si="11"/>
        <v>0</v>
      </c>
      <c r="BD53" s="84">
        <f t="shared" si="12"/>
        <v>0</v>
      </c>
      <c r="BE53" s="84">
        <f t="shared" si="18"/>
        <v>0</v>
      </c>
      <c r="BI53" s="22">
        <f t="shared" si="19"/>
        <v>44706</v>
      </c>
      <c r="BK53" s="19">
        <f t="shared" si="13"/>
        <v>1</v>
      </c>
      <c r="BL53" s="20" t="str">
        <f t="array" ref="BL53">IF(OR(O53=0,O53=""),"",U53)</f>
        <v/>
      </c>
      <c r="BM53" s="19" t="str">
        <f t="array" ref="BM53">IF(OR(O53=0,O53=""),"",BK53+BL53)</f>
        <v/>
      </c>
      <c r="BN53" s="21">
        <f t="shared" si="14"/>
        <v>0</v>
      </c>
      <c r="BO53" s="21">
        <f t="shared" si="15"/>
        <v>0</v>
      </c>
      <c r="BP53" s="23">
        <f t="shared" si="16"/>
        <v>0</v>
      </c>
      <c r="BQ53" s="21" t="str">
        <f t="shared" si="17"/>
        <v>00</v>
      </c>
      <c r="BW53" s="81" t="str">
        <f>IF(OR(O53=0,O53=""),"",IF('Basic Data Entry'!$C$9="fixation","yes",""))</f>
        <v/>
      </c>
      <c r="BX53" s="81" t="str">
        <f>IF(OR(O53=0,O53=""),"",IF('Basic Data Entry'!$G$12="yes","yes","no"))</f>
        <v/>
      </c>
    </row>
    <row r="54" spans="1:76" ht="18" customHeight="1" thickBot="1">
      <c r="A54" s="10" t="str">
        <f t="shared" si="6"/>
        <v/>
      </c>
      <c r="B54" s="305"/>
      <c r="C54" s="305"/>
      <c r="D54" s="305"/>
      <c r="E54" s="305"/>
      <c r="F54" s="108" t="str">
        <f t="shared" si="1"/>
        <v/>
      </c>
      <c r="G54" s="227" t="str">
        <f t="shared" si="2"/>
        <v/>
      </c>
      <c r="H54" s="228" t="str">
        <f t="shared" si="3"/>
        <v/>
      </c>
      <c r="I54" s="228" t="str">
        <f>IF(OR($E$2="fixation",O54="",O54=0),"",IF(AND('Basic Data Entry'!$G$11="Z-Rural",'Arear Table Unprotected)'!T54&lt;2021),0.08,IF(AND('Basic Data Entry'!$G$11="Y-Urban",'Arear Table Unprotected)'!T54&lt;2021),0.16,IF(AND('Basic Data Entry'!$G$11="Z-Rural",'Arear Table Unprotected)'!T54=2021,S54&gt;=7),0.09,IF(AND('Basic Data Entry'!$G$11="Y-Urban",'Arear Table Unprotected)'!T54=2021,'Arear Table Unprotected)'!S54&gt;=7),0.18,IF(AND('Basic Data Entry'!$G$11="Z-Rural",'Arear Table Unprotected)'!T54=2021,S54&lt;7),0.08,IF(AND('Basic Data Entry'!$G$11="Y-Urban",'Arear Table Unprotected)'!T54=2021,'Arear Table Unprotected)'!S54&lt;7),0.16,IF(AND('Basic Data Entry'!$G$11="Z-Rural",'Arear Table Unprotected)'!T54=2022),0.09,IF(AND('Basic Data Entry'!$G$11="Y-Urban",'Arear Table Unprotected)'!T54=2022),0.18,IF(AND('Basic Data Entry'!$G$11="Z-Rural",'Arear Table Unprotected)'!T54=2023),0.09,IF(AND('Basic Data Entry'!$G$11="Y-Urban",'Arear Table Unprotected)'!T54=2023),0.18,"")))))))))))</f>
        <v/>
      </c>
      <c r="J54" s="229" t="str">
        <f>IF(OR(O54="",O54=0),"",IF(AND('Basic Data Entry'!$G$11="Z-Rural",'Arear Table Unprotected)'!T54&lt;2021),0.08,IF(AND('Basic Data Entry'!$G$11="Y-Urban",'Arear Table Unprotected)'!T54&lt;2021),0.16,IF(AND('Basic Data Entry'!$G$11="Z-Rural",'Arear Table Unprotected)'!T54=2021,S54&gt;=7),0.09,IF(AND('Basic Data Entry'!$G$11="Y-Urban",'Arear Table Unprotected)'!T54=2021,'Arear Table Unprotected)'!S54&gt;=7),0.18,IF(AND('Basic Data Entry'!$G$11="Z-Rural",'Arear Table Unprotected)'!T54=2021,S54&lt;7),0.08,IF(AND('Basic Data Entry'!$G$11="Y-Urban",'Arear Table Unprotected)'!T54=2021,'Arear Table Unprotected)'!S54&lt;7),0.16,IF(AND('Basic Data Entry'!$G$11="Z-Rural",'Arear Table Unprotected)'!T54=2022),0.09,IF(AND('Basic Data Entry'!$G$11="Y-Urban",'Arear Table Unprotected)'!T54=2022),0.18,IF(AND('Basic Data Entry'!$G$11="Z-Rural",'Arear Table Unprotected)'!T54=2023),0.09,IF(AND('Basic Data Entry'!$G$11="Y-Urban",'Arear Table Unprotected)'!T54=2023),0.18,"")))))))))))</f>
        <v/>
      </c>
      <c r="K54" s="230" t="str">
        <f t="shared" si="4"/>
        <v/>
      </c>
      <c r="L54" s="231" t="str">
        <f t="shared" si="5"/>
        <v/>
      </c>
      <c r="M54" s="232" t="str">
        <f t="shared" si="7"/>
        <v/>
      </c>
      <c r="N54" s="196">
        <v>42</v>
      </c>
      <c r="O54" s="327">
        <f t="shared" si="8"/>
        <v>0</v>
      </c>
      <c r="P54" s="328"/>
      <c r="Q54" s="328"/>
      <c r="R54" s="329"/>
      <c r="S54" s="161" t="str">
        <f t="array" ref="S54">IF(OR(O54=0,O54=""),"",MONTH(O54))</f>
        <v/>
      </c>
      <c r="T54" s="161" t="str">
        <f t="array" ref="T54">IF(OR(O54=0,O54=""),"",YEAR(O54))</f>
        <v/>
      </c>
      <c r="U54" s="161" t="str">
        <f t="shared" si="9"/>
        <v/>
      </c>
      <c r="V54" s="6" t="str">
        <f t="array" ref="V54">IF(OR(O54=0,O54=""),"",BE54)</f>
        <v/>
      </c>
      <c r="W54" s="18" t="str">
        <f t="array" ref="W54">IF(OR(O54=0,O54=""),"",ROUND(V54*H54,0))</f>
        <v/>
      </c>
      <c r="X54" s="18">
        <f t="shared" si="10"/>
        <v>0</v>
      </c>
      <c r="Y54" s="18" t="str">
        <f t="array" ref="Y54">IF(OR(O54=0,O54=""),"",ROUND(V54*J54,0))</f>
        <v/>
      </c>
      <c r="Z54" s="135" t="str">
        <f t="array" ref="Z54">IF(OR(O54=0,O54=""),"",SUM(V54:Y54))</f>
        <v/>
      </c>
      <c r="AA54" s="1" t="str">
        <f t="array" ref="AA54">IF(OR(O54=0,O54=""),"",IF(V54=0,0,IF($E$2="FIXATION",$B$5,IF(V54=0,0,IF(BD54=7,ROUND(AA53*1.03,-2),AA53)))))</f>
        <v/>
      </c>
      <c r="AB54" s="2" t="str">
        <f t="array" ref="AB54">IF(OR(O54=0,O54=""),"",IF($E$2="fixation",0,ROUND(AA54*G54,0)))</f>
        <v/>
      </c>
      <c r="AC54" s="18" t="str">
        <f t="array" ref="AC54">IF(OR(O54=0,O54=""),"",AC53)</f>
        <v/>
      </c>
      <c r="AD54" s="2" t="str">
        <f t="array" ref="AD54">IF(OR(O54=0,O54=""),"",IF($E$2="fixation",0,ROUND(AA54*I54,0)))</f>
        <v/>
      </c>
      <c r="AE54" s="135" t="str">
        <f t="array" ref="AE54">IF(OR(O54=0,O54=""),"",SUM(AA54:AD54))</f>
        <v/>
      </c>
      <c r="AF54" s="1" t="str">
        <f t="array" ref="AF54">IF(OR(O54=0,O54=""),"",V54-AA54)</f>
        <v/>
      </c>
      <c r="AG54" s="2" t="str">
        <f t="array" ref="AG54">IF(OR(O54=0,O54=""),"",W54-AB54)</f>
        <v/>
      </c>
      <c r="AH54" s="2" t="str">
        <f t="array" ref="AH54">IF(OR(O54=0,O54=""),"",X54-AC54)</f>
        <v/>
      </c>
      <c r="AI54" s="2" t="str">
        <f t="array" ref="AI54">IF(OR(O54=0,O54=""),"",Y54-AD54)</f>
        <v/>
      </c>
      <c r="AJ54" s="136" t="str">
        <f t="array" ref="AJ54">IF(OR(O54=0,O54=""),"",Z54-AE54)</f>
        <v/>
      </c>
      <c r="AK54" s="4" t="str">
        <f t="array" ref="AK54">IF(OR(O54=0,O54=""),"",IF(M54="",$AZ$2,$AZ$2+M54))</f>
        <v/>
      </c>
      <c r="AL54" s="3" t="str">
        <f t="array" ref="AL54">IF(OR(O54=0,O54=""),"",$AQ$2)</f>
        <v/>
      </c>
      <c r="AM54" s="137" t="str">
        <f t="array" ref="AM54">IF(OR(O54=0,O54=""),"",AK54-AL54)</f>
        <v/>
      </c>
      <c r="AN54" s="3" t="str">
        <f t="array" ref="AN54">IF(OR(O53=0,O53="",AN53="",AN53=""),"",AN53)</f>
        <v/>
      </c>
      <c r="AO54" s="2" t="str">
        <f t="array" ref="AO54">IF(OR(O53=0,O53="",AO53="",AO53=""),"",AO53)</f>
        <v/>
      </c>
      <c r="AP54" s="137" t="str">
        <f t="array" ref="AP54">IF(OR(O54=0,O54=""),"",SUM(AN54-AO54))</f>
        <v/>
      </c>
      <c r="AQ54" s="106" t="str">
        <f t="array" ref="AQ54">IF(OR(O54=0,O54=""),"",IF(AND('Basic Data Entry'!$C$10="state Service",'Arear Table Unprotected)'!T54=2020,S54=3),ROUND(V54/31*5,0),IF(AND('Basic Data Entry'!$C$10="state Service",'Arear Table Unprotected)'!T54=2020,S54=9),ROUND(Z54/30*2,0),IF(AND('Basic Data Entry'!$C$10="state Service",'Arear Table Unprotected)'!T54=2020,S54=10),ROUND(Z54/31*2,0),IF(AND('Basic Data Entry'!$C$10="subordinate",'Arear Table Unprotected)'!T54=2020,S54=3),ROUND(V54/31*3,0),IF(AND('Basic Data Entry'!$C$10="subordinate",'Arear Table Unprotected)'!T54=2020,S54=9),ROUND(Z54/30*1,0),IF(AND('Basic Data Entry'!$C$10="subordinate",'Arear Table Unprotected)'!T54=2020,S54=10),ROUND(Z54/31*1,0),IF(AND('Basic Data Entry'!$C$10="ministrial",'Arear Table Unprotected)'!T54=2020,S54=3),ROUND(V54/31*1,0),""))))))))</f>
        <v/>
      </c>
      <c r="AR54" s="107" t="str">
        <f t="array" ref="AR54">IF(OR(O54=0,O54=""),"",IF(AND('Basic Data Entry'!$C$10="state Service",'Arear Table Unprotected)'!T54=2020,S54=3),ROUND(AA54/31*5,0),IF(AND('Basic Data Entry'!$C$10="state Service",'Arear Table Unprotected)'!T54=2020,S54=9),ROUND(AE54/30*2,0),IF(AND('Basic Data Entry'!$C$10="state Service",'Arear Table Unprotected)'!T54=2020,S54=10),ROUND(AE54/31*2,0),IF(AND('Basic Data Entry'!$C$10="subordinate",'Arear Table Unprotected)'!T54=2020,S54=3),ROUND(AA54/31*3,0),IF(AND('Basic Data Entry'!$C$10="subordinate",'Arear Table Unprotected)'!T54=2020,S54=9),ROUND(AE54/30*1,0),IF(AND('Basic Data Entry'!$C$10="subordinate",'Arear Table Unprotected)'!T54=2020,S54=10),ROUND(AE54/31*1,0),IF(AND('Basic Data Entry'!$C$10="ministrial",'Arear Table Unprotected)'!T54=2020,S54=3),ROUND(AA54/31*1,0),""))))))))</f>
        <v/>
      </c>
      <c r="AS54" s="138" t="str">
        <f t="array" ref="AS54">IF(OR(O54=0,O54="",AQ54="",AR54=""),"",AQ54-AR54)</f>
        <v/>
      </c>
      <c r="AT54" s="44" t="str">
        <f t="array" ref="AT54">IF(OR(O53=0,O53=""),"",AT53)</f>
        <v/>
      </c>
      <c r="AU54" s="45" t="str">
        <f t="array" ref="AU54">IF(OR(O53=0,O53=""),"",AU53)</f>
        <v/>
      </c>
      <c r="AV54" s="139" t="str">
        <f t="array" ref="AV54">IF(OR(O54=0,O54=""),"",SUM(AT54-AU54))</f>
        <v/>
      </c>
      <c r="AW54" s="36" t="str">
        <f t="array" ref="AW54">IF(OR(O54=0,O54=""),"",ROUND((AJ54)*$E$3,0))</f>
        <v/>
      </c>
      <c r="AX54" s="36" t="str">
        <f t="array" ref="AX54">IF(OR(O54=0,O54=""),"",SUM(AM54,AP54,AS54,AV54,AW54))</f>
        <v/>
      </c>
      <c r="AY54" s="140" t="str">
        <f t="array" ref="AY54">IF(OR(O54=0,O54=""),"",AJ54-AX54)</f>
        <v/>
      </c>
      <c r="AZ54" s="46"/>
      <c r="BA54" s="24"/>
      <c r="BB54" s="24"/>
      <c r="BC54" s="11">
        <f t="shared" si="11"/>
        <v>0</v>
      </c>
      <c r="BD54" s="84">
        <f t="shared" si="12"/>
        <v>0</v>
      </c>
      <c r="BE54" s="84">
        <f t="shared" si="18"/>
        <v>0</v>
      </c>
      <c r="BI54" s="22">
        <f t="shared" si="19"/>
        <v>44737</v>
      </c>
      <c r="BK54" s="19">
        <f t="shared" si="13"/>
        <v>1</v>
      </c>
      <c r="BL54" s="20" t="str">
        <f t="array" ref="BL54">IF(OR(O54=0,O54=""),"",U54)</f>
        <v/>
      </c>
      <c r="BM54" s="19" t="str">
        <f t="array" ref="BM54">IF(OR(O54=0,O54=""),"",BK54+BL54)</f>
        <v/>
      </c>
      <c r="BN54" s="21">
        <f t="shared" si="14"/>
        <v>0</v>
      </c>
      <c r="BO54" s="21">
        <f t="shared" si="15"/>
        <v>0</v>
      </c>
      <c r="BP54" s="23">
        <f t="shared" si="16"/>
        <v>0</v>
      </c>
      <c r="BQ54" s="21" t="str">
        <f t="shared" si="17"/>
        <v>00</v>
      </c>
      <c r="BW54" s="81" t="str">
        <f>IF(OR(O54=0,O54=""),"",IF('Basic Data Entry'!$C$9="fixation","yes",""))</f>
        <v/>
      </c>
      <c r="BX54" s="81" t="str">
        <f>IF(OR(O54=0,O54=""),"",IF('Basic Data Entry'!$G$12="yes","yes","no"))</f>
        <v/>
      </c>
    </row>
    <row r="55" spans="1:76" ht="18" customHeight="1" thickBot="1">
      <c r="A55" s="10" t="str">
        <f t="shared" si="6"/>
        <v/>
      </c>
      <c r="B55" s="305"/>
      <c r="C55" s="305"/>
      <c r="D55" s="305"/>
      <c r="E55" s="305"/>
      <c r="F55" s="108" t="str">
        <f t="shared" si="1"/>
        <v/>
      </c>
      <c r="G55" s="227" t="str">
        <f t="shared" si="2"/>
        <v/>
      </c>
      <c r="H55" s="228" t="str">
        <f t="shared" si="3"/>
        <v/>
      </c>
      <c r="I55" s="228" t="str">
        <f>IF(OR($E$2="fixation",O55="",O55=0),"",IF(AND('Basic Data Entry'!$G$11="Z-Rural",'Arear Table Unprotected)'!T55&lt;2021),0.08,IF(AND('Basic Data Entry'!$G$11="Y-Urban",'Arear Table Unprotected)'!T55&lt;2021),0.16,IF(AND('Basic Data Entry'!$G$11="Z-Rural",'Arear Table Unprotected)'!T55=2021,S55&gt;=7),0.09,IF(AND('Basic Data Entry'!$G$11="Y-Urban",'Arear Table Unprotected)'!T55=2021,'Arear Table Unprotected)'!S55&gt;=7),0.18,IF(AND('Basic Data Entry'!$G$11="Z-Rural",'Arear Table Unprotected)'!T55=2021,S55&lt;7),0.08,IF(AND('Basic Data Entry'!$G$11="Y-Urban",'Arear Table Unprotected)'!T55=2021,'Arear Table Unprotected)'!S55&lt;7),0.16,IF(AND('Basic Data Entry'!$G$11="Z-Rural",'Arear Table Unprotected)'!T55=2022),0.09,IF(AND('Basic Data Entry'!$G$11="Y-Urban",'Arear Table Unprotected)'!T55=2022),0.18,IF(AND('Basic Data Entry'!$G$11="Z-Rural",'Arear Table Unprotected)'!T55=2023),0.09,IF(AND('Basic Data Entry'!$G$11="Y-Urban",'Arear Table Unprotected)'!T55=2023),0.18,"")))))))))))</f>
        <v/>
      </c>
      <c r="J55" s="229" t="str">
        <f>IF(OR(O55="",O55=0),"",IF(AND('Basic Data Entry'!$G$11="Z-Rural",'Arear Table Unprotected)'!T55&lt;2021),0.08,IF(AND('Basic Data Entry'!$G$11="Y-Urban",'Arear Table Unprotected)'!T55&lt;2021),0.16,IF(AND('Basic Data Entry'!$G$11="Z-Rural",'Arear Table Unprotected)'!T55=2021,S55&gt;=7),0.09,IF(AND('Basic Data Entry'!$G$11="Y-Urban",'Arear Table Unprotected)'!T55=2021,'Arear Table Unprotected)'!S55&gt;=7),0.18,IF(AND('Basic Data Entry'!$G$11="Z-Rural",'Arear Table Unprotected)'!T55=2021,S55&lt;7),0.08,IF(AND('Basic Data Entry'!$G$11="Y-Urban",'Arear Table Unprotected)'!T55=2021,'Arear Table Unprotected)'!S55&lt;7),0.16,IF(AND('Basic Data Entry'!$G$11="Z-Rural",'Arear Table Unprotected)'!T55=2022),0.09,IF(AND('Basic Data Entry'!$G$11="Y-Urban",'Arear Table Unprotected)'!T55=2022),0.18,IF(AND('Basic Data Entry'!$G$11="Z-Rural",'Arear Table Unprotected)'!T55=2023),0.09,IF(AND('Basic Data Entry'!$G$11="Y-Urban",'Arear Table Unprotected)'!T55=2023),0.18,"")))))))))))</f>
        <v/>
      </c>
      <c r="K55" s="230" t="str">
        <f t="shared" si="4"/>
        <v/>
      </c>
      <c r="L55" s="231" t="str">
        <f t="shared" si="5"/>
        <v/>
      </c>
      <c r="M55" s="232" t="str">
        <f t="shared" si="7"/>
        <v/>
      </c>
      <c r="N55" s="196">
        <v>43</v>
      </c>
      <c r="O55" s="327">
        <f t="shared" si="8"/>
        <v>0</v>
      </c>
      <c r="P55" s="328"/>
      <c r="Q55" s="328"/>
      <c r="R55" s="329"/>
      <c r="S55" s="161" t="str">
        <f t="array" ref="S55">IF(OR(O55=0,O55=""),"",MONTH(O55))</f>
        <v/>
      </c>
      <c r="T55" s="161" t="str">
        <f t="array" ref="T55">IF(OR(O55=0,O55=""),"",YEAR(O55))</f>
        <v/>
      </c>
      <c r="U55" s="161" t="str">
        <f t="shared" si="9"/>
        <v/>
      </c>
      <c r="V55" s="6" t="str">
        <f t="array" ref="V55">IF(OR(O55=0,O55=""),"",BE55)</f>
        <v/>
      </c>
      <c r="W55" s="18" t="str">
        <f t="array" ref="W55">IF(OR(O55=0,O55=""),"",ROUND(V55*H55,0))</f>
        <v/>
      </c>
      <c r="X55" s="18">
        <f t="shared" si="10"/>
        <v>0</v>
      </c>
      <c r="Y55" s="18" t="str">
        <f t="array" ref="Y55">IF(OR(O55=0,O55=""),"",ROUND(V55*J55,0))</f>
        <v/>
      </c>
      <c r="Z55" s="135" t="str">
        <f t="array" ref="Z55">IF(OR(O55=0,O55=""),"",SUM(V55:Y55))</f>
        <v/>
      </c>
      <c r="AA55" s="1" t="str">
        <f t="array" ref="AA55">IF(OR(O55=0,O55=""),"",IF(V55=0,0,IF($E$2="FIXATION",$B$5,IF(V55=0,0,IF(BD55=7,ROUND(AA54*1.03,-2),AA54)))))</f>
        <v/>
      </c>
      <c r="AB55" s="2" t="str">
        <f t="array" ref="AB55">IF(OR(O55=0,O55=""),"",IF($E$2="fixation",0,ROUND(AA55*G55,0)))</f>
        <v/>
      </c>
      <c r="AC55" s="18" t="str">
        <f t="array" ref="AC55">IF(OR(O55=0,O55=""),"",AC54)</f>
        <v/>
      </c>
      <c r="AD55" s="2" t="str">
        <f t="array" ref="AD55">IF(OR(O55=0,O55=""),"",IF($E$2="fixation",0,ROUND(AA55*I55,0)))</f>
        <v/>
      </c>
      <c r="AE55" s="135" t="str">
        <f t="array" ref="AE55">IF(OR(O55=0,O55=""),"",SUM(AA55:AD55))</f>
        <v/>
      </c>
      <c r="AF55" s="1" t="str">
        <f t="array" ref="AF55">IF(OR(O55=0,O55=""),"",V55-AA55)</f>
        <v/>
      </c>
      <c r="AG55" s="2" t="str">
        <f t="array" ref="AG55">IF(OR(O55=0,O55=""),"",W55-AB55)</f>
        <v/>
      </c>
      <c r="AH55" s="2" t="str">
        <f t="array" ref="AH55">IF(OR(O55=0,O55=""),"",X55-AC55)</f>
        <v/>
      </c>
      <c r="AI55" s="2" t="str">
        <f t="array" ref="AI55">IF(OR(O55=0,O55=""),"",Y55-AD55)</f>
        <v/>
      </c>
      <c r="AJ55" s="136" t="str">
        <f t="array" ref="AJ55">IF(OR(O55=0,O55=""),"",Z55-AE55)</f>
        <v/>
      </c>
      <c r="AK55" s="4" t="str">
        <f t="array" ref="AK55">IF(OR(O55=0,O55=""),"",IF(M55="",$AZ$2,$AZ$2+M55))</f>
        <v/>
      </c>
      <c r="AL55" s="3" t="str">
        <f t="array" ref="AL55">IF(OR(O55=0,O55=""),"",$AQ$2)</f>
        <v/>
      </c>
      <c r="AM55" s="137" t="str">
        <f t="array" ref="AM55">IF(OR(O55=0,O55=""),"",AK55-AL55)</f>
        <v/>
      </c>
      <c r="AN55" s="3" t="str">
        <f t="array" ref="AN55">IF(OR(O54=0,O54="",AN54="",AN54=""),"",AN54)</f>
        <v/>
      </c>
      <c r="AO55" s="2" t="str">
        <f t="array" ref="AO55">IF(OR(O54=0,O54="",AO54="",AO54=""),"",AO54)</f>
        <v/>
      </c>
      <c r="AP55" s="137" t="str">
        <f t="array" ref="AP55">IF(OR(O55=0,O55=""),"",SUM(AN55-AO55))</f>
        <v/>
      </c>
      <c r="AQ55" s="106" t="str">
        <f t="array" ref="AQ55">IF(OR(O55=0,O55=""),"",IF(AND('Basic Data Entry'!$C$10="state Service",'Arear Table Unprotected)'!T55=2020,S55=3),ROUND(V55/31*5,0),IF(AND('Basic Data Entry'!$C$10="state Service",'Arear Table Unprotected)'!T55=2020,S55=9),ROUND(Z55/30*2,0),IF(AND('Basic Data Entry'!$C$10="state Service",'Arear Table Unprotected)'!T55=2020,S55=10),ROUND(Z55/31*2,0),IF(AND('Basic Data Entry'!$C$10="subordinate",'Arear Table Unprotected)'!T55=2020,S55=3),ROUND(V55/31*3,0),IF(AND('Basic Data Entry'!$C$10="subordinate",'Arear Table Unprotected)'!T55=2020,S55=9),ROUND(Z55/30*1,0),IF(AND('Basic Data Entry'!$C$10="subordinate",'Arear Table Unprotected)'!T55=2020,S55=10),ROUND(Z55/31*1,0),IF(AND('Basic Data Entry'!$C$10="ministrial",'Arear Table Unprotected)'!T55=2020,S55=3),ROUND(V55/31*1,0),""))))))))</f>
        <v/>
      </c>
      <c r="AR55" s="107" t="str">
        <f t="array" ref="AR55">IF(OR(O55=0,O55=""),"",IF(AND('Basic Data Entry'!$C$10="state Service",'Arear Table Unprotected)'!T55=2020,S55=3),ROUND(AA55/31*5,0),IF(AND('Basic Data Entry'!$C$10="state Service",'Arear Table Unprotected)'!T55=2020,S55=9),ROUND(AE55/30*2,0),IF(AND('Basic Data Entry'!$C$10="state Service",'Arear Table Unprotected)'!T55=2020,S55=10),ROUND(AE55/31*2,0),IF(AND('Basic Data Entry'!$C$10="subordinate",'Arear Table Unprotected)'!T55=2020,S55=3),ROUND(AA55/31*3,0),IF(AND('Basic Data Entry'!$C$10="subordinate",'Arear Table Unprotected)'!T55=2020,S55=9),ROUND(AE55/30*1,0),IF(AND('Basic Data Entry'!$C$10="subordinate",'Arear Table Unprotected)'!T55=2020,S55=10),ROUND(AE55/31*1,0),IF(AND('Basic Data Entry'!$C$10="ministrial",'Arear Table Unprotected)'!T55=2020,S55=3),ROUND(AA55/31*1,0),""))))))))</f>
        <v/>
      </c>
      <c r="AS55" s="138" t="str">
        <f t="array" ref="AS55">IF(OR(O55=0,O55="",AQ55="",AR55=""),"",AQ55-AR55)</f>
        <v/>
      </c>
      <c r="AT55" s="44" t="str">
        <f t="array" ref="AT55">IF(OR(O54=0,O54=""),"",AT54)</f>
        <v/>
      </c>
      <c r="AU55" s="45" t="str">
        <f t="array" ref="AU55">IF(OR(O54=0,O54=""),"",AU54)</f>
        <v/>
      </c>
      <c r="AV55" s="139" t="str">
        <f t="array" ref="AV55">IF(OR(O55=0,O55=""),"",SUM(AT55-AU55))</f>
        <v/>
      </c>
      <c r="AW55" s="36" t="str">
        <f t="array" ref="AW55">IF(OR(O55=0,O55=""),"",ROUND((AJ55)*$E$3,0))</f>
        <v/>
      </c>
      <c r="AX55" s="36" t="str">
        <f t="array" ref="AX55">IF(OR(O55=0,O55=""),"",SUM(AM55,AP55,AS55,AV55,AW55))</f>
        <v/>
      </c>
      <c r="AY55" s="140" t="str">
        <f t="array" ref="AY55">IF(OR(O55=0,O55=""),"",AJ55-AX55)</f>
        <v/>
      </c>
      <c r="AZ55" s="46"/>
      <c r="BA55" s="24"/>
      <c r="BB55" s="24"/>
      <c r="BC55" s="11">
        <f t="shared" si="11"/>
        <v>0</v>
      </c>
      <c r="BD55" s="84">
        <f t="shared" si="12"/>
        <v>0</v>
      </c>
      <c r="BE55" s="84">
        <f t="shared" si="18"/>
        <v>0</v>
      </c>
      <c r="BI55" s="22">
        <f t="shared" si="19"/>
        <v>44768</v>
      </c>
      <c r="BK55" s="19">
        <f t="shared" si="13"/>
        <v>1</v>
      </c>
      <c r="BL55" s="20" t="str">
        <f t="array" ref="BL55">IF(OR(O55=0,O55=""),"",U55)</f>
        <v/>
      </c>
      <c r="BM55" s="19" t="str">
        <f t="array" ref="BM55">IF(OR(O55=0,O55=""),"",BK55+BL55)</f>
        <v/>
      </c>
      <c r="BN55" s="21">
        <f t="shared" si="14"/>
        <v>0</v>
      </c>
      <c r="BO55" s="21">
        <f t="shared" si="15"/>
        <v>0</v>
      </c>
      <c r="BP55" s="23">
        <f t="shared" si="16"/>
        <v>0</v>
      </c>
      <c r="BQ55" s="21" t="str">
        <f t="shared" si="17"/>
        <v>00</v>
      </c>
      <c r="BW55" s="81" t="str">
        <f>IF(OR(O55=0,O55=""),"",IF('Basic Data Entry'!$C$9="fixation","yes",""))</f>
        <v/>
      </c>
      <c r="BX55" s="81" t="str">
        <f>IF(OR(O55=0,O55=""),"",IF('Basic Data Entry'!$G$12="yes","yes","no"))</f>
        <v/>
      </c>
    </row>
    <row r="56" spans="1:76" ht="18" customHeight="1" thickBot="1">
      <c r="A56" s="10" t="str">
        <f t="shared" si="6"/>
        <v/>
      </c>
      <c r="B56" s="305"/>
      <c r="C56" s="305"/>
      <c r="D56" s="305"/>
      <c r="E56" s="305"/>
      <c r="F56" s="108" t="str">
        <f t="shared" si="1"/>
        <v/>
      </c>
      <c r="G56" s="227" t="str">
        <f t="shared" si="2"/>
        <v/>
      </c>
      <c r="H56" s="228" t="str">
        <f t="shared" si="3"/>
        <v/>
      </c>
      <c r="I56" s="228" t="str">
        <f>IF(OR($E$2="fixation",O56="",O56=0),"",IF(AND('Basic Data Entry'!$G$11="Z-Rural",'Arear Table Unprotected)'!T56&lt;2021),0.08,IF(AND('Basic Data Entry'!$G$11="Y-Urban",'Arear Table Unprotected)'!T56&lt;2021),0.16,IF(AND('Basic Data Entry'!$G$11="Z-Rural",'Arear Table Unprotected)'!T56=2021,S56&gt;=7),0.09,IF(AND('Basic Data Entry'!$G$11="Y-Urban",'Arear Table Unprotected)'!T56=2021,'Arear Table Unprotected)'!S56&gt;=7),0.18,IF(AND('Basic Data Entry'!$G$11="Z-Rural",'Arear Table Unprotected)'!T56=2021,S56&lt;7),0.08,IF(AND('Basic Data Entry'!$G$11="Y-Urban",'Arear Table Unprotected)'!T56=2021,'Arear Table Unprotected)'!S56&lt;7),0.16,IF(AND('Basic Data Entry'!$G$11="Z-Rural",'Arear Table Unprotected)'!T56=2022),0.09,IF(AND('Basic Data Entry'!$G$11="Y-Urban",'Arear Table Unprotected)'!T56=2022),0.18,IF(AND('Basic Data Entry'!$G$11="Z-Rural",'Arear Table Unprotected)'!T56=2023),0.09,IF(AND('Basic Data Entry'!$G$11="Y-Urban",'Arear Table Unprotected)'!T56=2023),0.18,"")))))))))))</f>
        <v/>
      </c>
      <c r="J56" s="229" t="str">
        <f>IF(OR(O56="",O56=0),"",IF(AND('Basic Data Entry'!$G$11="Z-Rural",'Arear Table Unprotected)'!T56&lt;2021),0.08,IF(AND('Basic Data Entry'!$G$11="Y-Urban",'Arear Table Unprotected)'!T56&lt;2021),0.16,IF(AND('Basic Data Entry'!$G$11="Z-Rural",'Arear Table Unprotected)'!T56=2021,S56&gt;=7),0.09,IF(AND('Basic Data Entry'!$G$11="Y-Urban",'Arear Table Unprotected)'!T56=2021,'Arear Table Unprotected)'!S56&gt;=7),0.18,IF(AND('Basic Data Entry'!$G$11="Z-Rural",'Arear Table Unprotected)'!T56=2021,S56&lt;7),0.08,IF(AND('Basic Data Entry'!$G$11="Y-Urban",'Arear Table Unprotected)'!T56=2021,'Arear Table Unprotected)'!S56&lt;7),0.16,IF(AND('Basic Data Entry'!$G$11="Z-Rural",'Arear Table Unprotected)'!T56=2022),0.09,IF(AND('Basic Data Entry'!$G$11="Y-Urban",'Arear Table Unprotected)'!T56=2022),0.18,IF(AND('Basic Data Entry'!$G$11="Z-Rural",'Arear Table Unprotected)'!T56=2023),0.09,IF(AND('Basic Data Entry'!$G$11="Y-Urban",'Arear Table Unprotected)'!T56=2023),0.18,"")))))))))))</f>
        <v/>
      </c>
      <c r="K56" s="230" t="str">
        <f t="shared" si="4"/>
        <v/>
      </c>
      <c r="L56" s="231" t="str">
        <f t="shared" si="5"/>
        <v/>
      </c>
      <c r="M56" s="232" t="str">
        <f t="shared" si="7"/>
        <v/>
      </c>
      <c r="N56" s="196">
        <v>44</v>
      </c>
      <c r="O56" s="327">
        <f t="shared" si="8"/>
        <v>0</v>
      </c>
      <c r="P56" s="328"/>
      <c r="Q56" s="328"/>
      <c r="R56" s="329"/>
      <c r="S56" s="161" t="str">
        <f t="array" ref="S56">IF(OR(O56=0,O56=""),"",MONTH(O56))</f>
        <v/>
      </c>
      <c r="T56" s="161" t="str">
        <f t="array" ref="T56">IF(OR(O56=0,O56=""),"",YEAR(O56))</f>
        <v/>
      </c>
      <c r="U56" s="161" t="str">
        <f t="shared" si="9"/>
        <v/>
      </c>
      <c r="V56" s="6" t="str">
        <f t="array" ref="V56">IF(OR(O56=0,O56=""),"",BE56)</f>
        <v/>
      </c>
      <c r="W56" s="18" t="str">
        <f t="array" ref="W56">IF(OR(O56=0,O56=""),"",ROUND(V56*H56,0))</f>
        <v/>
      </c>
      <c r="X56" s="18">
        <f t="shared" si="10"/>
        <v>0</v>
      </c>
      <c r="Y56" s="18" t="str">
        <f t="array" ref="Y56">IF(OR(O56=0,O56=""),"",ROUND(V56*J56,0))</f>
        <v/>
      </c>
      <c r="Z56" s="135" t="str">
        <f t="array" ref="Z56">IF(OR(O56=0,O56=""),"",SUM(V56:Y56))</f>
        <v/>
      </c>
      <c r="AA56" s="1" t="str">
        <f t="array" ref="AA56">IF(OR(O56=0,O56=""),"",IF(V56=0,0,IF($E$2="FIXATION",$B$5,IF(V56=0,0,IF(BD56=7,ROUND(AA55*1.03,-2),AA55)))))</f>
        <v/>
      </c>
      <c r="AB56" s="2" t="str">
        <f t="array" ref="AB56">IF(OR(O56=0,O56=""),"",IF($E$2="fixation",0,ROUND(AA56*G56,0)))</f>
        <v/>
      </c>
      <c r="AC56" s="18" t="str">
        <f t="array" ref="AC56">IF(OR(O56=0,O56=""),"",AC55)</f>
        <v/>
      </c>
      <c r="AD56" s="2" t="str">
        <f t="array" ref="AD56">IF(OR(O56=0,O56=""),"",IF($E$2="fixation",0,ROUND(AA56*I56,0)))</f>
        <v/>
      </c>
      <c r="AE56" s="135" t="str">
        <f t="array" ref="AE56">IF(OR(O56=0,O56=""),"",SUM(AA56:AD56))</f>
        <v/>
      </c>
      <c r="AF56" s="1" t="str">
        <f t="array" ref="AF56">IF(OR(O56=0,O56=""),"",V56-AA56)</f>
        <v/>
      </c>
      <c r="AG56" s="2" t="str">
        <f t="array" ref="AG56">IF(OR(O56=0,O56=""),"",W56-AB56)</f>
        <v/>
      </c>
      <c r="AH56" s="2" t="str">
        <f t="array" ref="AH56">IF(OR(O56=0,O56=""),"",X56-AC56)</f>
        <v/>
      </c>
      <c r="AI56" s="2" t="str">
        <f t="array" ref="AI56">IF(OR(O56=0,O56=""),"",Y56-AD56)</f>
        <v/>
      </c>
      <c r="AJ56" s="136" t="str">
        <f t="array" ref="AJ56">IF(OR(O56=0,O56=""),"",Z56-AE56)</f>
        <v/>
      </c>
      <c r="AK56" s="4" t="str">
        <f t="array" ref="AK56">IF(OR(O56=0,O56=""),"",IF(M56="",$AZ$2,$AZ$2+M56))</f>
        <v/>
      </c>
      <c r="AL56" s="3" t="str">
        <f t="array" ref="AL56">IF(OR(O56=0,O56=""),"",$AQ$2)</f>
        <v/>
      </c>
      <c r="AM56" s="137" t="str">
        <f t="array" ref="AM56">IF(OR(O56=0,O56=""),"",AK56-AL56)</f>
        <v/>
      </c>
      <c r="AN56" s="3" t="str">
        <f t="array" ref="AN56">IF(OR(O55=0,O55="",AN55="",AN55=""),"",AN55)</f>
        <v/>
      </c>
      <c r="AO56" s="2" t="str">
        <f t="array" ref="AO56">IF(OR(O55=0,O55="",AO55="",AO55=""),"",AO55)</f>
        <v/>
      </c>
      <c r="AP56" s="137" t="str">
        <f t="array" ref="AP56">IF(OR(O56=0,O56=""),"",SUM(AN56-AO56))</f>
        <v/>
      </c>
      <c r="AQ56" s="106" t="str">
        <f t="array" ref="AQ56">IF(OR(O56=0,O56=""),"",IF(AND('Basic Data Entry'!$C$10="state Service",'Arear Table Unprotected)'!T56=2020,S56=3),ROUND(V56/31*5,0),IF(AND('Basic Data Entry'!$C$10="state Service",'Arear Table Unprotected)'!T56=2020,S56=9),ROUND(Z56/30*2,0),IF(AND('Basic Data Entry'!$C$10="state Service",'Arear Table Unprotected)'!T56=2020,S56=10),ROUND(Z56/31*2,0),IF(AND('Basic Data Entry'!$C$10="subordinate",'Arear Table Unprotected)'!T56=2020,S56=3),ROUND(V56/31*3,0),IF(AND('Basic Data Entry'!$C$10="subordinate",'Arear Table Unprotected)'!T56=2020,S56=9),ROUND(Z56/30*1,0),IF(AND('Basic Data Entry'!$C$10="subordinate",'Arear Table Unprotected)'!T56=2020,S56=10),ROUND(Z56/31*1,0),IF(AND('Basic Data Entry'!$C$10="ministrial",'Arear Table Unprotected)'!T56=2020,S56=3),ROUND(V56/31*1,0),""))))))))</f>
        <v/>
      </c>
      <c r="AR56" s="107" t="str">
        <f t="array" ref="AR56">IF(OR(O56=0,O56=""),"",IF(AND('Basic Data Entry'!$C$10="state Service",'Arear Table Unprotected)'!T56=2020,S56=3),ROUND(AA56/31*5,0),IF(AND('Basic Data Entry'!$C$10="state Service",'Arear Table Unprotected)'!T56=2020,S56=9),ROUND(AE56/30*2,0),IF(AND('Basic Data Entry'!$C$10="state Service",'Arear Table Unprotected)'!T56=2020,S56=10),ROUND(AE56/31*2,0),IF(AND('Basic Data Entry'!$C$10="subordinate",'Arear Table Unprotected)'!T56=2020,S56=3),ROUND(AA56/31*3,0),IF(AND('Basic Data Entry'!$C$10="subordinate",'Arear Table Unprotected)'!T56=2020,S56=9),ROUND(AE56/30*1,0),IF(AND('Basic Data Entry'!$C$10="subordinate",'Arear Table Unprotected)'!T56=2020,S56=10),ROUND(AE56/31*1,0),IF(AND('Basic Data Entry'!$C$10="ministrial",'Arear Table Unprotected)'!T56=2020,S56=3),ROUND(AA56/31*1,0),""))))))))</f>
        <v/>
      </c>
      <c r="AS56" s="138" t="str">
        <f t="array" ref="AS56">IF(OR(O56=0,O56="",AQ56="",AR56=""),"",AQ56-AR56)</f>
        <v/>
      </c>
      <c r="AT56" s="44" t="str">
        <f t="array" ref="AT56">IF(OR(O55=0,O55=""),"",AT55)</f>
        <v/>
      </c>
      <c r="AU56" s="45" t="str">
        <f t="array" ref="AU56">IF(OR(O55=0,O55=""),"",AU55)</f>
        <v/>
      </c>
      <c r="AV56" s="139" t="str">
        <f t="array" ref="AV56">IF(OR(O56=0,O56=""),"",SUM(AT56-AU56))</f>
        <v/>
      </c>
      <c r="AW56" s="36" t="str">
        <f t="array" ref="AW56">IF(OR(O56=0,O56=""),"",ROUND((AJ56)*$E$3,0))</f>
        <v/>
      </c>
      <c r="AX56" s="36" t="str">
        <f t="array" ref="AX56">IF(OR(O56=0,O56=""),"",SUM(AM56,AP56,AS56,AV56,AW56))</f>
        <v/>
      </c>
      <c r="AY56" s="140" t="str">
        <f t="array" ref="AY56">IF(OR(O56=0,O56=""),"",AJ56-AX56)</f>
        <v/>
      </c>
      <c r="AZ56" s="46"/>
      <c r="BA56" s="24"/>
      <c r="BB56" s="24"/>
      <c r="BC56" s="11">
        <f t="shared" si="11"/>
        <v>0</v>
      </c>
      <c r="BD56" s="84">
        <f t="shared" si="12"/>
        <v>0</v>
      </c>
      <c r="BE56" s="84">
        <f t="shared" si="18"/>
        <v>0</v>
      </c>
      <c r="BI56" s="22">
        <f t="shared" si="19"/>
        <v>44799</v>
      </c>
      <c r="BK56" s="19">
        <f t="shared" si="13"/>
        <v>1</v>
      </c>
      <c r="BL56" s="20" t="str">
        <f t="array" ref="BL56">IF(OR(O56=0,O56=""),"",U56)</f>
        <v/>
      </c>
      <c r="BM56" s="19" t="str">
        <f t="array" ref="BM56">IF(OR(O56=0,O56=""),"",BK56+BL56)</f>
        <v/>
      </c>
      <c r="BN56" s="21">
        <f t="shared" si="14"/>
        <v>0</v>
      </c>
      <c r="BO56" s="21">
        <f t="shared" si="15"/>
        <v>0</v>
      </c>
      <c r="BP56" s="23">
        <f t="shared" si="16"/>
        <v>0</v>
      </c>
      <c r="BQ56" s="21" t="str">
        <f t="shared" si="17"/>
        <v>00</v>
      </c>
      <c r="BW56" s="81" t="str">
        <f>IF(OR(O56=0,O56=""),"",IF('Basic Data Entry'!$C$9="fixation","yes",""))</f>
        <v/>
      </c>
      <c r="BX56" s="81" t="str">
        <f>IF(OR(O56=0,O56=""),"",IF('Basic Data Entry'!$G$12="yes","yes","no"))</f>
        <v/>
      </c>
    </row>
    <row r="57" spans="1:76" ht="18" customHeight="1" thickBot="1">
      <c r="A57" s="10" t="str">
        <f t="shared" si="6"/>
        <v/>
      </c>
      <c r="B57" s="305"/>
      <c r="C57" s="305"/>
      <c r="D57" s="305"/>
      <c r="E57" s="305"/>
      <c r="F57" s="108" t="str">
        <f t="shared" si="1"/>
        <v/>
      </c>
      <c r="G57" s="227" t="str">
        <f t="shared" si="2"/>
        <v/>
      </c>
      <c r="H57" s="228" t="str">
        <f t="shared" si="3"/>
        <v/>
      </c>
      <c r="I57" s="228" t="str">
        <f>IF(OR($E$2="fixation",O57="",O57=0),"",IF(AND('Basic Data Entry'!$G$11="Z-Rural",'Arear Table Unprotected)'!T57&lt;2021),0.08,IF(AND('Basic Data Entry'!$G$11="Y-Urban",'Arear Table Unprotected)'!T57&lt;2021),0.16,IF(AND('Basic Data Entry'!$G$11="Z-Rural",'Arear Table Unprotected)'!T57=2021,S57&gt;=7),0.09,IF(AND('Basic Data Entry'!$G$11="Y-Urban",'Arear Table Unprotected)'!T57=2021,'Arear Table Unprotected)'!S57&gt;=7),0.18,IF(AND('Basic Data Entry'!$G$11="Z-Rural",'Arear Table Unprotected)'!T57=2021,S57&lt;7),0.08,IF(AND('Basic Data Entry'!$G$11="Y-Urban",'Arear Table Unprotected)'!T57=2021,'Arear Table Unprotected)'!S57&lt;7),0.16,IF(AND('Basic Data Entry'!$G$11="Z-Rural",'Arear Table Unprotected)'!T57=2022),0.09,IF(AND('Basic Data Entry'!$G$11="Y-Urban",'Arear Table Unprotected)'!T57=2022),0.18,IF(AND('Basic Data Entry'!$G$11="Z-Rural",'Arear Table Unprotected)'!T57=2023),0.09,IF(AND('Basic Data Entry'!$G$11="Y-Urban",'Arear Table Unprotected)'!T57=2023),0.18,"")))))))))))</f>
        <v/>
      </c>
      <c r="J57" s="229" t="str">
        <f>IF(OR(O57="",O57=0),"",IF(AND('Basic Data Entry'!$G$11="Z-Rural",'Arear Table Unprotected)'!T57&lt;2021),0.08,IF(AND('Basic Data Entry'!$G$11="Y-Urban",'Arear Table Unprotected)'!T57&lt;2021),0.16,IF(AND('Basic Data Entry'!$G$11="Z-Rural",'Arear Table Unprotected)'!T57=2021,S57&gt;=7),0.09,IF(AND('Basic Data Entry'!$G$11="Y-Urban",'Arear Table Unprotected)'!T57=2021,'Arear Table Unprotected)'!S57&gt;=7),0.18,IF(AND('Basic Data Entry'!$G$11="Z-Rural",'Arear Table Unprotected)'!T57=2021,S57&lt;7),0.08,IF(AND('Basic Data Entry'!$G$11="Y-Urban",'Arear Table Unprotected)'!T57=2021,'Arear Table Unprotected)'!S57&lt;7),0.16,IF(AND('Basic Data Entry'!$G$11="Z-Rural",'Arear Table Unprotected)'!T57=2022),0.09,IF(AND('Basic Data Entry'!$G$11="Y-Urban",'Arear Table Unprotected)'!T57=2022),0.18,IF(AND('Basic Data Entry'!$G$11="Z-Rural",'Arear Table Unprotected)'!T57=2023),0.09,IF(AND('Basic Data Entry'!$G$11="Y-Urban",'Arear Table Unprotected)'!T57=2023),0.18,"")))))))))))</f>
        <v/>
      </c>
      <c r="K57" s="230" t="str">
        <f t="shared" si="4"/>
        <v/>
      </c>
      <c r="L57" s="231" t="str">
        <f t="shared" si="5"/>
        <v/>
      </c>
      <c r="M57" s="232" t="str">
        <f t="shared" si="7"/>
        <v/>
      </c>
      <c r="N57" s="196">
        <v>45</v>
      </c>
      <c r="O57" s="327">
        <f t="shared" si="8"/>
        <v>0</v>
      </c>
      <c r="P57" s="328"/>
      <c r="Q57" s="328"/>
      <c r="R57" s="329"/>
      <c r="S57" s="161" t="str">
        <f t="array" ref="S57">IF(OR(O57=0,O57=""),"",MONTH(O57))</f>
        <v/>
      </c>
      <c r="T57" s="161" t="str">
        <f t="array" ref="T57">IF(OR(O57=0,O57=""),"",YEAR(O57))</f>
        <v/>
      </c>
      <c r="U57" s="161" t="str">
        <f t="shared" si="9"/>
        <v/>
      </c>
      <c r="V57" s="6" t="str">
        <f t="array" ref="V57">IF(OR(O57=0,O57=""),"",BE57)</f>
        <v/>
      </c>
      <c r="W57" s="18" t="str">
        <f t="array" ref="W57">IF(OR(O57=0,O57=""),"",ROUND(V57*H57,0))</f>
        <v/>
      </c>
      <c r="X57" s="18">
        <f t="shared" si="10"/>
        <v>0</v>
      </c>
      <c r="Y57" s="18" t="str">
        <f t="array" ref="Y57">IF(OR(O57=0,O57=""),"",ROUND(V57*J57,0))</f>
        <v/>
      </c>
      <c r="Z57" s="135" t="str">
        <f t="array" ref="Z57">IF(OR(O57=0,O57=""),"",SUM(V57:Y57))</f>
        <v/>
      </c>
      <c r="AA57" s="1" t="str">
        <f t="array" ref="AA57">IF(OR(O57=0,O57=""),"",IF(V57=0,0,IF($E$2="FIXATION",$B$5,IF(V57=0,0,IF(BD57=7,ROUND(AA56*1.03,-2),AA56)))))</f>
        <v/>
      </c>
      <c r="AB57" s="2" t="str">
        <f t="array" ref="AB57">IF(OR(O57=0,O57=""),"",IF($E$2="fixation",0,ROUND(AA57*G57,0)))</f>
        <v/>
      </c>
      <c r="AC57" s="18" t="str">
        <f t="array" ref="AC57">IF(OR(O57=0,O57=""),"",AC56)</f>
        <v/>
      </c>
      <c r="AD57" s="2" t="str">
        <f t="array" ref="AD57">IF(OR(O57=0,O57=""),"",IF($E$2="fixation",0,ROUND(AA57*I57,0)))</f>
        <v/>
      </c>
      <c r="AE57" s="135" t="str">
        <f t="array" ref="AE57">IF(OR(O57=0,O57=""),"",SUM(AA57:AD57))</f>
        <v/>
      </c>
      <c r="AF57" s="1" t="str">
        <f t="array" ref="AF57">IF(OR(O57=0,O57=""),"",V57-AA57)</f>
        <v/>
      </c>
      <c r="AG57" s="2" t="str">
        <f t="array" ref="AG57">IF(OR(O57=0,O57=""),"",W57-AB57)</f>
        <v/>
      </c>
      <c r="AH57" s="2" t="str">
        <f t="array" ref="AH57">IF(OR(O57=0,O57=""),"",X57-AC57)</f>
        <v/>
      </c>
      <c r="AI57" s="2" t="str">
        <f t="array" ref="AI57">IF(OR(O57=0,O57=""),"",Y57-AD57)</f>
        <v/>
      </c>
      <c r="AJ57" s="136" t="str">
        <f t="array" ref="AJ57">IF(OR(O57=0,O57=""),"",Z57-AE57)</f>
        <v/>
      </c>
      <c r="AK57" s="4" t="str">
        <f t="array" ref="AK57">IF(OR(O57=0,O57=""),"",IF(M57="",$AZ$2,$AZ$2+M57))</f>
        <v/>
      </c>
      <c r="AL57" s="3" t="str">
        <f t="array" ref="AL57">IF(OR(O57=0,O57=""),"",$AQ$2)</f>
        <v/>
      </c>
      <c r="AM57" s="137" t="str">
        <f t="array" ref="AM57">IF(OR(O57=0,O57=""),"",AK57-AL57)</f>
        <v/>
      </c>
      <c r="AN57" s="3" t="str">
        <f t="array" ref="AN57">IF(OR(O56=0,O56="",AN56="",AN56=""),"",AN56)</f>
        <v/>
      </c>
      <c r="AO57" s="2" t="str">
        <f t="array" ref="AO57">IF(OR(O56=0,O56="",AO56="",AO56=""),"",AO56)</f>
        <v/>
      </c>
      <c r="AP57" s="137" t="str">
        <f t="array" ref="AP57">IF(OR(O57=0,O57=""),"",SUM(AN57-AO57))</f>
        <v/>
      </c>
      <c r="AQ57" s="106" t="str">
        <f t="array" ref="AQ57">IF(OR(O57=0,O57=""),"",IF(AND('Basic Data Entry'!$C$10="state Service",'Arear Table Unprotected)'!T57=2020,S57=3),ROUND(V57/31*5,0),IF(AND('Basic Data Entry'!$C$10="state Service",'Arear Table Unprotected)'!T57=2020,S57=9),ROUND(Z57/30*2,0),IF(AND('Basic Data Entry'!$C$10="state Service",'Arear Table Unprotected)'!T57=2020,S57=10),ROUND(Z57/31*2,0),IF(AND('Basic Data Entry'!$C$10="subordinate",'Arear Table Unprotected)'!T57=2020,S57=3),ROUND(V57/31*3,0),IF(AND('Basic Data Entry'!$C$10="subordinate",'Arear Table Unprotected)'!T57=2020,S57=9),ROUND(Z57/30*1,0),IF(AND('Basic Data Entry'!$C$10="subordinate",'Arear Table Unprotected)'!T57=2020,S57=10),ROUND(Z57/31*1,0),IF(AND('Basic Data Entry'!$C$10="ministrial",'Arear Table Unprotected)'!T57=2020,S57=3),ROUND(V57/31*1,0),""))))))))</f>
        <v/>
      </c>
      <c r="AR57" s="107" t="str">
        <f t="array" ref="AR57">IF(OR(O57=0,O57=""),"",IF(AND('Basic Data Entry'!$C$10="state Service",'Arear Table Unprotected)'!T57=2020,S57=3),ROUND(AA57/31*5,0),IF(AND('Basic Data Entry'!$C$10="state Service",'Arear Table Unprotected)'!T57=2020,S57=9),ROUND(AE57/30*2,0),IF(AND('Basic Data Entry'!$C$10="state Service",'Arear Table Unprotected)'!T57=2020,S57=10),ROUND(AE57/31*2,0),IF(AND('Basic Data Entry'!$C$10="subordinate",'Arear Table Unprotected)'!T57=2020,S57=3),ROUND(AA57/31*3,0),IF(AND('Basic Data Entry'!$C$10="subordinate",'Arear Table Unprotected)'!T57=2020,S57=9),ROUND(AE57/30*1,0),IF(AND('Basic Data Entry'!$C$10="subordinate",'Arear Table Unprotected)'!T57=2020,S57=10),ROUND(AE57/31*1,0),IF(AND('Basic Data Entry'!$C$10="ministrial",'Arear Table Unprotected)'!T57=2020,S57=3),ROUND(AA57/31*1,0),""))))))))</f>
        <v/>
      </c>
      <c r="AS57" s="138" t="str">
        <f t="array" ref="AS57">IF(OR(O57=0,O57="",AQ57="",AR57=""),"",AQ57-AR57)</f>
        <v/>
      </c>
      <c r="AT57" s="44" t="str">
        <f t="array" ref="AT57">IF(OR(O56=0,O56=""),"",AT56)</f>
        <v/>
      </c>
      <c r="AU57" s="45" t="str">
        <f t="array" ref="AU57">IF(OR(O56=0,O56=""),"",AU56)</f>
        <v/>
      </c>
      <c r="AV57" s="139" t="str">
        <f t="array" ref="AV57">IF(OR(O57=0,O57=""),"",SUM(AT57-AU57))</f>
        <v/>
      </c>
      <c r="AW57" s="36" t="str">
        <f t="array" ref="AW57">IF(OR(O57=0,O57=""),"",ROUND((AJ57)*$E$3,0))</f>
        <v/>
      </c>
      <c r="AX57" s="36" t="str">
        <f t="array" ref="AX57">IF(OR(O57=0,O57=""),"",SUM(AM57,AP57,AS57,AV57,AW57))</f>
        <v/>
      </c>
      <c r="AY57" s="140" t="str">
        <f t="array" ref="AY57">IF(OR(O57=0,O57=""),"",AJ57-AX57)</f>
        <v/>
      </c>
      <c r="AZ57" s="46"/>
      <c r="BA57" s="24"/>
      <c r="BB57" s="24"/>
      <c r="BC57" s="11">
        <f t="shared" si="11"/>
        <v>0</v>
      </c>
      <c r="BD57" s="84">
        <f t="shared" si="12"/>
        <v>0</v>
      </c>
      <c r="BE57" s="84">
        <f t="shared" si="18"/>
        <v>0</v>
      </c>
      <c r="BI57" s="22">
        <f t="shared" si="19"/>
        <v>44830</v>
      </c>
      <c r="BK57" s="19">
        <f t="shared" si="13"/>
        <v>1</v>
      </c>
      <c r="BL57" s="20" t="str">
        <f t="array" ref="BL57">IF(OR(O57=0,O57=""),"",U57)</f>
        <v/>
      </c>
      <c r="BM57" s="19" t="str">
        <f t="array" ref="BM57">IF(OR(O57=0,O57=""),"",BK57+BL57)</f>
        <v/>
      </c>
      <c r="BN57" s="21">
        <f t="shared" si="14"/>
        <v>0</v>
      </c>
      <c r="BO57" s="21">
        <f t="shared" si="15"/>
        <v>0</v>
      </c>
      <c r="BP57" s="23">
        <f t="shared" si="16"/>
        <v>0</v>
      </c>
      <c r="BQ57" s="21" t="str">
        <f t="shared" si="17"/>
        <v>00</v>
      </c>
      <c r="BW57" s="81" t="str">
        <f>IF(OR(O57=0,O57=""),"",IF('Basic Data Entry'!$C$9="fixation","yes",""))</f>
        <v/>
      </c>
      <c r="BX57" s="81" t="str">
        <f>IF(OR(O57=0,O57=""),"",IF('Basic Data Entry'!$G$12="yes","yes","no"))</f>
        <v/>
      </c>
    </row>
    <row r="58" spans="1:76" ht="18" customHeight="1" thickBot="1">
      <c r="A58" s="10" t="str">
        <f t="shared" si="6"/>
        <v/>
      </c>
      <c r="B58" s="305"/>
      <c r="C58" s="305"/>
      <c r="D58" s="305"/>
      <c r="E58" s="305"/>
      <c r="F58" s="108" t="str">
        <f t="shared" si="1"/>
        <v/>
      </c>
      <c r="G58" s="227" t="str">
        <f t="shared" si="2"/>
        <v/>
      </c>
      <c r="H58" s="228" t="str">
        <f t="shared" si="3"/>
        <v/>
      </c>
      <c r="I58" s="228" t="str">
        <f>IF(OR($E$2="fixation",O58="",O58=0),"",IF(AND('Basic Data Entry'!$G$11="Z-Rural",'Arear Table Unprotected)'!T58&lt;2021),0.08,IF(AND('Basic Data Entry'!$G$11="Y-Urban",'Arear Table Unprotected)'!T58&lt;2021),0.16,IF(AND('Basic Data Entry'!$G$11="Z-Rural",'Arear Table Unprotected)'!T58=2021,S58&gt;=7),0.09,IF(AND('Basic Data Entry'!$G$11="Y-Urban",'Arear Table Unprotected)'!T58=2021,'Arear Table Unprotected)'!S58&gt;=7),0.18,IF(AND('Basic Data Entry'!$G$11="Z-Rural",'Arear Table Unprotected)'!T58=2021,S58&lt;7),0.08,IF(AND('Basic Data Entry'!$G$11="Y-Urban",'Arear Table Unprotected)'!T58=2021,'Arear Table Unprotected)'!S58&lt;7),0.16,IF(AND('Basic Data Entry'!$G$11="Z-Rural",'Arear Table Unprotected)'!T58=2022),0.09,IF(AND('Basic Data Entry'!$G$11="Y-Urban",'Arear Table Unprotected)'!T58=2022),0.18,IF(AND('Basic Data Entry'!$G$11="Z-Rural",'Arear Table Unprotected)'!T58=2023),0.09,IF(AND('Basic Data Entry'!$G$11="Y-Urban",'Arear Table Unprotected)'!T58=2023),0.18,"")))))))))))</f>
        <v/>
      </c>
      <c r="J58" s="229" t="str">
        <f>IF(OR(O58="",O58=0),"",IF(AND('Basic Data Entry'!$G$11="Z-Rural",'Arear Table Unprotected)'!T58&lt;2021),0.08,IF(AND('Basic Data Entry'!$G$11="Y-Urban",'Arear Table Unprotected)'!T58&lt;2021),0.16,IF(AND('Basic Data Entry'!$G$11="Z-Rural",'Arear Table Unprotected)'!T58=2021,S58&gt;=7),0.09,IF(AND('Basic Data Entry'!$G$11="Y-Urban",'Arear Table Unprotected)'!T58=2021,'Arear Table Unprotected)'!S58&gt;=7),0.18,IF(AND('Basic Data Entry'!$G$11="Z-Rural",'Arear Table Unprotected)'!T58=2021,S58&lt;7),0.08,IF(AND('Basic Data Entry'!$G$11="Y-Urban",'Arear Table Unprotected)'!T58=2021,'Arear Table Unprotected)'!S58&lt;7),0.16,IF(AND('Basic Data Entry'!$G$11="Z-Rural",'Arear Table Unprotected)'!T58=2022),0.09,IF(AND('Basic Data Entry'!$G$11="Y-Urban",'Arear Table Unprotected)'!T58=2022),0.18,IF(AND('Basic Data Entry'!$G$11="Z-Rural",'Arear Table Unprotected)'!T58=2023),0.09,IF(AND('Basic Data Entry'!$G$11="Y-Urban",'Arear Table Unprotected)'!T58=2023),0.18,"")))))))))))</f>
        <v/>
      </c>
      <c r="K58" s="230" t="str">
        <f t="shared" si="4"/>
        <v/>
      </c>
      <c r="L58" s="231" t="str">
        <f t="shared" si="5"/>
        <v/>
      </c>
      <c r="M58" s="232" t="str">
        <f t="shared" si="7"/>
        <v/>
      </c>
      <c r="N58" s="196">
        <v>46</v>
      </c>
      <c r="O58" s="327">
        <f t="shared" si="8"/>
        <v>0</v>
      </c>
      <c r="P58" s="328"/>
      <c r="Q58" s="328"/>
      <c r="R58" s="329"/>
      <c r="S58" s="161" t="str">
        <f t="array" ref="S58">IF(OR(O58=0,O58=""),"",MONTH(O58))</f>
        <v/>
      </c>
      <c r="T58" s="161" t="str">
        <f t="array" ref="T58">IF(OR(O58=0,O58=""),"",YEAR(O58))</f>
        <v/>
      </c>
      <c r="U58" s="161" t="str">
        <f t="shared" si="9"/>
        <v/>
      </c>
      <c r="V58" s="6" t="str">
        <f t="array" ref="V58">IF(OR(O58=0,O58=""),"",BE58)</f>
        <v/>
      </c>
      <c r="W58" s="18" t="str">
        <f t="array" ref="W58">IF(OR(O58=0,O58=""),"",ROUND(V58*H58,0))</f>
        <v/>
      </c>
      <c r="X58" s="18">
        <f t="shared" si="10"/>
        <v>0</v>
      </c>
      <c r="Y58" s="18" t="str">
        <f t="array" ref="Y58">IF(OR(O58=0,O58=""),"",ROUND(V58*J58,0))</f>
        <v/>
      </c>
      <c r="Z58" s="135" t="str">
        <f t="array" ref="Z58">IF(OR(O58=0,O58=""),"",SUM(V58:Y58))</f>
        <v/>
      </c>
      <c r="AA58" s="1" t="str">
        <f t="array" ref="AA58">IF(OR(O58=0,O58=""),"",IF(V58=0,0,IF($E$2="FIXATION",$B$5,IF(V58=0,0,IF(BD58=7,ROUND(AA57*1.03,-2),AA57)))))</f>
        <v/>
      </c>
      <c r="AB58" s="2" t="str">
        <f t="array" ref="AB58">IF(OR(O58=0,O58=""),"",IF($E$2="fixation",0,ROUND(AA58*G58,0)))</f>
        <v/>
      </c>
      <c r="AC58" s="18" t="str">
        <f t="array" ref="AC58">IF(OR(O58=0,O58=""),"",AC57)</f>
        <v/>
      </c>
      <c r="AD58" s="2" t="str">
        <f t="array" ref="AD58">IF(OR(O58=0,O58=""),"",IF($E$2="fixation",0,ROUND(AA58*I58,0)))</f>
        <v/>
      </c>
      <c r="AE58" s="135" t="str">
        <f t="array" ref="AE58">IF(OR(O58=0,O58=""),"",SUM(AA58:AD58))</f>
        <v/>
      </c>
      <c r="AF58" s="1" t="str">
        <f t="array" ref="AF58">IF(OR(O58=0,O58=""),"",V58-AA58)</f>
        <v/>
      </c>
      <c r="AG58" s="2" t="str">
        <f t="array" ref="AG58">IF(OR(O58=0,O58=""),"",W58-AB58)</f>
        <v/>
      </c>
      <c r="AH58" s="2" t="str">
        <f t="array" ref="AH58">IF(OR(O58=0,O58=""),"",X58-AC58)</f>
        <v/>
      </c>
      <c r="AI58" s="2" t="str">
        <f t="array" ref="AI58">IF(OR(O58=0,O58=""),"",Y58-AD58)</f>
        <v/>
      </c>
      <c r="AJ58" s="136" t="str">
        <f t="array" ref="AJ58">IF(OR(O58=0,O58=""),"",Z58-AE58)</f>
        <v/>
      </c>
      <c r="AK58" s="4" t="str">
        <f t="array" ref="AK58">IF(OR(O58=0,O58=""),"",IF(M58="",$AZ$2,$AZ$2+M58))</f>
        <v/>
      </c>
      <c r="AL58" s="3" t="str">
        <f t="array" ref="AL58">IF(OR(O58=0,O58=""),"",$AQ$2)</f>
        <v/>
      </c>
      <c r="AM58" s="137" t="str">
        <f t="array" ref="AM58">IF(OR(O58=0,O58=""),"",AK58-AL58)</f>
        <v/>
      </c>
      <c r="AN58" s="3" t="str">
        <f t="array" ref="AN58">IF(OR(O57=0,O57="",AN57="",AN57=""),"",AN57)</f>
        <v/>
      </c>
      <c r="AO58" s="2" t="str">
        <f t="array" ref="AO58">IF(OR(O57=0,O57="",AO57="",AO57=""),"",AO57)</f>
        <v/>
      </c>
      <c r="AP58" s="137" t="str">
        <f t="array" ref="AP58">IF(OR(O58=0,O58=""),"",SUM(AN58-AO58))</f>
        <v/>
      </c>
      <c r="AQ58" s="106" t="str">
        <f t="array" ref="AQ58">IF(OR(O58=0,O58=""),"",IF(AND('Basic Data Entry'!$C$10="state Service",'Arear Table Unprotected)'!T58=2020,S58=3),ROUND(V58/31*5,0),IF(AND('Basic Data Entry'!$C$10="state Service",'Arear Table Unprotected)'!T58=2020,S58=9),ROUND(Z58/30*2,0),IF(AND('Basic Data Entry'!$C$10="state Service",'Arear Table Unprotected)'!T58=2020,S58=10),ROUND(Z58/31*2,0),IF(AND('Basic Data Entry'!$C$10="subordinate",'Arear Table Unprotected)'!T58=2020,S58=3),ROUND(V58/31*3,0),IF(AND('Basic Data Entry'!$C$10="subordinate",'Arear Table Unprotected)'!T58=2020,S58=9),ROUND(Z58/30*1,0),IF(AND('Basic Data Entry'!$C$10="subordinate",'Arear Table Unprotected)'!T58=2020,S58=10),ROUND(Z58/31*1,0),IF(AND('Basic Data Entry'!$C$10="ministrial",'Arear Table Unprotected)'!T58=2020,S58=3),ROUND(V58/31*1,0),""))))))))</f>
        <v/>
      </c>
      <c r="AR58" s="107" t="str">
        <f t="array" ref="AR58">IF(OR(O58=0,O58=""),"",IF(AND('Basic Data Entry'!$C$10="state Service",'Arear Table Unprotected)'!T58=2020,S58=3),ROUND(AA58/31*5,0),IF(AND('Basic Data Entry'!$C$10="state Service",'Arear Table Unprotected)'!T58=2020,S58=9),ROUND(AE58/30*2,0),IF(AND('Basic Data Entry'!$C$10="state Service",'Arear Table Unprotected)'!T58=2020,S58=10),ROUND(AE58/31*2,0),IF(AND('Basic Data Entry'!$C$10="subordinate",'Arear Table Unprotected)'!T58=2020,S58=3),ROUND(AA58/31*3,0),IF(AND('Basic Data Entry'!$C$10="subordinate",'Arear Table Unprotected)'!T58=2020,S58=9),ROUND(AE58/30*1,0),IF(AND('Basic Data Entry'!$C$10="subordinate",'Arear Table Unprotected)'!T58=2020,S58=10),ROUND(AE58/31*1,0),IF(AND('Basic Data Entry'!$C$10="ministrial",'Arear Table Unprotected)'!T58=2020,S58=3),ROUND(AA58/31*1,0),""))))))))</f>
        <v/>
      </c>
      <c r="AS58" s="138" t="str">
        <f t="array" ref="AS58">IF(OR(O58=0,O58="",AQ58="",AR58=""),"",AQ58-AR58)</f>
        <v/>
      </c>
      <c r="AT58" s="44" t="str">
        <f t="array" ref="AT58">IF(OR(O57=0,O57=""),"",AT57)</f>
        <v/>
      </c>
      <c r="AU58" s="45" t="str">
        <f t="array" ref="AU58">IF(OR(O57=0,O57=""),"",AU57)</f>
        <v/>
      </c>
      <c r="AV58" s="139" t="str">
        <f t="array" ref="AV58">IF(OR(O58=0,O58=""),"",SUM(AT58-AU58))</f>
        <v/>
      </c>
      <c r="AW58" s="36" t="str">
        <f t="array" ref="AW58">IF(OR(O58=0,O58=""),"",ROUND((AJ58)*$E$3,0))</f>
        <v/>
      </c>
      <c r="AX58" s="36" t="str">
        <f t="array" ref="AX58">IF(OR(O58=0,O58=""),"",SUM(AM58,AP58,AS58,AV58,AW58))</f>
        <v/>
      </c>
      <c r="AY58" s="140" t="str">
        <f t="array" ref="AY58">IF(OR(O58=0,O58=""),"",AJ58-AX58)</f>
        <v/>
      </c>
      <c r="AZ58" s="46"/>
      <c r="BA58" s="24"/>
      <c r="BB58" s="24"/>
      <c r="BC58" s="11">
        <f t="shared" si="11"/>
        <v>0</v>
      </c>
      <c r="BD58" s="84">
        <f t="shared" si="12"/>
        <v>0</v>
      </c>
      <c r="BE58" s="84">
        <f t="shared" si="18"/>
        <v>0</v>
      </c>
      <c r="BI58" s="22">
        <f t="shared" si="19"/>
        <v>44861</v>
      </c>
      <c r="BK58" s="19">
        <f t="shared" si="13"/>
        <v>1</v>
      </c>
      <c r="BL58" s="20" t="str">
        <f t="array" ref="BL58">IF(OR(O58=0,O58=""),"",U58)</f>
        <v/>
      </c>
      <c r="BM58" s="19" t="str">
        <f t="array" ref="BM58">IF(OR(O58=0,O58=""),"",BK58+BL58)</f>
        <v/>
      </c>
      <c r="BN58" s="21">
        <f t="shared" si="14"/>
        <v>0</v>
      </c>
      <c r="BO58" s="21">
        <f t="shared" si="15"/>
        <v>0</v>
      </c>
      <c r="BP58" s="23">
        <f t="shared" si="16"/>
        <v>0</v>
      </c>
      <c r="BQ58" s="21" t="str">
        <f t="shared" si="17"/>
        <v>00</v>
      </c>
      <c r="BW58" s="81" t="str">
        <f>IF(OR(O58=0,O58=""),"",IF('Basic Data Entry'!$C$9="fixation","yes",""))</f>
        <v/>
      </c>
      <c r="BX58" s="81" t="str">
        <f>IF(OR(O58=0,O58=""),"",IF('Basic Data Entry'!$G$12="yes","yes","no"))</f>
        <v/>
      </c>
    </row>
    <row r="59" spans="1:76" ht="18" customHeight="1" thickBot="1">
      <c r="A59" s="10" t="str">
        <f t="shared" si="6"/>
        <v/>
      </c>
      <c r="B59" s="305"/>
      <c r="C59" s="305"/>
      <c r="D59" s="305"/>
      <c r="E59" s="305"/>
      <c r="F59" s="108" t="str">
        <f t="shared" si="1"/>
        <v/>
      </c>
      <c r="G59" s="227" t="str">
        <f t="shared" si="2"/>
        <v/>
      </c>
      <c r="H59" s="228" t="str">
        <f t="shared" si="3"/>
        <v/>
      </c>
      <c r="I59" s="228" t="str">
        <f>IF(OR($E$2="fixation",O59="",O59=0),"",IF(AND('Basic Data Entry'!$G$11="Z-Rural",'Arear Table Unprotected)'!T59&lt;2021),0.08,IF(AND('Basic Data Entry'!$G$11="Y-Urban",'Arear Table Unprotected)'!T59&lt;2021),0.16,IF(AND('Basic Data Entry'!$G$11="Z-Rural",'Arear Table Unprotected)'!T59=2021,S59&gt;=7),0.09,IF(AND('Basic Data Entry'!$G$11="Y-Urban",'Arear Table Unprotected)'!T59=2021,'Arear Table Unprotected)'!S59&gt;=7),0.18,IF(AND('Basic Data Entry'!$G$11="Z-Rural",'Arear Table Unprotected)'!T59=2021,S59&lt;7),0.08,IF(AND('Basic Data Entry'!$G$11="Y-Urban",'Arear Table Unprotected)'!T59=2021,'Arear Table Unprotected)'!S59&lt;7),0.16,IF(AND('Basic Data Entry'!$G$11="Z-Rural",'Arear Table Unprotected)'!T59=2022),0.09,IF(AND('Basic Data Entry'!$G$11="Y-Urban",'Arear Table Unprotected)'!T59=2022),0.18,IF(AND('Basic Data Entry'!$G$11="Z-Rural",'Arear Table Unprotected)'!T59=2023),0.09,IF(AND('Basic Data Entry'!$G$11="Y-Urban",'Arear Table Unprotected)'!T59=2023),0.18,"")))))))))))</f>
        <v/>
      </c>
      <c r="J59" s="229" t="str">
        <f>IF(OR(O59="",O59=0),"",IF(AND('Basic Data Entry'!$G$11="Z-Rural",'Arear Table Unprotected)'!T59&lt;2021),0.08,IF(AND('Basic Data Entry'!$G$11="Y-Urban",'Arear Table Unprotected)'!T59&lt;2021),0.16,IF(AND('Basic Data Entry'!$G$11="Z-Rural",'Arear Table Unprotected)'!T59=2021,S59&gt;=7),0.09,IF(AND('Basic Data Entry'!$G$11="Y-Urban",'Arear Table Unprotected)'!T59=2021,'Arear Table Unprotected)'!S59&gt;=7),0.18,IF(AND('Basic Data Entry'!$G$11="Z-Rural",'Arear Table Unprotected)'!T59=2021,S59&lt;7),0.08,IF(AND('Basic Data Entry'!$G$11="Y-Urban",'Arear Table Unprotected)'!T59=2021,'Arear Table Unprotected)'!S59&lt;7),0.16,IF(AND('Basic Data Entry'!$G$11="Z-Rural",'Arear Table Unprotected)'!T59=2022),0.09,IF(AND('Basic Data Entry'!$G$11="Y-Urban",'Arear Table Unprotected)'!T59=2022),0.18,IF(AND('Basic Data Entry'!$G$11="Z-Rural",'Arear Table Unprotected)'!T59=2023),0.09,IF(AND('Basic Data Entry'!$G$11="Y-Urban",'Arear Table Unprotected)'!T59=2023),0.18,"")))))))))))</f>
        <v/>
      </c>
      <c r="K59" s="230" t="str">
        <f t="shared" si="4"/>
        <v/>
      </c>
      <c r="L59" s="231" t="str">
        <f t="shared" si="5"/>
        <v/>
      </c>
      <c r="M59" s="232" t="str">
        <f t="shared" si="7"/>
        <v/>
      </c>
      <c r="N59" s="196">
        <v>47</v>
      </c>
      <c r="O59" s="327">
        <f t="shared" si="8"/>
        <v>0</v>
      </c>
      <c r="P59" s="328"/>
      <c r="Q59" s="328"/>
      <c r="R59" s="329"/>
      <c r="S59" s="161" t="str">
        <f t="array" ref="S59">IF(OR(O59=0,O59=""),"",MONTH(O59))</f>
        <v/>
      </c>
      <c r="T59" s="161" t="str">
        <f t="array" ref="T59">IF(OR(O59=0,O59=""),"",YEAR(O59))</f>
        <v/>
      </c>
      <c r="U59" s="161" t="str">
        <f t="shared" si="9"/>
        <v/>
      </c>
      <c r="V59" s="6" t="str">
        <f t="array" ref="V59">IF(OR(O59=0,O59=""),"",BE59)</f>
        <v/>
      </c>
      <c r="W59" s="18" t="str">
        <f t="array" ref="W59">IF(OR(O59=0,O59=""),"",ROUND(V59*H59,0))</f>
        <v/>
      </c>
      <c r="X59" s="18">
        <f t="shared" si="10"/>
        <v>0</v>
      </c>
      <c r="Y59" s="18" t="str">
        <f t="array" ref="Y59">IF(OR(O59=0,O59=""),"",ROUND(V59*J59,0))</f>
        <v/>
      </c>
      <c r="Z59" s="135" t="str">
        <f t="array" ref="Z59">IF(OR(O59=0,O59=""),"",SUM(V59:Y59))</f>
        <v/>
      </c>
      <c r="AA59" s="1" t="str">
        <f t="array" ref="AA59">IF(OR(O59=0,O59=""),"",IF(V59=0,0,IF($E$2="FIXATION",$B$5,IF(V59=0,0,IF(BD59=7,ROUND(AA58*1.03,-2),AA58)))))</f>
        <v/>
      </c>
      <c r="AB59" s="2" t="str">
        <f t="array" ref="AB59">IF(OR(O59=0,O59=""),"",IF($E$2="fixation",0,ROUND(AA59*G59,0)))</f>
        <v/>
      </c>
      <c r="AC59" s="18" t="str">
        <f t="array" ref="AC59">IF(OR(O59=0,O59=""),"",AC58)</f>
        <v/>
      </c>
      <c r="AD59" s="2" t="str">
        <f t="array" ref="AD59">IF(OR(O59=0,O59=""),"",IF($E$2="fixation",0,ROUND(AA59*I59,0)))</f>
        <v/>
      </c>
      <c r="AE59" s="135" t="str">
        <f t="array" ref="AE59">IF(OR(O59=0,O59=""),"",SUM(AA59:AD59))</f>
        <v/>
      </c>
      <c r="AF59" s="1" t="str">
        <f t="array" ref="AF59">IF(OR(O59=0,O59=""),"",V59-AA59)</f>
        <v/>
      </c>
      <c r="AG59" s="2" t="str">
        <f t="array" ref="AG59">IF(OR(O59=0,O59=""),"",W59-AB59)</f>
        <v/>
      </c>
      <c r="AH59" s="2" t="str">
        <f t="array" ref="AH59">IF(OR(O59=0,O59=""),"",X59-AC59)</f>
        <v/>
      </c>
      <c r="AI59" s="2" t="str">
        <f t="array" ref="AI59">IF(OR(O59=0,O59=""),"",Y59-AD59)</f>
        <v/>
      </c>
      <c r="AJ59" s="136" t="str">
        <f t="array" ref="AJ59">IF(OR(O59=0,O59=""),"",Z59-AE59)</f>
        <v/>
      </c>
      <c r="AK59" s="4" t="str">
        <f t="array" ref="AK59">IF(OR(O59=0,O59=""),"",IF(M59="",$AZ$2,$AZ$2+M59))</f>
        <v/>
      </c>
      <c r="AL59" s="3" t="str">
        <f t="array" ref="AL59">IF(OR(O59=0,O59=""),"",$AQ$2)</f>
        <v/>
      </c>
      <c r="AM59" s="137" t="str">
        <f t="array" ref="AM59">IF(OR(O59=0,O59=""),"",AK59-AL59)</f>
        <v/>
      </c>
      <c r="AN59" s="3" t="str">
        <f t="array" ref="AN59">IF(OR(O58=0,O58="",AN58="",AN58=""),"",AN58)</f>
        <v/>
      </c>
      <c r="AO59" s="2" t="str">
        <f t="array" ref="AO59">IF(OR(O58=0,O58="",AO58="",AO58=""),"",AO58)</f>
        <v/>
      </c>
      <c r="AP59" s="137" t="str">
        <f t="array" ref="AP59">IF(OR(O59=0,O59=""),"",SUM(AN59-AO59))</f>
        <v/>
      </c>
      <c r="AQ59" s="106" t="str">
        <f t="array" ref="AQ59">IF(OR(O59=0,O59=""),"",IF(AND('Basic Data Entry'!$C$10="state Service",'Arear Table Unprotected)'!T59=2020,S59=3),ROUND(V59/31*5,0),IF(AND('Basic Data Entry'!$C$10="state Service",'Arear Table Unprotected)'!T59=2020,S59=9),ROUND(Z59/30*2,0),IF(AND('Basic Data Entry'!$C$10="state Service",'Arear Table Unprotected)'!T59=2020,S59=10),ROUND(Z59/31*2,0),IF(AND('Basic Data Entry'!$C$10="subordinate",'Arear Table Unprotected)'!T59=2020,S59=3),ROUND(V59/31*3,0),IF(AND('Basic Data Entry'!$C$10="subordinate",'Arear Table Unprotected)'!T59=2020,S59=9),ROUND(Z59/30*1,0),IF(AND('Basic Data Entry'!$C$10="subordinate",'Arear Table Unprotected)'!T59=2020,S59=10),ROUND(Z59/31*1,0),IF(AND('Basic Data Entry'!$C$10="ministrial",'Arear Table Unprotected)'!T59=2020,S59=3),ROUND(V59/31*1,0),""))))))))</f>
        <v/>
      </c>
      <c r="AR59" s="107" t="str">
        <f t="array" ref="AR59">IF(OR(O59=0,O59=""),"",IF(AND('Basic Data Entry'!$C$10="state Service",'Arear Table Unprotected)'!T59=2020,S59=3),ROUND(AA59/31*5,0),IF(AND('Basic Data Entry'!$C$10="state Service",'Arear Table Unprotected)'!T59=2020,S59=9),ROUND(AE59/30*2,0),IF(AND('Basic Data Entry'!$C$10="state Service",'Arear Table Unprotected)'!T59=2020,S59=10),ROUND(AE59/31*2,0),IF(AND('Basic Data Entry'!$C$10="subordinate",'Arear Table Unprotected)'!T59=2020,S59=3),ROUND(AA59/31*3,0),IF(AND('Basic Data Entry'!$C$10="subordinate",'Arear Table Unprotected)'!T59=2020,S59=9),ROUND(AE59/30*1,0),IF(AND('Basic Data Entry'!$C$10="subordinate",'Arear Table Unprotected)'!T59=2020,S59=10),ROUND(AE59/31*1,0),IF(AND('Basic Data Entry'!$C$10="ministrial",'Arear Table Unprotected)'!T59=2020,S59=3),ROUND(AA59/31*1,0),""))))))))</f>
        <v/>
      </c>
      <c r="AS59" s="138" t="str">
        <f t="array" ref="AS59">IF(OR(O59=0,O59="",AQ59="",AR59=""),"",AQ59-AR59)</f>
        <v/>
      </c>
      <c r="AT59" s="44" t="str">
        <f t="array" ref="AT59">IF(OR(O58=0,O58=""),"",AT58)</f>
        <v/>
      </c>
      <c r="AU59" s="45" t="str">
        <f t="array" ref="AU59">IF(OR(O58=0,O58=""),"",AU58)</f>
        <v/>
      </c>
      <c r="AV59" s="139" t="str">
        <f t="array" ref="AV59">IF(OR(O59=0,O59=""),"",SUM(AT59-AU59))</f>
        <v/>
      </c>
      <c r="AW59" s="36" t="str">
        <f t="array" ref="AW59">IF(OR(O59=0,O59=""),"",ROUND((AJ59)*$E$3,0))</f>
        <v/>
      </c>
      <c r="AX59" s="36" t="str">
        <f t="array" ref="AX59">IF(OR(O59=0,O59=""),"",SUM(AM59,AP59,AS59,AV59,AW59))</f>
        <v/>
      </c>
      <c r="AY59" s="140" t="str">
        <f t="array" ref="AY59">IF(OR(O59=0,O59=""),"",AJ59-AX59)</f>
        <v/>
      </c>
      <c r="AZ59" s="46"/>
      <c r="BA59" s="24"/>
      <c r="BB59" s="24"/>
      <c r="BC59" s="11">
        <f t="shared" si="11"/>
        <v>0</v>
      </c>
      <c r="BD59" s="84">
        <f t="shared" si="12"/>
        <v>0</v>
      </c>
      <c r="BE59" s="84">
        <f t="shared" si="18"/>
        <v>0</v>
      </c>
      <c r="BI59" s="22">
        <f t="shared" si="19"/>
        <v>44892</v>
      </c>
      <c r="BK59" s="19">
        <f t="shared" si="13"/>
        <v>1</v>
      </c>
      <c r="BL59" s="20" t="str">
        <f t="array" ref="BL59">IF(OR(O59=0,O59=""),"",U59)</f>
        <v/>
      </c>
      <c r="BM59" s="19" t="str">
        <f t="array" ref="BM59">IF(OR(O59=0,O59=""),"",BK59+BL59)</f>
        <v/>
      </c>
      <c r="BN59" s="21">
        <f t="shared" si="14"/>
        <v>0</v>
      </c>
      <c r="BO59" s="21">
        <f t="shared" si="15"/>
        <v>0</v>
      </c>
      <c r="BP59" s="23">
        <f t="shared" si="16"/>
        <v>0</v>
      </c>
      <c r="BQ59" s="21" t="str">
        <f t="shared" si="17"/>
        <v>00</v>
      </c>
      <c r="BW59" s="81" t="str">
        <f>IF(OR(O59=0,O59=""),"",IF('Basic Data Entry'!$C$9="fixation","yes",""))</f>
        <v/>
      </c>
      <c r="BX59" s="81" t="str">
        <f>IF(OR(O59=0,O59=""),"",IF('Basic Data Entry'!$G$12="yes","yes","no"))</f>
        <v/>
      </c>
    </row>
    <row r="60" spans="1:76" ht="17.25" customHeight="1" thickBot="1">
      <c r="A60" s="10" t="str">
        <f t="shared" si="6"/>
        <v/>
      </c>
      <c r="B60" s="306"/>
      <c r="C60" s="306"/>
      <c r="D60" s="306"/>
      <c r="E60" s="306"/>
      <c r="F60" s="108" t="str">
        <f t="shared" si="1"/>
        <v/>
      </c>
      <c r="G60" s="227" t="str">
        <f t="shared" si="2"/>
        <v/>
      </c>
      <c r="H60" s="228" t="str">
        <f t="shared" si="3"/>
        <v/>
      </c>
      <c r="I60" s="228" t="str">
        <f>IF(OR($E$2="fixation",O60="",O60=0),"",IF(AND('Basic Data Entry'!$G$11="Z-Rural",'Arear Table Unprotected)'!T60&lt;2021),0.08,IF(AND('Basic Data Entry'!$G$11="Y-Urban",'Arear Table Unprotected)'!T60&lt;2021),0.16,IF(AND('Basic Data Entry'!$G$11="Z-Rural",'Arear Table Unprotected)'!T60=2021,S60&gt;=7),0.09,IF(AND('Basic Data Entry'!$G$11="Y-Urban",'Arear Table Unprotected)'!T60=2021,'Arear Table Unprotected)'!S60&gt;=7),0.18,IF(AND('Basic Data Entry'!$G$11="Z-Rural",'Arear Table Unprotected)'!T60=2021,S60&lt;7),0.08,IF(AND('Basic Data Entry'!$G$11="Y-Urban",'Arear Table Unprotected)'!T60=2021,'Arear Table Unprotected)'!S60&lt;7),0.16,IF(AND('Basic Data Entry'!$G$11="Z-Rural",'Arear Table Unprotected)'!T60=2022),0.09,IF(AND('Basic Data Entry'!$G$11="Y-Urban",'Arear Table Unprotected)'!T60=2022),0.18,IF(AND('Basic Data Entry'!$G$11="Z-Rural",'Arear Table Unprotected)'!T60=2023),0.09,IF(AND('Basic Data Entry'!$G$11="Y-Urban",'Arear Table Unprotected)'!T60=2023),0.18,"")))))))))))</f>
        <v/>
      </c>
      <c r="J60" s="229" t="str">
        <f>IF(OR(O60="",O60=0),"",IF(AND('Basic Data Entry'!$G$11="Z-Rural",'Arear Table Unprotected)'!T60&lt;2021),0.08,IF(AND('Basic Data Entry'!$G$11="Y-Urban",'Arear Table Unprotected)'!T60&lt;2021),0.16,IF(AND('Basic Data Entry'!$G$11="Z-Rural",'Arear Table Unprotected)'!T60=2021,S60&gt;=7),0.09,IF(AND('Basic Data Entry'!$G$11="Y-Urban",'Arear Table Unprotected)'!T60=2021,'Arear Table Unprotected)'!S60&gt;=7),0.18,IF(AND('Basic Data Entry'!$G$11="Z-Rural",'Arear Table Unprotected)'!T60=2021,S60&lt;7),0.08,IF(AND('Basic Data Entry'!$G$11="Y-Urban",'Arear Table Unprotected)'!T60=2021,'Arear Table Unprotected)'!S60&lt;7),0.16,IF(AND('Basic Data Entry'!$G$11="Z-Rural",'Arear Table Unprotected)'!T60=2022),0.09,IF(AND('Basic Data Entry'!$G$11="Y-Urban",'Arear Table Unprotected)'!T60=2022),0.18,IF(AND('Basic Data Entry'!$G$11="Z-Rural",'Arear Table Unprotected)'!T60=2023),0.09,IF(AND('Basic Data Entry'!$G$11="Y-Urban",'Arear Table Unprotected)'!T60=2023),0.18,"")))))))))))</f>
        <v/>
      </c>
      <c r="K60" s="230" t="str">
        <f t="shared" si="4"/>
        <v/>
      </c>
      <c r="L60" s="231" t="str">
        <f t="shared" si="5"/>
        <v/>
      </c>
      <c r="M60" s="232" t="str">
        <f t="shared" si="7"/>
        <v/>
      </c>
      <c r="N60" s="209">
        <v>48</v>
      </c>
      <c r="O60" s="478">
        <f>IF(U59=$AW$8,0,IF(O59=0,0,BI60))</f>
        <v>0</v>
      </c>
      <c r="P60" s="479"/>
      <c r="Q60" s="479"/>
      <c r="R60" s="480"/>
      <c r="S60" s="210" t="str">
        <f t="array" ref="S60">IF(OR(O60=0,O60=""),"",MONTH(O60))</f>
        <v/>
      </c>
      <c r="T60" s="210" t="str">
        <f t="array" ref="T60">IF(OR(O60=0,O60=""),"",YEAR(O60))</f>
        <v/>
      </c>
      <c r="U60" s="210" t="str">
        <f t="shared" si="9"/>
        <v/>
      </c>
      <c r="V60" s="88" t="str">
        <f t="array" ref="V60">IF(OR(O60=0,O60=""),"",BE60)</f>
        <v/>
      </c>
      <c r="W60" s="89" t="str">
        <f t="array" ref="W60">IF(OR(O60=0,O60=""),"",ROUND(V60*H60,0))</f>
        <v/>
      </c>
      <c r="X60" s="89">
        <f>X59</f>
        <v>0</v>
      </c>
      <c r="Y60" s="89" t="str">
        <f t="array" ref="Y60">IF(OR(O60=0,O60=""),"",ROUND(V60*J60,0))</f>
        <v/>
      </c>
      <c r="Z60" s="141" t="str">
        <f t="array" ref="Z60">IF(OR(O60=0,O60=""),"",SUM(V60:Y60))</f>
        <v/>
      </c>
      <c r="AA60" s="90" t="str">
        <f t="array" ref="AA60">IF(OR(O60=0,O60=""),"",IF(V60=0,0,IF($E$2="FIXATION",$B$5,IF(V60=0,0,IF(BD60=7,ROUND(AA59*1.03,-2),AA59)))))</f>
        <v/>
      </c>
      <c r="AB60" s="89" t="str">
        <f t="array" ref="AB60">IF(OR(O60=0,O60=""),"",IF($E$2="fixation",0,ROUND(AA60*G60,0)))</f>
        <v/>
      </c>
      <c r="AC60" s="89" t="str">
        <f t="array" ref="AC60">IF(OR(O60=0,O60=""),"",AC59)</f>
        <v/>
      </c>
      <c r="AD60" s="89" t="str">
        <f t="array" ref="AD60">IF(OR(O60=0,O60=""),"",IF($E$2="fixation",0,ROUND(AA60*I60,0)))</f>
        <v/>
      </c>
      <c r="AE60" s="141" t="str">
        <f t="array" ref="AE60">IF(OR(O60=0,O60=""),"",SUM(AA60:AD60))</f>
        <v/>
      </c>
      <c r="AF60" s="90" t="str">
        <f t="array" ref="AF60">IF(OR(O60=0,O60=""),"",V60-AA60)</f>
        <v/>
      </c>
      <c r="AG60" s="89" t="str">
        <f t="array" ref="AG60">IF(OR(O60=0,O60=""),"",W60-AB60)</f>
        <v/>
      </c>
      <c r="AH60" s="89" t="str">
        <f t="array" ref="AH60">IF(OR(O60=0,O60=""),"",X60-AC60)</f>
        <v/>
      </c>
      <c r="AI60" s="89" t="str">
        <f t="array" ref="AI60">IF(OR(O60=0,O60=""),"",Y60-AD60)</f>
        <v/>
      </c>
      <c r="AJ60" s="142" t="str">
        <f t="array" ref="AJ60">IF(OR(O60=0,O60=""),"",Z60-AE60)</f>
        <v/>
      </c>
      <c r="AK60" s="91" t="str">
        <f t="array" ref="AK60">IF(OR(O60=0,O60=""),"",IF(M60="",$AZ$2,$AZ$2+M60))</f>
        <v/>
      </c>
      <c r="AL60" s="92" t="str">
        <f t="array" ref="AL60">IF(OR(O60=0,O60=""),"",$AQ$2)</f>
        <v/>
      </c>
      <c r="AM60" s="143" t="str">
        <f t="array" ref="AM60">IF(OR(O60=0,O60=""),"",AK60-AL60)</f>
        <v/>
      </c>
      <c r="AN60" s="92" t="str">
        <f t="array" ref="AN60">IF(OR(O59=0,O59="",AN59="",AN59=""),"",AN59)</f>
        <v/>
      </c>
      <c r="AO60" s="89" t="str">
        <f t="array" ref="AO60">IF(OR(O59=0,O59="",AO59="",AO59=""),"",AO59)</f>
        <v/>
      </c>
      <c r="AP60" s="143" t="str">
        <f t="array" ref="AP60">IF(OR(O60=0,O60=""),"",SUM(AN60-AO60))</f>
        <v/>
      </c>
      <c r="AQ60" s="106" t="str">
        <f t="array" ref="AQ60">IF(OR(O60=0,O60=""),"",IF(AND('Basic Data Entry'!$C$10="state Service",'Arear Table Unprotected)'!T60=2020,S60=3),ROUND(V60/31*5,0),IF(AND('Basic Data Entry'!$C$10="state Service",'Arear Table Unprotected)'!T60=2020,S60=9),ROUND(Z60/30*2,0),IF(AND('Basic Data Entry'!$C$10="state Service",'Arear Table Unprotected)'!T60=2020,S60=10),ROUND(Z60/31*2,0),IF(AND('Basic Data Entry'!$C$10="subordinate",'Arear Table Unprotected)'!T60=2020,S60=3),ROUND(V60/31*3,0),IF(AND('Basic Data Entry'!$C$10="subordinate",'Arear Table Unprotected)'!T60=2020,S60=9),ROUND(Z60/30*1,0),IF(AND('Basic Data Entry'!$C$10="subordinate",'Arear Table Unprotected)'!T60=2020,S60=10),ROUND(Z60/31*1,0),IF(AND('Basic Data Entry'!$C$10="ministrial",'Arear Table Unprotected)'!T60=2020,S60=3),ROUND(V60/31*1,0),""))))))))</f>
        <v/>
      </c>
      <c r="AR60" s="107" t="str">
        <f t="array" ref="AR60">IF(OR(O60=0,O60=""),"",IF(AND('Basic Data Entry'!$C$10="state Service",'Arear Table Unprotected)'!T60=2020,S60=3),ROUND(AA60/31*5,0),IF(AND('Basic Data Entry'!$C$10="state Service",'Arear Table Unprotected)'!T60=2020,S60=9),ROUND(AE60/30*2,0),IF(AND('Basic Data Entry'!$C$10="state Service",'Arear Table Unprotected)'!T60=2020,S60=10),ROUND(AE60/31*2,0),IF(AND('Basic Data Entry'!$C$10="subordinate",'Arear Table Unprotected)'!T60=2020,S60=3),ROUND(AA60/31*3,0),IF(AND('Basic Data Entry'!$C$10="subordinate",'Arear Table Unprotected)'!T60=2020,S60=9),ROUND(AE60/30*1,0),IF(AND('Basic Data Entry'!$C$10="subordinate",'Arear Table Unprotected)'!T60=2020,S60=10),ROUND(AE60/31*1,0),IF(AND('Basic Data Entry'!$C$10="ministrial",'Arear Table Unprotected)'!T60=2020,S60=3),ROUND(AA60/31*1,0),""))))))))</f>
        <v/>
      </c>
      <c r="AS60" s="138" t="str">
        <f t="array" ref="AS60">IF(OR(O60=0,O60="",AQ60="",AR60=""),"",AQ60-AR60)</f>
        <v/>
      </c>
      <c r="AT60" s="44" t="str">
        <f t="array" ref="AT60">IF(OR(O59=0,O59=""),"",AT59)</f>
        <v/>
      </c>
      <c r="AU60" s="45" t="str">
        <f t="array" ref="AU60">IF(OR(O59=0,O59=""),"",AU59)</f>
        <v/>
      </c>
      <c r="AV60" s="139" t="str">
        <f t="array" ref="AV60">IF(OR(O60=0,O60=""),"",SUM(AT60-AU60))</f>
        <v/>
      </c>
      <c r="AW60" s="36" t="str">
        <f t="array" ref="AW60">IF(OR(O60=0,O60=""),"",ROUND((AJ60)*$E$3,0))</f>
        <v/>
      </c>
      <c r="AX60" s="36" t="str">
        <f t="array" ref="AX60">IF(OR(O60=0,O60=""),"",SUM(AM60,AP60,AS60,AV60,AW60))</f>
        <v/>
      </c>
      <c r="AY60" s="140" t="str">
        <f t="array" ref="AY60">IF(OR(O60=0,O60=""),"",AJ60-AX60)</f>
        <v/>
      </c>
      <c r="AZ60" s="39"/>
      <c r="BA60" s="24"/>
      <c r="BB60" s="24"/>
      <c r="BC60" s="11">
        <f t="shared" si="11"/>
        <v>0</v>
      </c>
      <c r="BD60" s="84">
        <f t="shared" si="12"/>
        <v>0</v>
      </c>
      <c r="BE60" s="84">
        <f>IF(BD60=7,ROUND(BE59*1.03,-2),IF(BD60=0,0,BE59))</f>
        <v>0</v>
      </c>
      <c r="BI60" s="22">
        <f>BI59+31</f>
        <v>44923</v>
      </c>
      <c r="BK60" s="19">
        <f t="shared" si="13"/>
        <v>1</v>
      </c>
      <c r="BL60" s="20" t="str">
        <f t="array" ref="BL60">IF(OR(O60=0,O60=""),"",U60)</f>
        <v/>
      </c>
      <c r="BM60" s="19" t="str">
        <f t="array" ref="BM60">IF(OR(O60=0,O60=""),"",BK60+BL60)</f>
        <v/>
      </c>
      <c r="BN60" s="21">
        <f t="shared" si="14"/>
        <v>0</v>
      </c>
      <c r="BO60" s="21">
        <f t="shared" si="15"/>
        <v>0</v>
      </c>
      <c r="BP60" s="23">
        <f t="shared" si="16"/>
        <v>0</v>
      </c>
      <c r="BQ60" s="21" t="str">
        <f t="shared" si="17"/>
        <v>00</v>
      </c>
      <c r="BW60" s="81" t="str">
        <f>IF(OR(O60=0,O60=""),"",IF('Basic Data Entry'!$C$9="fixation","yes",""))</f>
        <v/>
      </c>
      <c r="BX60" s="81" t="str">
        <f>IF(OR(O60=0,O60=""),"",IF('Basic Data Entry'!$G$12="yes","yes","no"))</f>
        <v/>
      </c>
    </row>
    <row r="61" spans="1:76" ht="68.25" customHeight="1" thickBot="1">
      <c r="B61" s="498"/>
      <c r="C61" s="498"/>
      <c r="D61" s="498"/>
      <c r="E61" s="498"/>
      <c r="F61" s="80"/>
      <c r="G61" s="307"/>
      <c r="H61" s="307"/>
      <c r="I61" s="307"/>
      <c r="J61" s="307"/>
      <c r="K61" s="307"/>
      <c r="L61" s="307"/>
      <c r="M61" s="307"/>
      <c r="N61" s="459" t="s">
        <v>19</v>
      </c>
      <c r="O61" s="460"/>
      <c r="P61" s="460"/>
      <c r="Q61" s="460"/>
      <c r="R61" s="461"/>
      <c r="S61" s="256"/>
      <c r="T61" s="256"/>
      <c r="U61" s="256"/>
      <c r="V61" s="274">
        <f t="array" ref="V61">SUM(V13:V60)</f>
        <v>1553297</v>
      </c>
      <c r="W61" s="275">
        <f t="array" ref="W61">SUM(W13:W60)</f>
        <v>277760</v>
      </c>
      <c r="X61" s="275">
        <f t="array" ref="X61">SUM(X13:X60)</f>
        <v>0</v>
      </c>
      <c r="Y61" s="275">
        <f t="array" ref="Y61">SUM(Y13:Y60)</f>
        <v>126180</v>
      </c>
      <c r="Z61" s="276">
        <f t="array" ref="Z61">SUM(Z13:Z60)</f>
        <v>1957237</v>
      </c>
      <c r="AA61" s="277">
        <f t="array" ref="AA61">SUM(AA13:AA60)</f>
        <v>1387000</v>
      </c>
      <c r="AB61" s="275">
        <f t="array" ref="AB61">SUM(AB13:AB60)</f>
        <v>247972</v>
      </c>
      <c r="AC61" s="275">
        <f t="array" ref="AC61">SUM(AC13:AC60)</f>
        <v>0</v>
      </c>
      <c r="AD61" s="275">
        <f t="array" ref="AD61">SUM(AD13:AD60)</f>
        <v>112668</v>
      </c>
      <c r="AE61" s="276">
        <f t="array" ref="AE61">SUM(AE13:AE60)</f>
        <v>1747640</v>
      </c>
      <c r="AF61" s="277">
        <f t="array" ref="AF61">SUM(AF13:AF60)</f>
        <v>166297</v>
      </c>
      <c r="AG61" s="275">
        <f t="array" ref="AG61">SUM(AG13:AG60)</f>
        <v>29788</v>
      </c>
      <c r="AH61" s="275">
        <f t="array" ref="AH61">SUM(AH13:AH60)</f>
        <v>0</v>
      </c>
      <c r="AI61" s="275">
        <f t="array" ref="AI61">SUM(AI13:AI60)</f>
        <v>13512</v>
      </c>
      <c r="AJ61" s="276">
        <f t="array" ref="AJ61">SUM(AJ13:AJ60)</f>
        <v>209597</v>
      </c>
      <c r="AK61" s="277">
        <f t="array" ref="AK61">SUM(AK13:AK60)</f>
        <v>173659</v>
      </c>
      <c r="AL61" s="275">
        <f t="array" ref="AL61">SUM(AL13:AL60)</f>
        <v>153000</v>
      </c>
      <c r="AM61" s="278">
        <f t="array" ref="AM61">SUM(AM13:AM60)</f>
        <v>20659</v>
      </c>
      <c r="AN61" s="277">
        <f t="array" ref="AN61">SUM(AN13:AN60)</f>
        <v>105000</v>
      </c>
      <c r="AO61" s="275">
        <f t="array" ref="AO61">SUM(AO13:AO60)</f>
        <v>105000</v>
      </c>
      <c r="AP61" s="278">
        <f t="array" ref="AP61">SUM(AP13:AP60)</f>
        <v>0</v>
      </c>
      <c r="AQ61" s="277">
        <f t="array" ref="AQ61">SUM(AQ13:AQ60)</f>
        <v>8178</v>
      </c>
      <c r="AR61" s="275">
        <f t="array" ref="AR61">SUM(AR13:AR60)</f>
        <v>7302</v>
      </c>
      <c r="AS61" s="278">
        <f t="array" ref="AS61">SUM(AS13:AS60)</f>
        <v>876</v>
      </c>
      <c r="AT61" s="279">
        <f t="array" ref="AT61">SUM(AT13:AT60)</f>
        <v>0</v>
      </c>
      <c r="AU61" s="279">
        <f t="array" ref="AU61">SUM(AU13:AU60)</f>
        <v>0</v>
      </c>
      <c r="AV61" s="279">
        <f>SUM(AV13:AV60)</f>
        <v>0</v>
      </c>
      <c r="AW61" s="280">
        <f t="array" ref="AW61">SUM(AW13:AW60)</f>
        <v>20960</v>
      </c>
      <c r="AX61" s="280">
        <f t="array" ref="AX61">SUM(AX13:AX60)</f>
        <v>42495</v>
      </c>
      <c r="AY61" s="281">
        <f t="array" ref="AY61">SUM(AY13:AY60)</f>
        <v>167102</v>
      </c>
      <c r="AZ61" s="265"/>
      <c r="BA61" s="24"/>
      <c r="BB61" s="24"/>
      <c r="BI61" s="22"/>
      <c r="BK61" s="19"/>
      <c r="BL61" s="20"/>
      <c r="BM61" s="19"/>
      <c r="BN61" s="21"/>
      <c r="BO61" s="21"/>
      <c r="BP61" s="19"/>
      <c r="BQ61" s="21"/>
    </row>
    <row r="62" spans="1:76" ht="23.25" customHeight="1" thickBot="1">
      <c r="B62" s="307"/>
      <c r="C62" s="307"/>
      <c r="D62" s="307"/>
      <c r="E62" s="307"/>
      <c r="F62" s="80"/>
      <c r="G62" s="307"/>
      <c r="H62" s="307"/>
      <c r="I62" s="307"/>
      <c r="J62" s="307"/>
      <c r="K62" s="307"/>
      <c r="L62" s="307"/>
      <c r="M62" s="307"/>
      <c r="N62" s="462" t="s">
        <v>20</v>
      </c>
      <c r="O62" s="463"/>
      <c r="P62" s="463"/>
      <c r="Q62" s="463"/>
      <c r="R62" s="463"/>
      <c r="S62" s="463"/>
      <c r="T62" s="463"/>
      <c r="U62" s="463"/>
      <c r="V62" s="463"/>
      <c r="W62" s="463"/>
      <c r="X62" s="463"/>
      <c r="Y62" s="463"/>
      <c r="Z62" s="463"/>
      <c r="AA62" s="463"/>
      <c r="AB62" s="463"/>
      <c r="AC62" s="463"/>
      <c r="AD62" s="463"/>
      <c r="AE62" s="463"/>
      <c r="AF62" s="463"/>
      <c r="AG62" s="463"/>
      <c r="AH62" s="463"/>
      <c r="AI62" s="463"/>
      <c r="AJ62" s="499" t="s">
        <v>78</v>
      </c>
      <c r="AK62" s="500"/>
      <c r="AL62" s="500"/>
      <c r="AM62" s="500"/>
      <c r="AN62" s="500"/>
      <c r="AO62" s="500"/>
      <c r="AP62" s="500"/>
      <c r="AQ62" s="500"/>
      <c r="AR62" s="500"/>
      <c r="AS62" s="500"/>
      <c r="AT62" s="500"/>
      <c r="AU62" s="500"/>
      <c r="AV62" s="500"/>
      <c r="AW62" s="500"/>
      <c r="AX62" s="500"/>
      <c r="AY62" s="500"/>
      <c r="AZ62" s="501"/>
      <c r="BA62" s="24"/>
      <c r="BB62" s="24"/>
      <c r="BI62" s="22"/>
      <c r="BK62" s="19"/>
      <c r="BL62" s="20"/>
      <c r="BM62" s="19"/>
      <c r="BN62" s="21"/>
      <c r="BO62" s="21"/>
      <c r="BP62" s="19"/>
      <c r="BQ62" s="21"/>
    </row>
    <row r="63" spans="1:76" ht="15" customHeight="1">
      <c r="B63" s="307"/>
      <c r="C63" s="307"/>
      <c r="D63" s="307"/>
      <c r="E63" s="307"/>
      <c r="F63" s="80"/>
      <c r="G63" s="307"/>
      <c r="H63" s="307"/>
      <c r="I63" s="307"/>
      <c r="J63" s="307"/>
      <c r="K63" s="307"/>
      <c r="L63" s="307"/>
      <c r="M63" s="307"/>
      <c r="N63" s="12" t="s">
        <v>21</v>
      </c>
      <c r="O63" s="464" t="s">
        <v>22</v>
      </c>
      <c r="P63" s="465"/>
      <c r="Q63" s="465"/>
      <c r="R63" s="466"/>
      <c r="S63" s="85"/>
      <c r="T63" s="85"/>
      <c r="U63" s="85"/>
      <c r="V63" s="473" t="s">
        <v>23</v>
      </c>
      <c r="W63" s="473"/>
      <c r="X63" s="473"/>
      <c r="Y63" s="473"/>
      <c r="Z63" s="473"/>
      <c r="AA63" s="473"/>
      <c r="AB63" s="474">
        <f>AF61</f>
        <v>166297</v>
      </c>
      <c r="AC63" s="474"/>
      <c r="AD63" s="475"/>
      <c r="AE63" s="475"/>
      <c r="AF63" s="475"/>
      <c r="AG63" s="475"/>
      <c r="AH63" s="476"/>
      <c r="AI63" s="477"/>
      <c r="AJ63" s="499"/>
      <c r="AK63" s="500"/>
      <c r="AL63" s="500"/>
      <c r="AM63" s="500"/>
      <c r="AN63" s="500"/>
      <c r="AO63" s="500"/>
      <c r="AP63" s="500"/>
      <c r="AQ63" s="500"/>
      <c r="AR63" s="500"/>
      <c r="AS63" s="500"/>
      <c r="AT63" s="500"/>
      <c r="AU63" s="500"/>
      <c r="AV63" s="500"/>
      <c r="AW63" s="500"/>
      <c r="AX63" s="500"/>
      <c r="AY63" s="500"/>
      <c r="AZ63" s="501"/>
      <c r="BA63" s="24"/>
      <c r="BB63" s="24"/>
      <c r="BI63" s="22"/>
      <c r="BK63" s="19"/>
      <c r="BL63" s="20"/>
      <c r="BM63" s="19"/>
      <c r="BN63" s="21"/>
      <c r="BO63" s="21"/>
      <c r="BP63" s="19"/>
      <c r="BQ63" s="21"/>
    </row>
    <row r="64" spans="1:76" ht="15" customHeight="1">
      <c r="B64" s="307"/>
      <c r="C64" s="307"/>
      <c r="D64" s="307"/>
      <c r="E64" s="307"/>
      <c r="F64" s="80"/>
      <c r="G64" s="307"/>
      <c r="H64" s="307"/>
      <c r="I64" s="307"/>
      <c r="J64" s="307"/>
      <c r="K64" s="307"/>
      <c r="L64" s="307"/>
      <c r="M64" s="307"/>
      <c r="N64" s="13" t="s">
        <v>29</v>
      </c>
      <c r="O64" s="467"/>
      <c r="P64" s="468"/>
      <c r="Q64" s="468"/>
      <c r="R64" s="469"/>
      <c r="S64" s="86"/>
      <c r="T64" s="86"/>
      <c r="U64" s="86"/>
      <c r="V64" s="344" t="s">
        <v>25</v>
      </c>
      <c r="W64" s="344"/>
      <c r="X64" s="344"/>
      <c r="Y64" s="344"/>
      <c r="Z64" s="344"/>
      <c r="AA64" s="344"/>
      <c r="AB64" s="345">
        <f>AG61</f>
        <v>29788</v>
      </c>
      <c r="AC64" s="345"/>
      <c r="AD64" s="346"/>
      <c r="AE64" s="346"/>
      <c r="AF64" s="346"/>
      <c r="AG64" s="346"/>
      <c r="AH64" s="347"/>
      <c r="AI64" s="348"/>
      <c r="AJ64" s="499"/>
      <c r="AK64" s="500"/>
      <c r="AL64" s="500"/>
      <c r="AM64" s="500"/>
      <c r="AN64" s="500"/>
      <c r="AO64" s="500"/>
      <c r="AP64" s="500"/>
      <c r="AQ64" s="500"/>
      <c r="AR64" s="500"/>
      <c r="AS64" s="500"/>
      <c r="AT64" s="500"/>
      <c r="AU64" s="500"/>
      <c r="AV64" s="500"/>
      <c r="AW64" s="500"/>
      <c r="AX64" s="500"/>
      <c r="AY64" s="500"/>
      <c r="AZ64" s="501"/>
      <c r="BA64" s="24"/>
      <c r="BB64" s="24"/>
      <c r="BI64" s="22"/>
      <c r="BK64" s="19"/>
      <c r="BL64" s="20"/>
      <c r="BM64" s="19"/>
      <c r="BN64" s="21"/>
      <c r="BO64" s="21"/>
      <c r="BP64" s="19"/>
      <c r="BQ64" s="21"/>
    </row>
    <row r="65" spans="2:69" ht="14.25" customHeight="1">
      <c r="B65" s="307"/>
      <c r="C65" s="307"/>
      <c r="D65" s="307"/>
      <c r="E65" s="307"/>
      <c r="F65" s="80"/>
      <c r="G65" s="307"/>
      <c r="H65" s="307"/>
      <c r="I65" s="307"/>
      <c r="J65" s="307"/>
      <c r="K65" s="307"/>
      <c r="L65" s="307"/>
      <c r="M65" s="307"/>
      <c r="N65" s="13" t="s">
        <v>24</v>
      </c>
      <c r="O65" s="467"/>
      <c r="P65" s="468"/>
      <c r="Q65" s="468"/>
      <c r="R65" s="469"/>
      <c r="S65" s="86"/>
      <c r="T65" s="86"/>
      <c r="U65" s="86"/>
      <c r="V65" s="344" t="s">
        <v>26</v>
      </c>
      <c r="W65" s="344"/>
      <c r="X65" s="344"/>
      <c r="Y65" s="344"/>
      <c r="Z65" s="344"/>
      <c r="AA65" s="344"/>
      <c r="AB65" s="345">
        <f>AI61</f>
        <v>13512</v>
      </c>
      <c r="AC65" s="345"/>
      <c r="AD65" s="346"/>
      <c r="AE65" s="346"/>
      <c r="AF65" s="346"/>
      <c r="AG65" s="346"/>
      <c r="AH65" s="347"/>
      <c r="AI65" s="348"/>
      <c r="AJ65" s="499"/>
      <c r="AK65" s="500"/>
      <c r="AL65" s="500"/>
      <c r="AM65" s="500"/>
      <c r="AN65" s="500"/>
      <c r="AO65" s="500"/>
      <c r="AP65" s="500"/>
      <c r="AQ65" s="500"/>
      <c r="AR65" s="500"/>
      <c r="AS65" s="500"/>
      <c r="AT65" s="500"/>
      <c r="AU65" s="500"/>
      <c r="AV65" s="500"/>
      <c r="AW65" s="500"/>
      <c r="AX65" s="500"/>
      <c r="AY65" s="500"/>
      <c r="AZ65" s="501"/>
      <c r="BA65" s="24"/>
      <c r="BB65" s="24"/>
      <c r="BI65" s="22"/>
      <c r="BK65" s="19"/>
      <c r="BL65" s="20"/>
      <c r="BM65" s="19"/>
      <c r="BN65" s="21"/>
      <c r="BO65" s="21"/>
      <c r="BP65" s="19"/>
      <c r="BQ65" s="21"/>
    </row>
    <row r="66" spans="2:69" ht="15" customHeight="1">
      <c r="B66" s="307"/>
      <c r="C66" s="307"/>
      <c r="D66" s="307"/>
      <c r="E66" s="307"/>
      <c r="F66" s="80"/>
      <c r="G66" s="307"/>
      <c r="H66" s="307"/>
      <c r="I66" s="307"/>
      <c r="J66" s="307"/>
      <c r="K66" s="307"/>
      <c r="L66" s="307"/>
      <c r="M66" s="307"/>
      <c r="N66" s="13" t="s">
        <v>79</v>
      </c>
      <c r="O66" s="467"/>
      <c r="P66" s="468"/>
      <c r="Q66" s="468"/>
      <c r="R66" s="469"/>
      <c r="S66" s="86"/>
      <c r="T66" s="86"/>
      <c r="U66" s="86"/>
      <c r="V66" s="331">
        <f>AH10</f>
        <v>0</v>
      </c>
      <c r="W66" s="332"/>
      <c r="X66" s="332"/>
      <c r="Y66" s="332"/>
      <c r="Z66" s="332"/>
      <c r="AA66" s="333"/>
      <c r="AB66" s="334">
        <f>AH61</f>
        <v>0</v>
      </c>
      <c r="AC66" s="335"/>
      <c r="AD66" s="335"/>
      <c r="AE66" s="335"/>
      <c r="AF66" s="335"/>
      <c r="AG66" s="335"/>
      <c r="AH66" s="335"/>
      <c r="AI66" s="336"/>
      <c r="AJ66" s="349" t="s">
        <v>27</v>
      </c>
      <c r="AK66" s="350"/>
      <c r="AL66" s="350"/>
      <c r="AM66" s="350"/>
      <c r="AN66" s="350"/>
      <c r="AO66" s="350"/>
      <c r="AP66" s="350"/>
      <c r="AQ66" s="350"/>
      <c r="AR66" s="350"/>
      <c r="AS66" s="350"/>
      <c r="AT66" s="350"/>
      <c r="AU66" s="350"/>
      <c r="AV66" s="350"/>
      <c r="AW66" s="350"/>
      <c r="AX66" s="350"/>
      <c r="AY66" s="350"/>
      <c r="AZ66" s="351"/>
      <c r="BA66" s="24"/>
      <c r="BB66" s="24"/>
      <c r="BI66" s="22"/>
      <c r="BK66" s="19"/>
      <c r="BL66" s="20"/>
      <c r="BM66" s="19"/>
      <c r="BN66" s="21"/>
      <c r="BO66" s="21"/>
      <c r="BP66" s="19"/>
      <c r="BQ66" s="21"/>
    </row>
    <row r="67" spans="2:69" ht="18.75" customHeight="1" thickBot="1">
      <c r="B67" s="307"/>
      <c r="C67" s="307"/>
      <c r="D67" s="307"/>
      <c r="E67" s="307"/>
      <c r="F67" s="80"/>
      <c r="G67" s="307"/>
      <c r="H67" s="307"/>
      <c r="I67" s="307"/>
      <c r="J67" s="307"/>
      <c r="K67" s="307"/>
      <c r="L67" s="307"/>
      <c r="M67" s="307"/>
      <c r="N67" s="14"/>
      <c r="O67" s="470"/>
      <c r="P67" s="471"/>
      <c r="Q67" s="471"/>
      <c r="R67" s="472"/>
      <c r="S67" s="87"/>
      <c r="T67" s="87"/>
      <c r="U67" s="87"/>
      <c r="V67" s="356" t="s">
        <v>19</v>
      </c>
      <c r="W67" s="356"/>
      <c r="X67" s="356"/>
      <c r="Y67" s="356"/>
      <c r="Z67" s="356"/>
      <c r="AA67" s="356"/>
      <c r="AB67" s="423">
        <f>SUM(AB63:AI65)</f>
        <v>209597</v>
      </c>
      <c r="AC67" s="423"/>
      <c r="AD67" s="423"/>
      <c r="AE67" s="423"/>
      <c r="AF67" s="423"/>
      <c r="AG67" s="423"/>
      <c r="AH67" s="424"/>
      <c r="AI67" s="425"/>
      <c r="AJ67" s="352"/>
      <c r="AK67" s="350"/>
      <c r="AL67" s="350"/>
      <c r="AM67" s="350"/>
      <c r="AN67" s="350"/>
      <c r="AO67" s="350"/>
      <c r="AP67" s="350"/>
      <c r="AQ67" s="350"/>
      <c r="AR67" s="350"/>
      <c r="AS67" s="350"/>
      <c r="AT67" s="350"/>
      <c r="AU67" s="350"/>
      <c r="AV67" s="350"/>
      <c r="AW67" s="350"/>
      <c r="AX67" s="350"/>
      <c r="AY67" s="350"/>
      <c r="AZ67" s="351"/>
      <c r="BA67" s="24"/>
      <c r="BB67" s="24"/>
      <c r="BI67" s="22"/>
      <c r="BK67" s="19"/>
      <c r="BL67" s="20"/>
      <c r="BM67" s="19"/>
      <c r="BN67" s="21"/>
      <c r="BO67" s="21"/>
      <c r="BP67" s="19"/>
      <c r="BQ67" s="21"/>
    </row>
    <row r="68" spans="2:69" ht="15" customHeight="1">
      <c r="B68" s="307"/>
      <c r="C68" s="307"/>
      <c r="D68" s="307"/>
      <c r="E68" s="307"/>
      <c r="F68" s="80"/>
      <c r="G68" s="307"/>
      <c r="H68" s="307"/>
      <c r="I68" s="307"/>
      <c r="J68" s="307"/>
      <c r="K68" s="307"/>
      <c r="L68" s="307"/>
      <c r="M68" s="307"/>
      <c r="N68" s="15" t="s">
        <v>21</v>
      </c>
      <c r="O68" s="360" t="s">
        <v>28</v>
      </c>
      <c r="P68" s="361"/>
      <c r="Q68" s="361"/>
      <c r="R68" s="362"/>
      <c r="S68" s="82"/>
      <c r="T68" s="82"/>
      <c r="U68" s="82"/>
      <c r="V68" s="366" t="s">
        <v>65</v>
      </c>
      <c r="W68" s="366"/>
      <c r="X68" s="366"/>
      <c r="Y68" s="366"/>
      <c r="Z68" s="366"/>
      <c r="AA68" s="366"/>
      <c r="AB68" s="367">
        <f>AM61</f>
        <v>20659</v>
      </c>
      <c r="AC68" s="367"/>
      <c r="AD68" s="368"/>
      <c r="AE68" s="368"/>
      <c r="AF68" s="368"/>
      <c r="AG68" s="368"/>
      <c r="AH68" s="369"/>
      <c r="AI68" s="369"/>
      <c r="AJ68" s="352"/>
      <c r="AK68" s="350"/>
      <c r="AL68" s="350"/>
      <c r="AM68" s="350"/>
      <c r="AN68" s="350"/>
      <c r="AO68" s="350"/>
      <c r="AP68" s="350"/>
      <c r="AQ68" s="350"/>
      <c r="AR68" s="350"/>
      <c r="AS68" s="350"/>
      <c r="AT68" s="350"/>
      <c r="AU68" s="350"/>
      <c r="AV68" s="350"/>
      <c r="AW68" s="350"/>
      <c r="AX68" s="350"/>
      <c r="AY68" s="350"/>
      <c r="AZ68" s="351"/>
      <c r="BA68" s="24"/>
      <c r="BB68" s="24"/>
      <c r="BI68" s="22"/>
      <c r="BK68" s="19"/>
      <c r="BL68" s="20"/>
      <c r="BM68" s="19"/>
      <c r="BN68" s="21"/>
      <c r="BO68" s="21"/>
      <c r="BP68" s="19"/>
      <c r="BQ68" s="21"/>
    </row>
    <row r="69" spans="2:69" ht="15" customHeight="1">
      <c r="B69" s="307"/>
      <c r="C69" s="307"/>
      <c r="D69" s="307"/>
      <c r="E69" s="307"/>
      <c r="F69" s="80"/>
      <c r="G69" s="307"/>
      <c r="H69" s="307"/>
      <c r="I69" s="307"/>
      <c r="J69" s="307"/>
      <c r="K69" s="307"/>
      <c r="L69" s="307"/>
      <c r="M69" s="307"/>
      <c r="N69" s="16" t="s">
        <v>29</v>
      </c>
      <c r="O69" s="360"/>
      <c r="P69" s="361"/>
      <c r="Q69" s="361"/>
      <c r="R69" s="362"/>
      <c r="S69" s="82"/>
      <c r="T69" s="82"/>
      <c r="U69" s="82"/>
      <c r="V69" s="344" t="s">
        <v>7</v>
      </c>
      <c r="W69" s="344"/>
      <c r="X69" s="344"/>
      <c r="Y69" s="344"/>
      <c r="Z69" s="344"/>
      <c r="AA69" s="344"/>
      <c r="AB69" s="345">
        <f>AP61</f>
        <v>0</v>
      </c>
      <c r="AC69" s="345"/>
      <c r="AD69" s="346"/>
      <c r="AE69" s="346"/>
      <c r="AF69" s="346"/>
      <c r="AG69" s="346"/>
      <c r="AH69" s="347"/>
      <c r="AI69" s="347"/>
      <c r="AJ69" s="352"/>
      <c r="AK69" s="350"/>
      <c r="AL69" s="350"/>
      <c r="AM69" s="350"/>
      <c r="AN69" s="350"/>
      <c r="AO69" s="350"/>
      <c r="AP69" s="350"/>
      <c r="AQ69" s="350"/>
      <c r="AR69" s="350"/>
      <c r="AS69" s="350"/>
      <c r="AT69" s="350"/>
      <c r="AU69" s="350"/>
      <c r="AV69" s="350"/>
      <c r="AW69" s="350"/>
      <c r="AX69" s="350"/>
      <c r="AY69" s="350"/>
      <c r="AZ69" s="351"/>
      <c r="BA69" s="24"/>
      <c r="BB69" s="24"/>
      <c r="BI69" s="22"/>
      <c r="BK69" s="19"/>
      <c r="BL69" s="20"/>
      <c r="BM69" s="19"/>
      <c r="BN69" s="21"/>
      <c r="BO69" s="21"/>
      <c r="BP69" s="19"/>
      <c r="BQ69" s="21"/>
    </row>
    <row r="70" spans="2:69" ht="15" customHeight="1">
      <c r="B70" s="307"/>
      <c r="C70" s="307"/>
      <c r="D70" s="307"/>
      <c r="E70" s="307"/>
      <c r="F70" s="80"/>
      <c r="G70" s="307"/>
      <c r="H70" s="307"/>
      <c r="I70" s="307"/>
      <c r="J70" s="307"/>
      <c r="K70" s="307"/>
      <c r="L70" s="307"/>
      <c r="M70" s="307"/>
      <c r="N70" s="13" t="s">
        <v>24</v>
      </c>
      <c r="O70" s="360"/>
      <c r="P70" s="361"/>
      <c r="Q70" s="361"/>
      <c r="R70" s="362"/>
      <c r="S70" s="82"/>
      <c r="T70" s="82"/>
      <c r="U70" s="82"/>
      <c r="V70" s="344" t="s">
        <v>30</v>
      </c>
      <c r="W70" s="344"/>
      <c r="X70" s="344"/>
      <c r="Y70" s="344"/>
      <c r="Z70" s="344"/>
      <c r="AA70" s="344"/>
      <c r="AB70" s="345">
        <f>AW61</f>
        <v>20960</v>
      </c>
      <c r="AC70" s="345"/>
      <c r="AD70" s="346"/>
      <c r="AE70" s="346"/>
      <c r="AF70" s="346"/>
      <c r="AG70" s="346"/>
      <c r="AH70" s="347"/>
      <c r="AI70" s="347"/>
      <c r="AJ70" s="352"/>
      <c r="AK70" s="350"/>
      <c r="AL70" s="350"/>
      <c r="AM70" s="350"/>
      <c r="AN70" s="350"/>
      <c r="AO70" s="350"/>
      <c r="AP70" s="350"/>
      <c r="AQ70" s="350"/>
      <c r="AR70" s="350"/>
      <c r="AS70" s="350"/>
      <c r="AT70" s="350"/>
      <c r="AU70" s="350"/>
      <c r="AV70" s="350"/>
      <c r="AW70" s="350"/>
      <c r="AX70" s="350"/>
      <c r="AY70" s="350"/>
      <c r="AZ70" s="351"/>
      <c r="BA70" s="24"/>
      <c r="BB70" s="24"/>
      <c r="BI70" s="22"/>
      <c r="BK70" s="19"/>
      <c r="BL70" s="20"/>
      <c r="BM70" s="19"/>
      <c r="BN70" s="21"/>
      <c r="BO70" s="21"/>
      <c r="BP70" s="19"/>
      <c r="BQ70" s="21"/>
    </row>
    <row r="71" spans="2:69" ht="15" customHeight="1">
      <c r="B71" s="307"/>
      <c r="C71" s="307"/>
      <c r="D71" s="307"/>
      <c r="E71" s="307"/>
      <c r="F71" s="80"/>
      <c r="G71" s="307"/>
      <c r="H71" s="307"/>
      <c r="I71" s="307"/>
      <c r="J71" s="307"/>
      <c r="K71" s="307"/>
      <c r="L71" s="307"/>
      <c r="M71" s="307"/>
      <c r="N71" s="13" t="s">
        <v>79</v>
      </c>
      <c r="O71" s="360"/>
      <c r="P71" s="361"/>
      <c r="Q71" s="361"/>
      <c r="R71" s="362"/>
      <c r="S71" s="82"/>
      <c r="T71" s="82"/>
      <c r="U71" s="82"/>
      <c r="V71" s="337" t="str">
        <f>AQ9</f>
        <v>CM Corona Relief</v>
      </c>
      <c r="W71" s="338"/>
      <c r="X71" s="338"/>
      <c r="Y71" s="338"/>
      <c r="Z71" s="338"/>
      <c r="AA71" s="339"/>
      <c r="AB71" s="340">
        <f>AS61</f>
        <v>876</v>
      </c>
      <c r="AC71" s="335"/>
      <c r="AD71" s="335"/>
      <c r="AE71" s="335"/>
      <c r="AF71" s="335"/>
      <c r="AG71" s="335"/>
      <c r="AH71" s="335"/>
      <c r="AI71" s="336"/>
      <c r="AJ71" s="352"/>
      <c r="AK71" s="350"/>
      <c r="AL71" s="350"/>
      <c r="AM71" s="350"/>
      <c r="AN71" s="350"/>
      <c r="AO71" s="350"/>
      <c r="AP71" s="350"/>
      <c r="AQ71" s="350"/>
      <c r="AR71" s="350"/>
      <c r="AS71" s="350"/>
      <c r="AT71" s="350"/>
      <c r="AU71" s="350"/>
      <c r="AV71" s="350"/>
      <c r="AW71" s="350"/>
      <c r="AX71" s="350"/>
      <c r="AY71" s="350"/>
      <c r="AZ71" s="351"/>
      <c r="BA71" s="24"/>
      <c r="BB71" s="24"/>
      <c r="BI71" s="22"/>
      <c r="BK71" s="19"/>
      <c r="BL71" s="20"/>
      <c r="BM71" s="19"/>
      <c r="BN71" s="21"/>
      <c r="BO71" s="21"/>
      <c r="BP71" s="19"/>
      <c r="BQ71" s="21"/>
    </row>
    <row r="72" spans="2:69" ht="15" customHeight="1">
      <c r="B72" s="307"/>
      <c r="C72" s="307"/>
      <c r="D72" s="307"/>
      <c r="E72" s="307"/>
      <c r="F72" s="80"/>
      <c r="G72" s="307"/>
      <c r="H72" s="307"/>
      <c r="I72" s="307"/>
      <c r="J72" s="307"/>
      <c r="K72" s="307"/>
      <c r="L72" s="307"/>
      <c r="M72" s="307"/>
      <c r="N72" s="35" t="s">
        <v>99</v>
      </c>
      <c r="O72" s="360"/>
      <c r="P72" s="361"/>
      <c r="Q72" s="361"/>
      <c r="R72" s="362"/>
      <c r="S72" s="82"/>
      <c r="T72" s="82"/>
      <c r="U72" s="82"/>
      <c r="V72" s="337">
        <f>AV9</f>
        <v>0</v>
      </c>
      <c r="W72" s="338"/>
      <c r="X72" s="338"/>
      <c r="Y72" s="338"/>
      <c r="Z72" s="338"/>
      <c r="AA72" s="338"/>
      <c r="AB72" s="373">
        <f>AV61</f>
        <v>0</v>
      </c>
      <c r="AC72" s="334"/>
      <c r="AD72" s="334"/>
      <c r="AE72" s="334"/>
      <c r="AF72" s="334"/>
      <c r="AG72" s="334"/>
      <c r="AH72" s="334"/>
      <c r="AI72" s="374"/>
      <c r="AJ72" s="352"/>
      <c r="AK72" s="350"/>
      <c r="AL72" s="350"/>
      <c r="AM72" s="350"/>
      <c r="AN72" s="350"/>
      <c r="AO72" s="350"/>
      <c r="AP72" s="350"/>
      <c r="AQ72" s="350"/>
      <c r="AR72" s="350"/>
      <c r="AS72" s="350"/>
      <c r="AT72" s="350"/>
      <c r="AU72" s="350"/>
      <c r="AV72" s="350"/>
      <c r="AW72" s="350"/>
      <c r="AX72" s="350"/>
      <c r="AY72" s="350"/>
      <c r="AZ72" s="351"/>
      <c r="BA72" s="24"/>
      <c r="BB72" s="24"/>
      <c r="BI72" s="22"/>
      <c r="BK72" s="19"/>
      <c r="BL72" s="20"/>
      <c r="BM72" s="19"/>
      <c r="BN72" s="21"/>
      <c r="BO72" s="21"/>
      <c r="BP72" s="19"/>
      <c r="BQ72" s="21"/>
    </row>
    <row r="73" spans="2:69" ht="18" customHeight="1">
      <c r="B73" s="307"/>
      <c r="C73" s="307"/>
      <c r="D73" s="307"/>
      <c r="E73" s="307"/>
      <c r="F73" s="80"/>
      <c r="G73" s="307"/>
      <c r="H73" s="307"/>
      <c r="I73" s="307"/>
      <c r="J73" s="307"/>
      <c r="K73" s="307"/>
      <c r="L73" s="307"/>
      <c r="M73" s="307"/>
      <c r="N73" s="17"/>
      <c r="O73" s="363"/>
      <c r="P73" s="364"/>
      <c r="Q73" s="364"/>
      <c r="R73" s="365"/>
      <c r="S73" s="83"/>
      <c r="T73" s="83"/>
      <c r="U73" s="83"/>
      <c r="V73" s="391" t="s">
        <v>19</v>
      </c>
      <c r="W73" s="391"/>
      <c r="X73" s="391"/>
      <c r="Y73" s="391"/>
      <c r="Z73" s="391"/>
      <c r="AA73" s="391"/>
      <c r="AB73" s="392">
        <f>SUM(AB68:AI72)</f>
        <v>42495</v>
      </c>
      <c r="AC73" s="392"/>
      <c r="AD73" s="391"/>
      <c r="AE73" s="391"/>
      <c r="AF73" s="391"/>
      <c r="AG73" s="391"/>
      <c r="AH73" s="393"/>
      <c r="AI73" s="393"/>
      <c r="AJ73" s="352"/>
      <c r="AK73" s="350"/>
      <c r="AL73" s="350"/>
      <c r="AM73" s="350"/>
      <c r="AN73" s="350"/>
      <c r="AO73" s="350"/>
      <c r="AP73" s="350"/>
      <c r="AQ73" s="350"/>
      <c r="AR73" s="350"/>
      <c r="AS73" s="350"/>
      <c r="AT73" s="350"/>
      <c r="AU73" s="350"/>
      <c r="AV73" s="350"/>
      <c r="AW73" s="350"/>
      <c r="AX73" s="350"/>
      <c r="AY73" s="350"/>
      <c r="AZ73" s="351"/>
      <c r="BA73" s="24"/>
      <c r="BB73" s="24"/>
      <c r="BI73" s="22"/>
      <c r="BK73" s="19"/>
      <c r="BL73" s="20"/>
      <c r="BM73" s="19"/>
      <c r="BN73" s="21"/>
      <c r="BO73" s="21"/>
      <c r="BP73" s="19"/>
      <c r="BQ73" s="21"/>
    </row>
    <row r="74" spans="2:69" ht="18.75" customHeight="1" thickBot="1">
      <c r="B74" s="307"/>
      <c r="C74" s="307"/>
      <c r="D74" s="307"/>
      <c r="E74" s="307"/>
      <c r="F74" s="80"/>
      <c r="G74" s="307"/>
      <c r="H74" s="307"/>
      <c r="I74" s="307"/>
      <c r="J74" s="307"/>
      <c r="K74" s="307"/>
      <c r="L74" s="307"/>
      <c r="M74" s="307"/>
      <c r="N74" s="426" t="s">
        <v>31</v>
      </c>
      <c r="O74" s="427"/>
      <c r="P74" s="427"/>
      <c r="Q74" s="427"/>
      <c r="R74" s="358"/>
      <c r="S74" s="358"/>
      <c r="T74" s="358"/>
      <c r="U74" s="358"/>
      <c r="V74" s="358"/>
      <c r="W74" s="358"/>
      <c r="X74" s="358"/>
      <c r="Y74" s="358"/>
      <c r="Z74" s="358"/>
      <c r="AA74" s="358"/>
      <c r="AB74" s="357">
        <f>AY61</f>
        <v>167102</v>
      </c>
      <c r="AC74" s="357"/>
      <c r="AD74" s="358"/>
      <c r="AE74" s="358"/>
      <c r="AF74" s="358"/>
      <c r="AG74" s="358"/>
      <c r="AH74" s="359"/>
      <c r="AI74" s="359"/>
      <c r="AJ74" s="353"/>
      <c r="AK74" s="354"/>
      <c r="AL74" s="354"/>
      <c r="AM74" s="354"/>
      <c r="AN74" s="354"/>
      <c r="AO74" s="354"/>
      <c r="AP74" s="354"/>
      <c r="AQ74" s="354"/>
      <c r="AR74" s="354"/>
      <c r="AS74" s="354"/>
      <c r="AT74" s="354"/>
      <c r="AU74" s="354"/>
      <c r="AV74" s="354"/>
      <c r="AW74" s="354"/>
      <c r="AX74" s="354"/>
      <c r="AY74" s="354"/>
      <c r="AZ74" s="355"/>
      <c r="BA74" s="24"/>
      <c r="BB74" s="24"/>
      <c r="BI74" s="22"/>
      <c r="BK74" s="19"/>
      <c r="BL74" s="20"/>
      <c r="BM74" s="19"/>
      <c r="BN74" s="21"/>
      <c r="BO74" s="21"/>
      <c r="BP74" s="19"/>
      <c r="BQ74" s="21"/>
    </row>
    <row r="75" spans="2:69" ht="30" customHeight="1">
      <c r="B75" s="307"/>
      <c r="C75" s="307"/>
      <c r="D75" s="307"/>
      <c r="E75" s="307"/>
      <c r="F75" s="80"/>
      <c r="G75" s="307"/>
      <c r="H75" s="307"/>
      <c r="I75" s="307"/>
      <c r="J75" s="307"/>
      <c r="K75" s="307"/>
      <c r="L75" s="307"/>
      <c r="M75" s="307"/>
      <c r="N75" s="394"/>
      <c r="O75" s="394"/>
      <c r="P75" s="394"/>
      <c r="Q75" s="394"/>
      <c r="R75" s="394"/>
      <c r="S75" s="394"/>
      <c r="T75" s="394"/>
      <c r="U75" s="394"/>
      <c r="V75" s="394"/>
      <c r="W75" s="394"/>
      <c r="X75" s="394"/>
      <c r="Y75" s="394"/>
      <c r="Z75" s="394"/>
      <c r="AA75" s="394"/>
      <c r="AB75" s="394"/>
      <c r="AC75" s="394"/>
      <c r="AD75" s="394"/>
      <c r="AE75" s="394"/>
      <c r="AF75" s="394"/>
      <c r="AG75" s="394"/>
      <c r="AH75" s="394"/>
      <c r="AI75" s="394"/>
      <c r="AJ75" s="394"/>
      <c r="AK75" s="394"/>
      <c r="AL75" s="394"/>
      <c r="AM75" s="394"/>
      <c r="AN75" s="394"/>
      <c r="AO75" s="394"/>
      <c r="AP75" s="394"/>
      <c r="AQ75" s="394"/>
      <c r="AR75" s="394"/>
      <c r="AS75" s="394"/>
      <c r="AT75" s="394"/>
      <c r="AU75" s="394"/>
      <c r="AV75" s="394"/>
      <c r="AW75" s="394"/>
      <c r="AX75" s="394"/>
      <c r="AY75" s="394"/>
      <c r="AZ75" s="394"/>
      <c r="BA75" s="24"/>
      <c r="BB75" s="24"/>
      <c r="BK75" s="19">
        <f t="shared" ref="BK75" si="20">IF($W$2="state",5,IF($W$2="subordinate",3,IF($W$2="ministrial",2,1)))</f>
        <v>1</v>
      </c>
      <c r="BL75" s="20" t="e">
        <f t="shared" ref="BL75" si="21">#REF!</f>
        <v>#REF!</v>
      </c>
      <c r="BM75" s="19" t="e">
        <f t="shared" ref="BM75" si="22">BK75+BL75</f>
        <v>#REF!</v>
      </c>
      <c r="BN75" s="21" t="e">
        <f t="shared" ref="BN75" si="23">IF(BM75=32025,"SSM",IF(BM75=32023,"SM",IF(BM75=32022,"MM",IF(BM75=32021,"FM",IF(BM75=92025,"SSS",IF(BM75=92023,"SS",IF(BM75=92022,"MS",IF(BM75=92021,"FS",IF(BM75=102025,"SSO",IF(BM75=102023,"SO",IF(BM75=102022,"MO",IF(BM75=102021,"FO",0))))))))))))</f>
        <v>#REF!</v>
      </c>
      <c r="BO75" s="21" t="e">
        <f t="shared" ref="BO75" si="24">IF(BL75="32020","M",IF(BL75="92020","S",IF(BL75="102020","O",0)))</f>
        <v>#REF!</v>
      </c>
      <c r="BP75" s="19" t="e">
        <f t="shared" ref="BP75" si="25">IF(BO75=0,0,$BT$3)</f>
        <v>#REF!</v>
      </c>
      <c r="BQ75" s="21" t="e">
        <f t="shared" ref="BQ75" si="26">CONCATENATE(BO75,BP75)</f>
        <v>#REF!</v>
      </c>
    </row>
  </sheetData>
  <sheetProtection password="E8FA" sheet="1" objects="1" scenarios="1" formatCells="0" formatColumns="0" formatRows="0"/>
  <mergeCells count="162">
    <mergeCell ref="B1:AZ1"/>
    <mergeCell ref="B2:D2"/>
    <mergeCell ref="E2:P2"/>
    <mergeCell ref="Q2:X2"/>
    <mergeCell ref="Y2:AB2"/>
    <mergeCell ref="AC2:AD2"/>
    <mergeCell ref="AE2:AH2"/>
    <mergeCell ref="AJ2:AL2"/>
    <mergeCell ref="AM2:AP2"/>
    <mergeCell ref="AQ2:AR2"/>
    <mergeCell ref="AS2:AY2"/>
    <mergeCell ref="B3:D3"/>
    <mergeCell ref="E3:P3"/>
    <mergeCell ref="Q3:AZ3"/>
    <mergeCell ref="B4:E4"/>
    <mergeCell ref="F4:F12"/>
    <mergeCell ref="G4:H9"/>
    <mergeCell ref="I4:J9"/>
    <mergeCell ref="K4:M6"/>
    <mergeCell ref="N4:AZ4"/>
    <mergeCell ref="B5:E5"/>
    <mergeCell ref="N5:AZ5"/>
    <mergeCell ref="B6:E6"/>
    <mergeCell ref="N6:AZ6"/>
    <mergeCell ref="B7:E7"/>
    <mergeCell ref="K7:K12"/>
    <mergeCell ref="L7:L12"/>
    <mergeCell ref="M7:M12"/>
    <mergeCell ref="N7:W7"/>
    <mergeCell ref="X7:AC7"/>
    <mergeCell ref="AD7:AG7"/>
    <mergeCell ref="AH7:AL7"/>
    <mergeCell ref="AM7:AP7"/>
    <mergeCell ref="AQ7:AZ7"/>
    <mergeCell ref="B8:E60"/>
    <mergeCell ref="N8:AF8"/>
    <mergeCell ref="AH8:AJ8"/>
    <mergeCell ref="AL8:AN8"/>
    <mergeCell ref="AW8:AZ8"/>
    <mergeCell ref="N9:N10"/>
    <mergeCell ref="AX9:AX10"/>
    <mergeCell ref="AY9:AY10"/>
    <mergeCell ref="AZ9:AZ10"/>
    <mergeCell ref="O9:R10"/>
    <mergeCell ref="V9:Z9"/>
    <mergeCell ref="AA9:AE9"/>
    <mergeCell ref="AF9:AJ9"/>
    <mergeCell ref="AK9:AM9"/>
    <mergeCell ref="AN9:AP9"/>
    <mergeCell ref="G10:G12"/>
    <mergeCell ref="H10:H12"/>
    <mergeCell ref="I10:I12"/>
    <mergeCell ref="J10:J12"/>
    <mergeCell ref="A11:A13"/>
    <mergeCell ref="N11:N13"/>
    <mergeCell ref="AQ9:AS9"/>
    <mergeCell ref="AT9:AV9"/>
    <mergeCell ref="AW9:AW10"/>
    <mergeCell ref="BP11:BP13"/>
    <mergeCell ref="BQ11:BQ13"/>
    <mergeCell ref="O13:R13"/>
    <mergeCell ref="BE11:BE13"/>
    <mergeCell ref="BF11:BF13"/>
    <mergeCell ref="BG11:BG13"/>
    <mergeCell ref="BH11:BH13"/>
    <mergeCell ref="BK11:BK13"/>
    <mergeCell ref="BL11:BL13"/>
    <mergeCell ref="AW11:AW12"/>
    <mergeCell ref="AX11:AX12"/>
    <mergeCell ref="AY11:AY12"/>
    <mergeCell ref="AZ11:AZ12"/>
    <mergeCell ref="BC11:BC13"/>
    <mergeCell ref="BD11:BD13"/>
    <mergeCell ref="AA11:AE12"/>
    <mergeCell ref="AF11:AJ12"/>
    <mergeCell ref="AK11:AM12"/>
    <mergeCell ref="AN11:AP12"/>
    <mergeCell ref="AQ11:AS12"/>
    <mergeCell ref="AT11:AV12"/>
    <mergeCell ref="O14:R14"/>
    <mergeCell ref="O15:R15"/>
    <mergeCell ref="O16:R16"/>
    <mergeCell ref="O17:R17"/>
    <mergeCell ref="O18:R18"/>
    <mergeCell ref="O19:R19"/>
    <mergeCell ref="BM11:BM13"/>
    <mergeCell ref="BN11:BN13"/>
    <mergeCell ref="BO11:BO13"/>
    <mergeCell ref="O26:R26"/>
    <mergeCell ref="O27:R27"/>
    <mergeCell ref="O28:R28"/>
    <mergeCell ref="O29:R29"/>
    <mergeCell ref="O30:R30"/>
    <mergeCell ref="O31:R31"/>
    <mergeCell ref="O20:R20"/>
    <mergeCell ref="O21:R21"/>
    <mergeCell ref="O22:R22"/>
    <mergeCell ref="O23:R23"/>
    <mergeCell ref="O24:R24"/>
    <mergeCell ref="O25:R25"/>
    <mergeCell ref="O38:R38"/>
    <mergeCell ref="O39:R39"/>
    <mergeCell ref="O40:R40"/>
    <mergeCell ref="O41:R41"/>
    <mergeCell ref="O42:R42"/>
    <mergeCell ref="O43:R43"/>
    <mergeCell ref="O32:R32"/>
    <mergeCell ref="O33:R33"/>
    <mergeCell ref="O34:R34"/>
    <mergeCell ref="O35:R35"/>
    <mergeCell ref="O36:R36"/>
    <mergeCell ref="O37:R37"/>
    <mergeCell ref="O50:R50"/>
    <mergeCell ref="O51:R51"/>
    <mergeCell ref="O52:R52"/>
    <mergeCell ref="O53:R53"/>
    <mergeCell ref="O54:R54"/>
    <mergeCell ref="O55:R55"/>
    <mergeCell ref="O44:R44"/>
    <mergeCell ref="O45:R45"/>
    <mergeCell ref="O46:R46"/>
    <mergeCell ref="O47:R47"/>
    <mergeCell ref="O48:R48"/>
    <mergeCell ref="O49:R49"/>
    <mergeCell ref="O56:R56"/>
    <mergeCell ref="O57:R57"/>
    <mergeCell ref="O58:R58"/>
    <mergeCell ref="O59:R59"/>
    <mergeCell ref="O60:R60"/>
    <mergeCell ref="B61:E75"/>
    <mergeCell ref="G61:M75"/>
    <mergeCell ref="N61:R61"/>
    <mergeCell ref="N62:AI62"/>
    <mergeCell ref="V71:AA71"/>
    <mergeCell ref="AJ62:AZ65"/>
    <mergeCell ref="O63:R67"/>
    <mergeCell ref="V63:AA63"/>
    <mergeCell ref="AB63:AI63"/>
    <mergeCell ref="V64:AA64"/>
    <mergeCell ref="AB64:AI64"/>
    <mergeCell ref="V65:AA65"/>
    <mergeCell ref="AB65:AI65"/>
    <mergeCell ref="V66:AA66"/>
    <mergeCell ref="AB66:AI66"/>
    <mergeCell ref="N75:AZ75"/>
    <mergeCell ref="AB71:AI71"/>
    <mergeCell ref="V72:AA72"/>
    <mergeCell ref="AB72:AI72"/>
    <mergeCell ref="V73:AA73"/>
    <mergeCell ref="AB73:AI73"/>
    <mergeCell ref="N74:AA74"/>
    <mergeCell ref="AB74:AI74"/>
    <mergeCell ref="AJ66:AZ74"/>
    <mergeCell ref="V67:AA67"/>
    <mergeCell ref="AB67:AI67"/>
    <mergeCell ref="O68:R73"/>
    <mergeCell ref="V68:AA68"/>
    <mergeCell ref="AB68:AI68"/>
    <mergeCell ref="V69:AA69"/>
    <mergeCell ref="AB69:AI69"/>
    <mergeCell ref="V70:AA70"/>
    <mergeCell ref="AB70:AI70"/>
  </mergeCells>
  <conditionalFormatting sqref="AY14:AZ60 N14:O60 A14:A60 AC13:AC60 V14:AB60 AD14:AP60 AT14:AW60">
    <cfRule type="expression" dxfId="7" priority="6">
      <formula>$O13=0</formula>
    </cfRule>
  </conditionalFormatting>
  <conditionalFormatting sqref="BO14:BQ75">
    <cfRule type="cellIs" dxfId="6" priority="5" operator="equal">
      <formula>0</formula>
    </cfRule>
  </conditionalFormatting>
  <conditionalFormatting sqref="S11:V60">
    <cfRule type="expression" dxfId="5" priority="4">
      <formula>$S11=7</formula>
    </cfRule>
  </conditionalFormatting>
  <conditionalFormatting sqref="AC10 X10 AH10 V66:AI66 X7:AC7 AQ7:AZ7">
    <cfRule type="cellIs" dxfId="4" priority="3" operator="equal">
      <formula>0</formula>
    </cfRule>
  </conditionalFormatting>
  <conditionalFormatting sqref="AH7:AL7">
    <cfRule type="cellIs" dxfId="3" priority="2" operator="equal">
      <formula>0</formula>
    </cfRule>
  </conditionalFormatting>
  <conditionalFormatting sqref="K13:M60">
    <cfRule type="expression" dxfId="2" priority="1">
      <formula>$K13="YES"</formula>
    </cfRule>
  </conditionalFormatting>
  <dataValidations count="3">
    <dataValidation type="list" allowBlank="1" showInputMessage="1" showErrorMessage="1" sqref="K13:K60">
      <formula1>"YES,NO"</formula1>
    </dataValidation>
    <dataValidation type="list" allowBlank="1" showInputMessage="1" showErrorMessage="1" sqref="E2:M2">
      <formula1>"Salary,Fixation,ACP"</formula1>
    </dataValidation>
    <dataValidation type="list" allowBlank="1" showInputMessage="1" showErrorMessage="1" sqref="Y2">
      <formula1>"Subordinate,State,Ministrial"</formula1>
    </dataValidation>
  </dataValidations>
  <pageMargins left="0.31496062992125984" right="0.19685039370078741" top="0.31496062992125984" bottom="0.35433070866141736" header="0.31496062992125984" footer="0.31496062992125984"/>
  <pageSetup paperSize="9" scale="63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0000"/>
  </sheetPr>
  <dimension ref="A1:L25"/>
  <sheetViews>
    <sheetView showGridLines="0" zoomScale="85" zoomScaleNormal="85" workbookViewId="0">
      <selection activeCell="C5" sqref="C5"/>
    </sheetView>
  </sheetViews>
  <sheetFormatPr defaultColWidth="0" defaultRowHeight="15" zeroHeight="1"/>
  <cols>
    <col min="1" max="1" width="5.5703125" style="41" customWidth="1"/>
    <col min="2" max="2" width="22.140625" style="41" customWidth="1"/>
    <col min="3" max="3" width="16.7109375" style="41" customWidth="1"/>
    <col min="4" max="6" width="20.85546875" style="41" customWidth="1"/>
    <col min="7" max="7" width="11.28515625" style="41" customWidth="1"/>
    <col min="8" max="8" width="20.85546875" style="41" customWidth="1"/>
    <col min="9" max="9" width="2" style="41" customWidth="1"/>
    <col min="10" max="10" width="8.7109375" style="41" customWidth="1"/>
    <col min="11" max="11" width="7.140625" style="41" hidden="1" customWidth="1"/>
    <col min="12" max="12" width="0" style="41" hidden="1" customWidth="1"/>
    <col min="13" max="16384" width="9.140625" style="41" hidden="1"/>
  </cols>
  <sheetData>
    <row r="1" spans="1:11" ht="29.25" customHeight="1">
      <c r="A1" s="541" t="str">
        <f>'Arear Table Protected'!N4</f>
        <v>Govt. Sr. Sec. School Raimalwada, Bapini (Jodhpur)</v>
      </c>
      <c r="B1" s="541"/>
      <c r="C1" s="541"/>
      <c r="D1" s="541"/>
      <c r="E1" s="541"/>
      <c r="F1" s="541"/>
      <c r="G1" s="541"/>
      <c r="H1" s="541"/>
      <c r="I1" s="537"/>
      <c r="J1" s="535" t="s">
        <v>93</v>
      </c>
      <c r="K1" s="536" t="s">
        <v>94</v>
      </c>
    </row>
    <row r="2" spans="1:11" ht="21.75">
      <c r="A2" s="540" t="s">
        <v>33</v>
      </c>
      <c r="B2" s="540"/>
      <c r="C2" s="540"/>
      <c r="D2" s="540"/>
      <c r="E2" s="540"/>
      <c r="F2" s="540"/>
      <c r="G2" s="540"/>
      <c r="H2" s="540"/>
      <c r="I2" s="537"/>
      <c r="J2" s="535"/>
      <c r="K2" s="536"/>
    </row>
    <row r="3" spans="1:11" ht="119.25" customHeight="1" thickBot="1">
      <c r="A3" s="542" t="s">
        <v>46</v>
      </c>
      <c r="B3" s="542"/>
      <c r="C3" s="542"/>
      <c r="D3" s="542"/>
      <c r="E3" s="542"/>
      <c r="F3" s="542"/>
      <c r="G3" s="542"/>
      <c r="H3" s="542"/>
      <c r="I3" s="537"/>
      <c r="J3" s="535"/>
      <c r="K3" s="536"/>
    </row>
    <row r="4" spans="1:11" ht="48" thickBot="1">
      <c r="A4" s="69" t="s">
        <v>34</v>
      </c>
      <c r="B4" s="70" t="s">
        <v>35</v>
      </c>
      <c r="C4" s="70" t="s">
        <v>81</v>
      </c>
      <c r="D4" s="70" t="s">
        <v>37</v>
      </c>
      <c r="E4" s="72" t="s">
        <v>100</v>
      </c>
      <c r="F4" s="70" t="s">
        <v>38</v>
      </c>
      <c r="G4" s="70" t="s">
        <v>39</v>
      </c>
      <c r="H4" s="70" t="s">
        <v>45</v>
      </c>
      <c r="I4" s="537"/>
      <c r="J4" s="535"/>
      <c r="K4" s="536"/>
    </row>
    <row r="5" spans="1:11" s="8" customFormat="1" ht="46.5" customHeight="1" thickBot="1">
      <c r="A5" s="71">
        <v>1</v>
      </c>
      <c r="B5" s="33"/>
      <c r="C5" s="33"/>
      <c r="D5" s="73"/>
      <c r="E5" s="73"/>
      <c r="F5" s="74">
        <v>45100</v>
      </c>
      <c r="G5" s="75"/>
      <c r="H5" s="76"/>
      <c r="I5" s="537"/>
      <c r="J5" s="535"/>
      <c r="K5" s="536"/>
    </row>
    <row r="6" spans="1:11" ht="18.75">
      <c r="A6" s="539" t="s">
        <v>40</v>
      </c>
      <c r="B6" s="539"/>
      <c r="C6" s="539"/>
      <c r="D6" s="539"/>
      <c r="E6" s="539"/>
      <c r="F6" s="539"/>
      <c r="G6" s="539"/>
      <c r="H6" s="539"/>
      <c r="I6" s="537"/>
      <c r="J6" s="535"/>
      <c r="K6" s="536"/>
    </row>
    <row r="7" spans="1:11" ht="20.25">
      <c r="A7" s="28"/>
      <c r="I7" s="537"/>
      <c r="J7" s="535"/>
      <c r="K7" s="536"/>
    </row>
    <row r="8" spans="1:11">
      <c r="I8" s="537"/>
      <c r="J8" s="535"/>
      <c r="K8" s="536"/>
    </row>
    <row r="9" spans="1:11" ht="18.75">
      <c r="A9" s="29"/>
      <c r="I9" s="537"/>
      <c r="J9" s="535"/>
      <c r="K9" s="536"/>
    </row>
    <row r="10" spans="1:11" ht="18.75">
      <c r="A10" s="543" t="s">
        <v>41</v>
      </c>
      <c r="B10" s="543"/>
      <c r="C10" s="543"/>
      <c r="D10" s="543" t="s">
        <v>110</v>
      </c>
      <c r="E10" s="543"/>
      <c r="G10" s="538" t="s">
        <v>27</v>
      </c>
      <c r="H10" s="538"/>
      <c r="I10" s="537"/>
      <c r="J10" s="40"/>
      <c r="K10" s="537"/>
    </row>
    <row r="11" spans="1:11" ht="18.75">
      <c r="A11" s="29" t="s">
        <v>42</v>
      </c>
      <c r="I11" s="537"/>
      <c r="J11" s="40"/>
      <c r="K11" s="537"/>
    </row>
    <row r="12" spans="1:11" ht="18.75">
      <c r="A12" s="30" t="s">
        <v>97</v>
      </c>
      <c r="B12" s="37"/>
      <c r="I12" s="537"/>
      <c r="J12" s="40"/>
      <c r="K12" s="537"/>
    </row>
    <row r="13" spans="1:11" ht="18.75">
      <c r="A13" s="30" t="s">
        <v>43</v>
      </c>
      <c r="B13" s="37"/>
      <c r="I13" s="537"/>
      <c r="J13" s="40"/>
      <c r="K13" s="537"/>
    </row>
    <row r="14" spans="1:11" ht="18.75">
      <c r="A14" s="30" t="s">
        <v>44</v>
      </c>
      <c r="B14" s="37"/>
      <c r="I14" s="537"/>
      <c r="J14" s="40"/>
      <c r="K14" s="537"/>
    </row>
    <row r="15" spans="1:11" ht="18.75">
      <c r="A15" s="30"/>
      <c r="G15" s="538" t="s">
        <v>27</v>
      </c>
      <c r="H15" s="538"/>
      <c r="I15" s="537"/>
      <c r="J15" s="40"/>
      <c r="K15" s="537"/>
    </row>
    <row r="16" spans="1:11">
      <c r="I16" s="537"/>
      <c r="J16" s="40"/>
      <c r="K16" s="537"/>
    </row>
    <row r="17" spans="10:11" hidden="1">
      <c r="J17" s="40"/>
      <c r="K17" s="537"/>
    </row>
    <row r="18" spans="10:11" hidden="1">
      <c r="J18" s="40"/>
      <c r="K18" s="537"/>
    </row>
    <row r="19" spans="10:11" hidden="1"/>
    <row r="20" spans="10:11" hidden="1"/>
    <row r="21" spans="10:11" hidden="1"/>
    <row r="22" spans="10:11" hidden="1"/>
    <row r="23" spans="10:11" hidden="1"/>
    <row r="24" spans="10:11" hidden="1"/>
    <row r="25" spans="10:11" ht="23.25" hidden="1">
      <c r="K25" s="50"/>
    </row>
  </sheetData>
  <sheetProtection password="E8FA" sheet="1" objects="1" scenarios="1" formatCells="0" formatColumns="0" formatRows="0" insertColumns="0" insertRows="0" selectLockedCells="1"/>
  <mergeCells count="12">
    <mergeCell ref="J1:J9"/>
    <mergeCell ref="K1:K9"/>
    <mergeCell ref="K10:K18"/>
    <mergeCell ref="G10:H10"/>
    <mergeCell ref="G15:H15"/>
    <mergeCell ref="A6:H6"/>
    <mergeCell ref="A2:H2"/>
    <mergeCell ref="A1:H1"/>
    <mergeCell ref="A3:H3"/>
    <mergeCell ref="I1:I16"/>
    <mergeCell ref="A10:C10"/>
    <mergeCell ref="D10:E10"/>
  </mergeCells>
  <pageMargins left="0.43" right="0.21" top="0.45" bottom="0.22" header="0.31496062992125984" footer="0.19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0000"/>
  </sheetPr>
  <dimension ref="A1:AA26"/>
  <sheetViews>
    <sheetView showGridLines="0" topLeftCell="E1" workbookViewId="0">
      <selection activeCell="M4" sqref="M4:M5"/>
    </sheetView>
  </sheetViews>
  <sheetFormatPr defaultColWidth="0" defaultRowHeight="0" customHeight="1" zeroHeight="1"/>
  <cols>
    <col min="1" max="1" width="4.7109375" style="41" customWidth="1"/>
    <col min="2" max="2" width="13.85546875" style="41" customWidth="1"/>
    <col min="3" max="3" width="15" style="41" customWidth="1"/>
    <col min="4" max="6" width="13.7109375" style="41" customWidth="1"/>
    <col min="7" max="7" width="5.85546875" style="41" customWidth="1"/>
    <col min="8" max="8" width="7.42578125" style="41" customWidth="1"/>
    <col min="9" max="9" width="10.7109375" style="41" customWidth="1"/>
    <col min="10" max="10" width="5.85546875" style="41" customWidth="1"/>
    <col min="11" max="11" width="7.140625" style="41" customWidth="1"/>
    <col min="12" max="12" width="10.7109375" style="41" customWidth="1"/>
    <col min="13" max="13" width="13.7109375" style="41" customWidth="1"/>
    <col min="14" max="14" width="14.5703125" style="41" customWidth="1"/>
    <col min="15" max="15" width="12" style="41" customWidth="1"/>
    <col min="16" max="16" width="10.5703125" style="41" customWidth="1"/>
    <col min="17" max="17" width="2" style="41" customWidth="1"/>
    <col min="18" max="18" width="9" style="41" customWidth="1"/>
    <col min="19" max="19" width="0.140625" style="41" customWidth="1"/>
    <col min="20" max="27" width="0" style="41" hidden="1" customWidth="1"/>
    <col min="28" max="16384" width="9.140625" style="41" hidden="1"/>
  </cols>
  <sheetData>
    <row r="1" spans="1:19" ht="37.5" customHeight="1" thickBot="1">
      <c r="A1" s="548" t="str">
        <f>'Arear Table Protected'!N4</f>
        <v>Govt. Sr. Sec. School Raimalwada, Bapini (Jodhpur)</v>
      </c>
      <c r="B1" s="549"/>
      <c r="C1" s="549"/>
      <c r="D1" s="549"/>
      <c r="E1" s="549"/>
      <c r="F1" s="549"/>
      <c r="G1" s="549"/>
      <c r="H1" s="549"/>
      <c r="I1" s="549"/>
      <c r="J1" s="549"/>
      <c r="K1" s="549"/>
      <c r="L1" s="549"/>
      <c r="M1" s="549"/>
      <c r="N1" s="549"/>
      <c r="O1" s="549"/>
      <c r="P1" s="550"/>
      <c r="Q1" s="537"/>
      <c r="R1" s="535" t="s">
        <v>93</v>
      </c>
      <c r="S1" s="536" t="s">
        <v>94</v>
      </c>
    </row>
    <row r="2" spans="1:19" ht="18.75">
      <c r="A2" s="551" t="s">
        <v>0</v>
      </c>
      <c r="B2" s="552"/>
      <c r="C2" s="552"/>
      <c r="D2" s="552"/>
      <c r="E2" s="552"/>
      <c r="F2" s="552"/>
      <c r="G2" s="552"/>
      <c r="H2" s="552"/>
      <c r="I2" s="552"/>
      <c r="J2" s="552"/>
      <c r="K2" s="552"/>
      <c r="L2" s="552"/>
      <c r="M2" s="552"/>
      <c r="N2" s="552"/>
      <c r="O2" s="552"/>
      <c r="P2" s="553"/>
      <c r="Q2" s="537"/>
      <c r="R2" s="535"/>
      <c r="S2" s="536"/>
    </row>
    <row r="3" spans="1:19" ht="91.5" customHeight="1" thickBot="1">
      <c r="A3" s="554" t="s">
        <v>109</v>
      </c>
      <c r="B3" s="555"/>
      <c r="C3" s="555"/>
      <c r="D3" s="555"/>
      <c r="E3" s="555"/>
      <c r="F3" s="555"/>
      <c r="G3" s="555"/>
      <c r="H3" s="555"/>
      <c r="I3" s="555"/>
      <c r="J3" s="555"/>
      <c r="K3" s="555"/>
      <c r="L3" s="555"/>
      <c r="M3" s="555"/>
      <c r="N3" s="555"/>
      <c r="O3" s="555"/>
      <c r="P3" s="556"/>
      <c r="Q3" s="537"/>
      <c r="R3" s="535"/>
      <c r="S3" s="536"/>
    </row>
    <row r="4" spans="1:19" ht="15" customHeight="1">
      <c r="A4" s="557" t="s">
        <v>4</v>
      </c>
      <c r="B4" s="560" t="s">
        <v>35</v>
      </c>
      <c r="C4" s="560" t="s">
        <v>81</v>
      </c>
      <c r="D4" s="560" t="s">
        <v>82</v>
      </c>
      <c r="E4" s="560" t="s">
        <v>83</v>
      </c>
      <c r="F4" s="598"/>
      <c r="G4" s="563" t="str">
        <f>CONCATENATE(F4," ",F6)</f>
        <v xml:space="preserve"> o"khZ; ,lhih ns; frfFk</v>
      </c>
      <c r="H4" s="563"/>
      <c r="I4" s="563"/>
      <c r="J4" s="565" t="str">
        <f>G4</f>
        <v xml:space="preserve"> o"khZ; ,lhih ns; frfFk</v>
      </c>
      <c r="K4" s="563"/>
      <c r="L4" s="566"/>
      <c r="M4" s="575"/>
      <c r="N4" s="575"/>
      <c r="O4" s="567" t="s">
        <v>45</v>
      </c>
      <c r="P4" s="570" t="s">
        <v>84</v>
      </c>
      <c r="Q4" s="537"/>
      <c r="R4" s="535"/>
      <c r="S4" s="536"/>
    </row>
    <row r="5" spans="1:19" ht="18" customHeight="1">
      <c r="A5" s="558"/>
      <c r="B5" s="561"/>
      <c r="C5" s="561"/>
      <c r="D5" s="561"/>
      <c r="E5" s="561"/>
      <c r="F5" s="599"/>
      <c r="G5" s="587">
        <f>F8</f>
        <v>0</v>
      </c>
      <c r="H5" s="587"/>
      <c r="I5" s="588"/>
      <c r="J5" s="596">
        <f>F8</f>
        <v>0</v>
      </c>
      <c r="K5" s="587"/>
      <c r="L5" s="587"/>
      <c r="M5" s="576"/>
      <c r="N5" s="576"/>
      <c r="O5" s="568"/>
      <c r="P5" s="571"/>
      <c r="Q5" s="537"/>
      <c r="R5" s="535"/>
      <c r="S5" s="536"/>
    </row>
    <row r="6" spans="1:19" ht="17.25" customHeight="1">
      <c r="A6" s="558"/>
      <c r="B6" s="561"/>
      <c r="C6" s="561"/>
      <c r="D6" s="561"/>
      <c r="E6" s="561"/>
      <c r="F6" s="597" t="s">
        <v>91</v>
      </c>
      <c r="G6" s="589" t="s">
        <v>107</v>
      </c>
      <c r="H6" s="590"/>
      <c r="I6" s="591"/>
      <c r="J6" s="589" t="s">
        <v>116</v>
      </c>
      <c r="K6" s="590"/>
      <c r="L6" s="590"/>
      <c r="M6" s="574" t="s">
        <v>108</v>
      </c>
      <c r="N6" s="574" t="s">
        <v>108</v>
      </c>
      <c r="O6" s="568"/>
      <c r="P6" s="571"/>
      <c r="Q6" s="537"/>
      <c r="R6" s="535"/>
      <c r="S6" s="536"/>
    </row>
    <row r="7" spans="1:19" s="8" customFormat="1" ht="46.5" customHeight="1" thickBot="1">
      <c r="A7" s="559"/>
      <c r="B7" s="562"/>
      <c r="C7" s="562"/>
      <c r="D7" s="562"/>
      <c r="E7" s="562"/>
      <c r="F7" s="597"/>
      <c r="G7" s="67" t="s">
        <v>85</v>
      </c>
      <c r="H7" s="64" t="s">
        <v>86</v>
      </c>
      <c r="I7" s="47" t="s">
        <v>87</v>
      </c>
      <c r="J7" s="67" t="s">
        <v>85</v>
      </c>
      <c r="K7" s="64" t="s">
        <v>86</v>
      </c>
      <c r="L7" s="65" t="s">
        <v>87</v>
      </c>
      <c r="M7" s="574"/>
      <c r="N7" s="574"/>
      <c r="O7" s="569"/>
      <c r="P7" s="572"/>
      <c r="Q7" s="537"/>
      <c r="R7" s="535"/>
      <c r="S7" s="536"/>
    </row>
    <row r="8" spans="1:19" s="8" customFormat="1" ht="37.5" customHeight="1">
      <c r="A8" s="577">
        <v>1</v>
      </c>
      <c r="B8" s="594"/>
      <c r="C8" s="594"/>
      <c r="D8" s="592"/>
      <c r="E8" s="592"/>
      <c r="F8" s="600"/>
      <c r="G8" s="583"/>
      <c r="H8" s="581"/>
      <c r="I8" s="579"/>
      <c r="J8" s="583"/>
      <c r="K8" s="581"/>
      <c r="L8" s="579"/>
      <c r="M8" s="68" t="str">
        <f>IF(OR(M4=0,M4=""),"",ROUND($L8*1.03,-2))</f>
        <v/>
      </c>
      <c r="N8" s="68" t="str">
        <f>IF(OR(N4=0,N4=""),"",ROUND(M8*1.03,-2))</f>
        <v/>
      </c>
      <c r="O8" s="544"/>
      <c r="P8" s="546"/>
      <c r="Q8" s="537"/>
      <c r="R8" s="535"/>
      <c r="S8" s="536"/>
    </row>
    <row r="9" spans="1:19" ht="37.5" customHeight="1" thickBot="1">
      <c r="A9" s="578"/>
      <c r="B9" s="595"/>
      <c r="C9" s="595"/>
      <c r="D9" s="593"/>
      <c r="E9" s="593"/>
      <c r="F9" s="601"/>
      <c r="G9" s="584"/>
      <c r="H9" s="582"/>
      <c r="I9" s="580"/>
      <c r="J9" s="584"/>
      <c r="K9" s="582"/>
      <c r="L9" s="580"/>
      <c r="M9" s="66" t="str">
        <f>IF(OR(M4=0,M4=""),"",CONCATENATE("(","L-",$K$8,")"))</f>
        <v/>
      </c>
      <c r="N9" s="66" t="str">
        <f>IF(OR(N4=0,N4=""),"",CONCATENATE("(","L-",$K$8,")"))</f>
        <v/>
      </c>
      <c r="O9" s="545"/>
      <c r="P9" s="547"/>
      <c r="Q9" s="537"/>
      <c r="R9" s="535"/>
      <c r="S9" s="536"/>
    </row>
    <row r="10" spans="1:19" ht="36.75" customHeight="1">
      <c r="Q10" s="537"/>
      <c r="R10" s="535"/>
      <c r="S10" s="536"/>
    </row>
    <row r="11" spans="1:19" ht="15">
      <c r="N11" s="564" t="s">
        <v>27</v>
      </c>
      <c r="O11" s="564"/>
      <c r="P11" s="564"/>
      <c r="Q11" s="537"/>
      <c r="R11" s="40"/>
      <c r="S11" s="537"/>
    </row>
    <row r="12" spans="1:19" ht="18.75">
      <c r="A12" s="573" t="s">
        <v>92</v>
      </c>
      <c r="B12" s="573"/>
      <c r="C12" s="573"/>
      <c r="D12" s="573"/>
      <c r="E12" s="573"/>
      <c r="F12" s="573"/>
      <c r="G12" s="573"/>
      <c r="H12" s="573"/>
      <c r="I12" s="573"/>
      <c r="J12" s="573"/>
      <c r="Q12" s="537"/>
      <c r="R12" s="40"/>
      <c r="S12" s="537"/>
    </row>
    <row r="13" spans="1:19" ht="18.75">
      <c r="A13" s="585" t="s">
        <v>88</v>
      </c>
      <c r="B13" s="585"/>
      <c r="C13" s="585"/>
      <c r="D13" s="585"/>
      <c r="E13" s="585"/>
      <c r="F13" s="585"/>
      <c r="G13" s="585"/>
      <c r="H13" s="585"/>
      <c r="I13" s="585"/>
      <c r="J13" s="585"/>
      <c r="Q13" s="537"/>
      <c r="R13" s="40"/>
      <c r="S13" s="537"/>
    </row>
    <row r="14" spans="1:19" ht="18.75">
      <c r="A14" s="48">
        <v>1</v>
      </c>
      <c r="B14" s="586" t="s">
        <v>96</v>
      </c>
      <c r="C14" s="586"/>
      <c r="D14" s="586"/>
      <c r="E14" s="586"/>
      <c r="F14" s="49"/>
      <c r="Q14" s="537"/>
      <c r="R14" s="40"/>
      <c r="S14" s="537"/>
    </row>
    <row r="15" spans="1:19" ht="18.75">
      <c r="A15" s="48">
        <v>2</v>
      </c>
      <c r="B15" s="586" t="s">
        <v>89</v>
      </c>
      <c r="C15" s="586"/>
      <c r="D15" s="586"/>
      <c r="E15" s="586"/>
      <c r="F15" s="49"/>
      <c r="Q15" s="537"/>
      <c r="R15" s="40"/>
      <c r="S15" s="537"/>
    </row>
    <row r="16" spans="1:19" ht="18.75">
      <c r="A16" s="48">
        <v>3</v>
      </c>
      <c r="B16" s="586" t="s">
        <v>90</v>
      </c>
      <c r="C16" s="586"/>
      <c r="D16" s="586"/>
      <c r="E16" s="586"/>
      <c r="F16" s="49"/>
      <c r="Q16" s="537"/>
      <c r="R16" s="40"/>
      <c r="S16" s="537"/>
    </row>
    <row r="17" spans="14:19" ht="15">
      <c r="N17" s="564" t="str">
        <f>N11</f>
        <v>gLrk{kj MhMhvks e; eqgj</v>
      </c>
      <c r="O17" s="564"/>
      <c r="P17" s="564"/>
      <c r="Q17" s="537"/>
      <c r="R17" s="40"/>
      <c r="S17" s="537"/>
    </row>
    <row r="18" spans="14:19" ht="15">
      <c r="Q18" s="537"/>
      <c r="R18" s="40"/>
      <c r="S18" s="537"/>
    </row>
    <row r="19" spans="14:19" ht="15">
      <c r="Q19" s="537"/>
      <c r="R19" s="40"/>
      <c r="S19" s="537"/>
    </row>
    <row r="20" spans="14:19" ht="15" hidden="1"/>
    <row r="21" spans="14:19" ht="15" hidden="1"/>
    <row r="22" spans="14:19" ht="15" hidden="1"/>
    <row r="23" spans="14:19" ht="15" hidden="1"/>
    <row r="24" spans="14:19" ht="15" hidden="1"/>
    <row r="25" spans="14:19" ht="15" hidden="1"/>
    <row r="26" spans="14:19" ht="23.25" hidden="1">
      <c r="S26" s="50"/>
    </row>
  </sheetData>
  <sheetProtection password="E8FA" sheet="1" objects="1" scenarios="1" formatCells="0" formatColumns="0" formatRows="0" insertColumns="0" insertRows="0" selectLockedCells="1"/>
  <mergeCells count="47">
    <mergeCell ref="A13:J13"/>
    <mergeCell ref="B14:E14"/>
    <mergeCell ref="B15:E15"/>
    <mergeCell ref="B16:E16"/>
    <mergeCell ref="G5:I5"/>
    <mergeCell ref="G6:I6"/>
    <mergeCell ref="E8:E9"/>
    <mergeCell ref="D8:D9"/>
    <mergeCell ref="C8:C9"/>
    <mergeCell ref="B8:B9"/>
    <mergeCell ref="J5:L5"/>
    <mergeCell ref="J6:L6"/>
    <mergeCell ref="F6:F7"/>
    <mergeCell ref="F4:F5"/>
    <mergeCell ref="H8:H9"/>
    <mergeCell ref="G8:G9"/>
    <mergeCell ref="J4:L4"/>
    <mergeCell ref="O4:O7"/>
    <mergeCell ref="P4:P7"/>
    <mergeCell ref="N11:P11"/>
    <mergeCell ref="A12:J12"/>
    <mergeCell ref="N6:N7"/>
    <mergeCell ref="M6:M7"/>
    <mergeCell ref="M4:M5"/>
    <mergeCell ref="N4:N5"/>
    <mergeCell ref="A8:A9"/>
    <mergeCell ref="L8:L9"/>
    <mergeCell ref="K8:K9"/>
    <mergeCell ref="J8:J9"/>
    <mergeCell ref="I8:I9"/>
    <mergeCell ref="F8:F9"/>
    <mergeCell ref="O8:O9"/>
    <mergeCell ref="P8:P9"/>
    <mergeCell ref="Q1:Q19"/>
    <mergeCell ref="S1:S10"/>
    <mergeCell ref="S11:S19"/>
    <mergeCell ref="R1:R10"/>
    <mergeCell ref="A1:P1"/>
    <mergeCell ref="A2:P2"/>
    <mergeCell ref="A3:P3"/>
    <mergeCell ref="A4:A7"/>
    <mergeCell ref="B4:B7"/>
    <mergeCell ref="C4:C7"/>
    <mergeCell ref="D4:D7"/>
    <mergeCell ref="E4:E7"/>
    <mergeCell ref="G4:I4"/>
    <mergeCell ref="N17:P17"/>
  </mergeCells>
  <conditionalFormatting sqref="G5:L5">
    <cfRule type="cellIs" dxfId="1" priority="1" operator="equal">
      <formula>0</formula>
    </cfRule>
  </conditionalFormatting>
  <conditionalFormatting sqref="M4:N4 F4:F5">
    <cfRule type="cellIs" dxfId="0" priority="2" operator="greaterThan">
      <formula>0</formula>
    </cfRule>
  </conditionalFormatting>
  <pageMargins left="0.43" right="0.21" top="0.45" bottom="0.22" header="0.31496062992125984" footer="0.19"/>
  <pageSetup paperSize="9" scale="82" orientation="landscape" r:id="rId1"/>
  <colBreaks count="1" manualBreakCount="1">
    <brk id="1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0000"/>
  </sheetPr>
  <dimension ref="A1:M26"/>
  <sheetViews>
    <sheetView showGridLines="0" topLeftCell="D1" workbookViewId="0">
      <selection sqref="A1:I1"/>
    </sheetView>
  </sheetViews>
  <sheetFormatPr defaultColWidth="0" defaultRowHeight="15" customHeight="1" zeroHeight="1"/>
  <cols>
    <col min="1" max="1" width="5.5703125" style="41" customWidth="1"/>
    <col min="2" max="2" width="22.140625" style="41" customWidth="1"/>
    <col min="3" max="6" width="20" style="41" customWidth="1"/>
    <col min="7" max="7" width="20.85546875" style="41" customWidth="1"/>
    <col min="8" max="8" width="22.28515625" style="41" customWidth="1"/>
    <col min="9" max="9" width="20.85546875" style="41" customWidth="1"/>
    <col min="10" max="10" width="2" style="41" customWidth="1"/>
    <col min="11" max="11" width="9" style="41" customWidth="1"/>
    <col min="12" max="12" width="7.140625" style="41" hidden="1" customWidth="1"/>
    <col min="13" max="13" width="0" style="41" hidden="1" customWidth="1"/>
    <col min="14" max="16384" width="9.140625" style="41" hidden="1"/>
  </cols>
  <sheetData>
    <row r="1" spans="1:12" ht="29.25" customHeight="1">
      <c r="A1" s="614" t="str">
        <f>'Arear Table Protected'!N4</f>
        <v>Govt. Sr. Sec. School Raimalwada, Bapini (Jodhpur)</v>
      </c>
      <c r="B1" s="614"/>
      <c r="C1" s="614"/>
      <c r="D1" s="614"/>
      <c r="E1" s="614"/>
      <c r="F1" s="614"/>
      <c r="G1" s="614"/>
      <c r="H1" s="614"/>
      <c r="I1" s="614"/>
      <c r="J1" s="537"/>
      <c r="K1" s="535" t="s">
        <v>93</v>
      </c>
      <c r="L1" s="536" t="s">
        <v>94</v>
      </c>
    </row>
    <row r="2" spans="1:12" ht="21.75">
      <c r="A2" s="540" t="s">
        <v>33</v>
      </c>
      <c r="B2" s="540"/>
      <c r="C2" s="540"/>
      <c r="D2" s="540"/>
      <c r="E2" s="540"/>
      <c r="F2" s="540"/>
      <c r="G2" s="540"/>
      <c r="H2" s="540"/>
      <c r="I2" s="540"/>
      <c r="J2" s="537"/>
      <c r="K2" s="535"/>
      <c r="L2" s="536"/>
    </row>
    <row r="3" spans="1:12" ht="98.25" customHeight="1" thickBot="1">
      <c r="A3" s="608" t="s">
        <v>101</v>
      </c>
      <c r="B3" s="608"/>
      <c r="C3" s="608"/>
      <c r="D3" s="608"/>
      <c r="E3" s="608"/>
      <c r="F3" s="608"/>
      <c r="G3" s="608"/>
      <c r="H3" s="608"/>
      <c r="I3" s="608"/>
      <c r="J3" s="537"/>
      <c r="K3" s="535"/>
      <c r="L3" s="536"/>
    </row>
    <row r="4" spans="1:12" ht="27.75" customHeight="1">
      <c r="A4" s="603" t="s">
        <v>34</v>
      </c>
      <c r="B4" s="605" t="s">
        <v>111</v>
      </c>
      <c r="C4" s="607" t="s">
        <v>36</v>
      </c>
      <c r="D4" s="607"/>
      <c r="E4" s="610" t="s">
        <v>37</v>
      </c>
      <c r="F4" s="612" t="s">
        <v>102</v>
      </c>
      <c r="G4" s="610" t="s">
        <v>105</v>
      </c>
      <c r="H4" s="610" t="s">
        <v>105</v>
      </c>
      <c r="I4" s="615" t="s">
        <v>45</v>
      </c>
      <c r="J4" s="537"/>
      <c r="K4" s="535"/>
      <c r="L4" s="536"/>
    </row>
    <row r="5" spans="1:12" ht="42.75" customHeight="1" thickBot="1">
      <c r="A5" s="604"/>
      <c r="B5" s="606"/>
      <c r="C5" s="51" t="s">
        <v>103</v>
      </c>
      <c r="D5" s="51" t="s">
        <v>104</v>
      </c>
      <c r="E5" s="611"/>
      <c r="F5" s="613"/>
      <c r="G5" s="611"/>
      <c r="H5" s="611"/>
      <c r="I5" s="616"/>
      <c r="J5" s="537"/>
      <c r="K5" s="535"/>
      <c r="L5" s="536"/>
    </row>
    <row r="6" spans="1:12" s="8" customFormat="1" ht="61.5" customHeight="1" thickBot="1">
      <c r="A6" s="52">
        <v>1</v>
      </c>
      <c r="B6" s="53"/>
      <c r="C6" s="53"/>
      <c r="D6" s="53"/>
      <c r="E6" s="54"/>
      <c r="F6" s="54"/>
      <c r="G6" s="55"/>
      <c r="H6" s="56"/>
      <c r="I6" s="57"/>
      <c r="J6" s="537"/>
      <c r="K6" s="535"/>
      <c r="L6" s="536"/>
    </row>
    <row r="7" spans="1:12" ht="18.75">
      <c r="A7" s="609" t="s">
        <v>40</v>
      </c>
      <c r="B7" s="609"/>
      <c r="C7" s="609"/>
      <c r="D7" s="609"/>
      <c r="E7" s="609"/>
      <c r="F7" s="609"/>
      <c r="G7" s="609"/>
      <c r="H7" s="609"/>
      <c r="I7" s="609"/>
      <c r="J7" s="537"/>
      <c r="K7" s="535"/>
      <c r="L7" s="536"/>
    </row>
    <row r="8" spans="1:12" ht="20.25">
      <c r="A8" s="28"/>
      <c r="J8" s="537"/>
      <c r="K8" s="535"/>
      <c r="L8" s="536"/>
    </row>
    <row r="9" spans="1:12">
      <c r="J9" s="537"/>
      <c r="K9" s="535"/>
      <c r="L9" s="536"/>
    </row>
    <row r="10" spans="1:12" ht="18.75">
      <c r="A10" s="29"/>
      <c r="J10" s="537"/>
      <c r="K10" s="535"/>
      <c r="L10" s="536"/>
    </row>
    <row r="11" spans="1:12" ht="18.75">
      <c r="A11" s="602" t="s">
        <v>41</v>
      </c>
      <c r="B11" s="602"/>
      <c r="C11" s="602"/>
      <c r="D11" s="602"/>
      <c r="E11" s="602" t="s">
        <v>110</v>
      </c>
      <c r="F11" s="602"/>
      <c r="H11" s="538" t="s">
        <v>27</v>
      </c>
      <c r="I11" s="538"/>
      <c r="J11" s="537"/>
      <c r="K11" s="40"/>
      <c r="L11" s="537"/>
    </row>
    <row r="12" spans="1:12" ht="18.75">
      <c r="A12" s="29" t="s">
        <v>42</v>
      </c>
      <c r="J12" s="537"/>
      <c r="K12" s="40"/>
      <c r="L12" s="537"/>
    </row>
    <row r="13" spans="1:12" ht="18.75">
      <c r="A13" s="30" t="s">
        <v>97</v>
      </c>
      <c r="B13" s="37"/>
      <c r="J13" s="537"/>
      <c r="K13" s="40"/>
      <c r="L13" s="537"/>
    </row>
    <row r="14" spans="1:12" ht="18.75">
      <c r="A14" s="30" t="s">
        <v>43</v>
      </c>
      <c r="B14" s="37"/>
      <c r="J14" s="537"/>
      <c r="K14" s="40"/>
      <c r="L14" s="537"/>
    </row>
    <row r="15" spans="1:12" ht="18.75">
      <c r="A15" s="30" t="s">
        <v>44</v>
      </c>
      <c r="B15" s="37"/>
      <c r="J15" s="537"/>
      <c r="K15" s="40"/>
      <c r="L15" s="537"/>
    </row>
    <row r="16" spans="1:12" ht="18.75">
      <c r="A16" s="30"/>
      <c r="H16" s="538" t="s">
        <v>27</v>
      </c>
      <c r="I16" s="538"/>
      <c r="J16" s="537"/>
      <c r="K16" s="40"/>
      <c r="L16" s="537"/>
    </row>
    <row r="17" spans="10:12">
      <c r="J17" s="537"/>
      <c r="K17" s="40"/>
      <c r="L17" s="537"/>
    </row>
    <row r="18" spans="10:12" hidden="1">
      <c r="K18" s="40"/>
      <c r="L18" s="537"/>
    </row>
    <row r="19" spans="10:12" hidden="1">
      <c r="K19" s="40"/>
      <c r="L19" s="537"/>
    </row>
    <row r="20" spans="10:12" hidden="1"/>
    <row r="21" spans="10:12" hidden="1"/>
    <row r="22" spans="10:12" hidden="1"/>
    <row r="23" spans="10:12" hidden="1"/>
    <row r="24" spans="10:12" hidden="1"/>
    <row r="25" spans="10:12" hidden="1"/>
    <row r="26" spans="10:12" ht="23.25" hidden="1">
      <c r="L26" s="50"/>
    </row>
  </sheetData>
  <sheetProtection password="E8FA" sheet="1" objects="1" scenarios="1" formatCells="0" formatColumns="0" formatRows="0" insertColumns="0" insertRows="0" selectLockedCells="1"/>
  <mergeCells count="20">
    <mergeCell ref="L1:L10"/>
    <mergeCell ref="A2:I2"/>
    <mergeCell ref="A3:I3"/>
    <mergeCell ref="A7:I7"/>
    <mergeCell ref="E4:E5"/>
    <mergeCell ref="F4:F5"/>
    <mergeCell ref="G4:G5"/>
    <mergeCell ref="A1:I1"/>
    <mergeCell ref="J1:J17"/>
    <mergeCell ref="H11:I11"/>
    <mergeCell ref="L11:L19"/>
    <mergeCell ref="H16:I16"/>
    <mergeCell ref="H4:H5"/>
    <mergeCell ref="I4:I5"/>
    <mergeCell ref="A11:D11"/>
    <mergeCell ref="E11:F11"/>
    <mergeCell ref="A4:A5"/>
    <mergeCell ref="B4:B5"/>
    <mergeCell ref="C4:D4"/>
    <mergeCell ref="K1:K10"/>
  </mergeCells>
  <pageMargins left="0.43" right="0.21" top="0.45" bottom="0.22" header="0.31496062992125984" footer="0.19"/>
  <pageSetup paperSize="9" scale="8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FF00"/>
  </sheetPr>
  <dimension ref="A1:K25"/>
  <sheetViews>
    <sheetView showGridLines="0" workbookViewId="0">
      <selection sqref="A1:G1"/>
    </sheetView>
  </sheetViews>
  <sheetFormatPr defaultColWidth="0" defaultRowHeight="15" zeroHeight="1"/>
  <cols>
    <col min="1" max="1" width="5.5703125" style="41" customWidth="1"/>
    <col min="2" max="2" width="28" style="41" customWidth="1"/>
    <col min="3" max="3" width="25.5703125" style="41" customWidth="1"/>
    <col min="4" max="4" width="15.7109375" style="41" customWidth="1"/>
    <col min="5" max="5" width="27.42578125" style="41" customWidth="1"/>
    <col min="6" max="6" width="26.140625" style="41" customWidth="1"/>
    <col min="7" max="7" width="21.85546875" style="41" customWidth="1"/>
    <col min="8" max="8" width="3.5703125" style="537" customWidth="1"/>
    <col min="9" max="9" width="8.7109375" style="41" customWidth="1"/>
    <col min="10" max="10" width="0.28515625" style="41" customWidth="1"/>
    <col min="11" max="11" width="0" style="41" hidden="1" customWidth="1"/>
    <col min="12" max="16384" width="9.140625" style="41" hidden="1"/>
  </cols>
  <sheetData>
    <row r="1" spans="1:10" ht="29.25" customHeight="1">
      <c r="A1" s="619" t="str">
        <f>'Arear Table Protected'!N4</f>
        <v>Govt. Sr. Sec. School Raimalwada, Bapini (Jodhpur)</v>
      </c>
      <c r="B1" s="619"/>
      <c r="C1" s="619"/>
      <c r="D1" s="619"/>
      <c r="E1" s="619"/>
      <c r="F1" s="619"/>
      <c r="G1" s="619"/>
      <c r="I1" s="535" t="s">
        <v>93</v>
      </c>
      <c r="J1" s="536" t="s">
        <v>94</v>
      </c>
    </row>
    <row r="2" spans="1:10" ht="31.5">
      <c r="A2" s="620" t="s">
        <v>47</v>
      </c>
      <c r="B2" s="620"/>
      <c r="C2" s="620"/>
      <c r="D2" s="620"/>
      <c r="E2" s="620"/>
      <c r="F2" s="620"/>
      <c r="G2" s="620"/>
      <c r="I2" s="535"/>
      <c r="J2" s="536"/>
    </row>
    <row r="3" spans="1:10" ht="90.75" customHeight="1" thickBot="1">
      <c r="A3" s="621" t="s">
        <v>51</v>
      </c>
      <c r="B3" s="621"/>
      <c r="C3" s="621"/>
      <c r="D3" s="621"/>
      <c r="E3" s="621"/>
      <c r="F3" s="621"/>
      <c r="G3" s="621"/>
      <c r="I3" s="535"/>
      <c r="J3" s="536"/>
    </row>
    <row r="4" spans="1:10" ht="23.25" customHeight="1">
      <c r="A4" s="617" t="s">
        <v>34</v>
      </c>
      <c r="B4" s="617" t="s">
        <v>48</v>
      </c>
      <c r="C4" s="617" t="s">
        <v>49</v>
      </c>
      <c r="D4" s="617" t="s">
        <v>114</v>
      </c>
      <c r="E4" s="617" t="s">
        <v>115</v>
      </c>
      <c r="F4" s="617" t="s">
        <v>50</v>
      </c>
      <c r="G4" s="59" t="s">
        <v>113</v>
      </c>
      <c r="I4" s="535"/>
      <c r="J4" s="536"/>
    </row>
    <row r="5" spans="1:10" ht="31.5" customHeight="1" thickBot="1">
      <c r="A5" s="618"/>
      <c r="B5" s="618"/>
      <c r="C5" s="618"/>
      <c r="D5" s="618"/>
      <c r="E5" s="618"/>
      <c r="F5" s="618"/>
      <c r="G5" s="60">
        <v>0.09</v>
      </c>
      <c r="I5" s="535"/>
      <c r="J5" s="536"/>
    </row>
    <row r="6" spans="1:10" s="27" customFormat="1" ht="46.5" customHeight="1" thickBot="1">
      <c r="A6" s="58">
        <v>1</v>
      </c>
      <c r="B6" s="31"/>
      <c r="C6" s="31"/>
      <c r="D6" s="62">
        <v>11</v>
      </c>
      <c r="E6" s="61">
        <v>45100</v>
      </c>
      <c r="F6" s="32"/>
      <c r="G6" s="63">
        <f>ROUND(E6*G5,0)</f>
        <v>4059</v>
      </c>
      <c r="H6" s="537"/>
      <c r="I6" s="535"/>
      <c r="J6" s="536"/>
    </row>
    <row r="7" spans="1:10" ht="21" customHeight="1">
      <c r="A7" s="28"/>
      <c r="I7" s="535"/>
      <c r="J7" s="536"/>
    </row>
    <row r="8" spans="1:10">
      <c r="I8" s="535"/>
      <c r="J8" s="536"/>
    </row>
    <row r="9" spans="1:10" ht="18.75">
      <c r="A9" s="29"/>
      <c r="I9" s="535"/>
      <c r="J9" s="536"/>
    </row>
    <row r="10" spans="1:10" ht="18.75">
      <c r="A10" s="622" t="s">
        <v>41</v>
      </c>
      <c r="B10" s="622"/>
      <c r="C10" s="622"/>
      <c r="D10" s="38" t="s">
        <v>112</v>
      </c>
      <c r="E10" s="38"/>
      <c r="F10" s="538" t="s">
        <v>27</v>
      </c>
      <c r="G10" s="538"/>
      <c r="I10" s="40"/>
      <c r="J10" s="537"/>
    </row>
    <row r="11" spans="1:10" ht="18.75">
      <c r="A11" s="29" t="s">
        <v>42</v>
      </c>
      <c r="I11" s="40"/>
      <c r="J11" s="537"/>
    </row>
    <row r="12" spans="1:10" ht="18.75">
      <c r="A12" s="30" t="s">
        <v>95</v>
      </c>
      <c r="B12" s="37"/>
      <c r="I12" s="40"/>
      <c r="J12" s="537"/>
    </row>
    <row r="13" spans="1:10" ht="18.75">
      <c r="A13" s="30" t="s">
        <v>43</v>
      </c>
      <c r="B13" s="37"/>
      <c r="I13" s="40"/>
      <c r="J13" s="537"/>
    </row>
    <row r="14" spans="1:10" ht="18.75">
      <c r="A14" s="30" t="s">
        <v>44</v>
      </c>
      <c r="B14" s="37"/>
      <c r="I14" s="40"/>
      <c r="J14" s="537"/>
    </row>
    <row r="15" spans="1:10" ht="18.75">
      <c r="A15" s="30"/>
      <c r="F15" s="538" t="s">
        <v>27</v>
      </c>
      <c r="G15" s="538"/>
      <c r="I15" s="40"/>
      <c r="J15" s="537"/>
    </row>
    <row r="16" spans="1:10">
      <c r="I16" s="40"/>
      <c r="J16" s="537"/>
    </row>
    <row r="17" spans="9:10" ht="15" hidden="1" customHeight="1">
      <c r="I17" s="40"/>
      <c r="J17" s="537"/>
    </row>
    <row r="18" spans="9:10" ht="15" hidden="1" customHeight="1">
      <c r="I18" s="40"/>
      <c r="J18" s="537"/>
    </row>
    <row r="19" spans="9:10" ht="15" hidden="1" customHeight="1"/>
    <row r="20" spans="9:10" ht="15" hidden="1" customHeight="1"/>
    <row r="21" spans="9:10" ht="15" hidden="1" customHeight="1"/>
    <row r="22" spans="9:10" ht="15" hidden="1" customHeight="1"/>
    <row r="23" spans="9:10" ht="23.25" hidden="1" customHeight="1"/>
    <row r="24" spans="9:10" hidden="1"/>
    <row r="25" spans="9:10" ht="23.25" hidden="1">
      <c r="J25" s="50"/>
    </row>
  </sheetData>
  <sheetProtection password="E8FA" sheet="1" objects="1" scenarios="1" formatCells="0" formatColumns="0" formatRows="0" insertColumns="0" insertRows="0" selectLockedCells="1"/>
  <mergeCells count="16">
    <mergeCell ref="E4:E5"/>
    <mergeCell ref="J10:J18"/>
    <mergeCell ref="F4:F5"/>
    <mergeCell ref="F10:G10"/>
    <mergeCell ref="F15:G15"/>
    <mergeCell ref="H1:H1048576"/>
    <mergeCell ref="I1:I9"/>
    <mergeCell ref="J1:J9"/>
    <mergeCell ref="A1:G1"/>
    <mergeCell ref="A2:G2"/>
    <mergeCell ref="A3:G3"/>
    <mergeCell ref="A4:A5"/>
    <mergeCell ref="B4:B5"/>
    <mergeCell ref="C4:C5"/>
    <mergeCell ref="D4:D5"/>
    <mergeCell ref="A10:C10"/>
  </mergeCells>
  <pageMargins left="0.43" right="0.21" top="0.45" bottom="0.22" header="0.31496062992125984" footer="0.19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8</vt:i4>
      </vt:variant>
    </vt:vector>
  </HeadingPairs>
  <TitlesOfParts>
    <vt:vector size="15" baseType="lpstr">
      <vt:lpstr>Basic Data Entry</vt:lpstr>
      <vt:lpstr>Arear Table Protected</vt:lpstr>
      <vt:lpstr>Arear Table Unprotected)</vt:lpstr>
      <vt:lpstr>Fixation Fitting</vt:lpstr>
      <vt:lpstr>ACP Fitting Order</vt:lpstr>
      <vt:lpstr>Pramotion Fitting</vt:lpstr>
      <vt:lpstr>HRA Sanction</vt:lpstr>
      <vt:lpstr>'Arear Table Protected'!Print_Area</vt:lpstr>
      <vt:lpstr>'Arear Table Unprotected)'!Print_Area</vt:lpstr>
      <vt:lpstr>'Basic Data Entry'!Print_Area</vt:lpstr>
      <vt:lpstr>'Fixation Fitting'!Print_Area</vt:lpstr>
      <vt:lpstr>'HRA Sanction'!Print_Area</vt:lpstr>
      <vt:lpstr>'Pramotion Fitting'!Print_Area</vt:lpstr>
      <vt:lpstr>'Arear Table Protected'!Print_Titles</vt:lpstr>
      <vt:lpstr>'Arear Table Unprotected)'!Print_Titles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User</cp:lastModifiedBy>
  <cp:lastPrinted>2023-04-25T18:44:20Z</cp:lastPrinted>
  <dcterms:created xsi:type="dcterms:W3CDTF">2022-09-29T01:55:24Z</dcterms:created>
  <dcterms:modified xsi:type="dcterms:W3CDTF">2023-04-26T08:20:17Z</dcterms:modified>
</cp:coreProperties>
</file>