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Arear For 48 Months" sheetId="1" r:id="rId1"/>
    <sheet name="Fixation Fitting" sheetId="2" r:id="rId2"/>
    <sheet name="ACP Fitting Order" sheetId="6" r:id="rId3"/>
    <sheet name="Pramotion Fitting" sheetId="7" r:id="rId4"/>
    <sheet name="HRA Sanction" sheetId="4" r:id="rId5"/>
  </sheets>
  <definedNames>
    <definedName name="_xlnm.Print_Area" localSheetId="2">'ACP Fitting Order'!#REF!</definedName>
    <definedName name="_xlnm.Print_Area" localSheetId="0">'Arear For 48 Months'!$F$4:$AR$74</definedName>
    <definedName name="_xlnm.Print_Area" localSheetId="1">'Fixation Fitting'!$A$1:$H$17</definedName>
    <definedName name="_xlnm.Print_Area" localSheetId="4">'HRA Sanction'!$A$1:$F$17</definedName>
    <definedName name="_xlnm.Print_Area" localSheetId="3">'Pramotion Fitting'!$A$1:$I$18</definedName>
  </definedNames>
  <calcPr calcId="124519" concurrentCalc="0"/>
</workbook>
</file>

<file path=xl/calcChain.xml><?xml version="1.0" encoding="utf-8"?>
<calcChain xmlns="http://schemas.openxmlformats.org/spreadsheetml/2006/main">
  <c r="AP60" i="1" a="1"/>
  <c r="AP60"/>
  <c r="AP59" a="1"/>
  <c r="AP59"/>
  <c r="AP58" a="1"/>
  <c r="AP58"/>
  <c r="AP57" a="1"/>
  <c r="AP57"/>
  <c r="AP56" a="1"/>
  <c r="AP56"/>
  <c r="AP55" a="1"/>
  <c r="AP55"/>
  <c r="AP54" a="1"/>
  <c r="AP54"/>
  <c r="AP53" a="1"/>
  <c r="AP53"/>
  <c r="AP52" a="1"/>
  <c r="AP52"/>
  <c r="AP51" a="1"/>
  <c r="AP51"/>
  <c r="AP50" a="1"/>
  <c r="AP50"/>
  <c r="AP49" a="1"/>
  <c r="AP49"/>
  <c r="AP48" a="1"/>
  <c r="AP48"/>
  <c r="AP47" a="1"/>
  <c r="AP47"/>
  <c r="AP46" a="1"/>
  <c r="AP46"/>
  <c r="AP45" a="1"/>
  <c r="AP45"/>
  <c r="AP44" a="1"/>
  <c r="AP44"/>
  <c r="AP43" a="1"/>
  <c r="AP43"/>
  <c r="AP42" a="1"/>
  <c r="AP42"/>
  <c r="AP41" a="1"/>
  <c r="AP41"/>
  <c r="AP40" a="1"/>
  <c r="AP40"/>
  <c r="AP39" a="1"/>
  <c r="AP39"/>
  <c r="AP38" a="1"/>
  <c r="AP38"/>
  <c r="AP37" a="1"/>
  <c r="AP37"/>
  <c r="AP36" a="1"/>
  <c r="AP36"/>
  <c r="AP35" a="1"/>
  <c r="AP35"/>
  <c r="AP34" a="1"/>
  <c r="AP34"/>
  <c r="AP33" a="1"/>
  <c r="AP33"/>
  <c r="AP32" a="1"/>
  <c r="AP32"/>
  <c r="AP31" a="1"/>
  <c r="AP31"/>
  <c r="AP30" a="1"/>
  <c r="AP30"/>
  <c r="AP29" a="1"/>
  <c r="AP29"/>
  <c r="AP28" a="1"/>
  <c r="AP28"/>
  <c r="AP27" a="1"/>
  <c r="AP27"/>
  <c r="AP26" a="1"/>
  <c r="AP26"/>
  <c r="AP25" a="1"/>
  <c r="AP25"/>
  <c r="AP24" a="1"/>
  <c r="AP24"/>
  <c r="AP23" a="1"/>
  <c r="AP23"/>
  <c r="AP22" a="1"/>
  <c r="AP22"/>
  <c r="AP21" a="1"/>
  <c r="AP21"/>
  <c r="AP20" a="1"/>
  <c r="AP20"/>
  <c r="AP19" a="1"/>
  <c r="AP19"/>
  <c r="AP18" a="1"/>
  <c r="AP18"/>
  <c r="AP17" a="1"/>
  <c r="AP17"/>
  <c r="AP16" a="1"/>
  <c r="AP16"/>
  <c r="AP15" a="1"/>
  <c r="AP15"/>
  <c r="AP14" a="1"/>
  <c r="AP14"/>
  <c r="AP13" a="1"/>
  <c r="AP13"/>
  <c r="AN60" a="1"/>
  <c r="AN60"/>
  <c r="AN59" a="1"/>
  <c r="AN59"/>
  <c r="AN58" a="1"/>
  <c r="AN58"/>
  <c r="AN57" a="1"/>
  <c r="AN57"/>
  <c r="AN56" a="1"/>
  <c r="AN56"/>
  <c r="AN55" a="1"/>
  <c r="AN55"/>
  <c r="AN54" a="1"/>
  <c r="AN54"/>
  <c r="AN53" a="1"/>
  <c r="AN53"/>
  <c r="AN52" a="1"/>
  <c r="AN52"/>
  <c r="AN51" a="1"/>
  <c r="AN51"/>
  <c r="AN50" a="1"/>
  <c r="AN50"/>
  <c r="AN49" a="1"/>
  <c r="AN49"/>
  <c r="AN48" a="1"/>
  <c r="AN48"/>
  <c r="AN47" a="1"/>
  <c r="AN47"/>
  <c r="AN46" a="1"/>
  <c r="AN46"/>
  <c r="AN45" a="1"/>
  <c r="AN45"/>
  <c r="AN44" a="1"/>
  <c r="AN44"/>
  <c r="AN43" a="1"/>
  <c r="AN43"/>
  <c r="AN42" a="1"/>
  <c r="AN42"/>
  <c r="AN41" a="1"/>
  <c r="AN41"/>
  <c r="AN40" a="1"/>
  <c r="AN40"/>
  <c r="AN39" a="1"/>
  <c r="AN39"/>
  <c r="AN38" a="1"/>
  <c r="AN38"/>
  <c r="AN37" a="1"/>
  <c r="AN37"/>
  <c r="AN36" a="1"/>
  <c r="AN36"/>
  <c r="AN35" a="1"/>
  <c r="AN35"/>
  <c r="AN34" a="1"/>
  <c r="AN34"/>
  <c r="AN33" a="1"/>
  <c r="AN33"/>
  <c r="AN32" a="1"/>
  <c r="AN32"/>
  <c r="AN31" a="1"/>
  <c r="AN31"/>
  <c r="AN30" a="1"/>
  <c r="AN30"/>
  <c r="AN29" a="1"/>
  <c r="AN29"/>
  <c r="AN28" a="1"/>
  <c r="AN28"/>
  <c r="AN27" a="1"/>
  <c r="AN27"/>
  <c r="AN26" a="1"/>
  <c r="AN26"/>
  <c r="AN25" a="1"/>
  <c r="AN25"/>
  <c r="AN24" a="1"/>
  <c r="AN24"/>
  <c r="AN23" a="1"/>
  <c r="AN23"/>
  <c r="AN22" a="1"/>
  <c r="AN22"/>
  <c r="AN21" a="1"/>
  <c r="AN21"/>
  <c r="AN20" a="1"/>
  <c r="AN20"/>
  <c r="AN19" a="1"/>
  <c r="AN19"/>
  <c r="AN18" a="1"/>
  <c r="AN18"/>
  <c r="AN17" a="1"/>
  <c r="AN17"/>
  <c r="AN16" a="1"/>
  <c r="AN16"/>
  <c r="AN15" a="1"/>
  <c r="AN15"/>
  <c r="AN14" a="1"/>
  <c r="AN14"/>
  <c r="AN13" a="1"/>
  <c r="AN13"/>
  <c r="AM61" a="1"/>
  <c r="AM61"/>
  <c r="AL61" a="1"/>
  <c r="AL61"/>
  <c r="AN61"/>
  <c r="AL15"/>
  <c r="AM15"/>
  <c r="AL16"/>
  <c r="AM16"/>
  <c r="AL17"/>
  <c r="AM17"/>
  <c r="AL18"/>
  <c r="AM18"/>
  <c r="AL19"/>
  <c r="AM19"/>
  <c r="AL20"/>
  <c r="AM20"/>
  <c r="AL21"/>
  <c r="AM21"/>
  <c r="AL22"/>
  <c r="AM22"/>
  <c r="AL23"/>
  <c r="AM23"/>
  <c r="AL24"/>
  <c r="AM24"/>
  <c r="AL25"/>
  <c r="AM25"/>
  <c r="AL26"/>
  <c r="AM26"/>
  <c r="AL27"/>
  <c r="AM27"/>
  <c r="AL28"/>
  <c r="AM28"/>
  <c r="AL29"/>
  <c r="AM29"/>
  <c r="AL30"/>
  <c r="AM30"/>
  <c r="AL31"/>
  <c r="AM31"/>
  <c r="AL32"/>
  <c r="AM32"/>
  <c r="AL33"/>
  <c r="AM33"/>
  <c r="AL34"/>
  <c r="AM34"/>
  <c r="AL35"/>
  <c r="AM35"/>
  <c r="AL36"/>
  <c r="AM36"/>
  <c r="AL37"/>
  <c r="AM37"/>
  <c r="AL38"/>
  <c r="AM38"/>
  <c r="AL39"/>
  <c r="AM39"/>
  <c r="AL40"/>
  <c r="AM40"/>
  <c r="AL41"/>
  <c r="AM41"/>
  <c r="AL42"/>
  <c r="AM42"/>
  <c r="AL43"/>
  <c r="AM43"/>
  <c r="AL44"/>
  <c r="AM44"/>
  <c r="AL45"/>
  <c r="AM45"/>
  <c r="AL46"/>
  <c r="AM46"/>
  <c r="AL47"/>
  <c r="AM47"/>
  <c r="AL48"/>
  <c r="AM48"/>
  <c r="AL49"/>
  <c r="AM49"/>
  <c r="AL50"/>
  <c r="AM50"/>
  <c r="AL51"/>
  <c r="AM51"/>
  <c r="AL52"/>
  <c r="AM52"/>
  <c r="AL53"/>
  <c r="AM53"/>
  <c r="AL54"/>
  <c r="AM54"/>
  <c r="AL55"/>
  <c r="AM55"/>
  <c r="AL56"/>
  <c r="AM56"/>
  <c r="AL57"/>
  <c r="AM57"/>
  <c r="AL58"/>
  <c r="AM58"/>
  <c r="AL59"/>
  <c r="AM59"/>
  <c r="AL60"/>
  <c r="AM60"/>
  <c r="AM14"/>
  <c r="AL14"/>
  <c r="AJ60" a="1"/>
  <c r="AJ60"/>
  <c r="AI60" a="1"/>
  <c r="AI60"/>
  <c r="AJ59" a="1"/>
  <c r="AJ59"/>
  <c r="AI59" a="1"/>
  <c r="AI59"/>
  <c r="AJ58" a="1"/>
  <c r="AJ58"/>
  <c r="AI58" a="1"/>
  <c r="AI58"/>
  <c r="AJ57" a="1"/>
  <c r="AJ57"/>
  <c r="AI57" a="1"/>
  <c r="AI57"/>
  <c r="AJ56" a="1"/>
  <c r="AJ56"/>
  <c r="AI56" a="1"/>
  <c r="AI56"/>
  <c r="AJ55" a="1"/>
  <c r="AJ55"/>
  <c r="AI55" a="1"/>
  <c r="AI55"/>
  <c r="AJ54" a="1"/>
  <c r="AJ54"/>
  <c r="AI54" a="1"/>
  <c r="AI54"/>
  <c r="AJ53" a="1"/>
  <c r="AJ53"/>
  <c r="AI53" a="1"/>
  <c r="AI53"/>
  <c r="AJ52" a="1"/>
  <c r="AJ52"/>
  <c r="AI52" a="1"/>
  <c r="AI52"/>
  <c r="AJ51" a="1"/>
  <c r="AJ51"/>
  <c r="AI51" a="1"/>
  <c r="AI51"/>
  <c r="AJ50" a="1"/>
  <c r="AJ50"/>
  <c r="AI50" a="1"/>
  <c r="AI50"/>
  <c r="AJ49" a="1"/>
  <c r="AJ49"/>
  <c r="AI49" a="1"/>
  <c r="AI49"/>
  <c r="AJ48" a="1"/>
  <c r="AJ48"/>
  <c r="AI48" a="1"/>
  <c r="AI48"/>
  <c r="AJ47" a="1"/>
  <c r="AJ47"/>
  <c r="AI47" a="1"/>
  <c r="AI47"/>
  <c r="AJ46" a="1"/>
  <c r="AJ46"/>
  <c r="AI46" a="1"/>
  <c r="AI46"/>
  <c r="AJ45" a="1"/>
  <c r="AJ45"/>
  <c r="AI45" a="1"/>
  <c r="AI45"/>
  <c r="AJ44" a="1"/>
  <c r="AJ44"/>
  <c r="AI44" a="1"/>
  <c r="AI44"/>
  <c r="AJ43" a="1"/>
  <c r="AJ43"/>
  <c r="AI43" a="1"/>
  <c r="AI43"/>
  <c r="AJ42" a="1"/>
  <c r="AJ42"/>
  <c r="AI42" a="1"/>
  <c r="AI42"/>
  <c r="AJ41" a="1"/>
  <c r="AJ41"/>
  <c r="AI41" a="1"/>
  <c r="AI41"/>
  <c r="AJ40" a="1"/>
  <c r="AJ40"/>
  <c r="AI40" a="1"/>
  <c r="AI40"/>
  <c r="AJ39" a="1"/>
  <c r="AJ39"/>
  <c r="AI39" a="1"/>
  <c r="AI39"/>
  <c r="AJ38" a="1"/>
  <c r="AJ38"/>
  <c r="AI38" a="1"/>
  <c r="AI38"/>
  <c r="AJ37" a="1"/>
  <c r="AJ37"/>
  <c r="AI37" a="1"/>
  <c r="AI37"/>
  <c r="AJ36" a="1"/>
  <c r="AJ36"/>
  <c r="AI36" a="1"/>
  <c r="AI36"/>
  <c r="AJ35" a="1"/>
  <c r="AJ35"/>
  <c r="AI35" a="1"/>
  <c r="AI35"/>
  <c r="AJ34" a="1"/>
  <c r="AJ34"/>
  <c r="AI34" a="1"/>
  <c r="AI34"/>
  <c r="AJ33" a="1"/>
  <c r="AJ33"/>
  <c r="AI33" a="1"/>
  <c r="AI33"/>
  <c r="AJ32" a="1"/>
  <c r="AJ32"/>
  <c r="AI32" a="1"/>
  <c r="AI32"/>
  <c r="AJ31" a="1"/>
  <c r="AJ31"/>
  <c r="AI31" a="1"/>
  <c r="AI31"/>
  <c r="AJ30" a="1"/>
  <c r="AJ30"/>
  <c r="AI30" a="1"/>
  <c r="AI30"/>
  <c r="AJ29" a="1"/>
  <c r="AJ29"/>
  <c r="AI29" a="1"/>
  <c r="AI29"/>
  <c r="AJ28" a="1"/>
  <c r="AJ28"/>
  <c r="AI28" a="1"/>
  <c r="AI28"/>
  <c r="AJ27" a="1"/>
  <c r="AJ27"/>
  <c r="AI27" a="1"/>
  <c r="AI27"/>
  <c r="AJ26" a="1"/>
  <c r="AJ26"/>
  <c r="AI26" a="1"/>
  <c r="AI26"/>
  <c r="AJ25" a="1"/>
  <c r="AJ25"/>
  <c r="AI25" a="1"/>
  <c r="AI25"/>
  <c r="AJ24" a="1"/>
  <c r="AJ24"/>
  <c r="AI24" a="1"/>
  <c r="AI24"/>
  <c r="AJ23" a="1"/>
  <c r="AJ23"/>
  <c r="AI23" a="1"/>
  <c r="AI23"/>
  <c r="AJ22" a="1"/>
  <c r="AJ22"/>
  <c r="AI22" a="1"/>
  <c r="AI22"/>
  <c r="AJ21" a="1"/>
  <c r="AJ21"/>
  <c r="AI21" a="1"/>
  <c r="AI21"/>
  <c r="AJ20" a="1"/>
  <c r="AJ20"/>
  <c r="AI20" a="1"/>
  <c r="AI20"/>
  <c r="AJ19" a="1"/>
  <c r="AJ19"/>
  <c r="AI19" a="1"/>
  <c r="AI19"/>
  <c r="AJ18" a="1"/>
  <c r="AJ18"/>
  <c r="AI18" a="1"/>
  <c r="AI18"/>
  <c r="AJ17" a="1"/>
  <c r="AJ17"/>
  <c r="AI17" a="1"/>
  <c r="AI17"/>
  <c r="AJ16" a="1"/>
  <c r="AJ16"/>
  <c r="AI16" a="1"/>
  <c r="AI16"/>
  <c r="AJ15" a="1"/>
  <c r="AJ15"/>
  <c r="AI15" a="1"/>
  <c r="AI15"/>
  <c r="AJ14" a="1"/>
  <c r="AJ14"/>
  <c r="AI14" a="1"/>
  <c r="AI14"/>
  <c r="AJ13" a="1"/>
  <c r="AJ13"/>
  <c r="AI13" a="1"/>
  <c r="AI13"/>
  <c r="AC13" a="1"/>
  <c r="AA8"/>
  <c r="AZ11"/>
  <c r="BA11" l="1"/>
  <c r="AT13"/>
  <c r="BB11"/>
  <c r="BD11"/>
  <c r="BC10"/>
  <c r="BC11"/>
  <c r="BE11"/>
  <c r="N12"/>
  <c r="N11"/>
  <c r="N13"/>
  <c r="AV13" a="1"/>
  <c r="AV13"/>
  <c r="AC13"/>
  <c r="G11"/>
  <c r="K11"/>
  <c r="K12"/>
  <c r="K13"/>
  <c r="L11"/>
  <c r="L12"/>
  <c r="L13"/>
  <c r="M13"/>
  <c r="BF13"/>
  <c r="BF11"/>
  <c r="BG11"/>
  <c r="BF14"/>
  <c r="AE8"/>
  <c r="AI8"/>
  <c r="AJ8"/>
  <c r="AO8"/>
  <c r="G14"/>
  <c r="K14"/>
  <c r="L14"/>
  <c r="M14"/>
  <c r="BF15"/>
  <c r="G15"/>
  <c r="AZ15"/>
  <c r="BA15"/>
  <c r="AZ14"/>
  <c r="BA14"/>
  <c r="BB14"/>
  <c r="BB15"/>
  <c r="N15"/>
  <c r="N14"/>
  <c r="AD14"/>
  <c r="AD15"/>
  <c r="K15"/>
  <c r="L15"/>
  <c r="M15"/>
  <c r="BF16"/>
  <c r="G16"/>
  <c r="AZ16"/>
  <c r="BA16"/>
  <c r="BB16"/>
  <c r="N16"/>
  <c r="AD16"/>
  <c r="K16"/>
  <c r="L16"/>
  <c r="M16"/>
  <c r="BF17"/>
  <c r="G17"/>
  <c r="AZ17"/>
  <c r="BA17"/>
  <c r="BB17"/>
  <c r="N17"/>
  <c r="AD17"/>
  <c r="K17"/>
  <c r="L17"/>
  <c r="M17"/>
  <c r="BF18"/>
  <c r="G18"/>
  <c r="AZ18"/>
  <c r="BA18"/>
  <c r="BB18"/>
  <c r="N18"/>
  <c r="AD18"/>
  <c r="K18"/>
  <c r="L18"/>
  <c r="M18"/>
  <c r="BF19"/>
  <c r="G19"/>
  <c r="AZ19"/>
  <c r="BA19"/>
  <c r="BB19"/>
  <c r="N19"/>
  <c r="AD19"/>
  <c r="K19"/>
  <c r="L19"/>
  <c r="M19"/>
  <c r="BF20"/>
  <c r="G20"/>
  <c r="AZ20"/>
  <c r="BA20"/>
  <c r="BB20"/>
  <c r="N20"/>
  <c r="AD20"/>
  <c r="K20"/>
  <c r="L20"/>
  <c r="M20"/>
  <c r="BF21"/>
  <c r="G21"/>
  <c r="AZ21"/>
  <c r="BA21"/>
  <c r="BB21"/>
  <c r="N21"/>
  <c r="AD21"/>
  <c r="K21"/>
  <c r="L21"/>
  <c r="M21"/>
  <c r="BF22"/>
  <c r="G22"/>
  <c r="AZ22"/>
  <c r="BA22"/>
  <c r="BB22"/>
  <c r="N22"/>
  <c r="AD22"/>
  <c r="K22"/>
  <c r="L22"/>
  <c r="M22"/>
  <c r="BF23"/>
  <c r="G23"/>
  <c r="AZ23"/>
  <c r="BA23"/>
  <c r="BB23"/>
  <c r="N23"/>
  <c r="AD23"/>
  <c r="K23"/>
  <c r="L23"/>
  <c r="M23"/>
  <c r="BF24"/>
  <c r="G24"/>
  <c r="AZ24"/>
  <c r="BA24"/>
  <c r="BB24"/>
  <c r="N24"/>
  <c r="AD24"/>
  <c r="K24"/>
  <c r="L24"/>
  <c r="M24"/>
  <c r="BF25"/>
  <c r="G25"/>
  <c r="AZ25"/>
  <c r="BA25"/>
  <c r="BB25"/>
  <c r="N25"/>
  <c r="AD25"/>
  <c r="K25"/>
  <c r="L25"/>
  <c r="M25"/>
  <c r="BF26"/>
  <c r="G26"/>
  <c r="AZ26"/>
  <c r="BA26"/>
  <c r="BB26"/>
  <c r="N26"/>
  <c r="AD26"/>
  <c r="K26"/>
  <c r="L26"/>
  <c r="M26"/>
  <c r="BF27"/>
  <c r="G27"/>
  <c r="AZ27"/>
  <c r="BA27"/>
  <c r="BB27"/>
  <c r="N27"/>
  <c r="AD27"/>
  <c r="K27"/>
  <c r="L27"/>
  <c r="M27"/>
  <c r="BF28"/>
  <c r="G28"/>
  <c r="AZ28"/>
  <c r="BA28"/>
  <c r="BB28"/>
  <c r="N28"/>
  <c r="AD28"/>
  <c r="K28"/>
  <c r="L28"/>
  <c r="M28"/>
  <c r="BF29"/>
  <c r="G29"/>
  <c r="AZ29"/>
  <c r="BA29"/>
  <c r="BB29"/>
  <c r="N29"/>
  <c r="AD29"/>
  <c r="K29"/>
  <c r="L29"/>
  <c r="M29"/>
  <c r="BF30"/>
  <c r="G30"/>
  <c r="AZ30"/>
  <c r="BA30"/>
  <c r="BB30"/>
  <c r="N30"/>
  <c r="AD30"/>
  <c r="K30"/>
  <c r="L30"/>
  <c r="M30"/>
  <c r="BF31"/>
  <c r="G31"/>
  <c r="AZ31"/>
  <c r="BA31"/>
  <c r="BB31"/>
  <c r="N31"/>
  <c r="AD31"/>
  <c r="K31"/>
  <c r="L31"/>
  <c r="M31"/>
  <c r="BF32"/>
  <c r="G32"/>
  <c r="AZ32"/>
  <c r="BA32"/>
  <c r="BB32"/>
  <c r="N32"/>
  <c r="AD32"/>
  <c r="K32"/>
  <c r="L32"/>
  <c r="M32"/>
  <c r="BF33"/>
  <c r="G33"/>
  <c r="AZ33"/>
  <c r="BA33"/>
  <c r="BB33"/>
  <c r="N33"/>
  <c r="AD33"/>
  <c r="K33"/>
  <c r="L33"/>
  <c r="M33"/>
  <c r="BF34"/>
  <c r="G34"/>
  <c r="AZ34"/>
  <c r="BA34"/>
  <c r="BB34"/>
  <c r="N34"/>
  <c r="AD34"/>
  <c r="K34"/>
  <c r="L34"/>
  <c r="M34"/>
  <c r="BF35"/>
  <c r="G35"/>
  <c r="AZ35"/>
  <c r="BA35"/>
  <c r="BB35"/>
  <c r="N35"/>
  <c r="AD35"/>
  <c r="K35"/>
  <c r="L35"/>
  <c r="M35"/>
  <c r="BF36"/>
  <c r="G36"/>
  <c r="AZ36"/>
  <c r="BA36"/>
  <c r="BB36"/>
  <c r="N36"/>
  <c r="AD36"/>
  <c r="K36"/>
  <c r="L36"/>
  <c r="M36"/>
  <c r="BF37"/>
  <c r="G37"/>
  <c r="AZ37"/>
  <c r="BA37"/>
  <c r="BB37"/>
  <c r="N37"/>
  <c r="AD37"/>
  <c r="K37"/>
  <c r="L37"/>
  <c r="M37"/>
  <c r="BF38"/>
  <c r="G38"/>
  <c r="AZ38"/>
  <c r="BA38"/>
  <c r="BB38"/>
  <c r="N38"/>
  <c r="AD38"/>
  <c r="K38"/>
  <c r="L38"/>
  <c r="M38"/>
  <c r="BF39"/>
  <c r="G39"/>
  <c r="AZ39"/>
  <c r="BA39"/>
  <c r="BB39"/>
  <c r="N39"/>
  <c r="AD39"/>
  <c r="K39"/>
  <c r="L39"/>
  <c r="M39"/>
  <c r="BF40"/>
  <c r="G40"/>
  <c r="AZ40"/>
  <c r="BA40"/>
  <c r="BB40"/>
  <c r="N40"/>
  <c r="AD40"/>
  <c r="K40"/>
  <c r="L40"/>
  <c r="M40"/>
  <c r="BF41"/>
  <c r="G41"/>
  <c r="AZ41"/>
  <c r="BA41"/>
  <c r="BB41"/>
  <c r="N41"/>
  <c r="AD41"/>
  <c r="K41"/>
  <c r="L41"/>
  <c r="M41"/>
  <c r="BF42"/>
  <c r="G42"/>
  <c r="AZ42"/>
  <c r="BA42"/>
  <c r="BB42"/>
  <c r="N42"/>
  <c r="AD42"/>
  <c r="K42"/>
  <c r="L42"/>
  <c r="M42"/>
  <c r="BF43"/>
  <c r="G43"/>
  <c r="AZ43"/>
  <c r="BA43"/>
  <c r="BB43"/>
  <c r="N43"/>
  <c r="AD43"/>
  <c r="K43"/>
  <c r="L43"/>
  <c r="M43"/>
  <c r="BF44"/>
  <c r="G44"/>
  <c r="AZ44"/>
  <c r="BA44"/>
  <c r="BB44"/>
  <c r="N44"/>
  <c r="AD44"/>
  <c r="K44"/>
  <c r="L44"/>
  <c r="M44"/>
  <c r="BF45"/>
  <c r="G45"/>
  <c r="AZ45"/>
  <c r="BA45"/>
  <c r="BB45"/>
  <c r="N45"/>
  <c r="AD45"/>
  <c r="K45"/>
  <c r="L45"/>
  <c r="M45"/>
  <c r="G46"/>
  <c r="AZ46"/>
  <c r="BA46"/>
  <c r="BB46"/>
  <c r="N46"/>
  <c r="AD46"/>
  <c r="K46"/>
  <c r="L46"/>
  <c r="M46"/>
  <c r="G47"/>
  <c r="AZ47"/>
  <c r="BA47"/>
  <c r="BB47"/>
  <c r="N47"/>
  <c r="AD47"/>
  <c r="K47"/>
  <c r="L47"/>
  <c r="M47"/>
  <c r="G48"/>
  <c r="AZ48"/>
  <c r="BA48"/>
  <c r="BB48"/>
  <c r="N48"/>
  <c r="AD48"/>
  <c r="K48"/>
  <c r="L48"/>
  <c r="M48"/>
  <c r="G49"/>
  <c r="AZ49"/>
  <c r="BA49"/>
  <c r="BB49"/>
  <c r="N49"/>
  <c r="AD49"/>
  <c r="K49"/>
  <c r="L49"/>
  <c r="M49"/>
  <c r="G50"/>
  <c r="AZ50"/>
  <c r="BA50"/>
  <c r="BB50"/>
  <c r="N50"/>
  <c r="AD50"/>
  <c r="K50"/>
  <c r="L50"/>
  <c r="M50"/>
  <c r="G51"/>
  <c r="AZ51"/>
  <c r="BA51"/>
  <c r="BB51"/>
  <c r="N51"/>
  <c r="AD51"/>
  <c r="K51"/>
  <c r="L51"/>
  <c r="M51"/>
  <c r="G52"/>
  <c r="AZ52"/>
  <c r="BA52"/>
  <c r="BB52"/>
  <c r="N52"/>
  <c r="AD52"/>
  <c r="K52"/>
  <c r="L52"/>
  <c r="M52"/>
  <c r="G53"/>
  <c r="AZ53"/>
  <c r="BA53"/>
  <c r="BB53"/>
  <c r="N53"/>
  <c r="AD53"/>
  <c r="K53"/>
  <c r="L53"/>
  <c r="M53"/>
  <c r="G54"/>
  <c r="AZ54"/>
  <c r="BA54"/>
  <c r="BB54"/>
  <c r="N54"/>
  <c r="AD54"/>
  <c r="K54"/>
  <c r="L54"/>
  <c r="M54"/>
  <c r="G55"/>
  <c r="AZ55"/>
  <c r="BA55"/>
  <c r="BB55"/>
  <c r="N55"/>
  <c r="AD55"/>
  <c r="K55"/>
  <c r="L55"/>
  <c r="M55"/>
  <c r="G56"/>
  <c r="AZ56"/>
  <c r="BA56"/>
  <c r="BB56"/>
  <c r="N56"/>
  <c r="AD56"/>
  <c r="K56"/>
  <c r="L56"/>
  <c r="M56"/>
  <c r="G57"/>
  <c r="AZ57"/>
  <c r="BA57"/>
  <c r="BB57"/>
  <c r="N57"/>
  <c r="AD57"/>
  <c r="K57"/>
  <c r="L57"/>
  <c r="M57"/>
  <c r="G58"/>
  <c r="AZ58"/>
  <c r="BA58"/>
  <c r="BB58"/>
  <c r="N58"/>
  <c r="AD58"/>
  <c r="K58"/>
  <c r="L58"/>
  <c r="M58"/>
  <c r="G59"/>
  <c r="AZ59"/>
  <c r="BA59"/>
  <c r="BB59"/>
  <c r="N59"/>
  <c r="AD59"/>
  <c r="K59"/>
  <c r="L59"/>
  <c r="M59"/>
  <c r="G60"/>
  <c r="AZ60"/>
  <c r="BA60"/>
  <c r="BB60"/>
  <c r="N60"/>
  <c r="AD60"/>
  <c r="AD13"/>
  <c r="AC57"/>
  <c r="AC58"/>
  <c r="AC59"/>
  <c r="AC60"/>
  <c r="AT15"/>
  <c r="AV15" a="1"/>
  <c r="AV15"/>
  <c r="AC15"/>
  <c r="AT16"/>
  <c r="AV16" a="1"/>
  <c r="AV16"/>
  <c r="AC16"/>
  <c r="AT17"/>
  <c r="AV17" a="1"/>
  <c r="AV17"/>
  <c r="AC17"/>
  <c r="AT18"/>
  <c r="AV18" a="1"/>
  <c r="AV18"/>
  <c r="AC18"/>
  <c r="AT19"/>
  <c r="AV19" a="1"/>
  <c r="AV19"/>
  <c r="AC19"/>
  <c r="AT20"/>
  <c r="AV20" a="1"/>
  <c r="AV20"/>
  <c r="AC20"/>
  <c r="AT21"/>
  <c r="AV21" a="1"/>
  <c r="AV21"/>
  <c r="AC21"/>
  <c r="AT22"/>
  <c r="AV22" a="1"/>
  <c r="AV22"/>
  <c r="AC22"/>
  <c r="AT23"/>
  <c r="AV23" a="1"/>
  <c r="AV23"/>
  <c r="AC23"/>
  <c r="AT24"/>
  <c r="AV24" a="1"/>
  <c r="AV24"/>
  <c r="AC24"/>
  <c r="AT25"/>
  <c r="AV25" a="1"/>
  <c r="AV25"/>
  <c r="AC25"/>
  <c r="AT26"/>
  <c r="AV26" a="1"/>
  <c r="AV26"/>
  <c r="AC26"/>
  <c r="AT27"/>
  <c r="AV27" a="1"/>
  <c r="AV27"/>
  <c r="AC27"/>
  <c r="AT28"/>
  <c r="AV28" a="1"/>
  <c r="AV28"/>
  <c r="AC28"/>
  <c r="AT29"/>
  <c r="AV29" a="1"/>
  <c r="AV29"/>
  <c r="AC29"/>
  <c r="AT30"/>
  <c r="AV30" a="1"/>
  <c r="AV30"/>
  <c r="AC30"/>
  <c r="AT31"/>
  <c r="AV31" a="1"/>
  <c r="AV31"/>
  <c r="AC31"/>
  <c r="AT32"/>
  <c r="AV32" a="1"/>
  <c r="AV32"/>
  <c r="AC32"/>
  <c r="AT33"/>
  <c r="AV33" a="1"/>
  <c r="AV33"/>
  <c r="AC33"/>
  <c r="AT34"/>
  <c r="AV34" a="1"/>
  <c r="AV34"/>
  <c r="AC34"/>
  <c r="AT35"/>
  <c r="AV35" a="1"/>
  <c r="AV35"/>
  <c r="AC35"/>
  <c r="AT36"/>
  <c r="AV36" a="1"/>
  <c r="AV36"/>
  <c r="AC36"/>
  <c r="AT37"/>
  <c r="AV37" a="1"/>
  <c r="AV37"/>
  <c r="AC37"/>
  <c r="AT38"/>
  <c r="AV38" a="1"/>
  <c r="AV38"/>
  <c r="AC38"/>
  <c r="AT39"/>
  <c r="AV39" a="1"/>
  <c r="AV39"/>
  <c r="AC39"/>
  <c r="AT40"/>
  <c r="AV40" a="1"/>
  <c r="AV40"/>
  <c r="AC40"/>
  <c r="AT41"/>
  <c r="AV41" a="1"/>
  <c r="AV41"/>
  <c r="AC41"/>
  <c r="AT42"/>
  <c r="AV42" a="1"/>
  <c r="AV42"/>
  <c r="AC42"/>
  <c r="AT43"/>
  <c r="AV43" a="1"/>
  <c r="AV43"/>
  <c r="AC43"/>
  <c r="AT44"/>
  <c r="AV44" a="1"/>
  <c r="AV44"/>
  <c r="AC44"/>
  <c r="AT45"/>
  <c r="AV45" a="1"/>
  <c r="AV45"/>
  <c r="AC45"/>
  <c r="AC46"/>
  <c r="AC47"/>
  <c r="AC48"/>
  <c r="AC49"/>
  <c r="AC50"/>
  <c r="AC51"/>
  <c r="AC52"/>
  <c r="AC53"/>
  <c r="AC54"/>
  <c r="AC55"/>
  <c r="AC56"/>
  <c r="AT14"/>
  <c r="AV14" a="1"/>
  <c r="AV14"/>
  <c r="AC14"/>
  <c r="S15" a="1"/>
  <c r="S15"/>
  <c r="S16" a="1"/>
  <c r="S16"/>
  <c r="S17" a="1"/>
  <c r="S17"/>
  <c r="S18" a="1"/>
  <c r="S18"/>
  <c r="S19" a="1"/>
  <c r="S19"/>
  <c r="S20" a="1"/>
  <c r="S20"/>
  <c r="S21" a="1"/>
  <c r="S21"/>
  <c r="S22" a="1"/>
  <c r="S22"/>
  <c r="S23" a="1"/>
  <c r="S23"/>
  <c r="S24" a="1"/>
  <c r="S24"/>
  <c r="S25" a="1"/>
  <c r="S25"/>
  <c r="S26" a="1"/>
  <c r="S26"/>
  <c r="S27" a="1"/>
  <c r="S27"/>
  <c r="S28" a="1"/>
  <c r="S28"/>
  <c r="S29" a="1"/>
  <c r="S29"/>
  <c r="S30" a="1"/>
  <c r="S30"/>
  <c r="S31" a="1"/>
  <c r="S31"/>
  <c r="S32" a="1"/>
  <c r="S32"/>
  <c r="S33" a="1"/>
  <c r="S33"/>
  <c r="S34" a="1"/>
  <c r="S34"/>
  <c r="S35" a="1"/>
  <c r="S35"/>
  <c r="S36" a="1"/>
  <c r="S36"/>
  <c r="S37" a="1"/>
  <c r="S37"/>
  <c r="S38" a="1"/>
  <c r="S38"/>
  <c r="S39" a="1"/>
  <c r="S39"/>
  <c r="S40" a="1"/>
  <c r="S40"/>
  <c r="S41" a="1"/>
  <c r="S41"/>
  <c r="S42" a="1"/>
  <c r="S42"/>
  <c r="S43" a="1"/>
  <c r="S43"/>
  <c r="S44" a="1"/>
  <c r="S44"/>
  <c r="S45" a="1"/>
  <c r="S45"/>
  <c r="S46" a="1"/>
  <c r="S46"/>
  <c r="S47" a="1"/>
  <c r="S47"/>
  <c r="S48" a="1"/>
  <c r="S48"/>
  <c r="S49" a="1"/>
  <c r="S49"/>
  <c r="S50" a="1"/>
  <c r="S50"/>
  <c r="S51" a="1"/>
  <c r="S51"/>
  <c r="S52" a="1"/>
  <c r="S52"/>
  <c r="S53" a="1"/>
  <c r="S53"/>
  <c r="S54" a="1"/>
  <c r="S54"/>
  <c r="S55" a="1"/>
  <c r="S55"/>
  <c r="S56" a="1"/>
  <c r="S56"/>
  <c r="S57" a="1"/>
  <c r="S57"/>
  <c r="S58" a="1"/>
  <c r="S58"/>
  <c r="S59" a="1"/>
  <c r="S59"/>
  <c r="S60" a="1"/>
  <c r="S60"/>
  <c r="S13"/>
  <c r="S14" a="1"/>
  <c r="S14"/>
  <c r="A1" i="7"/>
  <c r="X15" i="1"/>
  <c r="O15"/>
  <c r="B14"/>
  <c r="B15"/>
  <c r="T15"/>
  <c r="Y15"/>
  <c r="Q15"/>
  <c r="V15" a="1"/>
  <c r="V15"/>
  <c r="AA15"/>
  <c r="AB15"/>
  <c r="AO15"/>
  <c r="AE15"/>
  <c r="AF14" a="1"/>
  <c r="AF14"/>
  <c r="AF15" a="1"/>
  <c r="AF15"/>
  <c r="AG14" a="1"/>
  <c r="AG14"/>
  <c r="AG15" a="1"/>
  <c r="AG15"/>
  <c r="AH15"/>
  <c r="BI15"/>
  <c r="BL15"/>
  <c r="BM15"/>
  <c r="BN15"/>
  <c r="AK15"/>
  <c r="X16"/>
  <c r="O16"/>
  <c r="B16"/>
  <c r="T16"/>
  <c r="Y16"/>
  <c r="Q16"/>
  <c r="V16" a="1"/>
  <c r="V16"/>
  <c r="AA16"/>
  <c r="AB16"/>
  <c r="AO16"/>
  <c r="AE16"/>
  <c r="AF16" a="1"/>
  <c r="AF16"/>
  <c r="AG16" a="1"/>
  <c r="AG16"/>
  <c r="AH16"/>
  <c r="BI16"/>
  <c r="BL16"/>
  <c r="BM16"/>
  <c r="BN16"/>
  <c r="AK16"/>
  <c r="X17"/>
  <c r="O17"/>
  <c r="B17"/>
  <c r="T17"/>
  <c r="Y17"/>
  <c r="Q17"/>
  <c r="V17" a="1"/>
  <c r="V17"/>
  <c r="AA17"/>
  <c r="AB17"/>
  <c r="AO17"/>
  <c r="AE17"/>
  <c r="AF17" a="1"/>
  <c r="AF17"/>
  <c r="AG17" a="1"/>
  <c r="AG17"/>
  <c r="AH17"/>
  <c r="BI17"/>
  <c r="BL17"/>
  <c r="BM17"/>
  <c r="BN17"/>
  <c r="AK17"/>
  <c r="X18"/>
  <c r="O18"/>
  <c r="B18"/>
  <c r="T18"/>
  <c r="Y18"/>
  <c r="Q18"/>
  <c r="V18" a="1"/>
  <c r="V18"/>
  <c r="AA18"/>
  <c r="AB18"/>
  <c r="AO18"/>
  <c r="AE18"/>
  <c r="AF18" a="1"/>
  <c r="AF18"/>
  <c r="AG18" a="1"/>
  <c r="AG18"/>
  <c r="AH18"/>
  <c r="BI18"/>
  <c r="BL18"/>
  <c r="BM18"/>
  <c r="BN18"/>
  <c r="AK18"/>
  <c r="X19"/>
  <c r="O19"/>
  <c r="B19"/>
  <c r="T19"/>
  <c r="Y19"/>
  <c r="Q19"/>
  <c r="V19" a="1"/>
  <c r="V19"/>
  <c r="AA19"/>
  <c r="AB19"/>
  <c r="AO19"/>
  <c r="AE19"/>
  <c r="AF19" a="1"/>
  <c r="AF19"/>
  <c r="AG19" a="1"/>
  <c r="AG19"/>
  <c r="AH19"/>
  <c r="BI19"/>
  <c r="BL19"/>
  <c r="BM19"/>
  <c r="BN19"/>
  <c r="AK19"/>
  <c r="X20"/>
  <c r="O20"/>
  <c r="B20"/>
  <c r="T20"/>
  <c r="Y20"/>
  <c r="Q20"/>
  <c r="V20" a="1"/>
  <c r="V20"/>
  <c r="AA20"/>
  <c r="AB20"/>
  <c r="AO20"/>
  <c r="AE20"/>
  <c r="AF20" a="1"/>
  <c r="AF20"/>
  <c r="AG20" a="1"/>
  <c r="AG20"/>
  <c r="AH20"/>
  <c r="BI20"/>
  <c r="BL20"/>
  <c r="BM20"/>
  <c r="BN20"/>
  <c r="R20"/>
  <c r="W20"/>
  <c r="AK20"/>
  <c r="X21"/>
  <c r="O21"/>
  <c r="B21"/>
  <c r="T21"/>
  <c r="Y21"/>
  <c r="Q21"/>
  <c r="V21" a="1"/>
  <c r="V21"/>
  <c r="AA21"/>
  <c r="AB21"/>
  <c r="AO21"/>
  <c r="AE21"/>
  <c r="AF21" a="1"/>
  <c r="AF21"/>
  <c r="AG21" a="1"/>
  <c r="AG21"/>
  <c r="AH21"/>
  <c r="BI21"/>
  <c r="BL21"/>
  <c r="BM21"/>
  <c r="BN21"/>
  <c r="R21"/>
  <c r="W21"/>
  <c r="AK21"/>
  <c r="X22"/>
  <c r="O22"/>
  <c r="B22"/>
  <c r="T22"/>
  <c r="Y22"/>
  <c r="Q22"/>
  <c r="V22" a="1"/>
  <c r="V22"/>
  <c r="AA22"/>
  <c r="AB22"/>
  <c r="AO22"/>
  <c r="AE22"/>
  <c r="AF22" a="1"/>
  <c r="AF22"/>
  <c r="AG22" a="1"/>
  <c r="AG22"/>
  <c r="AH22"/>
  <c r="BI22"/>
  <c r="BL22"/>
  <c r="BM22"/>
  <c r="BN22"/>
  <c r="AK22"/>
  <c r="X23"/>
  <c r="O23"/>
  <c r="B23"/>
  <c r="T23"/>
  <c r="Y23"/>
  <c r="Q23"/>
  <c r="V23" a="1"/>
  <c r="V23"/>
  <c r="AA23"/>
  <c r="AB23"/>
  <c r="AO23"/>
  <c r="AE23"/>
  <c r="AF23" a="1"/>
  <c r="AF23"/>
  <c r="AG23" a="1"/>
  <c r="AG23"/>
  <c r="AH23"/>
  <c r="BI23"/>
  <c r="BL23"/>
  <c r="BM23"/>
  <c r="BN23"/>
  <c r="AK23"/>
  <c r="X24"/>
  <c r="O24"/>
  <c r="B24"/>
  <c r="T24"/>
  <c r="Y24"/>
  <c r="Q24"/>
  <c r="V24" a="1"/>
  <c r="V24"/>
  <c r="AA24"/>
  <c r="AB24"/>
  <c r="AO24"/>
  <c r="AE24"/>
  <c r="AF24" a="1"/>
  <c r="AF24"/>
  <c r="AG24" a="1"/>
  <c r="AG24"/>
  <c r="AH24"/>
  <c r="BI24"/>
  <c r="BL24"/>
  <c r="BM24"/>
  <c r="BN24"/>
  <c r="AK24"/>
  <c r="X25"/>
  <c r="O25"/>
  <c r="B25"/>
  <c r="T25"/>
  <c r="Y25"/>
  <c r="Q25"/>
  <c r="V25" a="1"/>
  <c r="V25"/>
  <c r="AA25"/>
  <c r="AB25"/>
  <c r="AO25"/>
  <c r="AE25"/>
  <c r="AF25" a="1"/>
  <c r="AF25"/>
  <c r="AG25" a="1"/>
  <c r="AG25"/>
  <c r="AH25"/>
  <c r="BI25"/>
  <c r="BL25"/>
  <c r="BM25"/>
  <c r="BN25"/>
  <c r="AK25"/>
  <c r="X26"/>
  <c r="O26"/>
  <c r="B26"/>
  <c r="T26"/>
  <c r="Y26"/>
  <c r="Q26"/>
  <c r="V26" a="1"/>
  <c r="V26"/>
  <c r="AA26"/>
  <c r="AB26"/>
  <c r="AO26"/>
  <c r="AE26"/>
  <c r="AF26" a="1"/>
  <c r="AF26"/>
  <c r="AG26" a="1"/>
  <c r="AG26"/>
  <c r="AH26"/>
  <c r="BI26"/>
  <c r="BL26"/>
  <c r="BM26"/>
  <c r="BN26"/>
  <c r="AK26"/>
  <c r="X27"/>
  <c r="O27"/>
  <c r="B27"/>
  <c r="T27"/>
  <c r="Y27"/>
  <c r="Q27"/>
  <c r="V27" a="1"/>
  <c r="V27"/>
  <c r="AA27"/>
  <c r="AB27"/>
  <c r="AO27"/>
  <c r="AE27"/>
  <c r="AF27" a="1"/>
  <c r="AF27"/>
  <c r="AG27" a="1"/>
  <c r="AG27"/>
  <c r="AH27"/>
  <c r="BI27"/>
  <c r="BL27"/>
  <c r="BM27"/>
  <c r="BN27"/>
  <c r="AK27"/>
  <c r="X28"/>
  <c r="O28"/>
  <c r="B28"/>
  <c r="T28"/>
  <c r="Y28"/>
  <c r="Q28"/>
  <c r="V28" a="1"/>
  <c r="V28"/>
  <c r="AA28"/>
  <c r="AB28"/>
  <c r="AO28"/>
  <c r="AE28"/>
  <c r="AF28" a="1"/>
  <c r="AF28"/>
  <c r="AG28" a="1"/>
  <c r="AG28"/>
  <c r="AH28"/>
  <c r="BI28"/>
  <c r="BL28"/>
  <c r="BM28"/>
  <c r="BN28"/>
  <c r="AK28"/>
  <c r="X29"/>
  <c r="O29"/>
  <c r="B29"/>
  <c r="T29"/>
  <c r="Y29"/>
  <c r="Q29"/>
  <c r="V29" a="1"/>
  <c r="V29"/>
  <c r="AA29"/>
  <c r="AB29"/>
  <c r="AO29"/>
  <c r="AE29"/>
  <c r="AF29" a="1"/>
  <c r="AF29"/>
  <c r="AG29" a="1"/>
  <c r="AG29"/>
  <c r="AH29"/>
  <c r="BI29"/>
  <c r="BL29"/>
  <c r="BM29"/>
  <c r="BN29"/>
  <c r="AK29"/>
  <c r="X30"/>
  <c r="O30"/>
  <c r="B30"/>
  <c r="T30"/>
  <c r="Y30"/>
  <c r="Q30"/>
  <c r="V30" a="1"/>
  <c r="V30"/>
  <c r="AA30"/>
  <c r="AB30"/>
  <c r="AO30"/>
  <c r="AE30"/>
  <c r="AF30" a="1"/>
  <c r="AF30"/>
  <c r="AG30" a="1"/>
  <c r="AG30"/>
  <c r="AH30"/>
  <c r="BI30"/>
  <c r="BL30"/>
  <c r="BM30"/>
  <c r="BN30"/>
  <c r="AK30"/>
  <c r="X31"/>
  <c r="O31"/>
  <c r="B31"/>
  <c r="T31"/>
  <c r="Y31"/>
  <c r="Q31"/>
  <c r="V31" a="1"/>
  <c r="V31"/>
  <c r="AA31"/>
  <c r="AB31"/>
  <c r="AO31"/>
  <c r="AE31"/>
  <c r="AF31" a="1"/>
  <c r="AF31"/>
  <c r="AG31" a="1"/>
  <c r="AG31"/>
  <c r="AH31"/>
  <c r="BI31"/>
  <c r="BL31"/>
  <c r="BM31"/>
  <c r="BN31"/>
  <c r="AK31"/>
  <c r="X32"/>
  <c r="O32"/>
  <c r="B32"/>
  <c r="T32"/>
  <c r="Y32"/>
  <c r="Q32"/>
  <c r="V32" a="1"/>
  <c r="V32"/>
  <c r="AA32"/>
  <c r="AB32"/>
  <c r="AO32"/>
  <c r="AE32"/>
  <c r="AF32" a="1"/>
  <c r="AF32"/>
  <c r="AG32" a="1"/>
  <c r="AG32"/>
  <c r="AH32"/>
  <c r="BI32"/>
  <c r="BL32"/>
  <c r="BM32"/>
  <c r="BN32"/>
  <c r="AK32"/>
  <c r="X33"/>
  <c r="O33"/>
  <c r="B33"/>
  <c r="T33"/>
  <c r="Y33"/>
  <c r="Q33"/>
  <c r="V33" a="1"/>
  <c r="V33"/>
  <c r="AA33"/>
  <c r="AB33"/>
  <c r="AO33"/>
  <c r="AE33"/>
  <c r="AF33" a="1"/>
  <c r="AF33"/>
  <c r="AG33" a="1"/>
  <c r="AG33"/>
  <c r="AH33"/>
  <c r="BI33"/>
  <c r="BL33"/>
  <c r="BM33"/>
  <c r="BN33"/>
  <c r="AK33"/>
  <c r="X34"/>
  <c r="O34"/>
  <c r="B34"/>
  <c r="T34"/>
  <c r="Y34"/>
  <c r="Q34"/>
  <c r="V34" a="1"/>
  <c r="V34"/>
  <c r="AA34"/>
  <c r="AB34"/>
  <c r="AO34"/>
  <c r="AE34"/>
  <c r="AF34" a="1"/>
  <c r="AF34"/>
  <c r="AG34" a="1"/>
  <c r="AG34"/>
  <c r="AH34"/>
  <c r="BI34"/>
  <c r="BL34"/>
  <c r="BM34"/>
  <c r="BN34"/>
  <c r="AK34"/>
  <c r="X35"/>
  <c r="O35"/>
  <c r="B35"/>
  <c r="T35"/>
  <c r="Y35"/>
  <c r="Q35"/>
  <c r="V35" a="1"/>
  <c r="V35"/>
  <c r="AA35"/>
  <c r="AB35"/>
  <c r="AO35"/>
  <c r="AE35"/>
  <c r="AF35" a="1"/>
  <c r="AF35"/>
  <c r="AG35" a="1"/>
  <c r="AG35"/>
  <c r="AH35"/>
  <c r="BI35"/>
  <c r="BL35"/>
  <c r="BM35"/>
  <c r="BN35"/>
  <c r="AK35"/>
  <c r="X36"/>
  <c r="O36"/>
  <c r="B36"/>
  <c r="T36"/>
  <c r="Y36"/>
  <c r="Q36"/>
  <c r="V36" a="1"/>
  <c r="V36"/>
  <c r="AA36"/>
  <c r="AB36"/>
  <c r="AO36"/>
  <c r="AE36"/>
  <c r="AF36" a="1"/>
  <c r="AF36"/>
  <c r="AG36" a="1"/>
  <c r="AG36"/>
  <c r="AH36"/>
  <c r="BI36"/>
  <c r="BL36"/>
  <c r="BM36"/>
  <c r="BN36"/>
  <c r="AK36"/>
  <c r="X37"/>
  <c r="O37"/>
  <c r="B37"/>
  <c r="T37"/>
  <c r="Y37"/>
  <c r="Q37"/>
  <c r="V37" a="1"/>
  <c r="V37"/>
  <c r="AA37"/>
  <c r="AB37"/>
  <c r="AO37"/>
  <c r="AE37"/>
  <c r="AF37" a="1"/>
  <c r="AF37"/>
  <c r="AG37" a="1"/>
  <c r="AG37"/>
  <c r="AH37"/>
  <c r="BI37"/>
  <c r="BL37"/>
  <c r="BM37"/>
  <c r="BN37"/>
  <c r="AK37"/>
  <c r="X38"/>
  <c r="O38"/>
  <c r="B38"/>
  <c r="T38"/>
  <c r="Y38"/>
  <c r="Q38"/>
  <c r="V38" a="1"/>
  <c r="V38"/>
  <c r="AA38"/>
  <c r="AB38"/>
  <c r="AO38"/>
  <c r="AE38"/>
  <c r="AF38" a="1"/>
  <c r="AF38"/>
  <c r="AG38" a="1"/>
  <c r="AG38"/>
  <c r="AH38"/>
  <c r="BI38"/>
  <c r="BL38"/>
  <c r="BM38"/>
  <c r="BN38"/>
  <c r="AK38"/>
  <c r="X39"/>
  <c r="O39"/>
  <c r="B39"/>
  <c r="T39"/>
  <c r="Y39"/>
  <c r="Q39"/>
  <c r="V39" a="1"/>
  <c r="V39"/>
  <c r="AA39"/>
  <c r="AB39"/>
  <c r="AO39"/>
  <c r="AE39"/>
  <c r="AF39" a="1"/>
  <c r="AF39"/>
  <c r="AG39" a="1"/>
  <c r="AG39"/>
  <c r="AH39"/>
  <c r="BI39"/>
  <c r="BL39"/>
  <c r="BM39"/>
  <c r="BN39"/>
  <c r="AK39"/>
  <c r="X40"/>
  <c r="O40"/>
  <c r="B40"/>
  <c r="T40"/>
  <c r="Y40"/>
  <c r="Q40"/>
  <c r="V40" a="1"/>
  <c r="V40"/>
  <c r="AA40"/>
  <c r="AB40"/>
  <c r="AO40"/>
  <c r="AE40"/>
  <c r="AF40" a="1"/>
  <c r="AF40"/>
  <c r="AG40" a="1"/>
  <c r="AG40"/>
  <c r="AH40"/>
  <c r="BI40"/>
  <c r="BL40"/>
  <c r="BM40"/>
  <c r="BN40"/>
  <c r="AK40"/>
  <c r="X41"/>
  <c r="O41"/>
  <c r="B41"/>
  <c r="T41"/>
  <c r="Y41"/>
  <c r="Q41"/>
  <c r="V41" a="1"/>
  <c r="V41"/>
  <c r="AA41"/>
  <c r="AB41"/>
  <c r="AO41"/>
  <c r="AE41"/>
  <c r="AF41" a="1"/>
  <c r="AF41"/>
  <c r="AG41" a="1"/>
  <c r="AG41"/>
  <c r="AH41"/>
  <c r="BI41"/>
  <c r="BL41"/>
  <c r="BM41"/>
  <c r="BN41"/>
  <c r="AK41"/>
  <c r="X42"/>
  <c r="O42"/>
  <c r="B42"/>
  <c r="T42"/>
  <c r="Y42"/>
  <c r="Q42"/>
  <c r="V42" a="1"/>
  <c r="V42"/>
  <c r="AA42"/>
  <c r="AB42"/>
  <c r="AO42"/>
  <c r="AE42"/>
  <c r="AF42" a="1"/>
  <c r="AF42"/>
  <c r="AG42" a="1"/>
  <c r="AG42"/>
  <c r="AH42"/>
  <c r="BI42"/>
  <c r="BL42"/>
  <c r="BM42"/>
  <c r="BN42"/>
  <c r="AK42"/>
  <c r="X43"/>
  <c r="O43"/>
  <c r="B43"/>
  <c r="T43"/>
  <c r="Y43"/>
  <c r="Q43"/>
  <c r="V43" a="1"/>
  <c r="V43"/>
  <c r="AA43"/>
  <c r="AB43"/>
  <c r="AO43"/>
  <c r="AE43"/>
  <c r="AF43" a="1"/>
  <c r="AF43"/>
  <c r="AG43" a="1"/>
  <c r="AG43"/>
  <c r="AH43"/>
  <c r="BI43"/>
  <c r="BL43"/>
  <c r="BM43"/>
  <c r="BN43"/>
  <c r="AK43"/>
  <c r="X44"/>
  <c r="O44"/>
  <c r="B44"/>
  <c r="T44"/>
  <c r="Y44"/>
  <c r="Q44"/>
  <c r="V44" a="1"/>
  <c r="V44"/>
  <c r="AA44"/>
  <c r="AB44"/>
  <c r="AO44"/>
  <c r="AE44"/>
  <c r="AF44" a="1"/>
  <c r="AF44"/>
  <c r="AG44" a="1"/>
  <c r="AG44"/>
  <c r="AH44"/>
  <c r="BI44"/>
  <c r="BL44"/>
  <c r="BM44"/>
  <c r="BN44"/>
  <c r="AK44"/>
  <c r="X45"/>
  <c r="O45"/>
  <c r="B45"/>
  <c r="T45"/>
  <c r="Y45"/>
  <c r="Q45"/>
  <c r="V45" a="1"/>
  <c r="V45"/>
  <c r="AA45"/>
  <c r="AB45"/>
  <c r="AO45"/>
  <c r="AE45"/>
  <c r="AF45" a="1"/>
  <c r="AF45"/>
  <c r="AG45" a="1"/>
  <c r="AG45"/>
  <c r="AH45"/>
  <c r="BI45"/>
  <c r="BL45"/>
  <c r="BM45"/>
  <c r="BN45"/>
  <c r="AK45"/>
  <c r="X46"/>
  <c r="O46"/>
  <c r="B46"/>
  <c r="T46"/>
  <c r="Y46"/>
  <c r="Q46"/>
  <c r="V46" a="1"/>
  <c r="V46"/>
  <c r="AA46"/>
  <c r="AB46"/>
  <c r="AO46"/>
  <c r="AT46"/>
  <c r="AV46" a="1"/>
  <c r="AV46"/>
  <c r="AE46"/>
  <c r="AF46" a="1"/>
  <c r="AF46"/>
  <c r="AG46" a="1"/>
  <c r="AG46"/>
  <c r="AH46"/>
  <c r="BI46"/>
  <c r="BL46"/>
  <c r="BM46"/>
  <c r="BN46"/>
  <c r="AK46"/>
  <c r="X47"/>
  <c r="O47"/>
  <c r="B47"/>
  <c r="T47"/>
  <c r="Y47"/>
  <c r="Q47"/>
  <c r="V47" a="1"/>
  <c r="V47"/>
  <c r="AA47"/>
  <c r="AB47"/>
  <c r="AO47"/>
  <c r="AT47"/>
  <c r="AV47" a="1"/>
  <c r="AV47"/>
  <c r="AE47"/>
  <c r="AF47" a="1"/>
  <c r="AF47"/>
  <c r="AG47" a="1"/>
  <c r="AG47"/>
  <c r="AH47"/>
  <c r="BI47"/>
  <c r="BL47"/>
  <c r="BM47"/>
  <c r="BN47"/>
  <c r="AK47"/>
  <c r="X48"/>
  <c r="O48"/>
  <c r="B48"/>
  <c r="T48"/>
  <c r="Y48"/>
  <c r="Q48"/>
  <c r="V48" a="1"/>
  <c r="V48"/>
  <c r="AA48"/>
  <c r="AB48"/>
  <c r="AO48"/>
  <c r="AT48"/>
  <c r="AV48" a="1"/>
  <c r="AV48"/>
  <c r="AE48"/>
  <c r="AF48" a="1"/>
  <c r="AF48"/>
  <c r="AG48" a="1"/>
  <c r="AG48"/>
  <c r="AH48"/>
  <c r="BI48"/>
  <c r="BL48"/>
  <c r="BM48"/>
  <c r="BN48"/>
  <c r="AK48"/>
  <c r="X49"/>
  <c r="O49"/>
  <c r="B49"/>
  <c r="T49"/>
  <c r="Y49"/>
  <c r="Q49"/>
  <c r="V49" a="1"/>
  <c r="V49"/>
  <c r="AA49"/>
  <c r="AB49"/>
  <c r="AO49"/>
  <c r="AT49"/>
  <c r="AV49" a="1"/>
  <c r="AV49"/>
  <c r="AE49"/>
  <c r="AF49" a="1"/>
  <c r="AF49"/>
  <c r="AG49" a="1"/>
  <c r="AG49"/>
  <c r="AH49"/>
  <c r="BI49"/>
  <c r="BL49"/>
  <c r="BM49"/>
  <c r="BN49"/>
  <c r="AK49"/>
  <c r="X50"/>
  <c r="O50"/>
  <c r="B50"/>
  <c r="T50"/>
  <c r="Y50"/>
  <c r="Q50"/>
  <c r="V50" a="1"/>
  <c r="V50"/>
  <c r="AA50"/>
  <c r="AB50"/>
  <c r="AO50"/>
  <c r="AT50"/>
  <c r="AV50" a="1"/>
  <c r="AV50"/>
  <c r="AE50"/>
  <c r="AF50" a="1"/>
  <c r="AF50"/>
  <c r="AG50" a="1"/>
  <c r="AG50"/>
  <c r="AH50"/>
  <c r="BI50"/>
  <c r="BL50"/>
  <c r="BM50"/>
  <c r="BN50"/>
  <c r="AK50"/>
  <c r="X51"/>
  <c r="O51"/>
  <c r="B51"/>
  <c r="T51"/>
  <c r="Y51"/>
  <c r="Q51"/>
  <c r="V51" a="1"/>
  <c r="V51"/>
  <c r="AA51"/>
  <c r="AB51"/>
  <c r="AO51"/>
  <c r="AT51"/>
  <c r="AV51" a="1"/>
  <c r="AV51"/>
  <c r="AE51"/>
  <c r="AF51" a="1"/>
  <c r="AF51"/>
  <c r="AG51" a="1"/>
  <c r="AG51"/>
  <c r="AH51"/>
  <c r="BI51"/>
  <c r="BL51"/>
  <c r="BM51"/>
  <c r="BN51"/>
  <c r="AK51"/>
  <c r="X52"/>
  <c r="O52"/>
  <c r="B52"/>
  <c r="T52"/>
  <c r="Y52"/>
  <c r="Q52"/>
  <c r="V52" a="1"/>
  <c r="V52"/>
  <c r="AA52"/>
  <c r="AB52"/>
  <c r="AO52"/>
  <c r="AT52"/>
  <c r="AV52" a="1"/>
  <c r="AV52"/>
  <c r="AE52"/>
  <c r="AF52" a="1"/>
  <c r="AF52"/>
  <c r="AG52" a="1"/>
  <c r="AG52"/>
  <c r="AH52"/>
  <c r="BI52"/>
  <c r="BL52"/>
  <c r="BM52"/>
  <c r="BN52"/>
  <c r="AK52"/>
  <c r="X53"/>
  <c r="O53"/>
  <c r="B53"/>
  <c r="T53"/>
  <c r="Y53"/>
  <c r="Q53"/>
  <c r="V53" a="1"/>
  <c r="V53"/>
  <c r="AA53"/>
  <c r="AB53"/>
  <c r="AO53"/>
  <c r="AT53"/>
  <c r="AV53" a="1"/>
  <c r="AV53"/>
  <c r="AE53"/>
  <c r="AF53" a="1"/>
  <c r="AF53"/>
  <c r="AG53" a="1"/>
  <c r="AG53"/>
  <c r="AH53"/>
  <c r="BI53"/>
  <c r="BL53"/>
  <c r="BM53"/>
  <c r="BN53"/>
  <c r="AK53"/>
  <c r="X54"/>
  <c r="O54"/>
  <c r="B54"/>
  <c r="T54"/>
  <c r="Y54"/>
  <c r="Q54"/>
  <c r="V54" a="1"/>
  <c r="V54"/>
  <c r="AA54"/>
  <c r="AB54"/>
  <c r="AO54"/>
  <c r="AT54"/>
  <c r="AV54" a="1"/>
  <c r="AV54"/>
  <c r="AE54"/>
  <c r="AF54" a="1"/>
  <c r="AF54"/>
  <c r="AG54" a="1"/>
  <c r="AG54"/>
  <c r="AH54"/>
  <c r="BI54"/>
  <c r="BL54"/>
  <c r="BM54"/>
  <c r="BN54"/>
  <c r="AK54"/>
  <c r="X55"/>
  <c r="O55"/>
  <c r="B55"/>
  <c r="T55"/>
  <c r="Y55"/>
  <c r="Q55"/>
  <c r="V55" a="1"/>
  <c r="V55"/>
  <c r="AA55"/>
  <c r="AB55"/>
  <c r="AO55"/>
  <c r="AT55"/>
  <c r="AV55" a="1"/>
  <c r="AV55"/>
  <c r="AE55"/>
  <c r="AF55" a="1"/>
  <c r="AF55"/>
  <c r="AG55" a="1"/>
  <c r="AG55"/>
  <c r="AH55"/>
  <c r="BI55"/>
  <c r="BL55"/>
  <c r="BM55"/>
  <c r="BN55"/>
  <c r="AK55"/>
  <c r="X56"/>
  <c r="O56"/>
  <c r="B56"/>
  <c r="T56"/>
  <c r="Y56"/>
  <c r="Q56"/>
  <c r="V56" a="1"/>
  <c r="V56"/>
  <c r="AA56"/>
  <c r="AB56"/>
  <c r="AO56"/>
  <c r="AT56"/>
  <c r="AV56" a="1"/>
  <c r="AV56"/>
  <c r="AE56"/>
  <c r="AF56" a="1"/>
  <c r="AF56"/>
  <c r="AG56" a="1"/>
  <c r="AG56"/>
  <c r="AH56"/>
  <c r="BI56"/>
  <c r="BL56"/>
  <c r="BM56"/>
  <c r="BN56"/>
  <c r="AK56"/>
  <c r="X57"/>
  <c r="O57"/>
  <c r="B57"/>
  <c r="T57"/>
  <c r="Y57"/>
  <c r="Q57"/>
  <c r="V57" a="1"/>
  <c r="V57"/>
  <c r="AA57"/>
  <c r="AB57"/>
  <c r="AO57"/>
  <c r="AT57"/>
  <c r="AV57" a="1"/>
  <c r="AV57"/>
  <c r="AE57"/>
  <c r="AF57" a="1"/>
  <c r="AF57"/>
  <c r="AG57" a="1"/>
  <c r="AG57"/>
  <c r="AH57"/>
  <c r="BI57"/>
  <c r="BL57"/>
  <c r="BM57"/>
  <c r="BN57"/>
  <c r="AK57"/>
  <c r="X58"/>
  <c r="O58"/>
  <c r="B58"/>
  <c r="T58"/>
  <c r="Y58"/>
  <c r="Q58"/>
  <c r="V58" a="1"/>
  <c r="V58"/>
  <c r="AA58"/>
  <c r="AB58"/>
  <c r="AO58"/>
  <c r="AT58"/>
  <c r="AV58" a="1"/>
  <c r="AV58"/>
  <c r="AE58"/>
  <c r="AF58" a="1"/>
  <c r="AF58"/>
  <c r="AG58" a="1"/>
  <c r="AG58"/>
  <c r="AH58"/>
  <c r="BI58"/>
  <c r="BL58"/>
  <c r="BM58"/>
  <c r="BN58"/>
  <c r="AK58"/>
  <c r="X59"/>
  <c r="O59"/>
  <c r="B59"/>
  <c r="T59"/>
  <c r="Y59"/>
  <c r="Q59"/>
  <c r="V59" a="1"/>
  <c r="V59"/>
  <c r="AA59"/>
  <c r="AB59"/>
  <c r="AO59"/>
  <c r="AT59"/>
  <c r="AV59" a="1"/>
  <c r="AV59"/>
  <c r="AE59"/>
  <c r="AF59" a="1"/>
  <c r="AF59"/>
  <c r="AG59" a="1"/>
  <c r="AG59"/>
  <c r="AH59"/>
  <c r="BI59"/>
  <c r="BL59"/>
  <c r="BM59"/>
  <c r="BN59"/>
  <c r="AK59"/>
  <c r="X60"/>
  <c r="O60"/>
  <c r="B60"/>
  <c r="T60"/>
  <c r="Y60"/>
  <c r="Q60"/>
  <c r="V60" a="1"/>
  <c r="V60"/>
  <c r="AA60"/>
  <c r="AB60"/>
  <c r="AO60"/>
  <c r="AF60" a="1"/>
  <c r="AF60"/>
  <c r="AG60" a="1"/>
  <c r="AG60"/>
  <c r="AH60"/>
  <c r="K60"/>
  <c r="L60"/>
  <c r="M60"/>
  <c r="BI60"/>
  <c r="BL60"/>
  <c r="BM60"/>
  <c r="BN60"/>
  <c r="AK60"/>
  <c r="AE60"/>
  <c r="X14"/>
  <c r="O14"/>
  <c r="T14"/>
  <c r="Y14"/>
  <c r="Q14"/>
  <c r="V14" a="1"/>
  <c r="V14"/>
  <c r="AA14"/>
  <c r="AB14"/>
  <c r="AO14"/>
  <c r="AE14"/>
  <c r="AH14"/>
  <c r="BI14"/>
  <c r="BL14"/>
  <c r="BM14"/>
  <c r="BN14"/>
  <c r="R14"/>
  <c r="W14"/>
  <c r="AK14"/>
  <c r="O12"/>
  <c r="Q12"/>
  <c r="R12"/>
  <c r="O11"/>
  <c r="Q11"/>
  <c r="R11"/>
  <c r="R13"/>
  <c r="T13" a="1"/>
  <c r="T13"/>
  <c r="V13" a="1"/>
  <c r="V13"/>
  <c r="W13"/>
  <c r="AB13"/>
  <c r="AO13"/>
  <c r="AE13"/>
  <c r="M11"/>
  <c r="BI11"/>
  <c r="BL11"/>
  <c r="BM11"/>
  <c r="BN11"/>
  <c r="AK13"/>
  <c r="R19"/>
  <c r="W19"/>
  <c r="AO61"/>
  <c r="T70"/>
  <c r="AE61"/>
  <c r="T68"/>
  <c r="AK61"/>
  <c r="T71"/>
  <c r="AH61"/>
  <c r="T69"/>
  <c r="T72"/>
  <c r="T73"/>
  <c r="N72"/>
  <c r="E14"/>
  <c r="E15"/>
  <c r="E18"/>
  <c r="E21"/>
  <c r="E24"/>
  <c r="E27"/>
  <c r="E30"/>
  <c r="E33"/>
  <c r="E36"/>
  <c r="E39"/>
  <c r="E42"/>
  <c r="E45"/>
  <c r="E48"/>
  <c r="E51"/>
  <c r="E54"/>
  <c r="E57"/>
  <c r="E60"/>
  <c r="E17"/>
  <c r="E20"/>
  <c r="E23"/>
  <c r="E26"/>
  <c r="E29"/>
  <c r="E32"/>
  <c r="E35"/>
  <c r="E38"/>
  <c r="E41"/>
  <c r="E44"/>
  <c r="E47"/>
  <c r="E50"/>
  <c r="E53"/>
  <c r="E56"/>
  <c r="E59"/>
  <c r="E16"/>
  <c r="E19"/>
  <c r="E22"/>
  <c r="E25"/>
  <c r="E28"/>
  <c r="E31"/>
  <c r="E34"/>
  <c r="E37"/>
  <c r="E40"/>
  <c r="E43"/>
  <c r="E46"/>
  <c r="E49"/>
  <c r="E52"/>
  <c r="E55"/>
  <c r="E58"/>
  <c r="C14"/>
  <c r="C15"/>
  <c r="C18"/>
  <c r="C21"/>
  <c r="C24"/>
  <c r="C27"/>
  <c r="C30"/>
  <c r="C33"/>
  <c r="C36"/>
  <c r="C39"/>
  <c r="C42"/>
  <c r="C45"/>
  <c r="C48"/>
  <c r="C51"/>
  <c r="C54"/>
  <c r="C57"/>
  <c r="C60"/>
  <c r="C17"/>
  <c r="C20"/>
  <c r="C23"/>
  <c r="C26"/>
  <c r="C29"/>
  <c r="C32"/>
  <c r="C35"/>
  <c r="C38"/>
  <c r="C41"/>
  <c r="C44"/>
  <c r="C47"/>
  <c r="C50"/>
  <c r="C53"/>
  <c r="C56"/>
  <c r="C59"/>
  <c r="C16"/>
  <c r="C19"/>
  <c r="C22"/>
  <c r="C25"/>
  <c r="C28"/>
  <c r="C31"/>
  <c r="C34"/>
  <c r="C37"/>
  <c r="C40"/>
  <c r="C43"/>
  <c r="C46"/>
  <c r="C49"/>
  <c r="C52"/>
  <c r="C55"/>
  <c r="C58"/>
  <c r="BF46"/>
  <c r="BF47"/>
  <c r="BF48"/>
  <c r="BF49"/>
  <c r="BF50"/>
  <c r="BF51"/>
  <c r="BF52"/>
  <c r="BF53"/>
  <c r="BF54"/>
  <c r="BF55"/>
  <c r="BF56"/>
  <c r="BF57"/>
  <c r="BF58"/>
  <c r="BF59"/>
  <c r="BF60"/>
  <c r="BQ10"/>
  <c r="BQ11"/>
  <c r="BQ12"/>
  <c r="BG13"/>
  <c r="J4" i="6"/>
  <c r="G4"/>
  <c r="J5"/>
  <c r="G5"/>
  <c r="A1"/>
  <c r="A1" i="4"/>
  <c r="A1" i="2"/>
  <c r="N16" i="6"/>
  <c r="N13" i="1" a="1"/>
  <c r="S13" a="1"/>
  <c r="BB10"/>
  <c r="D14"/>
  <c r="D15"/>
  <c r="D18"/>
  <c r="D21"/>
  <c r="D24"/>
  <c r="D27"/>
  <c r="D30"/>
  <c r="D33"/>
  <c r="D36"/>
  <c r="D39"/>
  <c r="D42"/>
  <c r="D45"/>
  <c r="D48"/>
  <c r="D51"/>
  <c r="D54"/>
  <c r="D57"/>
  <c r="D60"/>
  <c r="D17"/>
  <c r="D20"/>
  <c r="D23"/>
  <c r="D26"/>
  <c r="D29"/>
  <c r="D32"/>
  <c r="D35"/>
  <c r="D38"/>
  <c r="D41"/>
  <c r="D44"/>
  <c r="D47"/>
  <c r="D50"/>
  <c r="D53"/>
  <c r="D56"/>
  <c r="D59"/>
  <c r="D16"/>
  <c r="D19"/>
  <c r="D22"/>
  <c r="D25"/>
  <c r="D28"/>
  <c r="D31"/>
  <c r="D34"/>
  <c r="D37"/>
  <c r="D40"/>
  <c r="D43"/>
  <c r="D46"/>
  <c r="D49"/>
  <c r="D52"/>
  <c r="D55"/>
  <c r="D58"/>
  <c r="AG13"/>
  <c r="AD13" a="1"/>
  <c r="AE61" a="1"/>
  <c r="AH13"/>
  <c r="AH61" a="1"/>
  <c r="R12" a="1"/>
  <c r="R11" a="1"/>
  <c r="R13" a="1"/>
  <c r="W13" a="1"/>
  <c r="AB13" a="1"/>
  <c r="AB14" a="1"/>
  <c r="AB15" a="1"/>
  <c r="AB16" a="1"/>
  <c r="AB17" a="1"/>
  <c r="AB18" a="1"/>
  <c r="AB19" a="1"/>
  <c r="AB20" a="1"/>
  <c r="AB21" a="1"/>
  <c r="AB22" a="1"/>
  <c r="AB23" a="1"/>
  <c r="AB24" a="1"/>
  <c r="AB25" a="1"/>
  <c r="AB26" a="1"/>
  <c r="AB27" a="1"/>
  <c r="AB28" a="1"/>
  <c r="AB29" a="1"/>
  <c r="AB30" a="1"/>
  <c r="AB31" a="1"/>
  <c r="AB32" a="1"/>
  <c r="AB33" a="1"/>
  <c r="AB34" a="1"/>
  <c r="AB35" a="1"/>
  <c r="AB36" a="1"/>
  <c r="AB37" a="1"/>
  <c r="AB38" a="1"/>
  <c r="AB39" a="1"/>
  <c r="AB40" a="1"/>
  <c r="AB41" a="1"/>
  <c r="AB42" a="1"/>
  <c r="AB43" a="1"/>
  <c r="AB44" a="1"/>
  <c r="AB45" a="1"/>
  <c r="AB46" a="1"/>
  <c r="AB47" a="1"/>
  <c r="AB48" a="1"/>
  <c r="AB49" a="1"/>
  <c r="AB50" a="1"/>
  <c r="AB51" a="1"/>
  <c r="AB52" a="1"/>
  <c r="AB53" a="1"/>
  <c r="AB54" a="1"/>
  <c r="AB55" a="1"/>
  <c r="AB56" a="1"/>
  <c r="AB57" a="1"/>
  <c r="AB58" a="1"/>
  <c r="AB59" a="1"/>
  <c r="AB60" a="1"/>
  <c r="AO61" a="1"/>
  <c r="AK13" a="1"/>
  <c r="P14"/>
  <c r="P15"/>
  <c r="R15" a="1"/>
  <c r="R15"/>
  <c r="U14"/>
  <c r="U15"/>
  <c r="W15" a="1"/>
  <c r="W15"/>
  <c r="P16"/>
  <c r="P17"/>
  <c r="P18"/>
  <c r="P19"/>
  <c r="R19" a="1"/>
  <c r="U16"/>
  <c r="U17"/>
  <c r="U18"/>
  <c r="U19"/>
  <c r="W19" a="1"/>
  <c r="P20"/>
  <c r="R20" a="1"/>
  <c r="U20"/>
  <c r="W20" a="1"/>
  <c r="R31"/>
  <c r="W31"/>
  <c r="R32"/>
  <c r="W32"/>
  <c r="R37"/>
  <c r="W37"/>
  <c r="R38"/>
  <c r="W38"/>
  <c r="R39"/>
  <c r="W39"/>
  <c r="R40"/>
  <c r="W40"/>
  <c r="R45"/>
  <c r="W45"/>
  <c r="R46"/>
  <c r="W46"/>
  <c r="R51"/>
  <c r="W51"/>
  <c r="R57"/>
  <c r="W57"/>
  <c r="R58"/>
  <c r="W58"/>
  <c r="AK61" a="1"/>
  <c r="Z13" a="1"/>
  <c r="Z13"/>
  <c r="Z61" a="1"/>
  <c r="Z61"/>
  <c r="T66"/>
  <c r="N71"/>
  <c r="AQ13" a="1"/>
  <c r="AQ14" a="1"/>
  <c r="AQ14"/>
  <c r="AQ15" a="1"/>
  <c r="AQ16" a="1"/>
  <c r="AQ17" a="1"/>
  <c r="AQ18" a="1"/>
  <c r="AQ19" a="1"/>
  <c r="AQ20" a="1"/>
  <c r="AQ21" a="1"/>
  <c r="AQ22" a="1"/>
  <c r="AQ23" a="1"/>
  <c r="AQ24" a="1"/>
  <c r="AQ25" a="1"/>
  <c r="AQ26" a="1"/>
  <c r="AQ27" a="1"/>
  <c r="AQ28" a="1"/>
  <c r="AQ29" a="1"/>
  <c r="AQ30" a="1"/>
  <c r="AQ31" a="1"/>
  <c r="AQ32" a="1"/>
  <c r="AQ33" a="1"/>
  <c r="AQ34" a="1"/>
  <c r="AQ35" a="1"/>
  <c r="AQ36" a="1"/>
  <c r="AQ37" a="1"/>
  <c r="AQ38" a="1"/>
  <c r="AQ39" a="1"/>
  <c r="AQ40" a="1"/>
  <c r="AQ41" a="1"/>
  <c r="AQ42" a="1"/>
  <c r="AQ43" a="1"/>
  <c r="AQ44" a="1"/>
  <c r="AQ45" a="1"/>
  <c r="AQ46" a="1"/>
  <c r="AQ47" a="1"/>
  <c r="AQ48" a="1"/>
  <c r="AQ49" a="1"/>
  <c r="AQ50" a="1"/>
  <c r="AQ51" a="1"/>
  <c r="AQ52" a="1"/>
  <c r="AQ53" a="1"/>
  <c r="AQ54" a="1"/>
  <c r="AQ55" a="1"/>
  <c r="AQ56" a="1"/>
  <c r="AQ57" a="1"/>
  <c r="AQ58" a="1"/>
  <c r="AQ59" a="1"/>
  <c r="AQ60" a="1"/>
  <c r="AQ15"/>
  <c r="AQ16"/>
  <c r="AQ17"/>
  <c r="AQ18"/>
  <c r="AQ19"/>
  <c r="AQ20"/>
  <c r="AQ21"/>
  <c r="AQ22"/>
  <c r="AQ23"/>
  <c r="AQ24"/>
  <c r="AQ25"/>
  <c r="AQ26"/>
  <c r="AQ27"/>
  <c r="AQ28"/>
  <c r="AQ29"/>
  <c r="AQ30"/>
  <c r="AQ31"/>
  <c r="AQ32"/>
  <c r="AQ33"/>
  <c r="AQ34"/>
  <c r="AQ35"/>
  <c r="AQ36"/>
  <c r="AQ37"/>
  <c r="AQ38"/>
  <c r="AQ39"/>
  <c r="AQ40"/>
  <c r="AQ41"/>
  <c r="AQ42"/>
  <c r="AQ43"/>
  <c r="AQ44"/>
  <c r="AQ45"/>
  <c r="AQ46"/>
  <c r="AQ47"/>
  <c r="AQ48"/>
  <c r="AQ49"/>
  <c r="AQ50"/>
  <c r="AQ51"/>
  <c r="AQ52"/>
  <c r="AQ53"/>
  <c r="AQ54"/>
  <c r="AQ55"/>
  <c r="AQ56"/>
  <c r="AQ57"/>
  <c r="AQ58"/>
  <c r="AQ59"/>
  <c r="AQ60"/>
  <c r="AQ13"/>
  <c r="AQ61" a="1"/>
  <c r="AP61" a="1"/>
  <c r="AJ61" a="1"/>
  <c r="AJ61"/>
  <c r="AI61" a="1"/>
  <c r="AI61"/>
  <c r="AG61" a="1"/>
  <c r="AG61"/>
  <c r="AF61" a="1"/>
  <c r="AF61"/>
  <c r="AD61" a="1"/>
  <c r="AD61"/>
  <c r="AC61" a="1"/>
  <c r="AB61" a="1"/>
  <c r="AB61"/>
  <c r="Q13" a="1"/>
  <c r="Q13"/>
  <c r="AA13" a="1"/>
  <c r="AA13"/>
  <c r="AA61" a="1"/>
  <c r="AA61"/>
  <c r="O13" a="1"/>
  <c r="O13"/>
  <c r="Y13" a="1"/>
  <c r="Y13"/>
  <c r="Y61" a="1"/>
  <c r="Y61"/>
  <c r="X13" a="1"/>
  <c r="X13"/>
  <c r="X61" a="1"/>
  <c r="X61"/>
  <c r="W14" a="1"/>
  <c r="W16" a="1"/>
  <c r="W17" a="1"/>
  <c r="W18" a="1"/>
  <c r="U21"/>
  <c r="W21" a="1"/>
  <c r="U22"/>
  <c r="W22" a="1"/>
  <c r="U23"/>
  <c r="W23" a="1"/>
  <c r="U24"/>
  <c r="W24" a="1"/>
  <c r="U25"/>
  <c r="W25" a="1"/>
  <c r="U26"/>
  <c r="W26" a="1"/>
  <c r="U27"/>
  <c r="W27" a="1"/>
  <c r="U28"/>
  <c r="W28" a="1"/>
  <c r="U29"/>
  <c r="W29" a="1"/>
  <c r="U30"/>
  <c r="W30" a="1"/>
  <c r="U31"/>
  <c r="W31" a="1"/>
  <c r="U32"/>
  <c r="W32" a="1"/>
  <c r="U33"/>
  <c r="W33" a="1"/>
  <c r="U34"/>
  <c r="W34" a="1"/>
  <c r="U35"/>
  <c r="W35" a="1"/>
  <c r="U36"/>
  <c r="W36" a="1"/>
  <c r="U37"/>
  <c r="W37" a="1"/>
  <c r="U38"/>
  <c r="W38" a="1"/>
  <c r="U39"/>
  <c r="W39" a="1"/>
  <c r="U40"/>
  <c r="W40" a="1"/>
  <c r="U41"/>
  <c r="W41" a="1"/>
  <c r="U42"/>
  <c r="W42" a="1"/>
  <c r="U43"/>
  <c r="W43" a="1"/>
  <c r="U44"/>
  <c r="W44" a="1"/>
  <c r="U45"/>
  <c r="W45" a="1"/>
  <c r="U46"/>
  <c r="W46" a="1"/>
  <c r="U47"/>
  <c r="W47" a="1"/>
  <c r="U48"/>
  <c r="W48" a="1"/>
  <c r="U49"/>
  <c r="W49" a="1"/>
  <c r="U50"/>
  <c r="W50" a="1"/>
  <c r="U51"/>
  <c r="W51" a="1"/>
  <c r="U52"/>
  <c r="W52" a="1"/>
  <c r="U53"/>
  <c r="W53" a="1"/>
  <c r="U54"/>
  <c r="W54" a="1"/>
  <c r="U55"/>
  <c r="W55" a="1"/>
  <c r="U56"/>
  <c r="W56" a="1"/>
  <c r="U57"/>
  <c r="W57" a="1"/>
  <c r="U58"/>
  <c r="W58" a="1"/>
  <c r="U59"/>
  <c r="W59" a="1"/>
  <c r="U60"/>
  <c r="W60" a="1"/>
  <c r="W16"/>
  <c r="W17"/>
  <c r="W18"/>
  <c r="W22"/>
  <c r="W23"/>
  <c r="W24"/>
  <c r="W25"/>
  <c r="W26"/>
  <c r="W27"/>
  <c r="W28"/>
  <c r="W29"/>
  <c r="W30"/>
  <c r="W33"/>
  <c r="W34"/>
  <c r="W35"/>
  <c r="W36"/>
  <c r="W41"/>
  <c r="W42"/>
  <c r="W43"/>
  <c r="W44"/>
  <c r="W47"/>
  <c r="W48"/>
  <c r="W49"/>
  <c r="W50"/>
  <c r="W52"/>
  <c r="W53"/>
  <c r="W54"/>
  <c r="W55"/>
  <c r="W56"/>
  <c r="W59"/>
  <c r="W60"/>
  <c r="W61" a="1"/>
  <c r="W61"/>
  <c r="V61" a="1"/>
  <c r="V61"/>
  <c r="U61" a="1"/>
  <c r="U61"/>
  <c r="T61" a="1"/>
  <c r="T61"/>
  <c r="S61" a="1"/>
  <c r="S61"/>
  <c r="R14" a="1"/>
  <c r="R16" a="1"/>
  <c r="R17" a="1"/>
  <c r="R18" a="1"/>
  <c r="P21"/>
  <c r="R21" a="1"/>
  <c r="P22"/>
  <c r="R22" a="1"/>
  <c r="P23"/>
  <c r="R23" a="1"/>
  <c r="P24"/>
  <c r="R24" a="1"/>
  <c r="P25"/>
  <c r="R25" a="1"/>
  <c r="P26"/>
  <c r="R26" a="1"/>
  <c r="P27"/>
  <c r="R27" a="1"/>
  <c r="P28"/>
  <c r="R28" a="1"/>
  <c r="P29"/>
  <c r="R29" a="1"/>
  <c r="P30"/>
  <c r="R30" a="1"/>
  <c r="P31"/>
  <c r="R31" a="1"/>
  <c r="P32"/>
  <c r="R32" a="1"/>
  <c r="P33"/>
  <c r="R33" a="1"/>
  <c r="P34"/>
  <c r="R34" a="1"/>
  <c r="P35"/>
  <c r="R35" a="1"/>
  <c r="P36"/>
  <c r="R36" a="1"/>
  <c r="P37"/>
  <c r="R37" a="1"/>
  <c r="P38"/>
  <c r="R38" a="1"/>
  <c r="P39"/>
  <c r="R39" a="1"/>
  <c r="P40"/>
  <c r="R40" a="1"/>
  <c r="P41"/>
  <c r="R41" a="1"/>
  <c r="P42"/>
  <c r="R42" a="1"/>
  <c r="P43"/>
  <c r="R43" a="1"/>
  <c r="P44"/>
  <c r="R44" a="1"/>
  <c r="P45"/>
  <c r="R45" a="1"/>
  <c r="P46"/>
  <c r="R46" a="1"/>
  <c r="P47"/>
  <c r="R47" a="1"/>
  <c r="P48"/>
  <c r="R48" a="1"/>
  <c r="P49"/>
  <c r="R49" a="1"/>
  <c r="P50"/>
  <c r="R50" a="1"/>
  <c r="P51"/>
  <c r="R51" a="1"/>
  <c r="P52"/>
  <c r="R52" a="1"/>
  <c r="P53"/>
  <c r="R53" a="1"/>
  <c r="P54"/>
  <c r="R54" a="1"/>
  <c r="P55"/>
  <c r="R55" a="1"/>
  <c r="P56"/>
  <c r="R56" a="1"/>
  <c r="P57"/>
  <c r="R57" a="1"/>
  <c r="P58"/>
  <c r="R58" a="1"/>
  <c r="P59"/>
  <c r="R59" a="1"/>
  <c r="P60"/>
  <c r="R60" a="1"/>
  <c r="R16"/>
  <c r="R17"/>
  <c r="R18"/>
  <c r="R22"/>
  <c r="R23"/>
  <c r="R24"/>
  <c r="R25"/>
  <c r="R26"/>
  <c r="R27"/>
  <c r="R28"/>
  <c r="R29"/>
  <c r="R30"/>
  <c r="R33"/>
  <c r="R34"/>
  <c r="R35"/>
  <c r="R36"/>
  <c r="R41"/>
  <c r="R42"/>
  <c r="R43"/>
  <c r="R44"/>
  <c r="R47"/>
  <c r="R48"/>
  <c r="R49"/>
  <c r="R50"/>
  <c r="R52"/>
  <c r="R53"/>
  <c r="R54"/>
  <c r="R55"/>
  <c r="R56"/>
  <c r="R59"/>
  <c r="R60"/>
  <c r="R61" a="1"/>
  <c r="R61"/>
  <c r="Q61" a="1"/>
  <c r="Q61"/>
  <c r="P61" a="1"/>
  <c r="P61"/>
  <c r="O61" a="1"/>
  <c r="O61"/>
  <c r="U10"/>
  <c r="Z10"/>
  <c r="N66"/>
  <c r="G13"/>
  <c r="A24"/>
  <c r="A25"/>
  <c r="A26"/>
  <c r="A27"/>
  <c r="A28"/>
  <c r="A29"/>
  <c r="A30"/>
  <c r="A31"/>
  <c r="A32"/>
  <c r="A33"/>
  <c r="A34"/>
  <c r="A35"/>
  <c r="A36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BH22"/>
  <c r="BJ22"/>
  <c r="BK22"/>
  <c r="BH23"/>
  <c r="BJ23"/>
  <c r="BK23"/>
  <c r="BH24"/>
  <c r="BJ24"/>
  <c r="BK24"/>
  <c r="BH25"/>
  <c r="BJ25"/>
  <c r="BK25"/>
  <c r="BH26"/>
  <c r="BJ26"/>
  <c r="BK26"/>
  <c r="BH27"/>
  <c r="BJ27"/>
  <c r="BK27"/>
  <c r="BH28"/>
  <c r="BJ28"/>
  <c r="BK28"/>
  <c r="BH29"/>
  <c r="BJ29"/>
  <c r="BK29"/>
  <c r="BH30"/>
  <c r="BJ30"/>
  <c r="BK30"/>
  <c r="BH31"/>
  <c r="BJ31"/>
  <c r="BK31"/>
  <c r="BH32"/>
  <c r="BJ32"/>
  <c r="BK32"/>
  <c r="BH33"/>
  <c r="BJ33"/>
  <c r="BK33"/>
  <c r="BH34"/>
  <c r="BJ34"/>
  <c r="BK34"/>
  <c r="BH35"/>
  <c r="BJ35"/>
  <c r="BK35"/>
  <c r="BH36"/>
  <c r="BJ36"/>
  <c r="BK36"/>
  <c r="BH37"/>
  <c r="BJ37"/>
  <c r="BK37"/>
  <c r="BH38"/>
  <c r="BJ38"/>
  <c r="BK38"/>
  <c r="BH39"/>
  <c r="BJ39"/>
  <c r="BK39"/>
  <c r="BH40"/>
  <c r="BJ40"/>
  <c r="BK40"/>
  <c r="BH41"/>
  <c r="BJ41"/>
  <c r="BK41"/>
  <c r="BH42"/>
  <c r="BJ42"/>
  <c r="BK42"/>
  <c r="BH43"/>
  <c r="BJ43"/>
  <c r="BK43"/>
  <c r="BH44"/>
  <c r="BJ44"/>
  <c r="BK44"/>
  <c r="BH45"/>
  <c r="BJ45"/>
  <c r="BK45"/>
  <c r="BH46"/>
  <c r="BJ46"/>
  <c r="BK46"/>
  <c r="BH47"/>
  <c r="BJ47"/>
  <c r="BK47"/>
  <c r="BH48"/>
  <c r="BJ48"/>
  <c r="BK48"/>
  <c r="BH49"/>
  <c r="BJ49"/>
  <c r="BK49"/>
  <c r="BH50"/>
  <c r="BJ50"/>
  <c r="BK50"/>
  <c r="BH51"/>
  <c r="BJ51"/>
  <c r="BK51"/>
  <c r="BH52"/>
  <c r="BJ52"/>
  <c r="BK52"/>
  <c r="BH53"/>
  <c r="BJ53"/>
  <c r="BK53"/>
  <c r="BH54"/>
  <c r="BJ54"/>
  <c r="BK54"/>
  <c r="BH55"/>
  <c r="BJ55"/>
  <c r="BK55"/>
  <c r="BH56"/>
  <c r="BJ56"/>
  <c r="BK56"/>
  <c r="BH57"/>
  <c r="BJ57"/>
  <c r="BK57"/>
  <c r="BH58"/>
  <c r="BJ58"/>
  <c r="BK58"/>
  <c r="BH59"/>
  <c r="BJ59"/>
  <c r="BK59"/>
  <c r="BH60"/>
  <c r="BJ60"/>
  <c r="BK60"/>
  <c r="BH11"/>
  <c r="BJ11"/>
  <c r="BK11"/>
  <c r="BH14"/>
  <c r="BJ14"/>
  <c r="BK14"/>
  <c r="M12"/>
  <c r="BH15"/>
  <c r="BH16"/>
  <c r="BH17"/>
  <c r="BH18"/>
  <c r="BH19"/>
  <c r="BH20"/>
  <c r="BH21"/>
  <c r="BH75"/>
  <c r="BI75"/>
  <c r="BL75"/>
  <c r="BM75"/>
  <c r="BN75"/>
  <c r="BJ75"/>
  <c r="BK75"/>
  <c r="BJ21"/>
  <c r="BK21"/>
  <c r="BJ20"/>
  <c r="BK20"/>
  <c r="BJ19"/>
  <c r="BK19"/>
  <c r="BJ18"/>
  <c r="BK18"/>
  <c r="BJ17"/>
  <c r="BK17"/>
  <c r="BJ16"/>
  <c r="BK16"/>
  <c r="BJ15"/>
  <c r="BK15"/>
  <c r="J12"/>
  <c r="J11"/>
  <c r="A11"/>
  <c r="A15"/>
  <c r="A16"/>
  <c r="A17"/>
  <c r="A18"/>
  <c r="A19"/>
  <c r="A20"/>
  <c r="A21"/>
  <c r="A22"/>
  <c r="A23"/>
  <c r="A14"/>
  <c r="H11"/>
  <c r="H12"/>
  <c r="T63"/>
  <c r="T64"/>
  <c r="T65"/>
  <c r="T67"/>
  <c r="N61" a="1"/>
  <c r="N61"/>
  <c r="AP61"/>
  <c r="AC61"/>
  <c r="AQ61"/>
  <c r="T74"/>
</calcChain>
</file>

<file path=xl/comments1.xml><?xml version="1.0" encoding="utf-8"?>
<comments xmlns="http://schemas.openxmlformats.org/spreadsheetml/2006/main">
  <authors>
    <author>DELL</author>
  </authors>
  <commentList>
    <comment ref="G9" authorId="0">
      <text>
        <r>
          <rPr>
            <b/>
            <sz val="9"/>
            <color indexed="81"/>
            <rFont val="Tahoma"/>
            <charset val="1"/>
          </rPr>
          <t>उम्मेद:
रिक्त Rows को hide करने के लिए किसी अनलॉक खड़ी लाइन को रिक्त सेल से निचे तक सेल तक सलेक्ट करके आगे rows नंबर पर right क्लिक करके hide करें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<sst xmlns="http://schemas.openxmlformats.org/spreadsheetml/2006/main" count="191" uniqueCount="121">
  <si>
    <t>dk;kZy; vkns'k</t>
  </si>
  <si>
    <t>dkfeZd dk uke %&amp;</t>
  </si>
  <si>
    <t>in %&amp;</t>
  </si>
  <si>
    <t>,EIyksbZ vkbZMh %&amp;</t>
  </si>
  <si>
    <t>S. N0.</t>
  </si>
  <si>
    <t>MONTH</t>
  </si>
  <si>
    <t>osru dk vUrj</t>
  </si>
  <si>
    <t>SI</t>
  </si>
  <si>
    <t>INCOME TAX     (TDS)</t>
  </si>
  <si>
    <t>TOTAL DED.</t>
  </si>
  <si>
    <t>NET AMOUNT CASH PAYMENT (ARREAR)</t>
  </si>
  <si>
    <t>Bill Number &amp; Date TV Number &amp; Date</t>
  </si>
  <si>
    <t>BASIC</t>
  </si>
  <si>
    <t>DA</t>
  </si>
  <si>
    <t>HRA</t>
  </si>
  <si>
    <t>TOTAL</t>
  </si>
  <si>
    <t>TO BE  After Fixation</t>
  </si>
  <si>
    <t>Before Fixation</t>
  </si>
  <si>
    <t>DIFF.</t>
  </si>
  <si>
    <t>Total</t>
  </si>
  <si>
    <t>Total Allowances And Deuctions Summry</t>
  </si>
  <si>
    <t>1-</t>
  </si>
  <si>
    <t>Allowances (Difference)</t>
  </si>
  <si>
    <t>Basic</t>
  </si>
  <si>
    <t>3-</t>
  </si>
  <si>
    <t>D.A.</t>
  </si>
  <si>
    <t>H.R.A.</t>
  </si>
  <si>
    <t>gLrk{kj MhMhvks e; eqgj</t>
  </si>
  <si>
    <t>Deductions</t>
  </si>
  <si>
    <t>2-</t>
  </si>
  <si>
    <t>Income Tax</t>
  </si>
  <si>
    <t>NET AMOUNT TO BE PAY</t>
  </si>
  <si>
    <t>osru ,fj;j vUrj rkfydk</t>
  </si>
  <si>
    <r>
      <t xml:space="preserve">&amp;%% </t>
    </r>
    <r>
      <rPr>
        <u/>
        <sz val="16"/>
        <color theme="1"/>
        <rFont val="Kruti Dev 160"/>
      </rPr>
      <t>dk;kZy; vkns'k</t>
    </r>
    <r>
      <rPr>
        <sz val="16"/>
        <color theme="1"/>
        <rFont val="Kruti Dev 160"/>
      </rPr>
      <t xml:space="preserve"> %%&amp;</t>
    </r>
  </si>
  <si>
    <t>Ø-la-</t>
  </si>
  <si>
    <t>dkfeZd dk uke</t>
  </si>
  <si>
    <t>in</t>
  </si>
  <si>
    <t>çFke dk;Zxzg.k frfFk</t>
  </si>
  <si>
    <t>Lohd`r osru</t>
  </si>
  <si>
    <r>
      <t>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>Dl ysoy</t>
    </r>
  </si>
  <si>
    <t>mDr Lohd`fr dk bUnzkt lacaf/kr dkfeZd dh ewy lsok iqfLrdk esa dj fn;k x;k gSA</t>
  </si>
  <si>
    <t>Øekad%&amp;---------------------------------------------------------------------------------</t>
  </si>
  <si>
    <t xml:space="preserve">     fnukad%&amp;------------------------------------</t>
  </si>
  <si>
    <t>çfrfyfi%&amp;</t>
  </si>
  <si>
    <r>
      <t>2-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lacaf/kr dkfeZd lsok fooj.kA</t>
    </r>
  </si>
  <si>
    <r>
      <t>3-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dk;kZy; çfrA</t>
    </r>
  </si>
  <si>
    <t>vkxkeh osru o`f)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</si>
  <si>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Jh---------------------------------------------------dk 2 o"khZ; ijhoh{kkdky lekIr gksus ij fnukad&amp;------------------------------------------- ls okLrfod LFkkbZdj.k ,oa fu;fer osru J`a[kyk çnku fd;s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</si>
  <si>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r>
      <t xml:space="preserve">&amp;%% </t>
    </r>
    <r>
      <rPr>
        <b/>
        <u/>
        <sz val="17"/>
        <color theme="1"/>
        <rFont val="Cambria"/>
        <family val="1"/>
      </rPr>
      <t>H.R.A.</t>
    </r>
    <r>
      <rPr>
        <b/>
        <u/>
        <sz val="22"/>
        <color theme="1"/>
        <rFont val="DevLys 010"/>
      </rPr>
      <t xml:space="preserve"> Lohd`fr vkns'k</t>
    </r>
    <r>
      <rPr>
        <b/>
        <sz val="22"/>
        <color theme="1"/>
        <rFont val="DevLys 010"/>
      </rPr>
      <t xml:space="preserve"> </t>
    </r>
    <r>
      <rPr>
        <b/>
        <sz val="25"/>
        <color theme="1"/>
        <rFont val="DevLys 010"/>
      </rPr>
      <t>%%&amp;</t>
    </r>
  </si>
  <si>
    <t>uke deZpkjh</t>
  </si>
  <si>
    <t>Ikn ,oa inLFkkiu LFkku</t>
  </si>
  <si>
    <t>ewy osru ¼ysoy½</t>
  </si>
  <si>
    <t>edku fdjk;k ns; frfFk</t>
  </si>
  <si>
    <r>
      <t xml:space="preserve">          for foHkkx ds vksn'k Øekad&amp;</t>
    </r>
    <r>
      <rPr>
        <sz val="16"/>
        <color theme="1"/>
        <rFont val="Cambria"/>
        <family val="1"/>
      </rPr>
      <t>F.15(1)FD/Rules/2017 Jaipur Date 30-10-2017 &amp; Revised Pay Notification No.15(1)FD Rules/2017 Jaipur Date 09-12-2017</t>
    </r>
    <r>
      <rPr>
        <sz val="18"/>
        <color theme="1"/>
        <rFont val="DevLys 010"/>
      </rPr>
      <t>ds vUrxZr edku fdjk;k fu;e&amp;5 esa fuEu dkfeZdksa dk muds uke ds vkxs vafdr frfFk ls edku fdjk;k HkRrk muds }kjk ewyosru ¼jfuax iS&amp;cS.M½ dk 9 çfr'kr dh nj ls Lohd`r fd;k tkrk gSA</t>
    </r>
  </si>
  <si>
    <t>¼</t>
  </si>
  <si>
    <t>ls</t>
  </si>
  <si>
    <t>½</t>
  </si>
  <si>
    <t>To</t>
  </si>
  <si>
    <t>osru fu;fefrdj.k i'pkr~ u;k osrueku</t>
  </si>
  <si>
    <t>,fj;j dk çdkj</t>
  </si>
  <si>
    <t>fu;ehfrdj.k@,lhih i'pkr~ osru tks feyuk gSa</t>
  </si>
  <si>
    <t>fu;ehfrdj.k@,lhih iwoZ osru tks feyk gSa</t>
  </si>
  <si>
    <t xml:space="preserve">Doveloped By:- UMMED TARAD (Teacher, GSSS Raimalwada) Mob.No.-9166973141 </t>
  </si>
  <si>
    <t>Choose DA Rate</t>
  </si>
  <si>
    <t>osru fu;fefrdj.k iwoZ osrueku</t>
  </si>
  <si>
    <t>After Fixation</t>
  </si>
  <si>
    <t>GPF/GPF- 2004</t>
  </si>
  <si>
    <t>GPF/GPF-2004</t>
  </si>
  <si>
    <t xml:space="preserve">40643301/19-07-2022 </t>
  </si>
  <si>
    <t>Choose HRA Rate</t>
  </si>
  <si>
    <t>dk;kZy;% ç/kkukpk;Z] jktdh; mPp ek/;fed fo|ky; jk;eyok³k] ckfi.kh ¼tks/kiqj½</t>
  </si>
  <si>
    <t xml:space="preserve">           dk;kZy;%ftyk f’k{kk vf/kdkjh¼eq[;k-½] ek/;fEHkd f’k{kk] --------------------------ds vkns’k Øekad&amp;---------------------------------------------------------------------- fnukad%&amp;-------------------------------------------- ds vuqlj.k esa dkfeZd Jherh ------------------------------ ¼------------------------------½ dk 2 o"khZ; ijhoh{kkdky lekIr gksus ij fnukad&amp;------------------------------------ ls --------------------------------- rd dk cdk;k osru ,fj;j fuEu rkfydkuqlkj fn;k tkrk gSA</t>
  </si>
  <si>
    <t>jke</t>
  </si>
  <si>
    <t>v/;kid</t>
  </si>
  <si>
    <t>RJJO2020................</t>
  </si>
  <si>
    <t>CM Corona Relief</t>
  </si>
  <si>
    <t>vof/k</t>
  </si>
  <si>
    <t>dkfeZd dh lsok</t>
  </si>
  <si>
    <t>Subordinate</t>
  </si>
  <si>
    <r>
      <t xml:space="preserve">osru fu;fefrdj.k iwoZ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</si>
  <si>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r>
      <t xml:space="preserve">osru fu;fefrdj.k i'pkr </t>
    </r>
    <r>
      <rPr>
        <b/>
        <sz val="9"/>
        <color theme="0"/>
        <rFont val="Cambria"/>
        <family val="1"/>
        <scheme val="major"/>
      </rPr>
      <t xml:space="preserve">GPF/GPF-2004 </t>
    </r>
    <r>
      <rPr>
        <b/>
        <sz val="12"/>
        <color theme="0"/>
        <rFont val="DevLys 010"/>
      </rPr>
      <t>dVkSfr</t>
    </r>
  </si>
  <si>
    <t>DA Arrear Adjust in GPF/GPF-2004</t>
  </si>
  <si>
    <t>Increased DA</t>
  </si>
  <si>
    <t>DA Increase</t>
  </si>
  <si>
    <t>vk;dj dVkSfr</t>
  </si>
  <si>
    <r>
      <t xml:space="preserve">Net Amount in figure:-  </t>
    </r>
    <r>
      <rPr>
        <b/>
        <sz val="14"/>
        <color rgb="FF002060"/>
        <rFont val="Arial"/>
        <family val="2"/>
      </rPr>
      <t>Rs. -------------------------------------------------------- Only</t>
    </r>
  </si>
  <si>
    <t>4-</t>
  </si>
  <si>
    <t>Amount</t>
  </si>
  <si>
    <r>
      <t>HRA</t>
    </r>
    <r>
      <rPr>
        <sz val="14"/>
        <color theme="1"/>
        <rFont val="DevLys 010"/>
      </rPr>
      <t xml:space="preserve"> jkf'k ¼9 çfr-½</t>
    </r>
  </si>
  <si>
    <t>in ,oa inLFkkiu LFkku</t>
  </si>
  <si>
    <t>tUe frfFk</t>
  </si>
  <si>
    <t>çFke fu;qfDr frfFk</t>
  </si>
  <si>
    <t>fo'ks"k fooj.k</t>
  </si>
  <si>
    <t>xzsM is</t>
  </si>
  <si>
    <r>
      <t>is&amp;cS.M 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</si>
  <si>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osrueku</t>
  </si>
  <si>
    <t>çfrfyfi %&amp;</t>
  </si>
  <si>
    <t>lacaf/kr dkfeZd lsok fooj.kA</t>
  </si>
  <si>
    <t>dk;kZy; jf{kr i=koyhA</t>
  </si>
  <si>
    <r>
      <t xml:space="preserve">        foŸk foHkkx ds vkns'k Øekad&amp; </t>
    </r>
    <r>
      <rPr>
        <sz val="16"/>
        <color theme="1"/>
        <rFont val="Cambria"/>
        <family val="1"/>
        <scheme val="major"/>
      </rPr>
      <t>F.15(1) FD (Rules) 2017 Jaipur  Date-30-10-2017 And F.1[4] FD (Rules)2017  Date-09-12-2017</t>
    </r>
    <r>
      <rPr>
        <sz val="16"/>
        <color theme="1"/>
        <rFont val="DevLys 010"/>
      </rPr>
      <t xml:space="preserve"> ds vuqlj.k esa dk;</t>
    </r>
    <r>
      <rPr>
        <sz val="16"/>
        <color theme="1"/>
        <rFont val="Kruti Dev 010"/>
      </rPr>
      <t xml:space="preserve">kZy;% --------------------------------------------------------- ds vkns'kkad&amp;----------------------------------------------------------------------- fnukad&amp;----------------------------- dh vuqikyuk esa LFkkuh; dk;kZy; v/khu fuEu dkfeZd dks  9@18@27 o"khZ; </t>
    </r>
    <r>
      <rPr>
        <sz val="16"/>
        <color theme="1"/>
        <rFont val="Cambria"/>
        <family val="1"/>
        <scheme val="major"/>
      </rPr>
      <t>ACP (Scheme of Assured career Progression)</t>
    </r>
    <r>
      <rPr>
        <sz val="16"/>
        <color theme="1"/>
        <rFont val="Kruti Dev 010"/>
      </rPr>
      <t xml:space="preserve"> ds rgr ns; ykHk muds uke ds lkeus vafdr fooj.kkuqlkj Lohd`r fd;k tkrk gSA </t>
    </r>
  </si>
  <si>
    <t>ls iwoZ osru</t>
  </si>
  <si>
    <t>o"khZ; ,lhih ns; frfFk</t>
  </si>
  <si>
    <t>ls Bhd i'pkr osru</t>
  </si>
  <si>
    <r>
      <t>01-07-20----- dks osru o`f) i'pkr osru ,oa is&amp;esfV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</si>
  <si>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r>
      <t>01-07-20---- dks osru o`f) i'pkr osru ,oa is&amp;esfV</t>
    </r>
    <r>
      <rPr>
        <b/>
        <sz val="12"/>
        <rFont val="Kruti Dev 010"/>
      </rPr>
      <t>ª</t>
    </r>
    <r>
      <rPr>
        <b/>
        <sz val="12"/>
        <rFont val="DevLys 010"/>
      </rPr>
      <t>Dl ysoy</t>
    </r>
  </si>
  <si>
    <t>Øekad%&amp;------------------------------------------------             fnukad%&amp;-------------------------------------------------</t>
  </si>
  <si>
    <r>
      <rPr>
        <b/>
        <sz val="24"/>
        <color indexed="60"/>
        <rFont val="Justus-Versalitas"/>
      </rPr>
      <t xml:space="preserve">UMMED TARAD  </t>
    </r>
    <r>
      <rPr>
        <b/>
        <sz val="14"/>
        <color indexed="60"/>
        <rFont val="Justus-Versalitas"/>
      </rPr>
      <t/>
    </r>
  </si>
  <si>
    <t xml:space="preserve">(Teacher, GSSS Raimalwada) Mob.No.-9166973141 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</si>
  <si>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midks"kky;&amp;-------------------------------------A</t>
    </r>
  </si>
  <si>
    <t>midks"kkf/kdkjh] midks"kky;&amp;---------------------------------------A</t>
  </si>
  <si>
    <r>
      <t>1-</t>
    </r>
    <r>
      <rPr>
        <sz val="7"/>
        <color theme="1"/>
        <rFont val="Times New Roman"/>
        <family val="1"/>
      </rPr>
      <t xml:space="preserve">     </t>
    </r>
    <r>
      <rPr>
        <sz val="14"/>
        <color theme="1"/>
        <rFont val="DevLys 010"/>
      </rPr>
      <t>midks"kkf/kdkjh] midks"kky;&amp;---------------------------------------</t>
    </r>
  </si>
  <si>
    <t>RGHS</t>
  </si>
  <si>
    <t>5-</t>
  </si>
  <si>
    <t>LFkkbZdj.k@osru fu;fefrdj.k@inksUufr frfFk</t>
  </si>
  <si>
    <r>
      <t xml:space="preserve">      dk;kZy;%ftyk f’k{kk vf/kdkjh¼eq[;k-½] çkjfEHkd f’k{kk] tks/kiqj ds vkns’k Øekad&amp;------------------------------------------------------------------------------------------------------------------------ fnukad%&amp;------------------------------------- ds vuqlj.k esa dkfeZd Jh---------------------------------------------------dh fnukad&amp;------------------------------------------- ls inksUufr ykHk fn;s tkus ds QyLo:i jktLFkku f’k{kk v/khuLFk lsok fu;e 1971 ds fu;e 30¼d½ esa vafdr çko/kkukuqlkj ,oa  fo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 foHkkx jktLFkku dh vf/klwpuk </t>
    </r>
    <r>
      <rPr>
        <sz val="11"/>
        <color theme="1"/>
        <rFont val="Cambria"/>
        <family val="1"/>
      </rPr>
      <t xml:space="preserve">No.F.15(1)FD/Rules/2017 Jaipur Date-30-10-2017 and Revised Pay Notification No.F.15(1)FD/Rules/2017 Jaipur Date-09-12-2017 </t>
    </r>
    <r>
      <rPr>
        <sz val="14"/>
        <color theme="1"/>
        <rFont val="DevLys 010"/>
      </rPr>
      <t>ds vuqlj.k esa 06-10-2019 ls fuEukuqlkj ewy osru-------------------------------- ,oa is&amp;eSfV</t>
    </r>
    <r>
      <rPr>
        <sz val="14"/>
        <color theme="1"/>
        <rFont val="Kruti Dev 010"/>
      </rPr>
      <t>ª</t>
    </r>
    <r>
      <rPr>
        <sz val="14"/>
        <color theme="1"/>
        <rFont val="DevLys 010"/>
      </rPr>
      <t xml:space="preserve">Dl ysoy </t>
    </r>
    <r>
      <rPr>
        <sz val="14"/>
        <color theme="1"/>
        <rFont val="Cambria"/>
        <family val="1"/>
      </rPr>
      <t xml:space="preserve">L-…..  </t>
    </r>
    <r>
      <rPr>
        <sz val="14"/>
        <color theme="1"/>
        <rFont val="DevLys 010"/>
      </rPr>
      <t>fu/kkZj.k fd;k tkdj fu;ekuqlkj vU; Hk</t>
    </r>
    <r>
      <rPr>
        <sz val="14"/>
        <color theme="1"/>
        <rFont val="Kruti Dev 010"/>
      </rPr>
      <t>Ÿ</t>
    </r>
    <r>
      <rPr>
        <sz val="14"/>
        <color theme="1"/>
        <rFont val="DevLys 010"/>
      </rPr>
      <t xml:space="preserve">ks vkgj.k djus dh Lohd`fr ,rn~ }kjk çnku dh tkdj osru fu/kkZj.k fd;k x;kA </t>
    </r>
  </si>
  <si>
    <t>inksUufr frfFk</t>
  </si>
  <si>
    <t>inksUufr iwoZ</t>
  </si>
  <si>
    <t>inksUufr i'pkr~</t>
  </si>
  <si>
    <t>inksUufr iwoZ Lohd`r osru ¼is&amp;eSfVªDl ysoy½</t>
  </si>
  <si>
    <t>Fixation</t>
  </si>
  <si>
    <t>Updated On 14-12-2022</t>
  </si>
</sst>
</file>

<file path=xl/styles.xml><?xml version="1.0" encoding="utf-8"?>
<styleSheet xmlns="http://schemas.openxmlformats.org/spreadsheetml/2006/main">
  <numFmts count="5">
    <numFmt numFmtId="164" formatCode="[$-409]mmm/yy;@"/>
    <numFmt numFmtId="165" formatCode="[$-409]dd/mmm/yy;@"/>
    <numFmt numFmtId="166" formatCode="[$-409]d/mmm/yy;@"/>
    <numFmt numFmtId="167" formatCode="[$-409]d/mmm/yyyy;@"/>
    <numFmt numFmtId="168" formatCode="m/d/yy;@"/>
  </numFmts>
  <fonts count="97">
    <font>
      <sz val="11"/>
      <color theme="1"/>
      <name val="Calibri"/>
      <family val="2"/>
      <scheme val="minor"/>
    </font>
    <font>
      <b/>
      <sz val="30"/>
      <color theme="1"/>
      <name val="DevLys 010"/>
    </font>
    <font>
      <b/>
      <sz val="24"/>
      <color indexed="60"/>
      <name val="Justus-Versalitas"/>
    </font>
    <font>
      <b/>
      <sz val="14"/>
      <color indexed="60"/>
      <name val="Justus-Versalitas"/>
    </font>
    <font>
      <b/>
      <i/>
      <u/>
      <sz val="14"/>
      <color theme="1"/>
      <name val="DevLys 010"/>
    </font>
    <font>
      <sz val="14"/>
      <color theme="1"/>
      <name val="DevLys 010"/>
    </font>
    <font>
      <sz val="10"/>
      <name val="DevLys 010"/>
    </font>
    <font>
      <b/>
      <sz val="14"/>
      <name val="DevLys 010"/>
    </font>
    <font>
      <b/>
      <sz val="14"/>
      <name val="Cambria"/>
      <family val="1"/>
      <scheme val="major"/>
    </font>
    <font>
      <b/>
      <sz val="16"/>
      <name val="DevLys 010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DevLys 010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mbria"/>
      <family val="1"/>
      <scheme val="major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9"/>
      <name val="Cambria"/>
      <family val="1"/>
      <scheme val="major"/>
    </font>
    <font>
      <b/>
      <sz val="10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theme="0" tint="-0.249977111117893"/>
      <name val="DevLys 010"/>
    </font>
    <font>
      <sz val="9"/>
      <name val="Arial"/>
      <family val="2"/>
    </font>
    <font>
      <sz val="18"/>
      <name val="Arial"/>
      <family val="2"/>
    </font>
    <font>
      <sz val="16"/>
      <color theme="1"/>
      <name val="Kruti Dev 160"/>
    </font>
    <font>
      <u/>
      <sz val="16"/>
      <color theme="1"/>
      <name val="Kruti Dev 160"/>
    </font>
    <font>
      <sz val="14"/>
      <color theme="1"/>
      <name val="Kruti Dev 010"/>
    </font>
    <font>
      <sz val="11"/>
      <color theme="1"/>
      <name val="Cambria"/>
      <family val="1"/>
    </font>
    <font>
      <sz val="14"/>
      <color theme="1"/>
      <name val="Cambria"/>
      <family val="1"/>
    </font>
    <font>
      <sz val="16"/>
      <color theme="1"/>
      <name val="DevLys 010"/>
    </font>
    <font>
      <b/>
      <sz val="16"/>
      <color theme="1"/>
      <name val="DevLys 010"/>
    </font>
    <font>
      <b/>
      <sz val="14"/>
      <color theme="1"/>
      <name val="DevLys 010"/>
    </font>
    <font>
      <sz val="12"/>
      <color theme="1"/>
      <name val="Cambria"/>
      <family val="1"/>
    </font>
    <font>
      <sz val="12"/>
      <color theme="1"/>
      <name val="DevLys 010"/>
    </font>
    <font>
      <sz val="7"/>
      <color theme="1"/>
      <name val="Times New Roman"/>
      <family val="1"/>
    </font>
    <font>
      <u/>
      <sz val="11"/>
      <color theme="10"/>
      <name val="Calibri"/>
      <family val="2"/>
    </font>
    <font>
      <b/>
      <sz val="20"/>
      <color theme="1"/>
      <name val="DevLys 010"/>
    </font>
    <font>
      <b/>
      <sz val="22"/>
      <color theme="1"/>
      <name val="DevLys 010"/>
    </font>
    <font>
      <b/>
      <sz val="24"/>
      <color theme="1"/>
      <name val="DevLys 010"/>
    </font>
    <font>
      <b/>
      <sz val="25"/>
      <color theme="1"/>
      <name val="DevLys 010"/>
    </font>
    <font>
      <b/>
      <u/>
      <sz val="17"/>
      <color theme="1"/>
      <name val="Cambria"/>
      <family val="1"/>
    </font>
    <font>
      <b/>
      <u/>
      <sz val="22"/>
      <color theme="1"/>
      <name val="DevLys 010"/>
    </font>
    <font>
      <sz val="18"/>
      <color theme="1"/>
      <name val="DevLys 010"/>
    </font>
    <font>
      <sz val="16"/>
      <color theme="1"/>
      <name val="Cambria"/>
      <family val="1"/>
    </font>
    <font>
      <sz val="20"/>
      <color theme="1"/>
      <name val="DevLys 010"/>
    </font>
    <font>
      <sz val="2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DevLys 010"/>
    </font>
    <font>
      <b/>
      <sz val="20"/>
      <name val="DevLys 010"/>
    </font>
    <font>
      <b/>
      <sz val="12"/>
      <color theme="0"/>
      <name val="DevLys 010"/>
    </font>
    <font>
      <b/>
      <sz val="16"/>
      <color theme="0"/>
      <name val="DevLys 010"/>
    </font>
    <font>
      <b/>
      <sz val="22"/>
      <color rgb="FFFFFF00"/>
      <name val="Aldine721 BT"/>
      <family val="1"/>
    </font>
    <font>
      <sz val="11"/>
      <color rgb="FF00206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  <font>
      <b/>
      <sz val="22"/>
      <color rgb="FF002060"/>
      <name val="DevLys 010"/>
    </font>
    <font>
      <b/>
      <sz val="16"/>
      <color rgb="FF00206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b/>
      <sz val="18"/>
      <color theme="0"/>
      <name val="DevLys 010"/>
    </font>
    <font>
      <b/>
      <sz val="20"/>
      <color rgb="FF002060"/>
      <name val="Cambria"/>
      <family val="1"/>
      <scheme val="major"/>
    </font>
    <font>
      <sz val="14"/>
      <color theme="1"/>
      <name val="Calibri"/>
      <family val="2"/>
      <scheme val="minor"/>
    </font>
    <font>
      <sz val="12"/>
      <name val="Arial"/>
      <family val="2"/>
    </font>
    <font>
      <b/>
      <sz val="18"/>
      <color rgb="FF002060"/>
      <name val="Cambria"/>
      <family val="1"/>
      <scheme val="major"/>
    </font>
    <font>
      <sz val="10"/>
      <name val="Calibri"/>
      <family val="2"/>
      <scheme val="minor"/>
    </font>
    <font>
      <b/>
      <sz val="20"/>
      <color theme="0"/>
      <name val="DevLys 010"/>
    </font>
    <font>
      <b/>
      <sz val="9"/>
      <color theme="0"/>
      <name val="Cambria"/>
      <family val="1"/>
      <scheme val="maj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4"/>
      <color rgb="FF002060"/>
      <name val="DevLys 010"/>
    </font>
    <font>
      <b/>
      <sz val="11"/>
      <color theme="1"/>
      <name val="Cambria"/>
      <family val="1"/>
      <scheme val="major"/>
    </font>
    <font>
      <b/>
      <sz val="18"/>
      <color theme="0"/>
      <name val="Calibri"/>
      <family val="2"/>
      <scheme val="minor"/>
    </font>
    <font>
      <b/>
      <sz val="8"/>
      <color theme="0"/>
      <name val="Cambria"/>
      <family val="1"/>
      <scheme val="major"/>
    </font>
    <font>
      <b/>
      <sz val="26"/>
      <color theme="1"/>
      <name val="Kruti Dev 010"/>
    </font>
    <font>
      <b/>
      <i/>
      <u/>
      <sz val="14"/>
      <color theme="1"/>
      <name val="Kruti Dev 010"/>
    </font>
    <font>
      <sz val="16"/>
      <color theme="1"/>
      <name val="Kruti Dev 010"/>
    </font>
    <font>
      <sz val="16"/>
      <color theme="1"/>
      <name val="Cambria"/>
      <family val="1"/>
      <scheme val="major"/>
    </font>
    <font>
      <b/>
      <sz val="12"/>
      <name val="DevLys 010"/>
    </font>
    <font>
      <b/>
      <sz val="12"/>
      <name val="Kruti Dev 010"/>
    </font>
    <font>
      <sz val="14"/>
      <name val="Calibri"/>
      <family val="2"/>
      <scheme val="minor"/>
    </font>
    <font>
      <b/>
      <sz val="10"/>
      <name val="DevLys 010"/>
    </font>
    <font>
      <sz val="14"/>
      <name val="DevLys 010"/>
    </font>
    <font>
      <sz val="11"/>
      <name val="Arial"/>
      <family val="2"/>
    </font>
    <font>
      <sz val="10"/>
      <color rgb="FFFF0000"/>
      <name val="DevLys 010"/>
    </font>
    <font>
      <sz val="14"/>
      <color theme="1"/>
      <name val="Justus-Versalitas"/>
    </font>
    <font>
      <sz val="14"/>
      <color rgb="FFFF0000"/>
      <name val="DevLys 010"/>
    </font>
    <font>
      <sz val="24"/>
      <color theme="1"/>
      <name val="DevLys 010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20"/>
      <color theme="0"/>
      <name val="Cambria"/>
      <family val="1"/>
      <scheme val="major"/>
    </font>
  </fonts>
  <fills count="1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9" tint="-0.25098422193060094"/>
        </stop>
      </gradient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gradientFill type="path" left="0.5" right="0.5" top="0.5" bottom="0.5">
        <stop position="0">
          <color rgb="FFFF0000"/>
        </stop>
        <stop position="1">
          <color theme="1"/>
        </stop>
      </gradientFill>
    </fill>
    <fill>
      <patternFill patternType="solid">
        <fgColor theme="5" tint="0.79998168889431442"/>
        <bgColor indexed="64"/>
      </patternFill>
    </fill>
    <fill>
      <gradientFill type="path" left="0.5" right="0.5" top="0.5" bottom="0.5">
        <stop position="0">
          <color rgb="FFC00000"/>
        </stop>
        <stop position="1">
          <color theme="1"/>
        </stop>
      </gradientFill>
    </fill>
    <fill>
      <gradientFill type="path" left="0.5" right="0.5" top="0.5" bottom="0.5">
        <stop position="0">
          <color rgb="FFFFFF00"/>
        </stop>
        <stop position="1">
          <color theme="9" tint="0.59999389629810485"/>
        </stop>
      </gradientFill>
    </fill>
    <fill>
      <patternFill patternType="solid">
        <fgColor rgb="FF0070C0"/>
        <bgColor indexed="64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type="path" left="0.5" right="0.5" top="0.5" bottom="0.5">
        <stop position="0">
          <color rgb="FF7030A0"/>
        </stop>
        <stop position="1">
          <color theme="1"/>
        </stop>
      </gradientFill>
    </fill>
    <fill>
      <gradientFill degree="90">
        <stop position="0">
          <color theme="1"/>
        </stop>
        <stop position="1">
          <color theme="9" tint="-0.49803155613879818"/>
        </stop>
      </gradientFill>
    </fill>
    <fill>
      <gradientFill degree="90">
        <stop position="0">
          <color theme="1"/>
        </stop>
        <stop position="1">
          <color theme="5" tint="-0.49803155613879818"/>
        </stop>
      </gradientFill>
    </fill>
  </fills>
  <borders count="12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theme="1"/>
      </left>
      <right style="thin">
        <color indexed="64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/>
      <right style="medium">
        <color theme="1"/>
      </right>
      <top style="thin">
        <color indexed="64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medium">
        <color theme="1"/>
      </right>
      <top style="medium">
        <color indexed="64"/>
      </top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theme="1"/>
      </right>
      <top style="medium">
        <color theme="1"/>
      </top>
      <bottom/>
      <diagonal/>
    </border>
    <border>
      <left style="medium">
        <color indexed="64"/>
      </left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thin">
        <color indexed="64"/>
      </right>
      <top style="medium">
        <color indexed="64"/>
      </top>
      <bottom/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medium">
        <color theme="0"/>
      </top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indexed="64"/>
      </top>
      <bottom style="thin">
        <color theme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1"/>
      </top>
      <bottom style="medium">
        <color indexed="64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>
      <alignment vertical="top"/>
      <protection locked="0"/>
    </xf>
  </cellStyleXfs>
  <cellXfs count="398">
    <xf numFmtId="0" fontId="0" fillId="0" borderId="0" xfId="0"/>
    <xf numFmtId="0" fontId="28" fillId="0" borderId="0" xfId="0" applyFont="1"/>
    <xf numFmtId="0" fontId="5" fillId="0" borderId="0" xfId="0" applyFont="1"/>
    <xf numFmtId="0" fontId="5" fillId="0" borderId="3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34" fillId="0" borderId="0" xfId="0" applyFont="1" applyAlignment="1">
      <alignment horizontal="justify"/>
    </xf>
    <xf numFmtId="0" fontId="5" fillId="0" borderId="0" xfId="0" applyFont="1" applyAlignment="1">
      <alignment horizontal="left" indent="5"/>
    </xf>
    <xf numFmtId="0" fontId="0" fillId="0" borderId="0" xfId="0" applyAlignment="1">
      <alignment vertical="center"/>
    </xf>
    <xf numFmtId="1" fontId="14" fillId="4" borderId="13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15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16" xfId="0" applyNumberFormat="1" applyFont="1" applyFill="1" applyBorder="1" applyAlignment="1" applyProtection="1">
      <alignment horizontal="center" vertical="center"/>
      <protection hidden="1"/>
    </xf>
    <xf numFmtId="1" fontId="14" fillId="4" borderId="46" xfId="0" applyNumberFormat="1" applyFont="1" applyFill="1" applyBorder="1" applyAlignment="1" applyProtection="1">
      <alignment horizontal="center" vertical="center"/>
      <protection locked="0" hidden="1"/>
    </xf>
    <xf numFmtId="166" fontId="15" fillId="4" borderId="53" xfId="0" applyNumberFormat="1" applyFont="1" applyFill="1" applyBorder="1" applyAlignment="1" applyProtection="1">
      <alignment horizontal="center" vertical="center" wrapText="1"/>
      <protection hidden="1"/>
    </xf>
    <xf numFmtId="1" fontId="16" fillId="4" borderId="42" xfId="0" applyNumberFormat="1" applyFont="1" applyFill="1" applyBorder="1" applyAlignment="1" applyProtection="1">
      <alignment horizontal="center" vertical="center"/>
      <protection hidden="1"/>
    </xf>
    <xf numFmtId="1" fontId="14" fillId="4" borderId="59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60" xfId="0" applyNumberFormat="1" applyFont="1" applyFill="1" applyBorder="1" applyAlignment="1" applyProtection="1">
      <alignment horizontal="center" vertical="center"/>
      <protection hidden="1"/>
    </xf>
    <xf numFmtId="1" fontId="17" fillId="4" borderId="61" xfId="0" applyNumberFormat="1" applyFont="1" applyFill="1" applyBorder="1" applyAlignment="1" applyProtection="1">
      <alignment horizontal="center" vertical="center"/>
      <protection hidden="1"/>
    </xf>
    <xf numFmtId="1" fontId="14" fillId="4" borderId="52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5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/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center"/>
      <protection hidden="1"/>
    </xf>
    <xf numFmtId="165" fontId="0" fillId="0" borderId="0" xfId="0" applyNumberFormat="1" applyAlignment="1" applyProtection="1">
      <alignment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23" fillId="0" borderId="9" xfId="0" applyFont="1" applyBorder="1" applyAlignment="1" applyProtection="1">
      <alignment horizontal="right" vertical="center"/>
      <protection hidden="1"/>
    </xf>
    <xf numFmtId="0" fontId="23" fillId="0" borderId="13" xfId="0" applyFont="1" applyBorder="1" applyAlignment="1" applyProtection="1">
      <alignment horizontal="right" vertical="center"/>
      <protection hidden="1"/>
    </xf>
    <xf numFmtId="0" fontId="23" fillId="0" borderId="28" xfId="0" applyFont="1" applyBorder="1" applyAlignment="1" applyProtection="1">
      <alignment horizontal="right" vertical="center"/>
      <protection hidden="1"/>
    </xf>
    <xf numFmtId="0" fontId="23" fillId="0" borderId="24" xfId="0" applyFont="1" applyBorder="1" applyAlignment="1" applyProtection="1">
      <alignment horizontal="right" vertical="center"/>
      <protection hidden="1"/>
    </xf>
    <xf numFmtId="0" fontId="23" fillId="0" borderId="20" xfId="0" applyFont="1" applyBorder="1" applyAlignment="1" applyProtection="1">
      <alignment horizontal="right" vertical="center"/>
      <protection hidden="1"/>
    </xf>
    <xf numFmtId="0" fontId="27" fillId="0" borderId="24" xfId="0" applyFont="1" applyBorder="1" applyAlignment="1" applyProtection="1">
      <alignment horizontal="center" vertical="center"/>
      <protection hidden="1"/>
    </xf>
    <xf numFmtId="1" fontId="14" fillId="4" borderId="21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22" xfId="0" applyNumberFormat="1" applyFont="1" applyFill="1" applyBorder="1" applyAlignment="1" applyProtection="1">
      <alignment horizontal="center" vertical="center"/>
      <protection hidden="1"/>
    </xf>
    <xf numFmtId="1" fontId="14" fillId="4" borderId="20" xfId="0" applyNumberFormat="1" applyFont="1" applyFill="1" applyBorder="1" applyAlignment="1" applyProtection="1">
      <alignment horizontal="center" vertical="center"/>
      <protection locked="0" hidden="1"/>
    </xf>
    <xf numFmtId="0" fontId="19" fillId="0" borderId="0" xfId="0" applyFont="1" applyBorder="1" applyAlignment="1" applyProtection="1">
      <alignment horizontal="center" vertical="center" wrapText="1"/>
      <protection hidden="1"/>
    </xf>
    <xf numFmtId="0" fontId="14" fillId="4" borderId="23" xfId="0" applyFont="1" applyFill="1" applyBorder="1" applyAlignment="1" applyProtection="1">
      <alignment horizontal="center" vertical="center"/>
      <protection hidden="1"/>
    </xf>
    <xf numFmtId="0" fontId="14" fillId="4" borderId="13" xfId="0" applyFont="1" applyFill="1" applyBorder="1" applyAlignment="1" applyProtection="1">
      <alignment horizontal="center" vertical="center"/>
      <protection hidden="1"/>
    </xf>
    <xf numFmtId="1" fontId="16" fillId="4" borderId="49" xfId="0" applyNumberFormat="1" applyFont="1" applyFill="1" applyBorder="1" applyAlignment="1" applyProtection="1">
      <alignment horizontal="center" vertical="center"/>
      <protection hidden="1"/>
    </xf>
    <xf numFmtId="0" fontId="11" fillId="0" borderId="25" xfId="0" applyFont="1" applyBorder="1" applyAlignment="1" applyProtection="1">
      <alignment horizontal="center" vertical="center" textRotation="90"/>
      <protection hidden="1"/>
    </xf>
    <xf numFmtId="0" fontId="11" fillId="0" borderId="26" xfId="0" applyFont="1" applyBorder="1" applyAlignment="1" applyProtection="1">
      <alignment horizontal="center" vertical="center" textRotation="90"/>
      <protection hidden="1"/>
    </xf>
    <xf numFmtId="0" fontId="11" fillId="0" borderId="27" xfId="0" applyFont="1" applyBorder="1" applyAlignment="1" applyProtection="1">
      <alignment horizontal="center" vertical="center" textRotation="90"/>
      <protection hidden="1"/>
    </xf>
    <xf numFmtId="0" fontId="11" fillId="0" borderId="25" xfId="0" applyFont="1" applyBorder="1" applyAlignment="1" applyProtection="1">
      <alignment horizontal="center" vertical="center" textRotation="90" wrapText="1"/>
      <protection hidden="1"/>
    </xf>
    <xf numFmtId="0" fontId="11" fillId="0" borderId="26" xfId="0" applyFont="1" applyBorder="1" applyAlignment="1" applyProtection="1">
      <alignment horizontal="center" vertical="center" textRotation="90" wrapText="1"/>
      <protection hidden="1"/>
    </xf>
    <xf numFmtId="0" fontId="11" fillId="0" borderId="27" xfId="0" applyFont="1" applyBorder="1" applyAlignment="1" applyProtection="1">
      <alignment horizontal="center" vertical="center" textRotation="90" wrapText="1"/>
      <protection hidden="1"/>
    </xf>
    <xf numFmtId="0" fontId="62" fillId="0" borderId="0" xfId="0" applyFont="1" applyAlignment="1" applyProtection="1">
      <alignment horizontal="center"/>
      <protection hidden="1"/>
    </xf>
    <xf numFmtId="0" fontId="62" fillId="0" borderId="0" xfId="0" applyFont="1" applyAlignment="1" applyProtection="1">
      <protection hidden="1"/>
    </xf>
    <xf numFmtId="0" fontId="62" fillId="0" borderId="0" xfId="0" applyFont="1" applyAlignment="1" applyProtection="1">
      <alignment horizontal="center" vertical="center"/>
      <protection hidden="1"/>
    </xf>
    <xf numFmtId="0" fontId="15" fillId="4" borderId="43" xfId="0" applyNumberFormat="1" applyFont="1" applyFill="1" applyBorder="1" applyAlignment="1" applyProtection="1">
      <alignment horizontal="center" vertical="center" wrapText="1"/>
      <protection hidden="1"/>
    </xf>
    <xf numFmtId="17" fontId="0" fillId="0" borderId="0" xfId="0" applyNumberFormat="1" applyProtection="1">
      <protection hidden="1"/>
    </xf>
    <xf numFmtId="0" fontId="69" fillId="0" borderId="0" xfId="0" applyFont="1" applyAlignment="1" applyProtection="1">
      <alignment horizontal="center" vertical="center"/>
      <protection hidden="1"/>
    </xf>
    <xf numFmtId="1" fontId="16" fillId="4" borderId="70" xfId="0" applyNumberFormat="1" applyFont="1" applyFill="1" applyBorder="1" applyAlignment="1" applyProtection="1">
      <alignment vertical="center"/>
      <protection hidden="1"/>
    </xf>
    <xf numFmtId="1" fontId="16" fillId="4" borderId="74" xfId="0" applyNumberFormat="1" applyFont="1" applyFill="1" applyBorder="1" applyAlignment="1" applyProtection="1">
      <alignment vertical="center"/>
      <protection hidden="1"/>
    </xf>
    <xf numFmtId="1" fontId="14" fillId="4" borderId="77" xfId="0" applyNumberFormat="1" applyFont="1" applyFill="1" applyBorder="1" applyAlignment="1" applyProtection="1">
      <alignment vertical="center"/>
      <protection hidden="1"/>
    </xf>
    <xf numFmtId="1" fontId="17" fillId="4" borderId="76" xfId="0" applyNumberFormat="1" applyFont="1" applyFill="1" applyBorder="1" applyAlignment="1" applyProtection="1">
      <alignment vertical="center"/>
      <protection hidden="1"/>
    </xf>
    <xf numFmtId="1" fontId="14" fillId="4" borderId="65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67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73" xfId="0" applyNumberFormat="1" applyFont="1" applyFill="1" applyBorder="1" applyAlignment="1" applyProtection="1">
      <alignment horizontal="center" vertical="center"/>
      <protection hidden="1"/>
    </xf>
    <xf numFmtId="1" fontId="14" fillId="4" borderId="78" xfId="0" applyNumberFormat="1" applyFont="1" applyFill="1" applyBorder="1" applyAlignment="1" applyProtection="1">
      <alignment horizontal="center" vertical="center"/>
      <protection locked="0" hidden="1"/>
    </xf>
    <xf numFmtId="1" fontId="16" fillId="4" borderId="69" xfId="0" applyNumberFormat="1" applyFont="1" applyFill="1" applyBorder="1" applyAlignment="1" applyProtection="1">
      <alignment horizontal="center" vertical="center"/>
      <protection hidden="1"/>
    </xf>
    <xf numFmtId="1" fontId="17" fillId="4" borderId="75" xfId="0" applyNumberFormat="1" applyFont="1" applyFill="1" applyBorder="1" applyAlignment="1" applyProtection="1">
      <alignment horizontal="center" vertical="center"/>
      <protection hidden="1"/>
    </xf>
    <xf numFmtId="0" fontId="0" fillId="0" borderId="68" xfId="0" applyFont="1" applyBorder="1" applyAlignment="1" applyProtection="1">
      <protection hidden="1"/>
    </xf>
    <xf numFmtId="166" fontId="14" fillId="4" borderId="42" xfId="0" applyNumberFormat="1" applyFont="1" applyFill="1" applyBorder="1" applyAlignment="1" applyProtection="1">
      <alignment horizontal="center" vertical="center"/>
      <protection hidden="1"/>
    </xf>
    <xf numFmtId="17" fontId="52" fillId="4" borderId="68" xfId="0" applyNumberFormat="1" applyFont="1" applyFill="1" applyBorder="1" applyAlignment="1" applyProtection="1">
      <alignment vertical="center" textRotation="90"/>
      <protection hidden="1"/>
    </xf>
    <xf numFmtId="166" fontId="14" fillId="4" borderId="33" xfId="0" applyNumberFormat="1" applyFont="1" applyFill="1" applyBorder="1" applyAlignment="1" applyProtection="1">
      <alignment horizontal="center" vertical="center"/>
      <protection hidden="1"/>
    </xf>
    <xf numFmtId="17" fontId="14" fillId="4" borderId="43" xfId="0" applyNumberFormat="1" applyFont="1" applyFill="1" applyBorder="1" applyAlignment="1" applyProtection="1">
      <alignment horizontal="center" vertical="center"/>
      <protection hidden="1"/>
    </xf>
    <xf numFmtId="166" fontId="15" fillId="4" borderId="79" xfId="0" applyNumberFormat="1" applyFont="1" applyFill="1" applyBorder="1" applyAlignment="1" applyProtection="1">
      <alignment horizontal="center" vertical="center" wrapText="1"/>
      <protection hidden="1"/>
    </xf>
    <xf numFmtId="9" fontId="51" fillId="8" borderId="72" xfId="0" applyNumberFormat="1" applyFont="1" applyFill="1" applyBorder="1" applyAlignment="1" applyProtection="1">
      <alignment vertical="center"/>
      <protection hidden="1"/>
    </xf>
    <xf numFmtId="0" fontId="15" fillId="0" borderId="64" xfId="0" applyFont="1" applyBorder="1" applyAlignment="1" applyProtection="1">
      <alignment horizontal="center" vertical="center"/>
      <protection hidden="1"/>
    </xf>
    <xf numFmtId="1" fontId="14" fillId="4" borderId="38" xfId="0" applyNumberFormat="1" applyFont="1" applyFill="1" applyBorder="1" applyAlignment="1" applyProtection="1">
      <alignment horizontal="center" vertical="center"/>
      <protection hidden="1"/>
    </xf>
    <xf numFmtId="1" fontId="14" fillId="4" borderId="52" xfId="0" applyNumberFormat="1" applyFont="1" applyFill="1" applyBorder="1" applyAlignment="1" applyProtection="1">
      <alignment horizontal="center" vertical="center"/>
      <protection hidden="1"/>
    </xf>
    <xf numFmtId="1" fontId="14" fillId="4" borderId="21" xfId="0" applyNumberFormat="1" applyFont="1" applyFill="1" applyBorder="1" applyAlignment="1" applyProtection="1">
      <alignment horizontal="center" vertical="center"/>
      <protection hidden="1"/>
    </xf>
    <xf numFmtId="1" fontId="14" fillId="4" borderId="66" xfId="0" applyNumberFormat="1" applyFont="1" applyFill="1" applyBorder="1" applyAlignment="1" applyProtection="1">
      <alignment vertical="center"/>
      <protection hidden="1"/>
    </xf>
    <xf numFmtId="1" fontId="14" fillId="4" borderId="68" xfId="0" applyNumberFormat="1" applyFont="1" applyFill="1" applyBorder="1" applyAlignment="1" applyProtection="1">
      <alignment vertical="center"/>
      <protection hidden="1"/>
    </xf>
    <xf numFmtId="1" fontId="14" fillId="4" borderId="58" xfId="0" applyNumberFormat="1" applyFont="1" applyFill="1" applyBorder="1" applyAlignment="1" applyProtection="1">
      <alignment vertical="center"/>
      <protection hidden="1"/>
    </xf>
    <xf numFmtId="1" fontId="14" fillId="4" borderId="65" xfId="0" applyNumberFormat="1" applyFont="1" applyFill="1" applyBorder="1" applyAlignment="1" applyProtection="1">
      <alignment horizontal="center" vertical="center"/>
      <protection hidden="1"/>
    </xf>
    <xf numFmtId="1" fontId="14" fillId="4" borderId="67" xfId="0" applyNumberFormat="1" applyFont="1" applyFill="1" applyBorder="1" applyAlignment="1" applyProtection="1">
      <alignment horizontal="center" vertical="center"/>
      <protection hidden="1"/>
    </xf>
    <xf numFmtId="1" fontId="14" fillId="4" borderId="13" xfId="0" applyNumberFormat="1" applyFont="1" applyFill="1" applyBorder="1" applyAlignment="1" applyProtection="1">
      <alignment horizontal="center" vertical="center"/>
      <protection hidden="1"/>
    </xf>
    <xf numFmtId="1" fontId="14" fillId="4" borderId="15" xfId="0" applyNumberFormat="1" applyFont="1" applyFill="1" applyBorder="1" applyAlignment="1" applyProtection="1">
      <alignment horizontal="center" vertical="center"/>
      <protection hidden="1"/>
    </xf>
    <xf numFmtId="0" fontId="0" fillId="4" borderId="0" xfId="0" applyFill="1" applyAlignment="1" applyProtection="1">
      <alignment horizontal="center"/>
      <protection hidden="1"/>
    </xf>
    <xf numFmtId="0" fontId="0" fillId="4" borderId="0" xfId="0" applyFill="1" applyProtection="1">
      <protection hidden="1"/>
    </xf>
    <xf numFmtId="0" fontId="0" fillId="13" borderId="50" xfId="0" applyFill="1" applyBorder="1" applyAlignment="1" applyProtection="1">
      <alignment horizontal="center"/>
      <protection hidden="1"/>
    </xf>
    <xf numFmtId="0" fontId="0" fillId="0" borderId="50" xfId="0" applyBorder="1" applyProtection="1">
      <protection hidden="1"/>
    </xf>
    <xf numFmtId="0" fontId="56" fillId="8" borderId="50" xfId="0" applyFont="1" applyFill="1" applyBorder="1" applyAlignment="1" applyProtection="1">
      <alignment horizontal="center" vertical="center"/>
      <protection hidden="1"/>
    </xf>
    <xf numFmtId="0" fontId="59" fillId="14" borderId="84" xfId="0" applyFont="1" applyFill="1" applyBorder="1" applyAlignment="1" applyProtection="1">
      <alignment horizontal="center" vertical="center" wrapText="1"/>
      <protection hidden="1"/>
    </xf>
    <xf numFmtId="0" fontId="59" fillId="14" borderId="63" xfId="0" applyFont="1" applyFill="1" applyBorder="1" applyAlignment="1" applyProtection="1">
      <alignment horizontal="center" vertical="center" wrapText="1"/>
      <protection hidden="1"/>
    </xf>
    <xf numFmtId="0" fontId="15" fillId="4" borderId="0" xfId="0" applyNumberFormat="1" applyFont="1" applyFill="1" applyBorder="1" applyAlignment="1" applyProtection="1">
      <alignment horizontal="center" vertical="center" wrapText="1"/>
      <protection hidden="1"/>
    </xf>
    <xf numFmtId="0" fontId="51" fillId="17" borderId="50" xfId="0" applyFont="1" applyFill="1" applyBorder="1" applyAlignment="1" applyProtection="1">
      <alignment horizontal="center" vertical="center"/>
      <protection locked="0" hidden="1"/>
    </xf>
    <xf numFmtId="9" fontId="74" fillId="17" borderId="50" xfId="0" applyNumberFormat="1" applyFont="1" applyFill="1" applyBorder="1" applyAlignment="1" applyProtection="1">
      <alignment horizontal="center" vertical="center"/>
      <protection locked="0" hidden="1"/>
    </xf>
    <xf numFmtId="0" fontId="51" fillId="16" borderId="50" xfId="0" applyFont="1" applyFill="1" applyBorder="1" applyAlignment="1" applyProtection="1">
      <alignment horizontal="center" vertical="center"/>
      <protection locked="0" hidden="1"/>
    </xf>
    <xf numFmtId="0" fontId="50" fillId="0" borderId="0" xfId="0" applyFont="1" applyAlignment="1" applyProtection="1">
      <alignment vertical="center"/>
      <protection hidden="1"/>
    </xf>
    <xf numFmtId="0" fontId="34" fillId="0" borderId="0" xfId="0" applyFont="1" applyAlignment="1" applyProtection="1">
      <alignment horizontal="justify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left" indent="5"/>
      <protection hidden="1"/>
    </xf>
    <xf numFmtId="0" fontId="41" fillId="0" borderId="6" xfId="0" applyFont="1" applyBorder="1" applyAlignment="1" applyProtection="1">
      <alignment horizontal="center" vertical="center" wrapText="1"/>
      <protection locked="0"/>
    </xf>
    <xf numFmtId="0" fontId="49" fillId="0" borderId="6" xfId="0" applyFont="1" applyBorder="1" applyAlignment="1" applyProtection="1">
      <alignment horizontal="center" vertical="center" wrapText="1"/>
      <protection locked="0"/>
    </xf>
    <xf numFmtId="0" fontId="35" fillId="0" borderId="6" xfId="0" applyFont="1" applyBorder="1" applyAlignment="1" applyProtection="1">
      <alignment horizontal="center" vertical="center" wrapText="1"/>
      <protection locked="0"/>
    </xf>
    <xf numFmtId="0" fontId="36" fillId="0" borderId="6" xfId="0" applyFont="1" applyBorder="1" applyAlignment="1" applyProtection="1">
      <alignment horizontal="center" vertical="center" wrapText="1"/>
      <protection locked="0"/>
    </xf>
    <xf numFmtId="0" fontId="37" fillId="0" borderId="6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41" fillId="0" borderId="29" xfId="0" applyFont="1" applyBorder="1" applyAlignment="1" applyProtection="1">
      <alignment horizontal="center" vertical="center" wrapText="1"/>
      <protection locked="0"/>
    </xf>
    <xf numFmtId="0" fontId="35" fillId="0" borderId="29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0" fillId="13" borderId="0" xfId="0" applyFill="1" applyAlignment="1">
      <alignment horizontal="center"/>
    </xf>
    <xf numFmtId="0" fontId="89" fillId="0" borderId="0" xfId="0" applyFont="1"/>
    <xf numFmtId="0" fontId="88" fillId="0" borderId="0" xfId="0" applyFont="1" applyAlignment="1">
      <alignment horizontal="left"/>
    </xf>
    <xf numFmtId="1" fontId="7" fillId="4" borderId="38" xfId="0" applyNumberFormat="1" applyFont="1" applyFill="1" applyBorder="1" applyAlignment="1" applyProtection="1">
      <alignment horizontal="center" vertical="center"/>
      <protection locked="0" hidden="1"/>
    </xf>
    <xf numFmtId="1" fontId="84" fillId="4" borderId="38" xfId="0" applyNumberFormat="1" applyFont="1" applyFill="1" applyBorder="1" applyAlignment="1" applyProtection="1">
      <alignment horizontal="center" vertical="center" wrapText="1"/>
      <protection locked="0" hidden="1"/>
    </xf>
    <xf numFmtId="1" fontId="7" fillId="4" borderId="38" xfId="0" applyNumberFormat="1" applyFont="1" applyFill="1" applyBorder="1" applyAlignment="1" applyProtection="1">
      <alignment horizontal="center" vertical="center"/>
      <protection hidden="1"/>
    </xf>
    <xf numFmtId="0" fontId="86" fillId="4" borderId="25" xfId="0" applyFont="1" applyFill="1" applyBorder="1" applyAlignment="1" applyProtection="1">
      <alignment horizontal="center" vertical="center"/>
      <protection locked="0"/>
    </xf>
    <xf numFmtId="1" fontId="7" fillId="4" borderId="26" xfId="0" applyNumberFormat="1" applyFont="1" applyFill="1" applyBorder="1" applyAlignment="1" applyProtection="1">
      <alignment horizontal="center" vertical="center" wrapText="1"/>
      <protection locked="0"/>
    </xf>
    <xf numFmtId="1" fontId="87" fillId="4" borderId="26" xfId="0" applyNumberFormat="1" applyFont="1" applyFill="1" applyBorder="1" applyAlignment="1" applyProtection="1">
      <alignment horizontal="center" vertical="center" wrapText="1"/>
      <protection locked="0"/>
    </xf>
    <xf numFmtId="167" fontId="17" fillId="4" borderId="26" xfId="0" applyNumberFormat="1" applyFont="1" applyFill="1" applyBorder="1" applyAlignment="1" applyProtection="1">
      <alignment horizontal="center" vertical="center"/>
      <protection locked="0"/>
    </xf>
    <xf numFmtId="1" fontId="19" fillId="4" borderId="26" xfId="0" applyNumberFormat="1" applyFont="1" applyFill="1" applyBorder="1" applyAlignment="1" applyProtection="1">
      <alignment horizontal="center" vertical="center"/>
      <protection locked="0"/>
    </xf>
    <xf numFmtId="1" fontId="19" fillId="4" borderId="26" xfId="0" applyNumberFormat="1" applyFont="1" applyFill="1" applyBorder="1" applyAlignment="1" applyProtection="1">
      <alignment horizontal="center" vertical="center" wrapText="1"/>
      <protection locked="0"/>
    </xf>
    <xf numFmtId="1" fontId="19" fillId="4" borderId="27" xfId="0" applyNumberFormat="1" applyFont="1" applyFill="1" applyBorder="1" applyAlignment="1" applyProtection="1">
      <alignment horizontal="center" vertical="center"/>
      <protection locked="0"/>
    </xf>
    <xf numFmtId="168" fontId="0" fillId="0" borderId="0" xfId="0" applyNumberFormat="1" applyProtection="1">
      <protection hidden="1"/>
    </xf>
    <xf numFmtId="0" fontId="0" fillId="13" borderId="0" xfId="0" applyFill="1" applyAlignment="1" applyProtection="1">
      <alignment horizontal="center"/>
      <protection hidden="1"/>
    </xf>
    <xf numFmtId="0" fontId="0" fillId="0" borderId="0" xfId="0"/>
    <xf numFmtId="0" fontId="25" fillId="0" borderId="32" xfId="0" applyFont="1" applyBorder="1" applyAlignment="1" applyProtection="1">
      <alignment horizontal="center" vertical="center" textRotation="90"/>
      <protection hidden="1"/>
    </xf>
    <xf numFmtId="0" fontId="25" fillId="0" borderId="34" xfId="0" applyFont="1" applyBorder="1" applyAlignment="1" applyProtection="1">
      <alignment horizontal="center" vertical="center" textRotation="90"/>
      <protection hidden="1"/>
    </xf>
    <xf numFmtId="0" fontId="24" fillId="0" borderId="39" xfId="0" applyFont="1" applyBorder="1" applyAlignment="1" applyProtection="1">
      <alignment horizontal="center" vertical="center" textRotation="90" wrapText="1"/>
      <protection hidden="1"/>
    </xf>
    <xf numFmtId="0" fontId="24" fillId="0" borderId="32" xfId="0" applyFont="1" applyBorder="1" applyAlignment="1" applyProtection="1">
      <alignment horizontal="center" vertical="center" textRotation="90" wrapText="1"/>
      <protection hidden="1"/>
    </xf>
    <xf numFmtId="0" fontId="24" fillId="0" borderId="40" xfId="0" applyFont="1" applyBorder="1" applyAlignment="1" applyProtection="1">
      <alignment horizontal="center" vertical="center" textRotation="90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13" borderId="0" xfId="0" applyFill="1" applyAlignment="1">
      <alignment horizontal="center"/>
    </xf>
    <xf numFmtId="1" fontId="16" fillId="4" borderId="3" xfId="0" applyNumberFormat="1" applyFont="1" applyFill="1" applyBorder="1" applyAlignment="1" applyProtection="1">
      <alignment vertical="center"/>
      <protection hidden="1"/>
    </xf>
    <xf numFmtId="0" fontId="23" fillId="0" borderId="66" xfId="0" applyFont="1" applyBorder="1" applyAlignment="1" applyProtection="1">
      <alignment horizontal="right" vertical="center"/>
      <protection hidden="1"/>
    </xf>
    <xf numFmtId="9" fontId="51" fillId="15" borderId="71" xfId="0" applyNumberFormat="1" applyFont="1" applyFill="1" applyBorder="1" applyAlignment="1" applyProtection="1">
      <alignment horizontal="center" vertical="center"/>
      <protection locked="0" hidden="1"/>
    </xf>
    <xf numFmtId="9" fontId="51" fillId="15" borderId="56" xfId="0" applyNumberFormat="1" applyFont="1" applyFill="1" applyBorder="1" applyAlignment="1" applyProtection="1">
      <alignment horizontal="center" vertical="center"/>
      <protection locked="0" hidden="1"/>
    </xf>
    <xf numFmtId="9" fontId="51" fillId="15" borderId="57" xfId="0" applyNumberFormat="1" applyFont="1" applyFill="1" applyBorder="1" applyAlignment="1" applyProtection="1">
      <alignment horizontal="center" vertical="center"/>
      <protection locked="0" hidden="1"/>
    </xf>
    <xf numFmtId="0" fontId="76" fillId="12" borderId="50" xfId="0" applyFont="1" applyFill="1" applyBorder="1" applyAlignment="1" applyProtection="1">
      <alignment horizontal="center" vertical="center"/>
      <protection locked="0" hidden="1"/>
    </xf>
    <xf numFmtId="1" fontId="14" fillId="4" borderId="99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99" xfId="0" applyNumberFormat="1" applyFont="1" applyFill="1" applyBorder="1" applyAlignment="1" applyProtection="1">
      <alignment horizontal="center" vertical="center"/>
      <protection hidden="1"/>
    </xf>
    <xf numFmtId="1" fontId="14" fillId="4" borderId="100" xfId="0" applyNumberFormat="1" applyFont="1" applyFill="1" applyBorder="1" applyAlignment="1" applyProtection="1">
      <alignment horizontal="center" vertical="center"/>
      <protection locked="0" hidden="1"/>
    </xf>
    <xf numFmtId="1" fontId="14" fillId="4" borderId="100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38" fillId="10" borderId="8" xfId="1" applyFont="1" applyFill="1" applyBorder="1" applyAlignment="1" applyProtection="1">
      <alignment horizontal="center" vertical="top" wrapText="1"/>
      <protection locked="0"/>
    </xf>
    <xf numFmtId="0" fontId="0" fillId="10" borderId="0" xfId="0" applyFill="1" applyProtection="1">
      <protection locked="0"/>
    </xf>
    <xf numFmtId="0" fontId="5" fillId="10" borderId="0" xfId="0" applyFont="1" applyFill="1" applyProtection="1">
      <protection locked="0"/>
    </xf>
    <xf numFmtId="0" fontId="47" fillId="0" borderId="26" xfId="0" applyFont="1" applyBorder="1" applyAlignment="1">
      <alignment horizontal="center" vertical="top" wrapText="1"/>
    </xf>
    <xf numFmtId="0" fontId="35" fillId="0" borderId="101" xfId="0" applyFont="1" applyBorder="1" applyAlignment="1" applyProtection="1">
      <alignment horizontal="center" vertical="center" wrapText="1"/>
      <protection locked="0"/>
    </xf>
    <xf numFmtId="0" fontId="35" fillId="0" borderId="102" xfId="0" applyFont="1" applyBorder="1" applyAlignment="1" applyProtection="1">
      <alignment horizontal="center" vertical="center" wrapText="1"/>
      <protection locked="0"/>
    </xf>
    <xf numFmtId="0" fontId="36" fillId="0" borderId="102" xfId="0" applyFont="1" applyBorder="1" applyAlignment="1" applyProtection="1">
      <alignment horizontal="center" vertical="center" wrapText="1"/>
      <protection locked="0"/>
    </xf>
    <xf numFmtId="0" fontId="37" fillId="0" borderId="102" xfId="0" applyFont="1" applyBorder="1" applyAlignment="1" applyProtection="1">
      <alignment horizontal="center" vertical="center" wrapText="1"/>
      <protection locked="0"/>
    </xf>
    <xf numFmtId="0" fontId="5" fillId="0" borderId="102" xfId="0" applyFont="1" applyBorder="1" applyAlignment="1" applyProtection="1">
      <alignment horizontal="center" vertical="center" wrapText="1"/>
      <protection locked="0"/>
    </xf>
    <xf numFmtId="0" fontId="5" fillId="0" borderId="103" xfId="0" applyFont="1" applyBorder="1" applyAlignment="1" applyProtection="1">
      <alignment horizontal="center" vertical="center" wrapText="1"/>
      <protection locked="0"/>
    </xf>
    <xf numFmtId="0" fontId="11" fillId="10" borderId="26" xfId="0" applyFont="1" applyFill="1" applyBorder="1" applyAlignment="1" applyProtection="1">
      <alignment horizontal="center" vertical="center" textRotation="90"/>
      <protection locked="0"/>
    </xf>
    <xf numFmtId="0" fontId="0" fillId="0" borderId="0" xfId="0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7" fillId="4" borderId="0" xfId="0" applyFont="1" applyFill="1" applyBorder="1" applyAlignment="1" applyProtection="1">
      <alignment horizontal="right" vertical="center"/>
      <protection hidden="1"/>
    </xf>
    <xf numFmtId="0" fontId="96" fillId="8" borderId="0" xfId="0" applyFont="1" applyFill="1" applyBorder="1" applyAlignment="1" applyProtection="1">
      <alignment horizontal="center"/>
      <protection hidden="1"/>
    </xf>
    <xf numFmtId="1" fontId="0" fillId="0" borderId="62" xfId="0" applyNumberFormat="1" applyBorder="1" applyAlignment="1" applyProtection="1">
      <alignment horizontal="center" vertical="center"/>
      <protection hidden="1"/>
    </xf>
    <xf numFmtId="0" fontId="0" fillId="0" borderId="62" xfId="0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0" xfId="0" applyFont="1" applyBorder="1" applyAlignment="1" applyProtection="1">
      <alignment horizontal="center" vertical="center"/>
      <protection hidden="1"/>
    </xf>
    <xf numFmtId="0" fontId="24" fillId="0" borderId="10" xfId="0" applyFont="1" applyBorder="1" applyAlignment="1" applyProtection="1">
      <alignment horizontal="center" vertical="center" textRotation="90" wrapText="1"/>
      <protection hidden="1"/>
    </xf>
    <xf numFmtId="0" fontId="24" fillId="0" borderId="1" xfId="0" applyFont="1" applyBorder="1" applyAlignment="1" applyProtection="1">
      <alignment horizontal="center" vertical="center" textRotation="90" wrapText="1"/>
      <protection hidden="1"/>
    </xf>
    <xf numFmtId="0" fontId="24" fillId="0" borderId="39" xfId="0" applyFont="1" applyBorder="1" applyAlignment="1" applyProtection="1">
      <alignment horizontal="center" vertical="center" textRotation="90" wrapText="1"/>
      <protection hidden="1"/>
    </xf>
    <xf numFmtId="0" fontId="24" fillId="0" borderId="31" xfId="0" applyFont="1" applyBorder="1" applyAlignment="1" applyProtection="1">
      <alignment horizontal="center" vertical="center" textRotation="90" wrapText="1"/>
      <protection hidden="1"/>
    </xf>
    <xf numFmtId="0" fontId="24" fillId="0" borderId="0" xfId="0" applyFont="1" applyBorder="1" applyAlignment="1" applyProtection="1">
      <alignment horizontal="center" vertical="center" textRotation="90" wrapText="1"/>
      <protection hidden="1"/>
    </xf>
    <xf numFmtId="0" fontId="24" fillId="0" borderId="32" xfId="0" applyFont="1" applyBorder="1" applyAlignment="1" applyProtection="1">
      <alignment horizontal="center" vertical="center" textRotation="90" wrapText="1"/>
      <protection hidden="1"/>
    </xf>
    <xf numFmtId="0" fontId="24" fillId="0" borderId="14" xfId="0" applyFont="1" applyBorder="1" applyAlignment="1" applyProtection="1">
      <alignment horizontal="center" vertical="center" textRotation="90" wrapText="1"/>
      <protection hidden="1"/>
    </xf>
    <xf numFmtId="0" fontId="24" fillId="0" borderId="5" xfId="0" applyFont="1" applyBorder="1" applyAlignment="1" applyProtection="1">
      <alignment horizontal="center" vertical="center" textRotation="90" wrapText="1"/>
      <protection hidden="1"/>
    </xf>
    <xf numFmtId="0" fontId="24" fillId="0" borderId="40" xfId="0" applyFont="1" applyBorder="1" applyAlignment="1" applyProtection="1">
      <alignment horizontal="center" vertical="center" textRotation="90" wrapText="1"/>
      <protection hidden="1"/>
    </xf>
    <xf numFmtId="0" fontId="25" fillId="0" borderId="11" xfId="0" applyFont="1" applyBorder="1" applyAlignment="1" applyProtection="1">
      <alignment horizontal="center" vertical="center"/>
      <protection hidden="1"/>
    </xf>
    <xf numFmtId="1" fontId="25" fillId="0" borderId="11" xfId="0" applyNumberFormat="1" applyFont="1" applyFill="1" applyBorder="1" applyAlignment="1" applyProtection="1">
      <alignment horizontal="center" vertical="center"/>
      <protection hidden="1"/>
    </xf>
    <xf numFmtId="0" fontId="25" fillId="0" borderId="11" xfId="0" applyFont="1" applyFill="1" applyBorder="1" applyAlignment="1" applyProtection="1">
      <alignment horizontal="center" vertical="center"/>
      <protection hidden="1"/>
    </xf>
    <xf numFmtId="0" fontId="25" fillId="0" borderId="81" xfId="0" applyFont="1" applyFill="1" applyBorder="1" applyAlignment="1" applyProtection="1">
      <alignment horizontal="center" vertical="center"/>
      <protection hidden="1"/>
    </xf>
    <xf numFmtId="0" fontId="25" fillId="0" borderId="12" xfId="0" applyFont="1" applyFill="1" applyBorder="1" applyAlignment="1" applyProtection="1">
      <alignment horizontal="center" vertical="center"/>
      <protection hidden="1"/>
    </xf>
    <xf numFmtId="0" fontId="25" fillId="0" borderId="21" xfId="0" applyFont="1" applyBorder="1" applyAlignment="1" applyProtection="1">
      <alignment horizontal="center" vertical="center"/>
      <protection hidden="1"/>
    </xf>
    <xf numFmtId="17" fontId="14" fillId="4" borderId="30" xfId="0" applyNumberFormat="1" applyFont="1" applyFill="1" applyBorder="1" applyAlignment="1" applyProtection="1">
      <alignment horizontal="center" vertical="center"/>
      <protection hidden="1"/>
    </xf>
    <xf numFmtId="17" fontId="14" fillId="4" borderId="23" xfId="0" applyNumberFormat="1" applyFont="1" applyFill="1" applyBorder="1" applyAlignment="1" applyProtection="1">
      <alignment horizontal="center" vertical="center"/>
      <protection hidden="1"/>
    </xf>
    <xf numFmtId="17" fontId="14" fillId="4" borderId="53" xfId="0" applyNumberFormat="1" applyFont="1" applyFill="1" applyBorder="1" applyAlignment="1" applyProtection="1">
      <alignment horizontal="center" vertical="center"/>
      <protection hidden="1"/>
    </xf>
    <xf numFmtId="17" fontId="14" fillId="4" borderId="94" xfId="0" applyNumberFormat="1" applyFont="1" applyFill="1" applyBorder="1" applyAlignment="1" applyProtection="1">
      <alignment horizontal="center" vertical="center"/>
      <protection hidden="1"/>
    </xf>
    <xf numFmtId="17" fontId="14" fillId="4" borderId="95" xfId="0" applyNumberFormat="1" applyFont="1" applyFill="1" applyBorder="1" applyAlignment="1" applyProtection="1">
      <alignment horizontal="center" vertical="center"/>
      <protection hidden="1"/>
    </xf>
    <xf numFmtId="17" fontId="14" fillId="4" borderId="96" xfId="0" applyNumberFormat="1" applyFont="1" applyFill="1" applyBorder="1" applyAlignment="1" applyProtection="1">
      <alignment horizontal="center" vertical="center"/>
      <protection hidden="1"/>
    </xf>
    <xf numFmtId="0" fontId="58" fillId="0" borderId="0" xfId="0" applyFont="1" applyAlignment="1" applyProtection="1">
      <alignment horizontal="center" vertical="center"/>
      <protection hidden="1"/>
    </xf>
    <xf numFmtId="165" fontId="58" fillId="0" borderId="0" xfId="0" applyNumberFormat="1" applyFont="1" applyAlignment="1" applyProtection="1">
      <alignment horizontal="center" vertical="center"/>
      <protection hidden="1"/>
    </xf>
    <xf numFmtId="0" fontId="0" fillId="13" borderId="0" xfId="0" applyFill="1" applyAlignment="1" applyProtection="1">
      <alignment horizontal="center"/>
      <protection hidden="1"/>
    </xf>
    <xf numFmtId="0" fontId="0" fillId="13" borderId="1" xfId="0" applyFill="1" applyBorder="1" applyAlignment="1" applyProtection="1">
      <alignment horizontal="center"/>
      <protection hidden="1"/>
    </xf>
    <xf numFmtId="0" fontId="55" fillId="4" borderId="7" xfId="0" applyFont="1" applyFill="1" applyBorder="1" applyAlignment="1" applyProtection="1">
      <alignment vertical="center" wrapText="1"/>
      <protection hidden="1"/>
    </xf>
    <xf numFmtId="0" fontId="55" fillId="4" borderId="8" xfId="0" applyFont="1" applyFill="1" applyBorder="1" applyAlignment="1" applyProtection="1">
      <alignment vertical="center" wrapText="1"/>
      <protection hidden="1"/>
    </xf>
    <xf numFmtId="0" fontId="14" fillId="4" borderId="24" xfId="0" applyFont="1" applyFill="1" applyBorder="1" applyAlignment="1" applyProtection="1">
      <alignment horizontal="center" vertical="center"/>
      <protection hidden="1"/>
    </xf>
    <xf numFmtId="0" fontId="14" fillId="4" borderId="20" xfId="0" applyFont="1" applyFill="1" applyBorder="1" applyAlignment="1" applyProtection="1">
      <alignment horizontal="center" vertical="center"/>
      <protection hidden="1"/>
    </xf>
    <xf numFmtId="0" fontId="10" fillId="0" borderId="88" xfId="0" applyFont="1" applyBorder="1" applyAlignment="1" applyProtection="1">
      <alignment horizontal="center" vertical="center" wrapText="1"/>
      <protection hidden="1"/>
    </xf>
    <xf numFmtId="0" fontId="10" fillId="0" borderId="89" xfId="0" applyFont="1" applyBorder="1" applyAlignment="1" applyProtection="1">
      <alignment horizontal="center" vertical="center" wrapText="1"/>
      <protection hidden="1"/>
    </xf>
    <xf numFmtId="0" fontId="12" fillId="0" borderId="9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66" fillId="11" borderId="50" xfId="0" applyFont="1" applyFill="1" applyBorder="1" applyAlignment="1" applyProtection="1">
      <alignment horizontal="right" vertical="center" wrapText="1"/>
      <protection hidden="1"/>
    </xf>
    <xf numFmtId="165" fontId="55" fillId="11" borderId="50" xfId="0" applyNumberFormat="1" applyFont="1" applyFill="1" applyBorder="1" applyAlignment="1" applyProtection="1">
      <alignment horizontal="center" vertical="center" wrapText="1"/>
      <protection hidden="1"/>
    </xf>
    <xf numFmtId="164" fontId="71" fillId="4" borderId="33" xfId="0" applyNumberFormat="1" applyFont="1" applyFill="1" applyBorder="1" applyAlignment="1" applyProtection="1">
      <alignment horizontal="center" vertical="center" wrapText="1"/>
      <protection hidden="1"/>
    </xf>
    <xf numFmtId="164" fontId="71" fillId="4" borderId="43" xfId="0" applyNumberFormat="1" applyFont="1" applyFill="1" applyBorder="1" applyAlignment="1" applyProtection="1">
      <alignment horizontal="center" vertical="center" wrapText="1"/>
      <protection hidden="1"/>
    </xf>
    <xf numFmtId="164" fontId="71" fillId="4" borderId="79" xfId="0" applyNumberFormat="1" applyFont="1" applyFill="1" applyBorder="1" applyAlignment="1" applyProtection="1">
      <alignment horizontal="center" vertical="center" wrapText="1"/>
      <protection hidden="1"/>
    </xf>
    <xf numFmtId="0" fontId="56" fillId="11" borderId="50" xfId="0" applyFont="1" applyFill="1" applyBorder="1" applyAlignment="1" applyProtection="1">
      <alignment horizontal="right" vertical="center" wrapText="1"/>
      <protection hidden="1"/>
    </xf>
    <xf numFmtId="0" fontId="64" fillId="12" borderId="50" xfId="0" applyFont="1" applyFill="1" applyBorder="1" applyAlignment="1" applyProtection="1">
      <alignment horizontal="center" vertical="center" wrapText="1"/>
      <protection locked="0" hidden="1"/>
    </xf>
    <xf numFmtId="165" fontId="70" fillId="12" borderId="50" xfId="0" quotePrefix="1" applyNumberFormat="1" applyFont="1" applyFill="1" applyBorder="1" applyAlignment="1" applyProtection="1">
      <alignment horizontal="center" vertical="center"/>
      <protection locked="0" hidden="1"/>
    </xf>
    <xf numFmtId="0" fontId="63" fillId="12" borderId="50" xfId="0" applyFont="1" applyFill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hidden="1"/>
    </xf>
    <xf numFmtId="0" fontId="0" fillId="13" borderId="83" xfId="0" applyFill="1" applyBorder="1" applyAlignment="1" applyProtection="1">
      <alignment horizontal="center"/>
      <protection hidden="1"/>
    </xf>
    <xf numFmtId="9" fontId="65" fillId="12" borderId="50" xfId="0" applyNumberFormat="1" applyFont="1" applyFill="1" applyBorder="1" applyAlignment="1" applyProtection="1">
      <alignment horizontal="center" vertical="center"/>
      <protection locked="0" hidden="1"/>
    </xf>
    <xf numFmtId="9" fontId="65" fillId="12" borderId="85" xfId="0" applyNumberFormat="1" applyFont="1" applyFill="1" applyBorder="1" applyAlignment="1" applyProtection="1">
      <alignment horizontal="center" vertical="center"/>
      <protection locked="0" hidden="1"/>
    </xf>
    <xf numFmtId="0" fontId="55" fillId="11" borderId="50" xfId="0" applyFont="1" applyFill="1" applyBorder="1" applyAlignment="1" applyProtection="1">
      <alignment horizontal="center" vertical="center" wrapText="1"/>
      <protection hidden="1"/>
    </xf>
    <xf numFmtId="0" fontId="55" fillId="11" borderId="51" xfId="0" applyFont="1" applyFill="1" applyBorder="1" applyAlignment="1" applyProtection="1">
      <alignment horizontal="center" vertical="center" wrapText="1"/>
      <protection hidden="1"/>
    </xf>
    <xf numFmtId="0" fontId="67" fillId="12" borderId="50" xfId="0" applyFont="1" applyFill="1" applyBorder="1" applyAlignment="1" applyProtection="1">
      <alignment horizontal="center" vertical="center"/>
      <protection locked="0" hidden="1"/>
    </xf>
    <xf numFmtId="0" fontId="67" fillId="12" borderId="51" xfId="0" applyFont="1" applyFill="1" applyBorder="1" applyAlignment="1" applyProtection="1">
      <alignment horizontal="center" vertical="center"/>
      <protection locked="0" hidden="1"/>
    </xf>
    <xf numFmtId="0" fontId="56" fillId="11" borderId="50" xfId="0" applyFont="1" applyFill="1" applyBorder="1" applyAlignment="1" applyProtection="1">
      <alignment horizontal="center" vertical="center" wrapText="1"/>
      <protection hidden="1"/>
    </xf>
    <xf numFmtId="0" fontId="70" fillId="12" borderId="50" xfId="0" applyFont="1" applyFill="1" applyBorder="1" applyAlignment="1" applyProtection="1">
      <alignment horizontal="center" vertical="center"/>
      <protection locked="0" hidden="1"/>
    </xf>
    <xf numFmtId="0" fontId="10" fillId="10" borderId="9" xfId="0" applyFont="1" applyFill="1" applyBorder="1" applyAlignment="1" applyProtection="1">
      <alignment horizontal="center" vertical="center" wrapText="1"/>
      <protection locked="0"/>
    </xf>
    <xf numFmtId="0" fontId="10" fillId="10" borderId="11" xfId="0" applyFont="1" applyFill="1" applyBorder="1" applyAlignment="1" applyProtection="1">
      <alignment horizontal="center" vertical="center" wrapText="1"/>
      <protection locked="0"/>
    </xf>
    <xf numFmtId="0" fontId="10" fillId="10" borderId="12" xfId="0" applyFont="1" applyFill="1" applyBorder="1" applyAlignment="1" applyProtection="1">
      <alignment horizontal="center" vertical="center" wrapText="1"/>
      <protection locked="0"/>
    </xf>
    <xf numFmtId="0" fontId="8" fillId="2" borderId="21" xfId="0" applyFont="1" applyFill="1" applyBorder="1" applyAlignment="1" applyProtection="1">
      <alignment horizontal="center" vertical="center"/>
      <protection hidden="1"/>
    </xf>
    <xf numFmtId="1" fontId="8" fillId="2" borderId="21" xfId="0" applyNumberFormat="1" applyFont="1" applyFill="1" applyBorder="1" applyAlignment="1" applyProtection="1">
      <alignment horizontal="center" vertical="center"/>
      <protection hidden="1"/>
    </xf>
    <xf numFmtId="0" fontId="8" fillId="2" borderId="30" xfId="0" applyFont="1" applyFill="1" applyBorder="1" applyAlignment="1" applyProtection="1">
      <alignment horizontal="center" vertical="center"/>
      <protection hidden="1"/>
    </xf>
    <xf numFmtId="1" fontId="25" fillId="0" borderId="21" xfId="0" applyNumberFormat="1" applyFont="1" applyFill="1" applyBorder="1" applyAlignment="1" applyProtection="1">
      <alignment horizontal="center" vertical="center"/>
      <protection hidden="1"/>
    </xf>
    <xf numFmtId="0" fontId="25" fillId="0" borderId="21" xfId="0" applyFont="1" applyFill="1" applyBorder="1" applyAlignment="1" applyProtection="1">
      <alignment horizontal="center" vertical="center"/>
      <protection hidden="1"/>
    </xf>
    <xf numFmtId="0" fontId="25" fillId="0" borderId="30" xfId="0" applyFont="1" applyFill="1" applyBorder="1" applyAlignment="1" applyProtection="1">
      <alignment horizontal="center" vertical="center"/>
      <protection hidden="1"/>
    </xf>
    <xf numFmtId="0" fontId="25" fillId="0" borderId="22" xfId="0" applyFont="1" applyFill="1" applyBorder="1" applyAlignment="1" applyProtection="1">
      <alignment horizontal="center" vertical="center"/>
      <protection hidden="1"/>
    </xf>
    <xf numFmtId="0" fontId="57" fillId="9" borderId="85" xfId="0" applyFont="1" applyFill="1" applyBorder="1" applyAlignment="1" applyProtection="1">
      <alignment horizontal="center" vertical="center" wrapText="1"/>
      <protection hidden="1"/>
    </xf>
    <xf numFmtId="0" fontId="11" fillId="0" borderId="17" xfId="0" applyFont="1" applyBorder="1" applyAlignment="1" applyProtection="1">
      <alignment horizontal="center" vertical="center" textRotation="90" wrapText="1"/>
      <protection hidden="1"/>
    </xf>
    <xf numFmtId="0" fontId="11" fillId="0" borderId="18" xfId="0" applyFont="1" applyBorder="1" applyAlignment="1" applyProtection="1">
      <alignment horizontal="center" vertical="center" textRotation="90" wrapText="1"/>
      <protection hidden="1"/>
    </xf>
    <xf numFmtId="0" fontId="11" fillId="0" borderId="19" xfId="0" applyFont="1" applyBorder="1" applyAlignment="1" applyProtection="1">
      <alignment horizontal="center" vertical="center" textRotation="90" wrapText="1"/>
      <protection hidden="1"/>
    </xf>
    <xf numFmtId="0" fontId="10" fillId="0" borderId="9" xfId="0" applyFont="1" applyBorder="1" applyAlignment="1" applyProtection="1">
      <alignment horizontal="center" vertical="center" wrapText="1"/>
      <protection hidden="1"/>
    </xf>
    <xf numFmtId="0" fontId="10" fillId="0" borderId="11" xfId="0" applyFont="1" applyBorder="1" applyAlignment="1" applyProtection="1">
      <alignment horizontal="center" vertical="center" wrapText="1"/>
      <protection hidden="1"/>
    </xf>
    <xf numFmtId="0" fontId="10" fillId="0" borderId="12" xfId="0" applyFont="1" applyBorder="1" applyAlignment="1" applyProtection="1">
      <alignment horizontal="center" vertical="center" wrapText="1"/>
      <protection hidden="1"/>
    </xf>
    <xf numFmtId="0" fontId="4" fillId="0" borderId="0" xfId="0" applyFont="1" applyBorder="1" applyAlignment="1" applyProtection="1">
      <alignment horizontal="center"/>
      <protection hidden="1"/>
    </xf>
    <xf numFmtId="0" fontId="6" fillId="7" borderId="55" xfId="0" applyFont="1" applyFill="1" applyBorder="1" applyProtection="1">
      <protection locked="0"/>
    </xf>
    <xf numFmtId="0" fontId="7" fillId="4" borderId="0" xfId="0" applyFont="1" applyFill="1" applyBorder="1" applyAlignment="1" applyProtection="1">
      <alignment horizontal="right" vertical="center"/>
      <protection hidden="1"/>
    </xf>
    <xf numFmtId="0" fontId="7" fillId="7" borderId="0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 applyProtection="1">
      <alignment horizontal="right" vertical="center"/>
      <protection hidden="1"/>
    </xf>
    <xf numFmtId="0" fontId="7" fillId="7" borderId="97" xfId="0" applyFont="1" applyFill="1" applyBorder="1" applyAlignment="1" applyProtection="1">
      <alignment horizontal="left" vertical="center" indent="1"/>
      <protection locked="0"/>
    </xf>
    <xf numFmtId="0" fontId="8" fillId="7" borderId="97" xfId="0" applyFont="1" applyFill="1" applyBorder="1" applyAlignment="1" applyProtection="1">
      <alignment horizontal="left" vertical="center" indent="1"/>
      <protection locked="0"/>
    </xf>
    <xf numFmtId="0" fontId="8" fillId="7" borderId="98" xfId="0" applyFont="1" applyFill="1" applyBorder="1" applyAlignment="1" applyProtection="1">
      <alignment horizontal="left" vertical="center" indent="1"/>
      <protection locked="0"/>
    </xf>
    <xf numFmtId="167" fontId="8" fillId="4" borderId="7" xfId="0" quotePrefix="1" applyNumberFormat="1" applyFont="1" applyFill="1" applyBorder="1" applyAlignment="1" applyProtection="1">
      <alignment vertical="center"/>
      <protection hidden="1"/>
    </xf>
    <xf numFmtId="167" fontId="68" fillId="0" borderId="7" xfId="0" applyNumberFormat="1" applyFont="1" applyBorder="1" applyProtection="1">
      <protection hidden="1"/>
    </xf>
    <xf numFmtId="167" fontId="8" fillId="4" borderId="7" xfId="0" quotePrefix="1" applyNumberFormat="1" applyFont="1" applyFill="1" applyBorder="1" applyAlignment="1" applyProtection="1">
      <alignment horizontal="center" vertical="center"/>
      <protection hidden="1"/>
    </xf>
    <xf numFmtId="0" fontId="0" fillId="13" borderId="0" xfId="0" applyFill="1" applyBorder="1" applyAlignment="1" applyProtection="1">
      <alignment horizontal="center"/>
      <protection hidden="1"/>
    </xf>
    <xf numFmtId="0" fontId="74" fillId="15" borderId="50" xfId="0" applyFont="1" applyFill="1" applyBorder="1" applyAlignment="1" applyProtection="1">
      <alignment horizontal="center" vertical="center" wrapText="1"/>
      <protection hidden="1"/>
    </xf>
    <xf numFmtId="0" fontId="61" fillId="15" borderId="50" xfId="0" applyFont="1" applyFill="1" applyBorder="1" applyAlignment="1" applyProtection="1">
      <alignment horizontal="center" vertical="center" textRotation="90" wrapText="1"/>
      <protection hidden="1"/>
    </xf>
    <xf numFmtId="0" fontId="78" fillId="15" borderId="50" xfId="0" applyFont="1" applyFill="1" applyBorder="1" applyAlignment="1" applyProtection="1">
      <alignment horizontal="center" vertical="center" wrapText="1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0" borderId="23" xfId="0" applyBorder="1" applyAlignment="1" applyProtection="1">
      <alignment horizontal="center"/>
      <protection hidden="1"/>
    </xf>
    <xf numFmtId="0" fontId="0" fillId="0" borderId="86" xfId="0" applyBorder="1" applyAlignment="1" applyProtection="1">
      <alignment horizontal="center"/>
      <protection hidden="1"/>
    </xf>
    <xf numFmtId="1" fontId="77" fillId="0" borderId="23" xfId="0" applyNumberFormat="1" applyFont="1" applyBorder="1" applyAlignment="1" applyProtection="1">
      <alignment horizontal="center"/>
      <protection hidden="1"/>
    </xf>
    <xf numFmtId="0" fontId="77" fillId="0" borderId="23" xfId="0" applyFont="1" applyBorder="1" applyAlignment="1" applyProtection="1">
      <alignment horizontal="center"/>
      <protection hidden="1"/>
    </xf>
    <xf numFmtId="0" fontId="77" fillId="0" borderId="44" xfId="0" applyFont="1" applyBorder="1" applyAlignment="1" applyProtection="1">
      <alignment horizontal="center"/>
      <protection hidden="1"/>
    </xf>
    <xf numFmtId="0" fontId="60" fillId="0" borderId="30" xfId="0" applyFont="1" applyBorder="1" applyAlignment="1" applyProtection="1">
      <alignment horizontal="center"/>
      <protection hidden="1"/>
    </xf>
    <xf numFmtId="0" fontId="60" fillId="0" borderId="23" xfId="0" applyFont="1" applyBorder="1" applyAlignment="1" applyProtection="1">
      <alignment horizontal="center"/>
      <protection hidden="1"/>
    </xf>
    <xf numFmtId="0" fontId="60" fillId="0" borderId="86" xfId="0" applyFont="1" applyBorder="1" applyAlignment="1" applyProtection="1">
      <alignment horizontal="center"/>
      <protection hidden="1"/>
    </xf>
    <xf numFmtId="1" fontId="77" fillId="0" borderId="87" xfId="0" applyNumberFormat="1" applyFont="1" applyBorder="1" applyAlignment="1" applyProtection="1">
      <alignment horizontal="center"/>
      <protection hidden="1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Border="1" applyAlignment="1" applyProtection="1">
      <alignment horizontal="center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 wrapText="1"/>
      <protection locked="0"/>
    </xf>
    <xf numFmtId="0" fontId="26" fillId="0" borderId="2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0" fillId="0" borderId="3" xfId="0" applyBorder="1" applyProtection="1">
      <protection hidden="1"/>
    </xf>
    <xf numFmtId="0" fontId="0" fillId="0" borderId="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6" xfId="0" applyBorder="1" applyProtection="1">
      <protection hidden="1"/>
    </xf>
    <xf numFmtId="0" fontId="8" fillId="2" borderId="26" xfId="0" applyFont="1" applyFill="1" applyBorder="1" applyAlignment="1" applyProtection="1">
      <alignment horizontal="center" vertical="center"/>
      <protection hidden="1"/>
    </xf>
    <xf numFmtId="1" fontId="8" fillId="2" borderId="26" xfId="0" applyNumberFormat="1" applyFont="1" applyFill="1" applyBorder="1" applyAlignment="1" applyProtection="1">
      <alignment horizontal="center" vertical="center"/>
      <protection hidden="1"/>
    </xf>
    <xf numFmtId="1" fontId="8" fillId="2" borderId="36" xfId="0" applyNumberFormat="1" applyFont="1" applyFill="1" applyBorder="1" applyAlignment="1" applyProtection="1">
      <alignment horizontal="center" vertical="center"/>
      <protection hidden="1"/>
    </xf>
    <xf numFmtId="1" fontId="8" fillId="2" borderId="27" xfId="0" applyNumberFormat="1" applyFont="1" applyFill="1" applyBorder="1" applyAlignment="1" applyProtection="1">
      <alignment horizontal="center" vertical="center"/>
      <protection hidden="1"/>
    </xf>
    <xf numFmtId="0" fontId="20" fillId="6" borderId="25" xfId="0" applyFont="1" applyFill="1" applyBorder="1" applyAlignment="1" applyProtection="1">
      <alignment horizontal="center" vertical="center"/>
      <protection hidden="1"/>
    </xf>
    <xf numFmtId="0" fontId="20" fillId="6" borderId="35" xfId="0" applyFont="1" applyFill="1" applyBorder="1" applyAlignment="1" applyProtection="1">
      <alignment horizontal="center" vertical="center"/>
      <protection hidden="1"/>
    </xf>
    <xf numFmtId="0" fontId="20" fillId="6" borderId="26" xfId="0" applyFont="1" applyFill="1" applyBorder="1" applyAlignment="1" applyProtection="1">
      <alignment horizontal="center" vertical="center"/>
      <protection hidden="1"/>
    </xf>
    <xf numFmtId="1" fontId="20" fillId="6" borderId="26" xfId="0" applyNumberFormat="1" applyFont="1" applyFill="1" applyBorder="1" applyAlignment="1" applyProtection="1">
      <alignment horizontal="center" vertical="center"/>
      <protection hidden="1"/>
    </xf>
    <xf numFmtId="0" fontId="20" fillId="6" borderId="36" xfId="0" applyFont="1" applyFill="1" applyBorder="1" applyAlignment="1" applyProtection="1">
      <alignment horizontal="center" vertical="center"/>
      <protection hidden="1"/>
    </xf>
    <xf numFmtId="0" fontId="25" fillId="0" borderId="31" xfId="0" applyFont="1" applyBorder="1" applyAlignment="1" applyProtection="1">
      <alignment horizontal="center" vertical="center" textRotation="90"/>
      <protection hidden="1"/>
    </xf>
    <xf numFmtId="0" fontId="25" fillId="0" borderId="0" xfId="0" applyFont="1" applyBorder="1" applyAlignment="1" applyProtection="1">
      <alignment horizontal="center" vertical="center" textRotation="90"/>
      <protection hidden="1"/>
    </xf>
    <xf numFmtId="0" fontId="25" fillId="0" borderId="32" xfId="0" applyFont="1" applyBorder="1" applyAlignment="1" applyProtection="1">
      <alignment horizontal="center" vertical="center" textRotation="90"/>
      <protection hidden="1"/>
    </xf>
    <xf numFmtId="0" fontId="25" fillId="0" borderId="33" xfId="0" applyFont="1" applyBorder="1" applyAlignment="1" applyProtection="1">
      <alignment horizontal="center" vertical="center" textRotation="90"/>
      <protection hidden="1"/>
    </xf>
    <xf numFmtId="0" fontId="25" fillId="0" borderId="43" xfId="0" applyFont="1" applyBorder="1" applyAlignment="1" applyProtection="1">
      <alignment horizontal="center" vertical="center" textRotation="90"/>
      <protection hidden="1"/>
    </xf>
    <xf numFmtId="0" fontId="25" fillId="0" borderId="34" xfId="0" applyFont="1" applyBorder="1" applyAlignment="1" applyProtection="1">
      <alignment horizontal="center" vertical="center" textRotation="90"/>
      <protection hidden="1"/>
    </xf>
    <xf numFmtId="0" fontId="25" fillId="0" borderId="38" xfId="0" applyFont="1" applyBorder="1" applyAlignment="1" applyProtection="1">
      <alignment horizontal="center" vertical="center"/>
      <protection hidden="1"/>
    </xf>
    <xf numFmtId="1" fontId="25" fillId="0" borderId="38" xfId="0" applyNumberFormat="1" applyFont="1" applyFill="1" applyBorder="1" applyAlignment="1" applyProtection="1">
      <alignment horizontal="center" vertical="center"/>
      <protection hidden="1"/>
    </xf>
    <xf numFmtId="0" fontId="25" fillId="0" borderId="38" xfId="0" applyFont="1" applyFill="1" applyBorder="1" applyAlignment="1" applyProtection="1">
      <alignment horizontal="center" vertical="center"/>
      <protection hidden="1"/>
    </xf>
    <xf numFmtId="0" fontId="25" fillId="0" borderId="33" xfId="0" applyFont="1" applyFill="1" applyBorder="1" applyAlignment="1" applyProtection="1">
      <alignment horizontal="center" vertical="center"/>
      <protection hidden="1"/>
    </xf>
    <xf numFmtId="1" fontId="77" fillId="0" borderId="30" xfId="0" applyNumberFormat="1" applyFont="1" applyBorder="1" applyAlignment="1" applyProtection="1">
      <alignment horizontal="center"/>
      <protection hidden="1"/>
    </xf>
    <xf numFmtId="1" fontId="77" fillId="0" borderId="44" xfId="0" applyNumberFormat="1" applyFont="1" applyBorder="1" applyAlignment="1" applyProtection="1">
      <alignment horizontal="center"/>
      <protection hidden="1"/>
    </xf>
    <xf numFmtId="0" fontId="0" fillId="13" borderId="82" xfId="0" applyFill="1" applyBorder="1" applyAlignment="1" applyProtection="1">
      <alignment horizontal="center"/>
      <protection hidden="1"/>
    </xf>
    <xf numFmtId="0" fontId="75" fillId="14" borderId="50" xfId="0" applyFont="1" applyFill="1" applyBorder="1" applyAlignment="1" applyProtection="1">
      <alignment horizontal="center" vertical="center" wrapText="1"/>
      <protection hidden="1"/>
    </xf>
    <xf numFmtId="0" fontId="75" fillId="14" borderId="51" xfId="0" applyFont="1" applyFill="1" applyBorder="1" applyAlignment="1" applyProtection="1">
      <alignment horizontal="center" vertical="center" wrapText="1"/>
      <protection hidden="1"/>
    </xf>
    <xf numFmtId="0" fontId="2" fillId="3" borderId="0" xfId="0" applyFont="1" applyFill="1" applyBorder="1" applyAlignment="1" applyProtection="1">
      <alignment horizontal="center" vertical="center" textRotation="90" wrapText="1"/>
      <protection hidden="1"/>
    </xf>
    <xf numFmtId="0" fontId="91" fillId="3" borderId="0" xfId="0" applyFont="1" applyFill="1" applyBorder="1" applyAlignment="1" applyProtection="1">
      <alignment horizontal="center" vertical="center" textRotation="90" wrapText="1"/>
      <protection hidden="1"/>
    </xf>
    <xf numFmtId="0" fontId="0" fillId="13" borderId="0" xfId="0" applyFill="1" applyAlignment="1">
      <alignment horizontal="center"/>
    </xf>
    <xf numFmtId="0" fontId="92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0" fontId="42" fillId="7" borderId="0" xfId="0" applyFont="1" applyFill="1" applyAlignment="1" applyProtection="1">
      <alignment horizontal="center" vertical="center"/>
      <protection locked="0"/>
    </xf>
    <xf numFmtId="0" fontId="5" fillId="10" borderId="5" xfId="0" applyFont="1" applyFill="1" applyBorder="1" applyAlignment="1" applyProtection="1">
      <alignment horizontal="justify" vertical="justify" wrapText="1"/>
      <protection locked="0"/>
    </xf>
    <xf numFmtId="0" fontId="88" fillId="0" borderId="0" xfId="0" applyFont="1" applyAlignment="1">
      <alignment horizontal="left" vertical="center"/>
    </xf>
    <xf numFmtId="0" fontId="88" fillId="0" borderId="0" xfId="0" applyFont="1" applyAlignment="1">
      <alignment horizontal="left"/>
    </xf>
    <xf numFmtId="167" fontId="8" fillId="0" borderId="3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8" fillId="0" borderId="32" xfId="0" applyFont="1" applyBorder="1" applyAlignment="1" applyProtection="1">
      <alignment horizontal="center" vertical="center" wrapText="1"/>
      <protection hidden="1"/>
    </xf>
    <xf numFmtId="0" fontId="7" fillId="0" borderId="33" xfId="0" applyFont="1" applyBorder="1" applyAlignment="1" applyProtection="1">
      <alignment horizontal="center" vertical="center" wrapText="1"/>
      <protection hidden="1"/>
    </xf>
    <xf numFmtId="0" fontId="7" fillId="0" borderId="43" xfId="0" applyFont="1" applyBorder="1" applyAlignment="1" applyProtection="1">
      <alignment horizontal="center" vertical="center" wrapText="1"/>
      <protection hidden="1"/>
    </xf>
    <xf numFmtId="0" fontId="7" fillId="0" borderId="34" xfId="0" applyFont="1" applyBorder="1" applyAlignment="1" applyProtection="1">
      <alignment horizontal="center" vertical="center" wrapText="1"/>
      <protection hidden="1"/>
    </xf>
    <xf numFmtId="0" fontId="7" fillId="0" borderId="68" xfId="0" applyFont="1" applyBorder="1" applyAlignment="1" applyProtection="1">
      <alignment horizontal="center" vertical="top" wrapText="1"/>
      <protection hidden="1"/>
    </xf>
    <xf numFmtId="0" fontId="7" fillId="0" borderId="38" xfId="0" applyFont="1" applyBorder="1" applyAlignment="1" applyProtection="1">
      <alignment horizontal="center" vertical="top" wrapText="1"/>
      <protection hidden="1"/>
    </xf>
    <xf numFmtId="0" fontId="54" fillId="10" borderId="15" xfId="0" applyFont="1" applyFill="1" applyBorder="1" applyAlignment="1" applyProtection="1">
      <alignment horizontal="center" wrapText="1"/>
      <protection locked="0"/>
    </xf>
    <xf numFmtId="0" fontId="54" fillId="10" borderId="68" xfId="0" applyFont="1" applyFill="1" applyBorder="1" applyAlignment="1" applyProtection="1">
      <alignment horizontal="center" wrapText="1"/>
      <protection locked="0"/>
    </xf>
    <xf numFmtId="0" fontId="84" fillId="10" borderId="21" xfId="0" applyFont="1" applyFill="1" applyBorder="1" applyAlignment="1" applyProtection="1">
      <alignment horizontal="center" vertical="center" wrapText="1"/>
      <protection locked="0"/>
    </xf>
    <xf numFmtId="0" fontId="84" fillId="0" borderId="21" xfId="0" applyFont="1" applyBorder="1" applyAlignment="1" applyProtection="1">
      <alignment horizontal="center" vertical="center" wrapText="1"/>
      <protection hidden="1"/>
    </xf>
    <xf numFmtId="0" fontId="7" fillId="0" borderId="22" xfId="0" applyFont="1" applyBorder="1" applyAlignment="1" applyProtection="1">
      <alignment horizontal="center" vertical="center" wrapText="1"/>
      <protection hidden="1"/>
    </xf>
    <xf numFmtId="0" fontId="90" fillId="0" borderId="0" xfId="0" applyFont="1" applyAlignment="1">
      <alignment horizontal="center" wrapText="1"/>
    </xf>
    <xf numFmtId="0" fontId="88" fillId="10" borderId="0" xfId="0" applyFont="1" applyFill="1" applyAlignment="1" applyProtection="1">
      <alignment horizontal="left"/>
      <protection locked="0"/>
    </xf>
    <xf numFmtId="0" fontId="80" fillId="2" borderId="90" xfId="0" applyFont="1" applyFill="1" applyBorder="1" applyAlignment="1" applyProtection="1">
      <alignment horizontal="center" vertical="center"/>
      <protection locked="0"/>
    </xf>
    <xf numFmtId="0" fontId="80" fillId="2" borderId="7" xfId="0" applyFont="1" applyFill="1" applyBorder="1" applyAlignment="1" applyProtection="1">
      <alignment horizontal="center" vertical="center"/>
      <protection locked="0"/>
    </xf>
    <xf numFmtId="0" fontId="80" fillId="2" borderId="8" xfId="0" applyFont="1" applyFill="1" applyBorder="1" applyAlignment="1" applyProtection="1">
      <alignment horizontal="center" vertical="center"/>
      <protection locked="0"/>
    </xf>
    <xf numFmtId="0" fontId="81" fillId="0" borderId="92" xfId="0" applyFont="1" applyBorder="1" applyAlignment="1" applyProtection="1">
      <alignment horizontal="center"/>
      <protection hidden="1"/>
    </xf>
    <xf numFmtId="0" fontId="81" fillId="0" borderId="1" xfId="0" applyFont="1" applyBorder="1" applyAlignment="1" applyProtection="1">
      <alignment horizontal="center"/>
      <protection hidden="1"/>
    </xf>
    <xf numFmtId="0" fontId="81" fillId="0" borderId="93" xfId="0" applyFont="1" applyBorder="1" applyAlignment="1" applyProtection="1">
      <alignment horizontal="center"/>
      <protection hidden="1"/>
    </xf>
    <xf numFmtId="0" fontId="82" fillId="10" borderId="48" xfId="0" applyFont="1" applyFill="1" applyBorder="1" applyAlignment="1" applyProtection="1">
      <alignment horizontal="justify" vertical="justify" wrapText="1"/>
      <protection locked="0"/>
    </xf>
    <xf numFmtId="0" fontId="82" fillId="10" borderId="43" xfId="0" applyFont="1" applyFill="1" applyBorder="1" applyAlignment="1" applyProtection="1">
      <alignment horizontal="justify" vertical="justify" wrapText="1"/>
      <protection locked="0"/>
    </xf>
    <xf numFmtId="0" fontId="82" fillId="10" borderId="0" xfId="0" applyFont="1" applyFill="1" applyBorder="1" applyAlignment="1" applyProtection="1">
      <alignment horizontal="justify" vertical="justify" wrapText="1"/>
      <protection locked="0"/>
    </xf>
    <xf numFmtId="0" fontId="82" fillId="10" borderId="45" xfId="0" applyFont="1" applyFill="1" applyBorder="1" applyAlignment="1" applyProtection="1">
      <alignment horizontal="justify" vertical="justify" wrapText="1"/>
      <protection locked="0"/>
    </xf>
    <xf numFmtId="0" fontId="17" fillId="0" borderId="20" xfId="0" applyFont="1" applyBorder="1" applyAlignment="1" applyProtection="1">
      <alignment horizontal="center" vertical="center" wrapText="1"/>
      <protection hidden="1"/>
    </xf>
    <xf numFmtId="0" fontId="7" fillId="0" borderId="21" xfId="0" applyFont="1" applyBorder="1" applyAlignment="1" applyProtection="1">
      <alignment horizontal="center" vertical="center" wrapText="1"/>
      <protection hidden="1"/>
    </xf>
    <xf numFmtId="0" fontId="7" fillId="0" borderId="42" xfId="0" applyFont="1" applyBorder="1" applyAlignment="1" applyProtection="1">
      <alignment horizontal="center" vertical="center" wrapText="1"/>
      <protection hidden="1"/>
    </xf>
    <xf numFmtId="0" fontId="7" fillId="0" borderId="18" xfId="0" applyFont="1" applyBorder="1" applyAlignment="1" applyProtection="1">
      <alignment horizontal="center" vertical="center" wrapText="1"/>
      <protection hidden="1"/>
    </xf>
    <xf numFmtId="0" fontId="7" fillId="0" borderId="46" xfId="0" applyFont="1" applyBorder="1" applyAlignment="1" applyProtection="1">
      <alignment horizontal="center" vertical="center" wrapText="1"/>
      <protection hidden="1"/>
    </xf>
    <xf numFmtId="0" fontId="84" fillId="10" borderId="91" xfId="0" applyFont="1" applyFill="1" applyBorder="1" applyAlignment="1" applyProtection="1">
      <alignment horizontal="center" vertical="center" wrapText="1"/>
      <protection locked="0"/>
    </xf>
    <xf numFmtId="0" fontId="47" fillId="0" borderId="67" xfId="0" applyFont="1" applyBorder="1" applyAlignment="1">
      <alignment horizontal="center" vertical="top" wrapText="1"/>
    </xf>
    <xf numFmtId="0" fontId="47" fillId="0" borderId="104" xfId="0" applyFont="1" applyBorder="1" applyAlignment="1">
      <alignment horizontal="center" vertical="top" wrapText="1"/>
    </xf>
    <xf numFmtId="0" fontId="47" fillId="4" borderId="67" xfId="1" applyFont="1" applyFill="1" applyBorder="1" applyAlignment="1" applyProtection="1">
      <alignment horizontal="center" vertical="top" wrapText="1"/>
      <protection hidden="1"/>
    </xf>
    <xf numFmtId="0" fontId="47" fillId="4" borderId="104" xfId="1" applyFont="1" applyFill="1" applyBorder="1" applyAlignment="1" applyProtection="1">
      <alignment horizontal="center" vertical="top" wrapText="1"/>
      <protection hidden="1"/>
    </xf>
    <xf numFmtId="0" fontId="5" fillId="10" borderId="0" xfId="0" applyFont="1" applyFill="1" applyBorder="1" applyAlignment="1" applyProtection="1">
      <alignment horizontal="justify" vertical="justify" wrapText="1"/>
      <protection locked="0"/>
    </xf>
    <xf numFmtId="0" fontId="5" fillId="0" borderId="0" xfId="0" applyFont="1" applyBorder="1" applyAlignment="1">
      <alignment horizontal="left"/>
    </xf>
    <xf numFmtId="0" fontId="47" fillId="0" borderId="69" xfId="0" applyFont="1" applyBorder="1" applyAlignment="1">
      <alignment horizontal="center" vertical="top" wrapText="1"/>
    </xf>
    <xf numFmtId="0" fontId="47" fillId="0" borderId="105" xfId="0" applyFont="1" applyBorder="1" applyAlignment="1">
      <alignment horizontal="center" vertical="top" wrapText="1"/>
    </xf>
    <xf numFmtId="0" fontId="47" fillId="0" borderId="9" xfId="0" applyFont="1" applyBorder="1" applyAlignment="1">
      <alignment horizontal="center" vertical="top" wrapText="1"/>
    </xf>
    <xf numFmtId="0" fontId="47" fillId="0" borderId="25" xfId="0" applyFont="1" applyBorder="1" applyAlignment="1">
      <alignment horizontal="center" vertical="top" wrapText="1"/>
    </xf>
    <xf numFmtId="0" fontId="47" fillId="0" borderId="11" xfId="0" applyFont="1" applyBorder="1" applyAlignment="1">
      <alignment horizontal="center" vertical="top" wrapText="1"/>
    </xf>
    <xf numFmtId="0" fontId="47" fillId="0" borderId="26" xfId="0" applyFont="1" applyBorder="1" applyAlignment="1">
      <alignment horizontal="center" vertical="top" wrapText="1"/>
    </xf>
    <xf numFmtId="0" fontId="93" fillId="0" borderId="11" xfId="0" applyFont="1" applyBorder="1" applyAlignment="1">
      <alignment horizontal="center" vertical="top" wrapText="1"/>
    </xf>
    <xf numFmtId="0" fontId="49" fillId="0" borderId="41" xfId="0" applyFont="1" applyBorder="1" applyAlignment="1" applyProtection="1">
      <alignment horizontal="center" vertical="top" wrapText="1"/>
      <protection hidden="1"/>
    </xf>
    <xf numFmtId="0" fontId="49" fillId="0" borderId="29" xfId="0" applyFont="1" applyBorder="1" applyAlignment="1" applyProtection="1">
      <alignment horizontal="center" vertical="top" wrapText="1"/>
      <protection hidden="1"/>
    </xf>
    <xf numFmtId="0" fontId="33" fillId="0" borderId="41" xfId="0" applyFont="1" applyBorder="1" applyAlignment="1" applyProtection="1">
      <alignment horizontal="center" vertical="center" wrapText="1"/>
      <protection hidden="1"/>
    </xf>
    <xf numFmtId="0" fontId="33" fillId="0" borderId="29" xfId="0" applyFont="1" applyBorder="1" applyAlignment="1" applyProtection="1">
      <alignment horizontal="center" vertical="center" wrapText="1"/>
      <protection hidden="1"/>
    </xf>
    <xf numFmtId="0" fontId="92" fillId="0" borderId="0" xfId="0" applyFont="1" applyAlignment="1" applyProtection="1">
      <alignment horizontal="center"/>
      <protection hidden="1"/>
    </xf>
    <xf numFmtId="0" fontId="43" fillId="7" borderId="0" xfId="0" applyFont="1" applyFill="1" applyAlignment="1" applyProtection="1">
      <alignment horizontal="center" vertical="center"/>
      <protection locked="0"/>
    </xf>
    <xf numFmtId="0" fontId="44" fillId="0" borderId="0" xfId="0" applyFont="1" applyAlignment="1" applyProtection="1">
      <alignment horizontal="center"/>
      <protection hidden="1"/>
    </xf>
    <xf numFmtId="0" fontId="47" fillId="0" borderId="5" xfId="0" applyFont="1" applyBorder="1" applyAlignment="1" applyProtection="1">
      <alignment horizontal="justify" vertical="justify" wrapText="1"/>
      <protection locked="0"/>
    </xf>
    <xf numFmtId="1" fontId="16" fillId="4" borderId="3" xfId="0" applyNumberFormat="1" applyFont="1" applyFill="1" applyBorder="1" applyAlignment="1" applyProtection="1">
      <alignment horizontal="center" vertical="center"/>
      <protection hidden="1"/>
    </xf>
    <xf numFmtId="1" fontId="16" fillId="4" borderId="47" xfId="0" applyNumberFormat="1" applyFont="1" applyFill="1" applyBorder="1" applyAlignment="1" applyProtection="1">
      <alignment horizontal="center" vertical="center"/>
      <protection hidden="1"/>
    </xf>
    <xf numFmtId="1" fontId="16" fillId="4" borderId="66" xfId="0" applyNumberFormat="1" applyFont="1" applyFill="1" applyBorder="1" applyAlignment="1" applyProtection="1">
      <alignment horizontal="center" vertical="center"/>
      <protection locked="0"/>
    </xf>
    <xf numFmtId="1" fontId="16" fillId="4" borderId="68" xfId="0" applyNumberFormat="1" applyFont="1" applyFill="1" applyBorder="1" applyAlignment="1" applyProtection="1">
      <alignment horizontal="center" vertical="center"/>
      <protection locked="0"/>
    </xf>
    <xf numFmtId="1" fontId="16" fillId="4" borderId="13" xfId="0" applyNumberFormat="1" applyFont="1" applyFill="1" applyBorder="1" applyAlignment="1" applyProtection="1">
      <alignment horizontal="center" vertical="center"/>
      <protection locked="0"/>
    </xf>
    <xf numFmtId="1" fontId="16" fillId="4" borderId="15" xfId="0" applyNumberFormat="1" applyFont="1" applyFill="1" applyBorder="1" applyAlignment="1" applyProtection="1">
      <alignment horizontal="center" vertical="center"/>
      <protection locked="0"/>
    </xf>
    <xf numFmtId="1" fontId="11" fillId="4" borderId="3" xfId="0" applyNumberFormat="1" applyFont="1" applyFill="1" applyBorder="1" applyAlignment="1" applyProtection="1">
      <alignment horizontal="center" vertical="center" wrapText="1"/>
      <protection locked="0"/>
    </xf>
    <xf numFmtId="1" fontId="11" fillId="4" borderId="45" xfId="0" applyNumberFormat="1" applyFont="1" applyFill="1" applyBorder="1" applyAlignment="1" applyProtection="1">
      <alignment horizontal="center" vertical="center" wrapText="1"/>
      <protection locked="0"/>
    </xf>
    <xf numFmtId="1" fontId="11" fillId="4" borderId="45" xfId="0" applyNumberFormat="1" applyFont="1" applyFill="1" applyBorder="1" applyAlignment="1" applyProtection="1">
      <alignment horizontal="center" vertical="center" wrapText="1"/>
      <protection locked="0"/>
    </xf>
    <xf numFmtId="1" fontId="11" fillId="4" borderId="47" xfId="0" applyNumberFormat="1" applyFont="1" applyFill="1" applyBorder="1" applyAlignment="1" applyProtection="1">
      <alignment horizontal="center" vertical="center"/>
      <protection locked="0"/>
    </xf>
    <xf numFmtId="0" fontId="1" fillId="2" borderId="9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3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/>
      <protection hidden="1"/>
    </xf>
    <xf numFmtId="0" fontId="5" fillId="7" borderId="106" xfId="0" applyFont="1" applyFill="1" applyBorder="1" applyAlignment="1" applyProtection="1">
      <alignment horizontal="justify" vertical="justify" wrapText="1"/>
      <protection locked="0"/>
    </xf>
    <xf numFmtId="0" fontId="6" fillId="7" borderId="107" xfId="0" applyFont="1" applyFill="1" applyBorder="1" applyProtection="1">
      <protection locked="0"/>
    </xf>
    <xf numFmtId="0" fontId="53" fillId="4" borderId="90" xfId="0" applyFont="1" applyFill="1" applyBorder="1" applyAlignment="1" applyProtection="1">
      <alignment horizontal="right" vertical="center" wrapText="1"/>
      <protection hidden="1"/>
    </xf>
    <xf numFmtId="0" fontId="0" fillId="0" borderId="7" xfId="0" applyBorder="1" applyProtection="1">
      <protection hidden="1"/>
    </xf>
    <xf numFmtId="0" fontId="54" fillId="4" borderId="7" xfId="0" applyFont="1" applyFill="1" applyBorder="1" applyAlignment="1" applyProtection="1">
      <alignment horizontal="right" vertical="center"/>
      <protection hidden="1"/>
    </xf>
    <xf numFmtId="0" fontId="9" fillId="4" borderId="7" xfId="0" applyFont="1" applyFill="1" applyBorder="1" applyAlignment="1" applyProtection="1">
      <alignment horizontal="center" vertical="center"/>
      <protection hidden="1"/>
    </xf>
    <xf numFmtId="0" fontId="54" fillId="4" borderId="7" xfId="0" applyFont="1" applyFill="1" applyBorder="1" applyAlignment="1" applyProtection="1">
      <alignment vertical="center"/>
      <protection hidden="1"/>
    </xf>
    <xf numFmtId="0" fontId="72" fillId="4" borderId="7" xfId="0" applyFont="1" applyFill="1" applyBorder="1" applyAlignment="1" applyProtection="1">
      <alignment vertical="center"/>
      <protection hidden="1"/>
    </xf>
    <xf numFmtId="0" fontId="79" fillId="4" borderId="7" xfId="0" applyNumberFormat="1" applyFont="1" applyFill="1" applyBorder="1" applyAlignment="1" applyProtection="1">
      <alignment vertical="center"/>
      <protection hidden="1"/>
    </xf>
    <xf numFmtId="9" fontId="51" fillId="8" borderId="108" xfId="0" applyNumberFormat="1" applyFont="1" applyFill="1" applyBorder="1" applyAlignment="1" applyProtection="1">
      <alignment vertical="center"/>
      <protection hidden="1"/>
    </xf>
    <xf numFmtId="9" fontId="51" fillId="15" borderId="109" xfId="0" applyNumberFormat="1" applyFont="1" applyFill="1" applyBorder="1" applyAlignment="1" applyProtection="1">
      <alignment horizontal="center" vertical="center"/>
      <protection locked="0" hidden="1"/>
    </xf>
    <xf numFmtId="0" fontId="10" fillId="0" borderId="110" xfId="0" applyFont="1" applyBorder="1" applyAlignment="1" applyProtection="1">
      <alignment horizontal="center" vertical="center" textRotation="90" wrapText="1"/>
      <protection hidden="1"/>
    </xf>
    <xf numFmtId="0" fontId="10" fillId="0" borderId="111" xfId="0" applyFont="1" applyBorder="1" applyAlignment="1" applyProtection="1">
      <alignment horizontal="center" vertical="center" wrapText="1"/>
      <protection hidden="1"/>
    </xf>
    <xf numFmtId="0" fontId="10" fillId="0" borderId="112" xfId="0" applyFont="1" applyBorder="1" applyAlignment="1" applyProtection="1">
      <alignment horizontal="center" vertical="center"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11" fillId="0" borderId="80" xfId="0" applyFont="1" applyBorder="1" applyAlignment="1" applyProtection="1">
      <alignment horizontal="center" vertical="center" textRotation="90" wrapText="1"/>
      <protection hidden="1"/>
    </xf>
    <xf numFmtId="0" fontId="11" fillId="0" borderId="113" xfId="0" applyFont="1" applyBorder="1" applyAlignment="1" applyProtection="1">
      <alignment horizontal="center" vertical="center" textRotation="90" wrapText="1"/>
      <protection hidden="1"/>
    </xf>
    <xf numFmtId="0" fontId="11" fillId="0" borderId="114" xfId="0" applyFont="1" applyBorder="1" applyAlignment="1" applyProtection="1">
      <alignment horizontal="center" vertical="center" textRotation="90" wrapText="1"/>
      <protection hidden="1"/>
    </xf>
    <xf numFmtId="0" fontId="10" fillId="0" borderId="115" xfId="0" applyFont="1" applyBorder="1" applyAlignment="1" applyProtection="1">
      <alignment horizontal="center" vertical="center" textRotation="90" wrapText="1"/>
      <protection hidden="1"/>
    </xf>
    <xf numFmtId="0" fontId="0" fillId="0" borderId="0" xfId="0" applyBorder="1" applyProtection="1">
      <protection hidden="1"/>
    </xf>
    <xf numFmtId="49" fontId="18" fillId="2" borderId="116" xfId="0" applyNumberFormat="1" applyFont="1" applyFill="1" applyBorder="1" applyAlignment="1" applyProtection="1">
      <alignment horizontal="center" vertical="center"/>
      <protection hidden="1"/>
    </xf>
    <xf numFmtId="49" fontId="18" fillId="2" borderId="97" xfId="0" applyNumberFormat="1" applyFont="1" applyFill="1" applyBorder="1" applyAlignment="1" applyProtection="1">
      <alignment horizontal="center" vertical="center"/>
      <protection hidden="1"/>
    </xf>
    <xf numFmtId="49" fontId="18" fillId="2" borderId="117" xfId="0" applyNumberFormat="1" applyFont="1" applyFill="1" applyBorder="1" applyAlignment="1" applyProtection="1">
      <alignment horizontal="center" vertical="center"/>
      <protection hidden="1"/>
    </xf>
    <xf numFmtId="49" fontId="18" fillId="2" borderId="97" xfId="0" applyNumberFormat="1" applyFont="1" applyFill="1" applyBorder="1" applyAlignment="1" applyProtection="1">
      <alignment horizontal="center" vertical="center"/>
      <protection hidden="1"/>
    </xf>
    <xf numFmtId="1" fontId="13" fillId="2" borderId="118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119" xfId="0" applyNumberFormat="1" applyFont="1" applyFill="1" applyBorder="1" applyAlignment="1" applyProtection="1">
      <alignment horizontal="center" vertical="center" textRotation="90"/>
      <protection hidden="1"/>
    </xf>
    <xf numFmtId="1" fontId="17" fillId="2" borderId="120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116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120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98" xfId="0" applyNumberFormat="1" applyFont="1" applyFill="1" applyBorder="1" applyAlignment="1" applyProtection="1">
      <alignment horizontal="center" vertical="center" textRotation="90"/>
      <protection hidden="1"/>
    </xf>
    <xf numFmtId="1" fontId="13" fillId="2" borderId="121" xfId="0" applyNumberFormat="1" applyFont="1" applyFill="1" applyBorder="1" applyAlignment="1" applyProtection="1">
      <alignment horizontal="center" vertical="center" textRotation="90"/>
      <protection hidden="1"/>
    </xf>
    <xf numFmtId="1" fontId="19" fillId="2" borderId="122" xfId="0" applyNumberFormat="1" applyFont="1" applyFill="1" applyBorder="1" applyAlignment="1" applyProtection="1">
      <alignment horizontal="center" vertical="center" textRotation="90"/>
      <protection hidden="1"/>
    </xf>
    <xf numFmtId="1" fontId="19" fillId="5" borderId="121" xfId="0" applyNumberFormat="1" applyFont="1" applyFill="1" applyBorder="1" applyAlignment="1" applyProtection="1">
      <alignment horizontal="center" vertical="center" textRotation="90"/>
      <protection hidden="1"/>
    </xf>
    <xf numFmtId="0" fontId="10" fillId="0" borderId="41" xfId="0" applyFont="1" applyBorder="1" applyAlignment="1" applyProtection="1">
      <alignment horizontal="center" vertical="center" wrapText="1"/>
      <protection hidden="1"/>
    </xf>
    <xf numFmtId="0" fontId="10" fillId="0" borderId="29" xfId="0" applyFont="1" applyBorder="1" applyAlignment="1" applyProtection="1">
      <alignment horizontal="center" vertical="center" wrapText="1"/>
      <protection hidden="1"/>
    </xf>
  </cellXfs>
  <cellStyles count="2">
    <cellStyle name="Hyperlink" xfId="1" builtinId="8"/>
    <cellStyle name="Normal" xfId="0" builtinId="0"/>
  </cellStyles>
  <dxfs count="5">
    <dxf>
      <font>
        <color theme="0"/>
      </font>
    </dxf>
    <dxf>
      <fill>
        <patternFill>
          <bgColor rgb="FFFFFF00"/>
        </patternFill>
      </fill>
    </dxf>
    <dxf>
      <font>
        <sz val="10"/>
        <color rgb="FFFFFFFF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8</xdr:row>
      <xdr:rowOff>428625</xdr:rowOff>
    </xdr:from>
    <xdr:to>
      <xdr:col>13</xdr:col>
      <xdr:colOff>0</xdr:colOff>
      <xdr:row>10</xdr:row>
      <xdr:rowOff>37991</xdr:rowOff>
    </xdr:to>
    <xdr:pic>
      <xdr:nvPicPr>
        <xdr:cNvPr id="2" name="Picture 1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67775" y="4343400"/>
          <a:ext cx="2266950" cy="876191"/>
        </a:xfrm>
        <a:prstGeom prst="rect">
          <a:avLst/>
        </a:prstGeom>
      </xdr:spPr>
    </xdr:pic>
    <xdr:clientData/>
  </xdr:twoCellAnchor>
  <xdr:twoCellAnchor editAs="oneCell">
    <xdr:from>
      <xdr:col>13</xdr:col>
      <xdr:colOff>9525</xdr:colOff>
      <xdr:row>13</xdr:row>
      <xdr:rowOff>85725</xdr:rowOff>
    </xdr:from>
    <xdr:to>
      <xdr:col>13</xdr:col>
      <xdr:colOff>9525</xdr:colOff>
      <xdr:row>16</xdr:row>
      <xdr:rowOff>47516</xdr:rowOff>
    </xdr:to>
    <xdr:pic>
      <xdr:nvPicPr>
        <xdr:cNvPr id="3" name="Picture 2" descr="ddo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77300" y="5943600"/>
          <a:ext cx="2266950" cy="8761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XFD75"/>
  <sheetViews>
    <sheetView showGridLines="0" tabSelected="1" topLeftCell="P1" zoomScaleSheetLayoutView="85" workbookViewId="0">
      <selection activeCell="P10" sqref="P10"/>
    </sheetView>
  </sheetViews>
  <sheetFormatPr defaultColWidth="0" defaultRowHeight="15" zeroHeight="1"/>
  <cols>
    <col min="1" max="1" width="9.140625" style="19" hidden="1" customWidth="1"/>
    <col min="2" max="5" width="6.7109375" style="20" customWidth="1"/>
    <col min="6" max="6" width="3.42578125" style="20" customWidth="1"/>
    <col min="7" max="7" width="2" style="20" hidden="1" customWidth="1"/>
    <col min="8" max="8" width="3.28515625" style="20" customWidth="1"/>
    <col min="9" max="9" width="2.28515625" style="20" customWidth="1"/>
    <col min="10" max="10" width="2.85546875" style="20" customWidth="1"/>
    <col min="11" max="11" width="6" style="20" hidden="1" customWidth="1"/>
    <col min="12" max="12" width="5.28515625" style="20" hidden="1" customWidth="1"/>
    <col min="13" max="13" width="6.7109375" style="20" hidden="1" customWidth="1"/>
    <col min="14" max="37" width="6.5703125" style="20" customWidth="1"/>
    <col min="38" max="39" width="6.5703125" style="150" customWidth="1"/>
    <col min="40" max="42" width="6.5703125" style="20" customWidth="1"/>
    <col min="43" max="43" width="8.42578125" style="20" customWidth="1"/>
    <col min="44" max="44" width="17.85546875" style="20" customWidth="1"/>
    <col min="45" max="45" width="2.28515625" style="20" customWidth="1"/>
    <col min="46" max="47" width="7" style="20" customWidth="1"/>
    <col min="48" max="48" width="15.5703125" style="20" customWidth="1"/>
    <col min="49" max="49" width="2.28515625" style="20" customWidth="1"/>
    <col min="50" max="51" width="11.5703125" style="79" hidden="1" customWidth="1"/>
    <col min="52" max="52" width="11.5703125" style="20" hidden="1" customWidth="1"/>
    <col min="53" max="53" width="11.5703125" style="123" hidden="1" customWidth="1"/>
    <col min="54" max="16384" width="11.5703125" style="20" hidden="1"/>
  </cols>
  <sheetData>
    <row r="1" spans="1:69" s="148" customFormat="1" ht="24" customHeight="1">
      <c r="A1" s="19"/>
      <c r="B1" s="152" t="s">
        <v>120</v>
      </c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79"/>
      <c r="AY1" s="79"/>
      <c r="BA1" s="149"/>
    </row>
    <row r="2" spans="1:69" ht="33" customHeight="1">
      <c r="B2" s="208" t="s">
        <v>59</v>
      </c>
      <c r="C2" s="208"/>
      <c r="D2" s="208"/>
      <c r="E2" s="209" t="s">
        <v>119</v>
      </c>
      <c r="F2" s="209"/>
      <c r="G2" s="209"/>
      <c r="H2" s="209"/>
      <c r="I2" s="196" t="s">
        <v>77</v>
      </c>
      <c r="J2" s="196"/>
      <c r="K2" s="196"/>
      <c r="L2" s="196"/>
      <c r="M2" s="196"/>
      <c r="N2" s="196"/>
      <c r="O2" s="196"/>
      <c r="P2" s="196"/>
      <c r="Q2" s="197" t="s">
        <v>78</v>
      </c>
      <c r="R2" s="197"/>
      <c r="S2" s="197"/>
      <c r="T2" s="197"/>
      <c r="U2" s="191" t="s">
        <v>76</v>
      </c>
      <c r="V2" s="191"/>
      <c r="W2" s="198">
        <v>43864</v>
      </c>
      <c r="X2" s="198"/>
      <c r="Y2" s="198"/>
      <c r="Z2" s="198"/>
      <c r="AA2" s="82" t="s">
        <v>55</v>
      </c>
      <c r="AB2" s="198">
        <v>44865</v>
      </c>
      <c r="AC2" s="198"/>
      <c r="AD2" s="198"/>
      <c r="AE2" s="192" t="s">
        <v>79</v>
      </c>
      <c r="AF2" s="192"/>
      <c r="AG2" s="192"/>
      <c r="AH2" s="192"/>
      <c r="AI2" s="199">
        <v>1100</v>
      </c>
      <c r="AJ2" s="199"/>
      <c r="AK2" s="192" t="s">
        <v>80</v>
      </c>
      <c r="AL2" s="192"/>
      <c r="AM2" s="192"/>
      <c r="AN2" s="192"/>
      <c r="AO2" s="192"/>
      <c r="AP2" s="192"/>
      <c r="AQ2" s="192"/>
      <c r="AR2" s="130">
        <v>2100</v>
      </c>
      <c r="AS2" s="180"/>
      <c r="AT2" s="180"/>
      <c r="AU2" s="180"/>
      <c r="AV2" s="180"/>
      <c r="AW2" s="180"/>
      <c r="AX2" s="78"/>
      <c r="AY2" s="78"/>
    </row>
    <row r="3" spans="1:69" ht="28.5" customHeight="1" thickBot="1">
      <c r="B3" s="208" t="s">
        <v>84</v>
      </c>
      <c r="C3" s="208"/>
      <c r="D3" s="208"/>
      <c r="E3" s="202">
        <v>0.1</v>
      </c>
      <c r="F3" s="203"/>
      <c r="G3" s="203"/>
      <c r="H3" s="203"/>
      <c r="I3" s="220" t="s">
        <v>62</v>
      </c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180"/>
      <c r="AT3" s="180"/>
      <c r="AU3" s="180"/>
      <c r="AV3" s="180"/>
      <c r="AW3" s="180"/>
      <c r="AX3" s="78"/>
      <c r="AY3" s="78"/>
    </row>
    <row r="4" spans="1:69" ht="39" customHeight="1">
      <c r="B4" s="204" t="s">
        <v>64</v>
      </c>
      <c r="C4" s="204"/>
      <c r="D4" s="204"/>
      <c r="E4" s="205"/>
      <c r="F4" s="358" t="s">
        <v>70</v>
      </c>
      <c r="G4" s="359"/>
      <c r="H4" s="359"/>
      <c r="I4" s="359"/>
      <c r="J4" s="359"/>
      <c r="K4" s="359"/>
      <c r="L4" s="359"/>
      <c r="M4" s="359"/>
      <c r="N4" s="359"/>
      <c r="O4" s="359"/>
      <c r="P4" s="359"/>
      <c r="Q4" s="359"/>
      <c r="R4" s="359"/>
      <c r="S4" s="359"/>
      <c r="T4" s="359"/>
      <c r="U4" s="359"/>
      <c r="V4" s="359"/>
      <c r="W4" s="359"/>
      <c r="X4" s="359"/>
      <c r="Y4" s="359"/>
      <c r="Z4" s="359"/>
      <c r="AA4" s="359"/>
      <c r="AB4" s="359"/>
      <c r="AC4" s="359"/>
      <c r="AD4" s="359"/>
      <c r="AE4" s="359"/>
      <c r="AF4" s="359"/>
      <c r="AG4" s="359"/>
      <c r="AH4" s="359"/>
      <c r="AI4" s="359"/>
      <c r="AJ4" s="359"/>
      <c r="AK4" s="359"/>
      <c r="AL4" s="359"/>
      <c r="AM4" s="359"/>
      <c r="AN4" s="359"/>
      <c r="AO4" s="359"/>
      <c r="AP4" s="359"/>
      <c r="AQ4" s="359"/>
      <c r="AR4" s="360"/>
      <c r="AS4" s="180"/>
      <c r="AT4" s="180"/>
      <c r="AU4" s="180"/>
      <c r="AV4" s="180"/>
      <c r="AW4" s="180"/>
      <c r="AX4" s="78"/>
      <c r="AY4" s="78"/>
    </row>
    <row r="5" spans="1:69" ht="25.5" customHeight="1">
      <c r="B5" s="206">
        <v>26500</v>
      </c>
      <c r="C5" s="206"/>
      <c r="D5" s="206"/>
      <c r="E5" s="207"/>
      <c r="F5" s="361" t="s">
        <v>0</v>
      </c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  <c r="S5" s="227"/>
      <c r="T5" s="227"/>
      <c r="U5" s="227"/>
      <c r="V5" s="227"/>
      <c r="W5" s="227"/>
      <c r="X5" s="227"/>
      <c r="Y5" s="227"/>
      <c r="Z5" s="227"/>
      <c r="AA5" s="227"/>
      <c r="AB5" s="227"/>
      <c r="AC5" s="227"/>
      <c r="AD5" s="227"/>
      <c r="AE5" s="227"/>
      <c r="AF5" s="227"/>
      <c r="AG5" s="227"/>
      <c r="AH5" s="227"/>
      <c r="AI5" s="227"/>
      <c r="AJ5" s="227"/>
      <c r="AK5" s="227"/>
      <c r="AL5" s="227"/>
      <c r="AM5" s="227"/>
      <c r="AN5" s="227"/>
      <c r="AO5" s="227"/>
      <c r="AP5" s="227"/>
      <c r="AQ5" s="227"/>
      <c r="AR5" s="362"/>
      <c r="AS5" s="180"/>
      <c r="AT5" s="180"/>
      <c r="AU5" s="180"/>
      <c r="AV5" s="180"/>
      <c r="AW5" s="180"/>
      <c r="AX5" s="78"/>
      <c r="AY5" s="78"/>
    </row>
    <row r="6" spans="1:69" ht="46.5" customHeight="1" thickBot="1">
      <c r="B6" s="204" t="s">
        <v>58</v>
      </c>
      <c r="C6" s="204"/>
      <c r="D6" s="204"/>
      <c r="E6" s="205"/>
      <c r="F6" s="363" t="s">
        <v>71</v>
      </c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  <c r="AO6" s="228"/>
      <c r="AP6" s="228"/>
      <c r="AQ6" s="228"/>
      <c r="AR6" s="364"/>
      <c r="AS6" s="180"/>
      <c r="AT6" s="201"/>
      <c r="AU6" s="201"/>
      <c r="AV6" s="201"/>
      <c r="AW6" s="180"/>
      <c r="AX6" s="78"/>
      <c r="AY6" s="78"/>
    </row>
    <row r="7" spans="1:69" ht="25.5" customHeight="1" thickBot="1">
      <c r="B7" s="206">
        <v>37800</v>
      </c>
      <c r="C7" s="206"/>
      <c r="D7" s="206"/>
      <c r="E7" s="207"/>
      <c r="F7" s="231" t="s">
        <v>1</v>
      </c>
      <c r="G7" s="229"/>
      <c r="H7" s="229"/>
      <c r="I7" s="229"/>
      <c r="J7" s="229"/>
      <c r="K7" s="229"/>
      <c r="L7" s="229"/>
      <c r="M7" s="229"/>
      <c r="N7" s="229"/>
      <c r="O7" s="229"/>
      <c r="P7" s="232" t="s">
        <v>72</v>
      </c>
      <c r="Q7" s="232"/>
      <c r="R7" s="232"/>
      <c r="S7" s="232"/>
      <c r="T7" s="232"/>
      <c r="U7" s="232"/>
      <c r="V7" s="229" t="s">
        <v>2</v>
      </c>
      <c r="W7" s="229"/>
      <c r="X7" s="229"/>
      <c r="Y7" s="229"/>
      <c r="Z7" s="151"/>
      <c r="AA7" s="230" t="s">
        <v>73</v>
      </c>
      <c r="AB7" s="230"/>
      <c r="AC7" s="230"/>
      <c r="AD7" s="230"/>
      <c r="AE7" s="231" t="s">
        <v>3</v>
      </c>
      <c r="AF7" s="229"/>
      <c r="AG7" s="229"/>
      <c r="AH7" s="229"/>
      <c r="AI7" s="233" t="s">
        <v>74</v>
      </c>
      <c r="AJ7" s="233"/>
      <c r="AK7" s="233"/>
      <c r="AL7" s="233"/>
      <c r="AM7" s="233"/>
      <c r="AN7" s="233"/>
      <c r="AO7" s="233"/>
      <c r="AP7" s="233"/>
      <c r="AQ7" s="233"/>
      <c r="AR7" s="234"/>
      <c r="AS7" s="180"/>
      <c r="AT7" s="239" t="s">
        <v>81</v>
      </c>
      <c r="AU7" s="239"/>
      <c r="AV7" s="239"/>
      <c r="AW7" s="180"/>
      <c r="AX7" s="78"/>
      <c r="AY7" s="78"/>
    </row>
    <row r="8" spans="1:69" s="21" customFormat="1" ht="24" customHeight="1" thickBot="1">
      <c r="A8" s="123"/>
      <c r="B8" s="284" t="s">
        <v>63</v>
      </c>
      <c r="C8" s="284"/>
      <c r="D8" s="284" t="s">
        <v>69</v>
      </c>
      <c r="E8" s="285"/>
      <c r="F8" s="365" t="s">
        <v>32</v>
      </c>
      <c r="G8" s="366"/>
      <c r="H8" s="366"/>
      <c r="I8" s="366"/>
      <c r="J8" s="366"/>
      <c r="K8" s="366"/>
      <c r="L8" s="366"/>
      <c r="M8" s="366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7" t="s">
        <v>54</v>
      </c>
      <c r="Z8" s="367"/>
      <c r="AA8" s="235">
        <f>W2</f>
        <v>43864</v>
      </c>
      <c r="AB8" s="236"/>
      <c r="AC8" s="236"/>
      <c r="AD8" s="368" t="s">
        <v>55</v>
      </c>
      <c r="AE8" s="237">
        <f>AB2</f>
        <v>44865</v>
      </c>
      <c r="AF8" s="236"/>
      <c r="AG8" s="236"/>
      <c r="AH8" s="369" t="s">
        <v>56</v>
      </c>
      <c r="AI8" s="370">
        <f>MONTH(AE8)</f>
        <v>10</v>
      </c>
      <c r="AJ8" s="371">
        <f>YEAR(AE8)</f>
        <v>2022</v>
      </c>
      <c r="AK8" s="370"/>
      <c r="AL8" s="370"/>
      <c r="AM8" s="370"/>
      <c r="AN8" s="370"/>
      <c r="AO8" s="182" t="str">
        <f>CONCATENATE(AI8,AJ8)</f>
        <v>102022</v>
      </c>
      <c r="AP8" s="182"/>
      <c r="AQ8" s="182"/>
      <c r="AR8" s="183"/>
      <c r="AS8" s="180"/>
      <c r="AT8" s="239"/>
      <c r="AU8" s="239"/>
      <c r="AV8" s="239"/>
      <c r="AW8" s="180"/>
      <c r="AX8" s="78"/>
      <c r="AY8" s="78"/>
      <c r="AZ8" s="22"/>
      <c r="BB8" s="22"/>
    </row>
    <row r="9" spans="1:69" ht="30.75" customHeight="1">
      <c r="B9" s="284"/>
      <c r="C9" s="284"/>
      <c r="D9" s="284"/>
      <c r="E9" s="285"/>
      <c r="F9" s="374" t="s">
        <v>4</v>
      </c>
      <c r="G9" s="375" t="s">
        <v>5</v>
      </c>
      <c r="H9" s="375"/>
      <c r="I9" s="375"/>
      <c r="J9" s="376"/>
      <c r="K9" s="377"/>
      <c r="L9" s="377"/>
      <c r="M9" s="377"/>
      <c r="N9" s="188" t="s">
        <v>60</v>
      </c>
      <c r="O9" s="189"/>
      <c r="P9" s="189"/>
      <c r="Q9" s="189"/>
      <c r="R9" s="190"/>
      <c r="S9" s="188" t="s">
        <v>61</v>
      </c>
      <c r="T9" s="189"/>
      <c r="U9" s="189"/>
      <c r="V9" s="189"/>
      <c r="W9" s="190"/>
      <c r="X9" s="188" t="s">
        <v>6</v>
      </c>
      <c r="Y9" s="189"/>
      <c r="Z9" s="189"/>
      <c r="AA9" s="189"/>
      <c r="AB9" s="190"/>
      <c r="AC9" s="224" t="s">
        <v>66</v>
      </c>
      <c r="AD9" s="225"/>
      <c r="AE9" s="226"/>
      <c r="AF9" s="224" t="s">
        <v>7</v>
      </c>
      <c r="AG9" s="225"/>
      <c r="AH9" s="226"/>
      <c r="AI9" s="210" t="s">
        <v>75</v>
      </c>
      <c r="AJ9" s="211"/>
      <c r="AK9" s="212"/>
      <c r="AL9" s="210" t="s">
        <v>111</v>
      </c>
      <c r="AM9" s="211"/>
      <c r="AN9" s="212"/>
      <c r="AO9" s="378" t="s">
        <v>8</v>
      </c>
      <c r="AP9" s="379" t="s">
        <v>9</v>
      </c>
      <c r="AQ9" s="380" t="s">
        <v>10</v>
      </c>
      <c r="AR9" s="396" t="s">
        <v>11</v>
      </c>
      <c r="AS9" s="180"/>
      <c r="AT9" s="240" t="s">
        <v>83</v>
      </c>
      <c r="AU9" s="240" t="s">
        <v>82</v>
      </c>
      <c r="AV9" s="241" t="s">
        <v>87</v>
      </c>
      <c r="AW9" s="180"/>
      <c r="AX9" s="78"/>
      <c r="AY9" s="78"/>
    </row>
    <row r="10" spans="1:69" ht="32.25" customHeight="1" thickBot="1">
      <c r="B10" s="83" t="s">
        <v>17</v>
      </c>
      <c r="C10" s="84" t="s">
        <v>65</v>
      </c>
      <c r="D10" s="83" t="s">
        <v>17</v>
      </c>
      <c r="E10" s="84" t="s">
        <v>65</v>
      </c>
      <c r="F10" s="381"/>
      <c r="G10" s="186"/>
      <c r="H10" s="186"/>
      <c r="I10" s="186"/>
      <c r="J10" s="187"/>
      <c r="K10" s="34"/>
      <c r="L10" s="34"/>
      <c r="M10" s="34"/>
      <c r="N10" s="38" t="s">
        <v>12</v>
      </c>
      <c r="O10" s="39" t="s">
        <v>13</v>
      </c>
      <c r="P10" s="147"/>
      <c r="Q10" s="39" t="s">
        <v>14</v>
      </c>
      <c r="R10" s="40" t="s">
        <v>15</v>
      </c>
      <c r="S10" s="38" t="s">
        <v>12</v>
      </c>
      <c r="T10" s="39" t="s">
        <v>13</v>
      </c>
      <c r="U10" s="147">
        <f>P10</f>
        <v>0</v>
      </c>
      <c r="V10" s="39" t="s">
        <v>14</v>
      </c>
      <c r="W10" s="40" t="s">
        <v>15</v>
      </c>
      <c r="X10" s="38" t="s">
        <v>12</v>
      </c>
      <c r="Y10" s="39" t="s">
        <v>13</v>
      </c>
      <c r="Z10" s="147">
        <f>U10</f>
        <v>0</v>
      </c>
      <c r="AA10" s="39" t="s">
        <v>14</v>
      </c>
      <c r="AB10" s="40" t="s">
        <v>15</v>
      </c>
      <c r="AC10" s="41" t="s">
        <v>16</v>
      </c>
      <c r="AD10" s="42" t="s">
        <v>17</v>
      </c>
      <c r="AE10" s="43" t="s">
        <v>18</v>
      </c>
      <c r="AF10" s="41" t="s">
        <v>16</v>
      </c>
      <c r="AG10" s="42" t="s">
        <v>17</v>
      </c>
      <c r="AH10" s="43" t="s">
        <v>18</v>
      </c>
      <c r="AI10" s="41" t="s">
        <v>16</v>
      </c>
      <c r="AJ10" s="42" t="s">
        <v>17</v>
      </c>
      <c r="AK10" s="43" t="s">
        <v>18</v>
      </c>
      <c r="AL10" s="41" t="s">
        <v>16</v>
      </c>
      <c r="AM10" s="42" t="s">
        <v>17</v>
      </c>
      <c r="AN10" s="43" t="s">
        <v>18</v>
      </c>
      <c r="AO10" s="221"/>
      <c r="AP10" s="222"/>
      <c r="AQ10" s="223"/>
      <c r="AR10" s="397"/>
      <c r="AS10" s="180"/>
      <c r="AT10" s="240"/>
      <c r="AU10" s="240"/>
      <c r="AV10" s="241"/>
      <c r="AW10" s="180"/>
      <c r="AX10" s="78"/>
      <c r="AY10" s="78"/>
      <c r="BB10" s="24">
        <f>AE8</f>
        <v>44865</v>
      </c>
      <c r="BC10" s="20">
        <f>DAY(AZ11)</f>
        <v>3</v>
      </c>
      <c r="BQ10" s="20" t="str">
        <f>TEXT(BF13,"MMMM")</f>
        <v>February</v>
      </c>
    </row>
    <row r="11" spans="1:69" ht="43.5" hidden="1" customHeight="1">
      <c r="A11" s="153">
        <f>N13</f>
        <v>37021</v>
      </c>
      <c r="B11" s="66"/>
      <c r="C11" s="66"/>
      <c r="D11" s="66"/>
      <c r="E11" s="372"/>
      <c r="F11" s="184">
        <v>1</v>
      </c>
      <c r="G11" s="62">
        <f>AA8</f>
        <v>43864</v>
      </c>
      <c r="H11" s="63">
        <f>AA8-BC11</f>
        <v>43862</v>
      </c>
      <c r="I11" s="64" t="s">
        <v>57</v>
      </c>
      <c r="J11" s="65">
        <f>AA8-1</f>
        <v>43863</v>
      </c>
      <c r="K11" s="47">
        <f>MONTH(G11)</f>
        <v>2</v>
      </c>
      <c r="L11" s="47">
        <f>YEAR(G11)</f>
        <v>2020</v>
      </c>
      <c r="M11" s="47" t="str">
        <f>CONCATENATE(K11,L11)</f>
        <v>22020</v>
      </c>
      <c r="N11" s="67">
        <f>ROUND(B5/BD11*BC11,0)</f>
        <v>1828</v>
      </c>
      <c r="O11" s="68">
        <f>IF(E2="fixation",0,ROUND(N11*C13,0))</f>
        <v>0</v>
      </c>
      <c r="P11" s="68"/>
      <c r="Q11" s="68">
        <f>IF(E2="fixation",0,ROUND(N11*E13,0))</f>
        <v>0</v>
      </c>
      <c r="R11" s="37">
        <f t="array" ref="R11">SUM(N11:Q11)</f>
        <v>1828</v>
      </c>
      <c r="S11" s="382"/>
      <c r="T11" s="382"/>
      <c r="U11" s="382"/>
      <c r="V11" s="382"/>
      <c r="W11" s="382"/>
      <c r="X11" s="382"/>
      <c r="Y11" s="382"/>
      <c r="Z11" s="382"/>
      <c r="AA11" s="382"/>
      <c r="AB11" s="382"/>
      <c r="AC11" s="382"/>
      <c r="AD11" s="382"/>
      <c r="AE11" s="382"/>
      <c r="AF11" s="382"/>
      <c r="AG11" s="382"/>
      <c r="AH11" s="382"/>
      <c r="AI11" s="382"/>
      <c r="AJ11" s="382"/>
      <c r="AK11" s="382"/>
      <c r="AL11" s="382"/>
      <c r="AM11" s="382"/>
      <c r="AN11" s="382"/>
      <c r="AO11" s="382"/>
      <c r="AP11" s="382"/>
      <c r="AQ11" s="382"/>
      <c r="AR11" s="354" t="s">
        <v>68</v>
      </c>
      <c r="AS11" s="180"/>
      <c r="AT11" s="80"/>
      <c r="AU11" s="80"/>
      <c r="AV11" s="81"/>
      <c r="AW11" s="180"/>
      <c r="AX11" s="78"/>
      <c r="AY11" s="78"/>
      <c r="AZ11" s="179">
        <f>AA8</f>
        <v>43864</v>
      </c>
      <c r="BA11" s="178">
        <f>MONTH(AZ11)</f>
        <v>2</v>
      </c>
      <c r="BB11" s="179">
        <f>EOMONTH(AZ11,0)</f>
        <v>43890</v>
      </c>
      <c r="BC11" s="178">
        <f>IF(BC10=1,0,BC10-1)</f>
        <v>2</v>
      </c>
      <c r="BD11" s="178">
        <f>DAY(BB11)</f>
        <v>29</v>
      </c>
      <c r="BE11" s="178">
        <f>BD11-BC11</f>
        <v>27</v>
      </c>
      <c r="BF11" s="19">
        <f>DAY(AZ11)</f>
        <v>3</v>
      </c>
      <c r="BG11" s="19">
        <f>BD11-BF11+1</f>
        <v>27</v>
      </c>
      <c r="BH11" s="200">
        <f>IF($O$2="state",5,IF($O$2="subordinate",3,IF($O$2="ministrial",2,1)))</f>
        <v>1</v>
      </c>
      <c r="BI11" s="200" t="str">
        <f>M11</f>
        <v>22020</v>
      </c>
      <c r="BJ11" s="200">
        <f>BH11+BI11</f>
        <v>22021</v>
      </c>
      <c r="BK11" s="200">
        <f>IF(BJ11=32025,"SSM",IF(BJ11=32023,"SM",IF(BJ11=32022,"MM",IF(BJ11=32021,"FM",IF(BJ11=92025,"SSS",IF(BJ11=92023,"SS",IF(BJ11=92022,"MS",IF(BJ11=92021,"FS",IF(BJ11=102025,"SSO",IF(BJ11=102023,"SO",IF(BJ11=102022,"MO",IF(BJ11=102021,"FO",0))))))))))))</f>
        <v>0</v>
      </c>
      <c r="BL11" s="200">
        <f>IF(BI11="32020","M",IF(BI11="92020","S",IF(BI11="102020","O",0)))</f>
        <v>0</v>
      </c>
      <c r="BM11" s="200">
        <f>IF(BL11=0,0,"SS")</f>
        <v>0</v>
      </c>
      <c r="BN11" s="200" t="str">
        <f>CONCATENATE(BL11,BM11)</f>
        <v>00</v>
      </c>
      <c r="BQ11" s="115">
        <f>VALUE("1"&amp;BQ10)</f>
        <v>44593</v>
      </c>
    </row>
    <row r="12" spans="1:69" ht="28.5" hidden="1" customHeight="1" thickBot="1">
      <c r="A12" s="154"/>
      <c r="B12" s="66"/>
      <c r="C12" s="66"/>
      <c r="D12" s="66"/>
      <c r="E12" s="372"/>
      <c r="F12" s="185"/>
      <c r="G12" s="60"/>
      <c r="H12" s="61">
        <f>J11+1</f>
        <v>43864</v>
      </c>
      <c r="I12" s="35" t="s">
        <v>57</v>
      </c>
      <c r="J12" s="12">
        <f>BB11</f>
        <v>43890</v>
      </c>
      <c r="K12" s="47">
        <f>K11</f>
        <v>2</v>
      </c>
      <c r="L12" s="47">
        <f>L11</f>
        <v>2020</v>
      </c>
      <c r="M12" s="47" t="str">
        <f t="shared" ref="M12:M22" si="0">CONCATENATE(K12,L12)</f>
        <v>22020</v>
      </c>
      <c r="N12" s="69">
        <f>ROUND(B7/BD11*BE11,0)</f>
        <v>35193</v>
      </c>
      <c r="O12" s="70">
        <f>ROUND(N12*C13,0)</f>
        <v>13373</v>
      </c>
      <c r="P12" s="70"/>
      <c r="Q12" s="70">
        <f>ROUND(N12*E13,0)</f>
        <v>3167</v>
      </c>
      <c r="R12" s="32">
        <f t="array" ref="R12">SUM(N12:Q12)</f>
        <v>51733</v>
      </c>
      <c r="S12" s="71"/>
      <c r="T12" s="72"/>
      <c r="U12" s="72"/>
      <c r="V12" s="72"/>
      <c r="W12" s="50"/>
      <c r="X12" s="71"/>
      <c r="Y12" s="72"/>
      <c r="Z12" s="72"/>
      <c r="AA12" s="72"/>
      <c r="AB12" s="51"/>
      <c r="AC12" s="73"/>
      <c r="AD12" s="72"/>
      <c r="AE12" s="51"/>
      <c r="AF12" s="73"/>
      <c r="AG12" s="72"/>
      <c r="AH12" s="50"/>
      <c r="AI12" s="71"/>
      <c r="AJ12" s="72"/>
      <c r="AK12" s="50"/>
      <c r="AL12" s="125"/>
      <c r="AM12" s="125"/>
      <c r="AN12" s="125"/>
      <c r="AO12" s="52"/>
      <c r="AP12" s="52"/>
      <c r="AQ12" s="53"/>
      <c r="AR12" s="354"/>
      <c r="AS12" s="180"/>
      <c r="AT12" s="80"/>
      <c r="AU12" s="80"/>
      <c r="AV12" s="81"/>
      <c r="AW12" s="180"/>
      <c r="AX12" s="78"/>
      <c r="AY12" s="78"/>
      <c r="AZ12" s="179"/>
      <c r="BA12" s="178"/>
      <c r="BB12" s="179"/>
      <c r="BC12" s="178"/>
      <c r="BD12" s="178"/>
      <c r="BE12" s="178"/>
      <c r="BH12" s="200"/>
      <c r="BI12" s="200"/>
      <c r="BJ12" s="200"/>
      <c r="BK12" s="200"/>
      <c r="BL12" s="200"/>
      <c r="BM12" s="200"/>
      <c r="BN12" s="200"/>
      <c r="BQ12" s="115">
        <f>EOMONTH(BQ11,0)</f>
        <v>44620</v>
      </c>
    </row>
    <row r="13" spans="1:69" ht="19.5" customHeight="1" thickBot="1">
      <c r="A13" s="154"/>
      <c r="B13" s="127">
        <v>0.38</v>
      </c>
      <c r="C13" s="127">
        <v>0.38</v>
      </c>
      <c r="D13" s="127">
        <v>0.08</v>
      </c>
      <c r="E13" s="373">
        <v>0.09</v>
      </c>
      <c r="F13" s="185"/>
      <c r="G13" s="193">
        <f>G11</f>
        <v>43864</v>
      </c>
      <c r="H13" s="194"/>
      <c r="I13" s="194"/>
      <c r="J13" s="195"/>
      <c r="K13" s="47">
        <f>K12</f>
        <v>2</v>
      </c>
      <c r="L13" s="47">
        <f>L12</f>
        <v>2020</v>
      </c>
      <c r="M13" s="47" t="str">
        <f t="shared" si="0"/>
        <v>22020</v>
      </c>
      <c r="N13" s="17">
        <f t="array" ref="N13">N12+N11</f>
        <v>37021</v>
      </c>
      <c r="O13" s="31">
        <f t="array" ref="O13">O12+O11</f>
        <v>13373</v>
      </c>
      <c r="P13" s="31">
        <v>0</v>
      </c>
      <c r="Q13" s="31">
        <f t="array" ref="Q13">Q12+Q11</f>
        <v>3167</v>
      </c>
      <c r="R13" s="32">
        <f t="array" ref="R13">R12+R11</f>
        <v>53561</v>
      </c>
      <c r="S13" s="33">
        <f t="array" ref="S13">B5</f>
        <v>26500</v>
      </c>
      <c r="T13" s="31">
        <f t="array" ref="T13">IF($E$2="fixation",0,ROUND(S13*B13,0))</f>
        <v>0</v>
      </c>
      <c r="U13" s="31">
        <v>0</v>
      </c>
      <c r="V13" s="31">
        <f t="array" ref="V13">IF($E$2="fixation",0,ROUND(S13*D13,0))</f>
        <v>0</v>
      </c>
      <c r="W13" s="32">
        <f t="array" ref="W13">SUM(S13:V13)</f>
        <v>26500</v>
      </c>
      <c r="X13" s="74">
        <f t="array" ref="X13">N13-S13</f>
        <v>10521</v>
      </c>
      <c r="Y13" s="75">
        <f t="array" ref="Y13">O13-T13</f>
        <v>13373</v>
      </c>
      <c r="Z13" s="75">
        <f t="array" ref="Z13">P13-U13</f>
        <v>0</v>
      </c>
      <c r="AA13" s="75">
        <f t="array" ref="AA13">Q13-V13</f>
        <v>3167</v>
      </c>
      <c r="AB13" s="56">
        <f t="array" ref="AB13">R13-W13</f>
        <v>27061</v>
      </c>
      <c r="AC13" s="57">
        <f t="array" ref="AC13">$AR$2+AV13</f>
        <v>3211</v>
      </c>
      <c r="AD13" s="55">
        <f t="array" ref="AD13">$AI$2</f>
        <v>1100</v>
      </c>
      <c r="AE13" s="56">
        <f>AC13-AD13</f>
        <v>2111</v>
      </c>
      <c r="AF13" s="57">
        <v>3000</v>
      </c>
      <c r="AG13" s="55">
        <f>AF13</f>
        <v>3000</v>
      </c>
      <c r="AH13" s="58">
        <f>SUM(AF13-AG13)</f>
        <v>0</v>
      </c>
      <c r="AI13" s="54">
        <f t="array" ref="AI13">IF(BN13="MSS",ROUND(N13/31*5,0),IF(BN13="MS",ROUND(N13/31*3,0),IF(BN13="MM",ROUND(N13/31*2,0),IF(BN13="MF",ROUND(N13/31*1,0),IF(BN13="SSS",ROUND(R13/30*2,0),IF(BN13="SS",ROUND(R13/30,0),IF(BN13="SM",ROUND(R13/30,0),IF(BN13="SF",ROUND(R13/30*0,0),IF(BN13="OSS",ROUND(R13/31*2,0),IF(BN13="OS",ROUND(R13/31,0),IF(BN13="OM",ROUND(R13/31,0),IF(BN13="OF",ROUND(R13/31*0,0),0))))))))))))</f>
        <v>0</v>
      </c>
      <c r="AJ13" s="55">
        <f t="array" ref="AJ13">IF(BN13="MSS",ROUND(S13/31*5,0),IF(BN13="MS",ROUND(S13/31*3,0),IF(BN13="MM",ROUND(S13/31*2,0),IF(BN13="MF",ROUND(S13/31*1,0),IF(BN13="SSS",ROUND(W13/30*2,0),IF(BN13="SS",ROUND(W13/30,0),IF(BN13="SM",ROUND(W13/30,0),IF(BN13="SF",ROUND(W13/30*0,0),IF(BN13="OSS",ROUND(W13/31*2,0),IF(BN13="OS",ROUND(W13/31,0),IF(BN13="OM",ROUND(W13/31,0),IF(BN13="OF",ROUND(W13/31*0,0),0))))))))))))</f>
        <v>0</v>
      </c>
      <c r="AK13" s="58">
        <f t="array" ref="AK13">SUM(AI13-AJ13)</f>
        <v>0</v>
      </c>
      <c r="AL13" s="350"/>
      <c r="AM13" s="351"/>
      <c r="AN13" s="348">
        <f t="array" ref="AN13">AL13-AM13</f>
        <v>0</v>
      </c>
      <c r="AO13" s="131">
        <f>ROUND((AB13)*$E$3,0)</f>
        <v>2706</v>
      </c>
      <c r="AP13" s="132">
        <f t="array" ref="AP13">AE13+AH13+AK13+AN13+AO13</f>
        <v>4817</v>
      </c>
      <c r="AQ13" s="59">
        <f t="array" ref="AQ13">AB13-AP13</f>
        <v>22244</v>
      </c>
      <c r="AR13" s="355"/>
      <c r="AS13" s="180"/>
      <c r="AT13" s="86" t="str">
        <f>IF(OR(BA11=1,BA11=2,BA11=3,BA11=7,BA11=8,BA11=9),"YES",IF(BA11=0,0,"NO"))</f>
        <v>YES</v>
      </c>
      <c r="AU13" s="87">
        <v>0.03</v>
      </c>
      <c r="AV13" s="88">
        <f t="array" ref="AV13">IF(AND(AT13="Yes",$E$2="Fixation"),ROUND(N13*AU13,0),IF(AT13="yes",ROUND((N13-S13)*AU13,0),0))</f>
        <v>1111</v>
      </c>
      <c r="AW13" s="180"/>
      <c r="AX13" s="78"/>
      <c r="AY13" s="78"/>
      <c r="AZ13" s="179"/>
      <c r="BA13" s="178"/>
      <c r="BB13" s="179"/>
      <c r="BC13" s="178"/>
      <c r="BD13" s="178"/>
      <c r="BE13" s="178"/>
      <c r="BF13" s="48">
        <f>AZ11</f>
        <v>43864</v>
      </c>
      <c r="BG13" s="20">
        <f>MONTH(BF13)</f>
        <v>2</v>
      </c>
      <c r="BH13" s="200"/>
      <c r="BI13" s="200"/>
      <c r="BJ13" s="200"/>
      <c r="BK13" s="200"/>
      <c r="BL13" s="200"/>
      <c r="BM13" s="200"/>
      <c r="BN13" s="200"/>
    </row>
    <row r="14" spans="1:69" ht="20.25" customHeight="1">
      <c r="A14" s="23">
        <f>N14</f>
        <v>37800</v>
      </c>
      <c r="B14" s="128">
        <f t="shared" ref="B14:E16" si="1">B13</f>
        <v>0.38</v>
      </c>
      <c r="C14" s="128">
        <f t="shared" si="1"/>
        <v>0.38</v>
      </c>
      <c r="D14" s="128">
        <f t="shared" si="1"/>
        <v>0.08</v>
      </c>
      <c r="E14" s="128">
        <f t="shared" si="1"/>
        <v>0.09</v>
      </c>
      <c r="F14" s="36">
        <v>2</v>
      </c>
      <c r="G14" s="172">
        <f>IF(M13=$AO$8,0,BF14)</f>
        <v>43891</v>
      </c>
      <c r="H14" s="173"/>
      <c r="I14" s="173"/>
      <c r="J14" s="174"/>
      <c r="K14" s="47">
        <f>MONTH(G14)</f>
        <v>3</v>
      </c>
      <c r="L14" s="47">
        <f t="shared" ref="L14:L22" si="2">YEAR(G14)</f>
        <v>2020</v>
      </c>
      <c r="M14" s="47" t="str">
        <f t="shared" si="0"/>
        <v>32020</v>
      </c>
      <c r="N14" s="18">
        <f t="shared" ref="N14:N23" si="3">BB14</f>
        <v>37800</v>
      </c>
      <c r="O14" s="31">
        <f>ROUND(N14*C14,0)</f>
        <v>14364</v>
      </c>
      <c r="P14" s="31">
        <f>P13</f>
        <v>0</v>
      </c>
      <c r="Q14" s="31">
        <f t="shared" ref="Q14:Q23" si="4">ROUND(N14*E14,0)</f>
        <v>3402</v>
      </c>
      <c r="R14" s="32">
        <f t="array" ref="R14">SUM(N14:Q14)</f>
        <v>55566</v>
      </c>
      <c r="S14" s="8">
        <f t="array" ref="S14">IF(N14=0,0,IF($E$2="FIXATION",$B$5,IF(N14=0,0,IF(BA14=7,ROUND(S13*1.03,-2),S13))))</f>
        <v>26500</v>
      </c>
      <c r="T14" s="9">
        <f t="shared" ref="T14:T23" si="5">IF($E$2="fixation",0,ROUND(S14*B14,0))</f>
        <v>0</v>
      </c>
      <c r="U14" s="31">
        <f t="shared" ref="U14:U59" si="6">U13</f>
        <v>0</v>
      </c>
      <c r="V14" s="9">
        <f t="array" ref="V14">IF($E$2="fixation",0,ROUND(S14*D14,0))</f>
        <v>0</v>
      </c>
      <c r="W14" s="32">
        <f t="array" ref="W14">SUM(S14:V14)</f>
        <v>26500</v>
      </c>
      <c r="X14" s="76">
        <f>N14-S14</f>
        <v>11300</v>
      </c>
      <c r="Y14" s="77">
        <f>O14-T14</f>
        <v>14364</v>
      </c>
      <c r="Z14" s="77"/>
      <c r="AA14" s="77">
        <f t="shared" ref="AA14" si="7">Q14-V14</f>
        <v>3402</v>
      </c>
      <c r="AB14" s="13">
        <f t="array" ref="AB14">SUM(X14:AA14)</f>
        <v>29066</v>
      </c>
      <c r="AC14" s="14">
        <f>IF(N14=0,0,($AR$2+AV14))</f>
        <v>3234</v>
      </c>
      <c r="AD14" s="11">
        <f>IF(N14=0,0,AD13)</f>
        <v>1100</v>
      </c>
      <c r="AE14" s="15">
        <f>AC14-AD14</f>
        <v>2134</v>
      </c>
      <c r="AF14" s="11">
        <f t="array" ref="AF14">IF(N14=0,0,AF13)</f>
        <v>3000</v>
      </c>
      <c r="AG14" s="9">
        <f t="array" ref="AG14">IF(N14=0,0,AG13)</f>
        <v>3000</v>
      </c>
      <c r="AH14" s="10">
        <f>AF14-AG14</f>
        <v>0</v>
      </c>
      <c r="AI14" s="11">
        <f t="array" ref="AI14">IF(BN14="MSS",ROUND(N14/31*5,0),IF(BN14="MS",ROUND(N14/31*3,0),IF(BN14="MM",ROUND(N14/31*2,0),IF(BN14="MF",ROUND(N14/31*1,0),IF(BN14="SSS",ROUND(R14/30*2,0),IF(BN14="SS",ROUND(R14/30,0),IF(BN14="SM",ROUND(R14/30,0),IF(BN14="SF",ROUND(R14/30*0,0),IF(BN14="OSS",ROUND(R14/31*2,0),IF(BN14="OS",ROUND(R14/31,0),IF(BN14="OM",ROUND(R14/31,0),IF(BN14="OF",ROUND(R14/31*0,0),0))))))))))))</f>
        <v>6097</v>
      </c>
      <c r="AJ14" s="9">
        <f t="array" ref="AJ14">IF(BN14="MSS",ROUND(S14/31*5,0),IF(BN14="MS",ROUND(S14/31*3,0),IF(BN14="MM",ROUND(S14/31*2,0),IF(BN14="MF",ROUND(S14/31*1,0),IF(BN14="SSS",ROUND(W14/30*2,0),IF(BN14="SS",ROUND(W14/30,0),IF(BN14="SM",ROUND(W14/30,0),IF(BN14="SF",ROUND(W14/30*0,0),IF(BN14="OSS",ROUND(W14/31*2,0),IF(BN14="OS",ROUND(W14/31,0),IF(BN14="OM",ROUND(W14/31,0),IF(BN14="OF",ROUND(W14/31*0,0),0))))))))))))</f>
        <v>4274</v>
      </c>
      <c r="AK14" s="10">
        <f>AI14-AJ14</f>
        <v>1823</v>
      </c>
      <c r="AL14" s="352">
        <f>AL13</f>
        <v>0</v>
      </c>
      <c r="AM14" s="353">
        <f>AM13</f>
        <v>0</v>
      </c>
      <c r="AN14" s="349">
        <f t="array" ref="AN14">AL14-AM14</f>
        <v>0</v>
      </c>
      <c r="AO14" s="133">
        <f>ROUND((AB14)*$E$3,0)</f>
        <v>2907</v>
      </c>
      <c r="AP14" s="134">
        <f t="array" ref="AP14">AE14+AH14+AK14+AN14+AO14</f>
        <v>6864</v>
      </c>
      <c r="AQ14" s="16">
        <f t="array" ref="AQ14">AB14-AP14</f>
        <v>22202</v>
      </c>
      <c r="AR14" s="356" t="s">
        <v>68</v>
      </c>
      <c r="AS14" s="180"/>
      <c r="AT14" s="86" t="str">
        <f>IF(OR(BA14=1,BA14=2,BA14=3,BA14=7,BA14=8,BA14=9),"YES",IF(BA14=0,0,"NO"))</f>
        <v>YES</v>
      </c>
      <c r="AU14" s="87">
        <v>0.03</v>
      </c>
      <c r="AV14" s="88">
        <f t="array" ref="AV14">IF(AND(AT14="Yes",$E$2="Fixation"),ROUND(N14*AU14,0),IF(AT14="yes",ROUND((N14-S14)*AU14,0),0))</f>
        <v>1134</v>
      </c>
      <c r="AW14" s="180"/>
      <c r="AX14" s="78"/>
      <c r="AY14" s="78"/>
      <c r="AZ14" s="24">
        <f>G14</f>
        <v>43891</v>
      </c>
      <c r="BA14" s="123">
        <f>IF(AZ14=0,0,MONTH(AZ14))</f>
        <v>3</v>
      </c>
      <c r="BB14" s="123">
        <f>IF(BA14=7,ROUND($B$7*1.03,-2),IF(BA14=0,0,$B$7))</f>
        <v>37800</v>
      </c>
      <c r="BC14" s="123"/>
      <c r="BD14" s="123"/>
      <c r="BE14" s="123"/>
      <c r="BF14" s="48">
        <f>BF13+$BG$11</f>
        <v>43891</v>
      </c>
      <c r="BH14" s="44">
        <f>IF($O$2="state",5,IF($O$2="subordinate",3,IF($O$2="ministrial",2,1)))</f>
        <v>1</v>
      </c>
      <c r="BI14" s="45" t="str">
        <f>M14</f>
        <v>32020</v>
      </c>
      <c r="BJ14" s="44">
        <f>BH14+BI14</f>
        <v>32021</v>
      </c>
      <c r="BK14" s="46" t="str">
        <f>IF(BJ14=32025,"SSM",IF(BJ14=32023,"SM",IF(BJ14=32022,"MM",IF(BJ14=32021,"FM",IF(BJ14=92025,"SSS",IF(BJ14=92023,"SS",IF(BJ14=92022,"MS",IF(BJ14=92021,"FS",IF(BJ14=102025,"SSO",IF(BJ14=102023,"SO",IF(BJ14=102022,"MO",IF(BJ14=102021,"FO",0))))))))))))</f>
        <v>FM</v>
      </c>
      <c r="BL14" s="46" t="str">
        <f>IF(BI14="32020","M",IF(BI14="92020","S",IF(BI14="102020","O",0)))</f>
        <v>M</v>
      </c>
      <c r="BM14" s="49" t="str">
        <f>IF(BL14=0,0,"ss")</f>
        <v>ss</v>
      </c>
      <c r="BN14" s="46" t="str">
        <f>CONCATENATE(BL14,BM14)</f>
        <v>Mss</v>
      </c>
    </row>
    <row r="15" spans="1:69" ht="20.25" customHeight="1">
      <c r="A15" s="23">
        <f t="shared" ref="A15:A60" si="8">N15</f>
        <v>37800</v>
      </c>
      <c r="B15" s="129">
        <f t="shared" si="1"/>
        <v>0.38</v>
      </c>
      <c r="C15" s="129">
        <f t="shared" si="1"/>
        <v>0.38</v>
      </c>
      <c r="D15" s="129">
        <f t="shared" si="1"/>
        <v>0.08</v>
      </c>
      <c r="E15" s="129">
        <f t="shared" si="1"/>
        <v>0.09</v>
      </c>
      <c r="F15" s="36">
        <v>3</v>
      </c>
      <c r="G15" s="172">
        <f t="shared" ref="G15:G60" si="9">IF(M14=$AO$8,0,IF(G14=0,0,BF15))</f>
        <v>43922</v>
      </c>
      <c r="H15" s="173"/>
      <c r="I15" s="173"/>
      <c r="J15" s="174"/>
      <c r="K15" s="47">
        <f t="shared" ref="K15:K22" si="10">MONTH(G15)</f>
        <v>4</v>
      </c>
      <c r="L15" s="47">
        <f t="shared" si="2"/>
        <v>2020</v>
      </c>
      <c r="M15" s="47" t="str">
        <f t="shared" si="0"/>
        <v>42020</v>
      </c>
      <c r="N15" s="18">
        <f t="shared" si="3"/>
        <v>37800</v>
      </c>
      <c r="O15" s="31">
        <f t="shared" ref="O15:O23" si="11">ROUND(N15*C15,0)</f>
        <v>14364</v>
      </c>
      <c r="P15" s="31">
        <f t="shared" ref="P15:P59" si="12">P14</f>
        <v>0</v>
      </c>
      <c r="Q15" s="31">
        <f t="shared" si="4"/>
        <v>3402</v>
      </c>
      <c r="R15" s="32">
        <f t="array" ref="R15">SUM(N15:Q15)</f>
        <v>55566</v>
      </c>
      <c r="S15" s="8">
        <f t="array" ref="S15">IF(N15=0,0,IF($E$2="FIXATION",$B$5,IF(N15=0,0,IF(BA15=7,ROUND(S14*1.03,-2),S14))))</f>
        <v>26500</v>
      </c>
      <c r="T15" s="9">
        <f t="shared" si="5"/>
        <v>0</v>
      </c>
      <c r="U15" s="31">
        <f t="shared" si="6"/>
        <v>0</v>
      </c>
      <c r="V15" s="9">
        <f t="array" ref="V15">IF($E$2="fixation",0,ROUND(S15*D15,0))</f>
        <v>0</v>
      </c>
      <c r="W15" s="32">
        <f t="array" ref="W15">SUM(S15:V15)</f>
        <v>26500</v>
      </c>
      <c r="X15" s="76">
        <f t="shared" ref="X15:X21" si="13">N15-S15</f>
        <v>11300</v>
      </c>
      <c r="Y15" s="77">
        <f t="shared" ref="Y15:Y21" si="14">O15-T15</f>
        <v>14364</v>
      </c>
      <c r="Z15" s="77"/>
      <c r="AA15" s="77">
        <f t="shared" ref="AA15:AA21" si="15">Q15-V15</f>
        <v>3402</v>
      </c>
      <c r="AB15" s="13">
        <f t="array" ref="AB15">SUM(X15:AA15)</f>
        <v>29066</v>
      </c>
      <c r="AC15" s="14">
        <f t="shared" ref="AC15:AC60" si="16">IF(N15=0,0,($AR$2+AV15))</f>
        <v>2100</v>
      </c>
      <c r="AD15" s="11">
        <f t="shared" ref="AD15:AD60" si="17">IF(N15=0,0,AD14)</f>
        <v>1100</v>
      </c>
      <c r="AE15" s="15">
        <f>AC15-AD15</f>
        <v>1000</v>
      </c>
      <c r="AF15" s="11">
        <f t="array" ref="AF15">IF(N15=0,0,AF14)</f>
        <v>3000</v>
      </c>
      <c r="AG15" s="9">
        <f t="array" ref="AG15">IF(N15=0,0,AG14)</f>
        <v>3000</v>
      </c>
      <c r="AH15" s="10">
        <f>AF15-AG15</f>
        <v>0</v>
      </c>
      <c r="AI15" s="11">
        <f t="array" ref="AI15">IF(BN15="MSS",ROUND(N15/31*5,0),IF(BN15="MS",ROUND(N15/31*3,0),IF(BN15="MM",ROUND(N15/31*2,0),IF(BN15="MF",ROUND(N15/31*1,0),IF(BN15="SSS",ROUND(R15/30*2,0),IF(BN15="SS",ROUND(R15/30,0),IF(BN15="SM",ROUND(R15/30,0),IF(BN15="SF",ROUND(R15/30*0,0),IF(BN15="OSS",ROUND(R15/31*2,0),IF(BN15="OS",ROUND(R15/31,0),IF(BN15="OM",ROUND(R15/31,0),IF(BN15="OF",ROUND(R15/31*0,0),0))))))))))))</f>
        <v>0</v>
      </c>
      <c r="AJ15" s="9">
        <f t="array" ref="AJ15">IF(BN15="MSS",ROUND(S15/31*5,0),IF(BN15="MS",ROUND(S15/31*3,0),IF(BN15="MM",ROUND(S15/31*2,0),IF(BN15="MF",ROUND(S15/31*1,0),IF(BN15="SSS",ROUND(W15/30*2,0),IF(BN15="SS",ROUND(W15/30,0),IF(BN15="SM",ROUND(W15/30,0),IF(BN15="SF",ROUND(W15/30*0,0),IF(BN15="OSS",ROUND(W15/31*2,0),IF(BN15="OS",ROUND(W15/31,0),IF(BN15="OM",ROUND(W15/31,0),IF(BN15="OF",ROUND(W15/31*0,0),0))))))))))))</f>
        <v>0</v>
      </c>
      <c r="AK15" s="10">
        <f>AI15-AJ15</f>
        <v>0</v>
      </c>
      <c r="AL15" s="352">
        <f t="shared" ref="AL15:AL60" si="18">AL14</f>
        <v>0</v>
      </c>
      <c r="AM15" s="353">
        <f t="shared" ref="AM15:AM60" si="19">AM14</f>
        <v>0</v>
      </c>
      <c r="AN15" s="349">
        <f t="array" ref="AN15">AL15-AM15</f>
        <v>0</v>
      </c>
      <c r="AO15" s="133">
        <f t="shared" ref="AO15:AO60" si="20">ROUND((AB15)*$E$3,0)</f>
        <v>2907</v>
      </c>
      <c r="AP15" s="134">
        <f t="array" ref="AP15">AE15+AH15+AK15+AN15+AO15</f>
        <v>3907</v>
      </c>
      <c r="AQ15" s="16">
        <f t="array" ref="AQ15">AB15-AP15</f>
        <v>25159</v>
      </c>
      <c r="AR15" s="356"/>
      <c r="AS15" s="180"/>
      <c r="AT15" s="86" t="str">
        <f t="shared" ref="AT15:AT59" si="21">IF(OR(BA15=1,BA15=2,BA15=3,BA15=7,BA15=8,BA15=9),"YES",IF(BA15=0,0,"NO"))</f>
        <v>NO</v>
      </c>
      <c r="AU15" s="87">
        <v>0.03</v>
      </c>
      <c r="AV15" s="88">
        <f t="array" ref="AV15">IF(AND(AT15="Yes",$E$2="Fixation"),ROUND(N15*AU15,0),IF(AT15="yes",ROUND((N15-S15)*AU15,0),0))</f>
        <v>0</v>
      </c>
      <c r="AW15" s="180"/>
      <c r="AX15" s="78"/>
      <c r="AY15" s="78"/>
      <c r="AZ15" s="24">
        <f t="shared" ref="AZ15:AZ21" si="22">G15</f>
        <v>43922</v>
      </c>
      <c r="BA15" s="123">
        <f t="shared" ref="BA15:BA60" si="23">IF(AZ15=0,0,MONTH(AZ15))</f>
        <v>4</v>
      </c>
      <c r="BB15" s="123">
        <f>IF(BA15=7,ROUND(BB14*1.03,-2),IF(BA15=0,0,BB14))</f>
        <v>37800</v>
      </c>
      <c r="BF15" s="48">
        <f>BF14+31</f>
        <v>43922</v>
      </c>
      <c r="BH15" s="44">
        <f t="shared" ref="BH15:BH75" si="24">IF($O$2="state",5,IF($O$2="subordinate",3,IF($O$2="ministrial",2,1)))</f>
        <v>1</v>
      </c>
      <c r="BI15" s="45" t="str">
        <f t="shared" ref="BI15:BI21" si="25">M15</f>
        <v>42020</v>
      </c>
      <c r="BJ15" s="44">
        <f t="shared" ref="BJ15:BJ75" si="26">BH15+BI15</f>
        <v>42021</v>
      </c>
      <c r="BK15" s="46">
        <f t="shared" ref="BK15:BK75" si="27">IF(BJ15=32025,"SSM",IF(BJ15=32023,"SM",IF(BJ15=32022,"MM",IF(BJ15=32021,"FM",IF(BJ15=92025,"SSS",IF(BJ15=92023,"SS",IF(BJ15=92022,"MS",IF(BJ15=92021,"FS",IF(BJ15=102025,"SSO",IF(BJ15=102023,"SO",IF(BJ15=102022,"MO",IF(BJ15=102021,"FO",0))))))))))))</f>
        <v>0</v>
      </c>
      <c r="BL15" s="46">
        <f t="shared" ref="BL15:BL75" si="28">IF(BI15="32020","M",IF(BI15="92020","S",IF(BI15="102020","O",0)))</f>
        <v>0</v>
      </c>
      <c r="BM15" s="49">
        <f t="shared" ref="BM15:BM60" si="29">IF(BL15=0,0,"ss")</f>
        <v>0</v>
      </c>
      <c r="BN15" s="46" t="str">
        <f t="shared" ref="BN15:BN75" si="30">CONCATENATE(BL15,BM15)</f>
        <v>00</v>
      </c>
    </row>
    <row r="16" spans="1:69" ht="20.25" customHeight="1">
      <c r="A16" s="23">
        <f t="shared" si="8"/>
        <v>37800</v>
      </c>
      <c r="B16" s="129">
        <f t="shared" si="1"/>
        <v>0.38</v>
      </c>
      <c r="C16" s="129">
        <f t="shared" si="1"/>
        <v>0.38</v>
      </c>
      <c r="D16" s="129">
        <f t="shared" si="1"/>
        <v>0.08</v>
      </c>
      <c r="E16" s="129">
        <f t="shared" si="1"/>
        <v>0.09</v>
      </c>
      <c r="F16" s="36">
        <v>4</v>
      </c>
      <c r="G16" s="172">
        <f t="shared" si="9"/>
        <v>43953</v>
      </c>
      <c r="H16" s="173"/>
      <c r="I16" s="173"/>
      <c r="J16" s="174"/>
      <c r="K16" s="47">
        <f t="shared" si="10"/>
        <v>5</v>
      </c>
      <c r="L16" s="47">
        <f t="shared" si="2"/>
        <v>2020</v>
      </c>
      <c r="M16" s="47" t="str">
        <f t="shared" si="0"/>
        <v>52020</v>
      </c>
      <c r="N16" s="18">
        <f t="shared" si="3"/>
        <v>37800</v>
      </c>
      <c r="O16" s="31">
        <f t="shared" si="11"/>
        <v>14364</v>
      </c>
      <c r="P16" s="31">
        <f t="shared" si="12"/>
        <v>0</v>
      </c>
      <c r="Q16" s="31">
        <f t="shared" si="4"/>
        <v>3402</v>
      </c>
      <c r="R16" s="32">
        <f t="array" ref="R16">SUM(N16:Q16)</f>
        <v>55566</v>
      </c>
      <c r="S16" s="8">
        <f t="array" ref="S16">IF(N16=0,0,IF($E$2="FIXATION",$B$5,IF(N16=0,0,IF(BA16=7,ROUND(S15*1.03,-2),S15))))</f>
        <v>26500</v>
      </c>
      <c r="T16" s="9">
        <f t="shared" si="5"/>
        <v>0</v>
      </c>
      <c r="U16" s="31">
        <f t="shared" si="6"/>
        <v>0</v>
      </c>
      <c r="V16" s="9">
        <f t="array" ref="V16">IF($E$2="fixation",0,ROUND(S16*D16,0))</f>
        <v>0</v>
      </c>
      <c r="W16" s="32">
        <f t="array" ref="W16">SUM(S16:V16)</f>
        <v>26500</v>
      </c>
      <c r="X16" s="76">
        <f t="shared" si="13"/>
        <v>11300</v>
      </c>
      <c r="Y16" s="77">
        <f t="shared" si="14"/>
        <v>14364</v>
      </c>
      <c r="Z16" s="77"/>
      <c r="AA16" s="77">
        <f t="shared" si="15"/>
        <v>3402</v>
      </c>
      <c r="AB16" s="13">
        <f t="array" ref="AB16">SUM(X16:AA16)</f>
        <v>29066</v>
      </c>
      <c r="AC16" s="14">
        <f t="shared" si="16"/>
        <v>2100</v>
      </c>
      <c r="AD16" s="11">
        <f t="shared" si="17"/>
        <v>1100</v>
      </c>
      <c r="AE16" s="15">
        <f t="shared" ref="AE16:AE23" si="31">AC16-AD16</f>
        <v>1000</v>
      </c>
      <c r="AF16" s="11">
        <f t="array" ref="AF16">IF(N16=0,0,AF15)</f>
        <v>3000</v>
      </c>
      <c r="AG16" s="9">
        <f t="array" ref="AG16">IF(N16=0,0,AG15)</f>
        <v>3000</v>
      </c>
      <c r="AH16" s="10">
        <f t="shared" ref="AH16:AH23" si="32">AF16-AG16</f>
        <v>0</v>
      </c>
      <c r="AI16" s="11">
        <f t="array" ref="AI16">IF(BN16="MSS",ROUND(N16/31*5,0),IF(BN16="MS",ROUND(N16/31*3,0),IF(BN16="MM",ROUND(N16/31*2,0),IF(BN16="MF",ROUND(N16/31*1,0),IF(BN16="SSS",ROUND(R16/30*2,0),IF(BN16="SS",ROUND(R16/30,0),IF(BN16="SM",ROUND(R16/30,0),IF(BN16="SF",ROUND(R16/30*0,0),IF(BN16="OSS",ROUND(R16/31*2,0),IF(BN16="OS",ROUND(R16/31,0),IF(BN16="OM",ROUND(R16/31,0),IF(BN16="OF",ROUND(R16/31*0,0),0))))))))))))</f>
        <v>0</v>
      </c>
      <c r="AJ16" s="9">
        <f t="array" ref="AJ16">IF(BN16="MSS",ROUND(S16/31*5,0),IF(BN16="MS",ROUND(S16/31*3,0),IF(BN16="MM",ROUND(S16/31*2,0),IF(BN16="MF",ROUND(S16/31*1,0),IF(BN16="SSS",ROUND(W16/30*2,0),IF(BN16="SS",ROUND(W16/30,0),IF(BN16="SM",ROUND(W16/30,0),IF(BN16="SF",ROUND(W16/30*0,0),IF(BN16="OSS",ROUND(W16/31*2,0),IF(BN16="OS",ROUND(W16/31,0),IF(BN16="OM",ROUND(W16/31,0),IF(BN16="OF",ROUND(W16/31*0,0),0))))))))))))</f>
        <v>0</v>
      </c>
      <c r="AK16" s="10">
        <f t="shared" ref="AK16:AK23" si="33">AI16-AJ16</f>
        <v>0</v>
      </c>
      <c r="AL16" s="352">
        <f t="shared" si="18"/>
        <v>0</v>
      </c>
      <c r="AM16" s="353">
        <f t="shared" si="19"/>
        <v>0</v>
      </c>
      <c r="AN16" s="349">
        <f t="array" ref="AN16">AL16-AM16</f>
        <v>0</v>
      </c>
      <c r="AO16" s="133">
        <f t="shared" si="20"/>
        <v>2907</v>
      </c>
      <c r="AP16" s="134">
        <f t="array" ref="AP16">AE16+AH16+AK16+AN16+AO16</f>
        <v>3907</v>
      </c>
      <c r="AQ16" s="16">
        <f t="array" ref="AQ16">AB16-AP16</f>
        <v>25159</v>
      </c>
      <c r="AR16" s="356"/>
      <c r="AS16" s="180"/>
      <c r="AT16" s="86" t="str">
        <f t="shared" si="21"/>
        <v>NO</v>
      </c>
      <c r="AU16" s="87">
        <v>0.03</v>
      </c>
      <c r="AV16" s="88">
        <f t="array" ref="AV16">IF(AND(AT16="Yes",$E$2="Fixation"),ROUND(N16*AU16,0),IF(AT16="yes",ROUND((N16-S16)*AU16,0),0))</f>
        <v>0</v>
      </c>
      <c r="AW16" s="180"/>
      <c r="AX16" s="78"/>
      <c r="AY16" s="78"/>
      <c r="AZ16" s="24">
        <f t="shared" si="22"/>
        <v>43953</v>
      </c>
      <c r="BA16" s="123">
        <f t="shared" si="23"/>
        <v>5</v>
      </c>
      <c r="BB16" s="123">
        <f t="shared" ref="BB16:BB60" si="34">IF(BA16=7,ROUND(BB15*1.03,-2),IF(BA16=0,0,BB15))</f>
        <v>37800</v>
      </c>
      <c r="BF16" s="48">
        <f t="shared" ref="BF16:BF60" si="35">BF15+31</f>
        <v>43953</v>
      </c>
      <c r="BH16" s="44">
        <f t="shared" si="24"/>
        <v>1</v>
      </c>
      <c r="BI16" s="45" t="str">
        <f t="shared" si="25"/>
        <v>52020</v>
      </c>
      <c r="BJ16" s="44">
        <f t="shared" si="26"/>
        <v>52021</v>
      </c>
      <c r="BK16" s="46">
        <f t="shared" si="27"/>
        <v>0</v>
      </c>
      <c r="BL16" s="46">
        <f t="shared" si="28"/>
        <v>0</v>
      </c>
      <c r="BM16" s="49">
        <f t="shared" si="29"/>
        <v>0</v>
      </c>
      <c r="BN16" s="46" t="str">
        <f t="shared" si="30"/>
        <v>00</v>
      </c>
    </row>
    <row r="17" spans="1:66" ht="20.25" customHeight="1">
      <c r="A17" s="23">
        <f t="shared" si="8"/>
        <v>37800</v>
      </c>
      <c r="B17" s="129">
        <f t="shared" ref="B17:D23" si="36">B14</f>
        <v>0.38</v>
      </c>
      <c r="C17" s="129">
        <f t="shared" ref="C17" si="37">C14</f>
        <v>0.38</v>
      </c>
      <c r="D17" s="129">
        <f t="shared" si="36"/>
        <v>0.08</v>
      </c>
      <c r="E17" s="129">
        <f t="shared" ref="E17" si="38">E14</f>
        <v>0.09</v>
      </c>
      <c r="F17" s="36">
        <v>5</v>
      </c>
      <c r="G17" s="172">
        <f t="shared" si="9"/>
        <v>43984</v>
      </c>
      <c r="H17" s="173"/>
      <c r="I17" s="173"/>
      <c r="J17" s="174"/>
      <c r="K17" s="47">
        <f t="shared" si="10"/>
        <v>6</v>
      </c>
      <c r="L17" s="47">
        <f t="shared" si="2"/>
        <v>2020</v>
      </c>
      <c r="M17" s="47" t="str">
        <f t="shared" si="0"/>
        <v>62020</v>
      </c>
      <c r="N17" s="18">
        <f t="shared" si="3"/>
        <v>37800</v>
      </c>
      <c r="O17" s="31">
        <f t="shared" si="11"/>
        <v>14364</v>
      </c>
      <c r="P17" s="31">
        <f t="shared" si="12"/>
        <v>0</v>
      </c>
      <c r="Q17" s="31">
        <f t="shared" si="4"/>
        <v>3402</v>
      </c>
      <c r="R17" s="32">
        <f t="array" ref="R17">SUM(N17:Q17)</f>
        <v>55566</v>
      </c>
      <c r="S17" s="8">
        <f t="array" ref="S17">IF(N17=0,0,IF($E$2="FIXATION",$B$5,IF(N17=0,0,IF(BA17=7,ROUND(S16*1.03,-2),S16))))</f>
        <v>26500</v>
      </c>
      <c r="T17" s="9">
        <f t="shared" si="5"/>
        <v>0</v>
      </c>
      <c r="U17" s="31">
        <f t="shared" si="6"/>
        <v>0</v>
      </c>
      <c r="V17" s="9">
        <f t="array" ref="V17">IF($E$2="fixation",0,ROUND(S17*D17,0))</f>
        <v>0</v>
      </c>
      <c r="W17" s="32">
        <f t="array" ref="W17">SUM(S17:V17)</f>
        <v>26500</v>
      </c>
      <c r="X17" s="76">
        <f t="shared" si="13"/>
        <v>11300</v>
      </c>
      <c r="Y17" s="77">
        <f t="shared" si="14"/>
        <v>14364</v>
      </c>
      <c r="Z17" s="77"/>
      <c r="AA17" s="77">
        <f t="shared" si="15"/>
        <v>3402</v>
      </c>
      <c r="AB17" s="13">
        <f t="array" ref="AB17">SUM(X17:AA17)</f>
        <v>29066</v>
      </c>
      <c r="AC17" s="14">
        <f t="shared" si="16"/>
        <v>2100</v>
      </c>
      <c r="AD17" s="11">
        <f t="shared" si="17"/>
        <v>1100</v>
      </c>
      <c r="AE17" s="15">
        <f t="shared" si="31"/>
        <v>1000</v>
      </c>
      <c r="AF17" s="11">
        <f t="array" ref="AF17">IF(N17=0,0,AF16)</f>
        <v>3000</v>
      </c>
      <c r="AG17" s="9">
        <f t="array" ref="AG17">IF(N17=0,0,AG16)</f>
        <v>3000</v>
      </c>
      <c r="AH17" s="10">
        <f t="shared" si="32"/>
        <v>0</v>
      </c>
      <c r="AI17" s="11">
        <f t="array" ref="AI17">IF(BN17="MSS",ROUND(N17/31*5,0),IF(BN17="MS",ROUND(N17/31*3,0),IF(BN17="MM",ROUND(N17/31*2,0),IF(BN17="MF",ROUND(N17/31*1,0),IF(BN17="SSS",ROUND(R17/30*2,0),IF(BN17="SS",ROUND(R17/30,0),IF(BN17="SM",ROUND(R17/30,0),IF(BN17="SF",ROUND(R17/30*0,0),IF(BN17="OSS",ROUND(R17/31*2,0),IF(BN17="OS",ROUND(R17/31,0),IF(BN17="OM",ROUND(R17/31,0),IF(BN17="OF",ROUND(R17/31*0,0),0))))))))))))</f>
        <v>0</v>
      </c>
      <c r="AJ17" s="9">
        <f t="array" ref="AJ17">IF(BN17="MSS",ROUND(S17/31*5,0),IF(BN17="MS",ROUND(S17/31*3,0),IF(BN17="MM",ROUND(S17/31*2,0),IF(BN17="MF",ROUND(S17/31*1,0),IF(BN17="SSS",ROUND(W17/30*2,0),IF(BN17="SS",ROUND(W17/30,0),IF(BN17="SM",ROUND(W17/30,0),IF(BN17="SF",ROUND(W17/30*0,0),IF(BN17="OSS",ROUND(W17/31*2,0),IF(BN17="OS",ROUND(W17/31,0),IF(BN17="OM",ROUND(W17/31,0),IF(BN17="OF",ROUND(W17/31*0,0),0))))))))))))</f>
        <v>0</v>
      </c>
      <c r="AK17" s="10">
        <f t="shared" si="33"/>
        <v>0</v>
      </c>
      <c r="AL17" s="352">
        <f t="shared" si="18"/>
        <v>0</v>
      </c>
      <c r="AM17" s="353">
        <f t="shared" si="19"/>
        <v>0</v>
      </c>
      <c r="AN17" s="349">
        <f t="array" ref="AN17">AL17-AM17</f>
        <v>0</v>
      </c>
      <c r="AO17" s="133">
        <f t="shared" si="20"/>
        <v>2907</v>
      </c>
      <c r="AP17" s="134">
        <f t="array" ref="AP17">AE17+AH17+AK17+AN17+AO17</f>
        <v>3907</v>
      </c>
      <c r="AQ17" s="16">
        <f t="array" ref="AQ17">AB17-AP17</f>
        <v>25159</v>
      </c>
      <c r="AR17" s="356"/>
      <c r="AS17" s="180"/>
      <c r="AT17" s="86" t="str">
        <f t="shared" si="21"/>
        <v>NO</v>
      </c>
      <c r="AU17" s="87">
        <v>0.03</v>
      </c>
      <c r="AV17" s="88">
        <f t="array" ref="AV17">IF(AND(AT17="Yes",$E$2="Fixation"),ROUND(N17*AU17,0),IF(AT17="yes",ROUND((N17-S17)*AU17,0),0))</f>
        <v>0</v>
      </c>
      <c r="AW17" s="180"/>
      <c r="AX17" s="78"/>
      <c r="AY17" s="78"/>
      <c r="AZ17" s="24">
        <f t="shared" si="22"/>
        <v>43984</v>
      </c>
      <c r="BA17" s="123">
        <f t="shared" si="23"/>
        <v>6</v>
      </c>
      <c r="BB17" s="123">
        <f t="shared" si="34"/>
        <v>37800</v>
      </c>
      <c r="BF17" s="48">
        <f t="shared" si="35"/>
        <v>43984</v>
      </c>
      <c r="BH17" s="44">
        <f t="shared" si="24"/>
        <v>1</v>
      </c>
      <c r="BI17" s="45" t="str">
        <f t="shared" si="25"/>
        <v>62020</v>
      </c>
      <c r="BJ17" s="44">
        <f t="shared" si="26"/>
        <v>62021</v>
      </c>
      <c r="BK17" s="46">
        <f t="shared" si="27"/>
        <v>0</v>
      </c>
      <c r="BL17" s="46">
        <f t="shared" si="28"/>
        <v>0</v>
      </c>
      <c r="BM17" s="49">
        <f t="shared" si="29"/>
        <v>0</v>
      </c>
      <c r="BN17" s="46" t="str">
        <f t="shared" si="30"/>
        <v>00</v>
      </c>
    </row>
    <row r="18" spans="1:66" ht="18" customHeight="1">
      <c r="A18" s="23">
        <f t="shared" si="8"/>
        <v>38900</v>
      </c>
      <c r="B18" s="129">
        <f t="shared" si="36"/>
        <v>0.38</v>
      </c>
      <c r="C18" s="129">
        <f t="shared" ref="C18" si="39">C15</f>
        <v>0.38</v>
      </c>
      <c r="D18" s="129">
        <f t="shared" si="36"/>
        <v>0.08</v>
      </c>
      <c r="E18" s="129">
        <f t="shared" ref="E18" si="40">E15</f>
        <v>0.09</v>
      </c>
      <c r="F18" s="36">
        <v>6</v>
      </c>
      <c r="G18" s="172">
        <f t="shared" si="9"/>
        <v>44015</v>
      </c>
      <c r="H18" s="173"/>
      <c r="I18" s="173"/>
      <c r="J18" s="174"/>
      <c r="K18" s="47">
        <f t="shared" si="10"/>
        <v>7</v>
      </c>
      <c r="L18" s="47">
        <f t="shared" si="2"/>
        <v>2020</v>
      </c>
      <c r="M18" s="47" t="str">
        <f t="shared" si="0"/>
        <v>72020</v>
      </c>
      <c r="N18" s="18">
        <f t="shared" si="3"/>
        <v>38900</v>
      </c>
      <c r="O18" s="31">
        <f t="shared" si="11"/>
        <v>14782</v>
      </c>
      <c r="P18" s="31">
        <f t="shared" si="12"/>
        <v>0</v>
      </c>
      <c r="Q18" s="31">
        <f t="shared" si="4"/>
        <v>3501</v>
      </c>
      <c r="R18" s="32">
        <f t="array" ref="R18">SUM(N18:Q18)</f>
        <v>57183</v>
      </c>
      <c r="S18" s="8">
        <f t="array" ref="S18">IF(N18=0,0,IF($E$2="FIXATION",$B$5,IF(N18=0,0,IF(BA18=7,ROUND(S17*1.03,-2),S17))))</f>
        <v>26500</v>
      </c>
      <c r="T18" s="9">
        <f t="shared" si="5"/>
        <v>0</v>
      </c>
      <c r="U18" s="31">
        <f t="shared" si="6"/>
        <v>0</v>
      </c>
      <c r="V18" s="9">
        <f t="array" ref="V18">IF($E$2="fixation",0,ROUND(S18*D18,0))</f>
        <v>0</v>
      </c>
      <c r="W18" s="32">
        <f t="array" ref="W18">SUM(S18:V18)</f>
        <v>26500</v>
      </c>
      <c r="X18" s="76">
        <f t="shared" si="13"/>
        <v>12400</v>
      </c>
      <c r="Y18" s="77">
        <f t="shared" si="14"/>
        <v>14782</v>
      </c>
      <c r="Z18" s="77"/>
      <c r="AA18" s="77">
        <f t="shared" si="15"/>
        <v>3501</v>
      </c>
      <c r="AB18" s="13">
        <f t="array" ref="AB18">SUM(X18:AA18)</f>
        <v>30683</v>
      </c>
      <c r="AC18" s="14">
        <f t="shared" si="16"/>
        <v>3267</v>
      </c>
      <c r="AD18" s="11">
        <f t="shared" si="17"/>
        <v>1100</v>
      </c>
      <c r="AE18" s="15">
        <f t="shared" si="31"/>
        <v>2167</v>
      </c>
      <c r="AF18" s="11">
        <f t="array" ref="AF18">IF(N18=0,0,AF17)</f>
        <v>3000</v>
      </c>
      <c r="AG18" s="9">
        <f t="array" ref="AG18">IF(N18=0,0,AG17)</f>
        <v>3000</v>
      </c>
      <c r="AH18" s="10">
        <f t="shared" si="32"/>
        <v>0</v>
      </c>
      <c r="AI18" s="11">
        <f t="array" ref="AI18">IF(BN18="MSS",ROUND(N18/31*5,0),IF(BN18="MS",ROUND(N18/31*3,0),IF(BN18="MM",ROUND(N18/31*2,0),IF(BN18="MF",ROUND(N18/31*1,0),IF(BN18="SSS",ROUND(R18/30*2,0),IF(BN18="SS",ROUND(R18/30,0),IF(BN18="SM",ROUND(R18/30,0),IF(BN18="SF",ROUND(R18/30*0,0),IF(BN18="OSS",ROUND(R18/31*2,0),IF(BN18="OS",ROUND(R18/31,0),IF(BN18="OM",ROUND(R18/31,0),IF(BN18="OF",ROUND(R18/31*0,0),0))))))))))))</f>
        <v>0</v>
      </c>
      <c r="AJ18" s="9">
        <f t="array" ref="AJ18">IF(BN18="MSS",ROUND(S18/31*5,0),IF(BN18="MS",ROUND(S18/31*3,0),IF(BN18="MM",ROUND(S18/31*2,0),IF(BN18="MF",ROUND(S18/31*1,0),IF(BN18="SSS",ROUND(W18/30*2,0),IF(BN18="SS",ROUND(W18/30,0),IF(BN18="SM",ROUND(W18/30,0),IF(BN18="SF",ROUND(W18/30*0,0),IF(BN18="OSS",ROUND(W18/31*2,0),IF(BN18="OS",ROUND(W18/31,0),IF(BN18="OM",ROUND(W18/31,0),IF(BN18="OF",ROUND(W18/31*0,0),0))))))))))))</f>
        <v>0</v>
      </c>
      <c r="AK18" s="10">
        <f t="shared" si="33"/>
        <v>0</v>
      </c>
      <c r="AL18" s="352">
        <f t="shared" si="18"/>
        <v>0</v>
      </c>
      <c r="AM18" s="353">
        <f t="shared" si="19"/>
        <v>0</v>
      </c>
      <c r="AN18" s="349">
        <f t="array" ref="AN18">AL18-AM18</f>
        <v>0</v>
      </c>
      <c r="AO18" s="133">
        <f t="shared" si="20"/>
        <v>3068</v>
      </c>
      <c r="AP18" s="134">
        <f t="array" ref="AP18">AE18+AH18+AK18+AN18+AO18</f>
        <v>5235</v>
      </c>
      <c r="AQ18" s="16">
        <f t="array" ref="AQ18">AB18-AP18</f>
        <v>25448</v>
      </c>
      <c r="AR18" s="356"/>
      <c r="AS18" s="180"/>
      <c r="AT18" s="86" t="str">
        <f t="shared" si="21"/>
        <v>YES</v>
      </c>
      <c r="AU18" s="87">
        <v>0.03</v>
      </c>
      <c r="AV18" s="88">
        <f t="array" ref="AV18">IF(AND(AT18="Yes",$E$2="Fixation"),ROUND(N18*AU18,0),IF(AT18="yes",ROUND((N18-S18)*AU18,0),0))</f>
        <v>1167</v>
      </c>
      <c r="AW18" s="180"/>
      <c r="AX18" s="78"/>
      <c r="AY18" s="78"/>
      <c r="AZ18" s="24">
        <f t="shared" si="22"/>
        <v>44015</v>
      </c>
      <c r="BA18" s="123">
        <f t="shared" si="23"/>
        <v>7</v>
      </c>
      <c r="BB18" s="123">
        <f t="shared" si="34"/>
        <v>38900</v>
      </c>
      <c r="BF18" s="48">
        <f t="shared" si="35"/>
        <v>44015</v>
      </c>
      <c r="BH18" s="44">
        <f t="shared" si="24"/>
        <v>1</v>
      </c>
      <c r="BI18" s="45" t="str">
        <f t="shared" si="25"/>
        <v>72020</v>
      </c>
      <c r="BJ18" s="44">
        <f t="shared" si="26"/>
        <v>72021</v>
      </c>
      <c r="BK18" s="46">
        <f t="shared" si="27"/>
        <v>0</v>
      </c>
      <c r="BL18" s="46">
        <f t="shared" si="28"/>
        <v>0</v>
      </c>
      <c r="BM18" s="49">
        <f t="shared" si="29"/>
        <v>0</v>
      </c>
      <c r="BN18" s="46" t="str">
        <f t="shared" si="30"/>
        <v>00</v>
      </c>
    </row>
    <row r="19" spans="1:66" ht="18" customHeight="1">
      <c r="A19" s="23">
        <f t="shared" si="8"/>
        <v>38900</v>
      </c>
      <c r="B19" s="129">
        <f t="shared" si="36"/>
        <v>0.38</v>
      </c>
      <c r="C19" s="129">
        <f t="shared" ref="C19" si="41">C16</f>
        <v>0.38</v>
      </c>
      <c r="D19" s="129">
        <f t="shared" si="36"/>
        <v>0.08</v>
      </c>
      <c r="E19" s="129">
        <f t="shared" ref="E19" si="42">E16</f>
        <v>0.09</v>
      </c>
      <c r="F19" s="36">
        <v>7</v>
      </c>
      <c r="G19" s="172">
        <f t="shared" si="9"/>
        <v>44046</v>
      </c>
      <c r="H19" s="173"/>
      <c r="I19" s="173"/>
      <c r="J19" s="174"/>
      <c r="K19" s="47">
        <f t="shared" si="10"/>
        <v>8</v>
      </c>
      <c r="L19" s="47">
        <f t="shared" si="2"/>
        <v>2020</v>
      </c>
      <c r="M19" s="47" t="str">
        <f t="shared" si="0"/>
        <v>82020</v>
      </c>
      <c r="N19" s="18">
        <f t="shared" si="3"/>
        <v>38900</v>
      </c>
      <c r="O19" s="31">
        <f t="shared" si="11"/>
        <v>14782</v>
      </c>
      <c r="P19" s="31">
        <f t="shared" si="12"/>
        <v>0</v>
      </c>
      <c r="Q19" s="31">
        <f t="shared" si="4"/>
        <v>3501</v>
      </c>
      <c r="R19" s="32">
        <f t="array" ref="R19">SUM(N19:Q19)</f>
        <v>57183</v>
      </c>
      <c r="S19" s="8">
        <f t="array" ref="S19">IF(N19=0,0,IF($E$2="FIXATION",$B$5,IF(N19=0,0,IF(BA19=7,ROUND(S18*1.03,-2),S18))))</f>
        <v>26500</v>
      </c>
      <c r="T19" s="9">
        <f t="shared" si="5"/>
        <v>0</v>
      </c>
      <c r="U19" s="31">
        <f t="shared" si="6"/>
        <v>0</v>
      </c>
      <c r="V19" s="9">
        <f t="array" ref="V19">IF($E$2="fixation",0,ROUND(S19*D19,0))</f>
        <v>0</v>
      </c>
      <c r="W19" s="32">
        <f t="array" ref="W19">SUM(S19:V19)</f>
        <v>26500</v>
      </c>
      <c r="X19" s="76">
        <f t="shared" si="13"/>
        <v>12400</v>
      </c>
      <c r="Y19" s="77">
        <f t="shared" si="14"/>
        <v>14782</v>
      </c>
      <c r="Z19" s="77"/>
      <c r="AA19" s="77">
        <f t="shared" si="15"/>
        <v>3501</v>
      </c>
      <c r="AB19" s="13">
        <f t="array" ref="AB19">SUM(X19:AA19)</f>
        <v>30683</v>
      </c>
      <c r="AC19" s="14">
        <f t="shared" si="16"/>
        <v>3267</v>
      </c>
      <c r="AD19" s="11">
        <f t="shared" si="17"/>
        <v>1100</v>
      </c>
      <c r="AE19" s="15">
        <f t="shared" si="31"/>
        <v>2167</v>
      </c>
      <c r="AF19" s="11">
        <f t="array" ref="AF19">IF(N19=0,0,AF18)</f>
        <v>3000</v>
      </c>
      <c r="AG19" s="9">
        <f t="array" ref="AG19">IF(N19=0,0,AG18)</f>
        <v>3000</v>
      </c>
      <c r="AH19" s="10">
        <f t="shared" si="32"/>
        <v>0</v>
      </c>
      <c r="AI19" s="11">
        <f t="array" ref="AI19">IF(BN19="MSS",ROUND(N19/31*5,0),IF(BN19="MS",ROUND(N19/31*3,0),IF(BN19="MM",ROUND(N19/31*2,0),IF(BN19="MF",ROUND(N19/31*1,0),IF(BN19="SSS",ROUND(R19/30*2,0),IF(BN19="SS",ROUND(R19/30,0),IF(BN19="SM",ROUND(R19/30,0),IF(BN19="SF",ROUND(R19/30*0,0),IF(BN19="OSS",ROUND(R19/31*2,0),IF(BN19="OS",ROUND(R19/31,0),IF(BN19="OM",ROUND(R19/31,0),IF(BN19="OF",ROUND(R19/31*0,0),0))))))))))))</f>
        <v>0</v>
      </c>
      <c r="AJ19" s="9">
        <f t="array" ref="AJ19">IF(BN19="MSS",ROUND(S19/31*5,0),IF(BN19="MS",ROUND(S19/31*3,0),IF(BN19="MM",ROUND(S19/31*2,0),IF(BN19="MF",ROUND(S19/31*1,0),IF(BN19="SSS",ROUND(W19/30*2,0),IF(BN19="SS",ROUND(W19/30,0),IF(BN19="SM",ROUND(W19/30,0),IF(BN19="SF",ROUND(W19/30*0,0),IF(BN19="OSS",ROUND(W19/31*2,0),IF(BN19="OS",ROUND(W19/31,0),IF(BN19="OM",ROUND(W19/31,0),IF(BN19="OF",ROUND(W19/31*0,0),0))))))))))))</f>
        <v>0</v>
      </c>
      <c r="AK19" s="10">
        <f t="shared" si="33"/>
        <v>0</v>
      </c>
      <c r="AL19" s="352">
        <f t="shared" si="18"/>
        <v>0</v>
      </c>
      <c r="AM19" s="353">
        <f t="shared" si="19"/>
        <v>0</v>
      </c>
      <c r="AN19" s="349">
        <f t="array" ref="AN19">AL19-AM19</f>
        <v>0</v>
      </c>
      <c r="AO19" s="133">
        <f t="shared" si="20"/>
        <v>3068</v>
      </c>
      <c r="AP19" s="134">
        <f t="array" ref="AP19">AE19+AH19+AK19+AN19+AO19</f>
        <v>5235</v>
      </c>
      <c r="AQ19" s="16">
        <f t="array" ref="AQ19">AB19-AP19</f>
        <v>25448</v>
      </c>
      <c r="AR19" s="356"/>
      <c r="AS19" s="180"/>
      <c r="AT19" s="86" t="str">
        <f t="shared" si="21"/>
        <v>YES</v>
      </c>
      <c r="AU19" s="87">
        <v>0.03</v>
      </c>
      <c r="AV19" s="88">
        <f t="array" ref="AV19">IF(AND(AT19="Yes",$E$2="Fixation"),ROUND(N19*AU19,0),IF(AT19="yes",ROUND((N19-S19)*AU19,0),0))</f>
        <v>1167</v>
      </c>
      <c r="AW19" s="180"/>
      <c r="AX19" s="78"/>
      <c r="AY19" s="78"/>
      <c r="AZ19" s="24">
        <f t="shared" si="22"/>
        <v>44046</v>
      </c>
      <c r="BA19" s="123">
        <f t="shared" si="23"/>
        <v>8</v>
      </c>
      <c r="BB19" s="123">
        <f t="shared" si="34"/>
        <v>38900</v>
      </c>
      <c r="BF19" s="48">
        <f t="shared" si="35"/>
        <v>44046</v>
      </c>
      <c r="BH19" s="44">
        <f t="shared" si="24"/>
        <v>1</v>
      </c>
      <c r="BI19" s="45" t="str">
        <f t="shared" si="25"/>
        <v>82020</v>
      </c>
      <c r="BJ19" s="44">
        <f t="shared" si="26"/>
        <v>82021</v>
      </c>
      <c r="BK19" s="46">
        <f t="shared" si="27"/>
        <v>0</v>
      </c>
      <c r="BL19" s="46">
        <f t="shared" si="28"/>
        <v>0</v>
      </c>
      <c r="BM19" s="49">
        <f t="shared" si="29"/>
        <v>0</v>
      </c>
      <c r="BN19" s="46" t="str">
        <f t="shared" si="30"/>
        <v>00</v>
      </c>
    </row>
    <row r="20" spans="1:66" ht="18.75" customHeight="1">
      <c r="A20" s="23">
        <f t="shared" si="8"/>
        <v>38900</v>
      </c>
      <c r="B20" s="129">
        <f t="shared" si="36"/>
        <v>0.38</v>
      </c>
      <c r="C20" s="129">
        <f t="shared" ref="C20" si="43">C17</f>
        <v>0.38</v>
      </c>
      <c r="D20" s="129">
        <f t="shared" si="36"/>
        <v>0.08</v>
      </c>
      <c r="E20" s="129">
        <f t="shared" ref="E20" si="44">E17</f>
        <v>0.09</v>
      </c>
      <c r="F20" s="36">
        <v>8</v>
      </c>
      <c r="G20" s="172">
        <f t="shared" si="9"/>
        <v>44077</v>
      </c>
      <c r="H20" s="173"/>
      <c r="I20" s="173"/>
      <c r="J20" s="174"/>
      <c r="K20" s="47">
        <f t="shared" si="10"/>
        <v>9</v>
      </c>
      <c r="L20" s="47">
        <f t="shared" si="2"/>
        <v>2020</v>
      </c>
      <c r="M20" s="47" t="str">
        <f t="shared" si="0"/>
        <v>92020</v>
      </c>
      <c r="N20" s="18">
        <f t="shared" si="3"/>
        <v>38900</v>
      </c>
      <c r="O20" s="31">
        <f t="shared" si="11"/>
        <v>14782</v>
      </c>
      <c r="P20" s="31">
        <f t="shared" si="12"/>
        <v>0</v>
      </c>
      <c r="Q20" s="31">
        <f t="shared" si="4"/>
        <v>3501</v>
      </c>
      <c r="R20" s="32">
        <f t="array" ref="R20">SUM(N20:Q20)</f>
        <v>57183</v>
      </c>
      <c r="S20" s="8">
        <f t="array" ref="S20">IF(N20=0,0,IF($E$2="FIXATION",$B$5,IF(N20=0,0,IF(BA20=7,ROUND(S19*1.03,-2),S19))))</f>
        <v>26500</v>
      </c>
      <c r="T20" s="9">
        <f t="shared" si="5"/>
        <v>0</v>
      </c>
      <c r="U20" s="31">
        <f t="shared" si="6"/>
        <v>0</v>
      </c>
      <c r="V20" s="9">
        <f t="array" ref="V20">IF($E$2="fixation",0,ROUND(S20*D20,0))</f>
        <v>0</v>
      </c>
      <c r="W20" s="32">
        <f t="array" ref="W20">SUM(S20:V20)</f>
        <v>26500</v>
      </c>
      <c r="X20" s="76">
        <f t="shared" si="13"/>
        <v>12400</v>
      </c>
      <c r="Y20" s="77">
        <f t="shared" si="14"/>
        <v>14782</v>
      </c>
      <c r="Z20" s="77"/>
      <c r="AA20" s="77">
        <f t="shared" si="15"/>
        <v>3501</v>
      </c>
      <c r="AB20" s="13">
        <f t="array" ref="AB20">SUM(X20:AA20)</f>
        <v>30683</v>
      </c>
      <c r="AC20" s="14">
        <f t="shared" si="16"/>
        <v>3267</v>
      </c>
      <c r="AD20" s="11">
        <f t="shared" si="17"/>
        <v>1100</v>
      </c>
      <c r="AE20" s="15">
        <f t="shared" si="31"/>
        <v>2167</v>
      </c>
      <c r="AF20" s="11">
        <f t="array" ref="AF20">IF(N20=0,0,AF19)</f>
        <v>3000</v>
      </c>
      <c r="AG20" s="9">
        <f t="array" ref="AG20">IF(N20=0,0,AG19)</f>
        <v>3000</v>
      </c>
      <c r="AH20" s="10">
        <f t="shared" si="32"/>
        <v>0</v>
      </c>
      <c r="AI20" s="11">
        <f t="array" ref="AI20">IF(BN20="MSS",ROUND(N20/31*5,0),IF(BN20="MS",ROUND(N20/31*3,0),IF(BN20="MM",ROUND(N20/31*2,0),IF(BN20="MF",ROUND(N20/31*1,0),IF(BN20="SSS",ROUND(R20/30*2,0),IF(BN20="SS",ROUND(R20/30,0),IF(BN20="SM",ROUND(R20/30,0),IF(BN20="SF",ROUND(R20/30*0,0),IF(BN20="OSS",ROUND(R20/31*2,0),IF(BN20="OS",ROUND(R20/31,0),IF(BN20="OM",ROUND(R20/31,0),IF(BN20="OF",ROUND(R20/31*0,0),0))))))))))))</f>
        <v>3812</v>
      </c>
      <c r="AJ20" s="9">
        <f t="array" ref="AJ20">IF(BN20="MSS",ROUND(S20/31*5,0),IF(BN20="MS",ROUND(S20/31*3,0),IF(BN20="MM",ROUND(S20/31*2,0),IF(BN20="MF",ROUND(S20/31*1,0),IF(BN20="SSS",ROUND(W20/30*2,0),IF(BN20="SS",ROUND(W20/30,0),IF(BN20="SM",ROUND(W20/30,0),IF(BN20="SF",ROUND(W20/30*0,0),IF(BN20="OSS",ROUND(W20/31*2,0),IF(BN20="OS",ROUND(W20/31,0),IF(BN20="OM",ROUND(W20/31,0),IF(BN20="OF",ROUND(W20/31*0,0),0))))))))))))</f>
        <v>1767</v>
      </c>
      <c r="AK20" s="10">
        <f t="shared" si="33"/>
        <v>2045</v>
      </c>
      <c r="AL20" s="352">
        <f t="shared" si="18"/>
        <v>0</v>
      </c>
      <c r="AM20" s="353">
        <f t="shared" si="19"/>
        <v>0</v>
      </c>
      <c r="AN20" s="349">
        <f t="array" ref="AN20">AL20-AM20</f>
        <v>0</v>
      </c>
      <c r="AO20" s="133">
        <f t="shared" si="20"/>
        <v>3068</v>
      </c>
      <c r="AP20" s="134">
        <f t="array" ref="AP20">AE20+AH20+AK20+AN20+AO20</f>
        <v>7280</v>
      </c>
      <c r="AQ20" s="16">
        <f t="array" ref="AQ20">AB20-AP20</f>
        <v>23403</v>
      </c>
      <c r="AR20" s="356"/>
      <c r="AS20" s="180"/>
      <c r="AT20" s="86" t="str">
        <f t="shared" si="21"/>
        <v>YES</v>
      </c>
      <c r="AU20" s="87">
        <v>0.03</v>
      </c>
      <c r="AV20" s="88">
        <f t="array" ref="AV20">IF(AND(AT20="Yes",$E$2="Fixation"),ROUND(N20*AU20,0),IF(AT20="yes",ROUND((N20-S20)*AU20,0),0))</f>
        <v>1167</v>
      </c>
      <c r="AW20" s="180"/>
      <c r="AX20" s="78"/>
      <c r="AY20" s="78"/>
      <c r="AZ20" s="24">
        <f t="shared" si="22"/>
        <v>44077</v>
      </c>
      <c r="BA20" s="123">
        <f t="shared" si="23"/>
        <v>9</v>
      </c>
      <c r="BB20" s="123">
        <f t="shared" si="34"/>
        <v>38900</v>
      </c>
      <c r="BF20" s="48">
        <f t="shared" si="35"/>
        <v>44077</v>
      </c>
      <c r="BH20" s="44">
        <f t="shared" si="24"/>
        <v>1</v>
      </c>
      <c r="BI20" s="45" t="str">
        <f t="shared" si="25"/>
        <v>92020</v>
      </c>
      <c r="BJ20" s="44">
        <f t="shared" si="26"/>
        <v>92021</v>
      </c>
      <c r="BK20" s="46" t="str">
        <f t="shared" si="27"/>
        <v>FS</v>
      </c>
      <c r="BL20" s="46" t="str">
        <f t="shared" si="28"/>
        <v>S</v>
      </c>
      <c r="BM20" s="49" t="str">
        <f t="shared" si="29"/>
        <v>ss</v>
      </c>
      <c r="BN20" s="46" t="str">
        <f t="shared" si="30"/>
        <v>Sss</v>
      </c>
    </row>
    <row r="21" spans="1:66" ht="20.25" customHeight="1">
      <c r="A21" s="23">
        <f t="shared" si="8"/>
        <v>38900</v>
      </c>
      <c r="B21" s="129">
        <f t="shared" si="36"/>
        <v>0.38</v>
      </c>
      <c r="C21" s="129">
        <f t="shared" ref="C21" si="45">C18</f>
        <v>0.38</v>
      </c>
      <c r="D21" s="129">
        <f t="shared" si="36"/>
        <v>0.08</v>
      </c>
      <c r="E21" s="129">
        <f t="shared" ref="E21" si="46">E18</f>
        <v>0.09</v>
      </c>
      <c r="F21" s="36">
        <v>9</v>
      </c>
      <c r="G21" s="172">
        <f t="shared" si="9"/>
        <v>44108</v>
      </c>
      <c r="H21" s="173"/>
      <c r="I21" s="173"/>
      <c r="J21" s="174"/>
      <c r="K21" s="47">
        <f t="shared" si="10"/>
        <v>10</v>
      </c>
      <c r="L21" s="47">
        <f t="shared" si="2"/>
        <v>2020</v>
      </c>
      <c r="M21" s="47" t="str">
        <f t="shared" si="0"/>
        <v>102020</v>
      </c>
      <c r="N21" s="18">
        <f t="shared" si="3"/>
        <v>38900</v>
      </c>
      <c r="O21" s="31">
        <f t="shared" si="11"/>
        <v>14782</v>
      </c>
      <c r="P21" s="31">
        <f t="shared" si="12"/>
        <v>0</v>
      </c>
      <c r="Q21" s="31">
        <f t="shared" si="4"/>
        <v>3501</v>
      </c>
      <c r="R21" s="32">
        <f t="array" ref="R21">SUM(N21:Q21)</f>
        <v>57183</v>
      </c>
      <c r="S21" s="8">
        <f t="array" ref="S21">IF(N21=0,0,IF($E$2="FIXATION",$B$5,IF(N21=0,0,IF(BA21=7,ROUND(S20*1.03,-2),S20))))</f>
        <v>26500</v>
      </c>
      <c r="T21" s="9">
        <f t="shared" si="5"/>
        <v>0</v>
      </c>
      <c r="U21" s="31">
        <f t="shared" si="6"/>
        <v>0</v>
      </c>
      <c r="V21" s="9">
        <f t="array" ref="V21">IF($E$2="fixation",0,ROUND(S21*D21,0))</f>
        <v>0</v>
      </c>
      <c r="W21" s="32">
        <f t="array" ref="W21">SUM(S21:V21)</f>
        <v>26500</v>
      </c>
      <c r="X21" s="76">
        <f t="shared" si="13"/>
        <v>12400</v>
      </c>
      <c r="Y21" s="77">
        <f t="shared" si="14"/>
        <v>14782</v>
      </c>
      <c r="Z21" s="77"/>
      <c r="AA21" s="77">
        <f t="shared" si="15"/>
        <v>3501</v>
      </c>
      <c r="AB21" s="13">
        <f t="array" ref="AB21">SUM(X21:AA21)</f>
        <v>30683</v>
      </c>
      <c r="AC21" s="14">
        <f t="shared" si="16"/>
        <v>2100</v>
      </c>
      <c r="AD21" s="11">
        <f t="shared" si="17"/>
        <v>1100</v>
      </c>
      <c r="AE21" s="15">
        <f t="shared" si="31"/>
        <v>1000</v>
      </c>
      <c r="AF21" s="11">
        <f t="array" ref="AF21">IF(N21=0,0,AF20)</f>
        <v>3000</v>
      </c>
      <c r="AG21" s="9">
        <f t="array" ref="AG21">IF(N21=0,0,AG20)</f>
        <v>3000</v>
      </c>
      <c r="AH21" s="10">
        <f t="shared" si="32"/>
        <v>0</v>
      </c>
      <c r="AI21" s="11">
        <f t="array" ref="AI21">IF(BN21="MSS",ROUND(N21/31*5,0),IF(BN21="MS",ROUND(N21/31*3,0),IF(BN21="MM",ROUND(N21/31*2,0),IF(BN21="MF",ROUND(N21/31*1,0),IF(BN21="SSS",ROUND(R21/30*2,0),IF(BN21="SS",ROUND(R21/30,0),IF(BN21="SM",ROUND(R21/30,0),IF(BN21="SF",ROUND(R21/30*0,0),IF(BN21="OSS",ROUND(R21/31*2,0),IF(BN21="OS",ROUND(R21/31,0),IF(BN21="OM",ROUND(R21/31,0),IF(BN21="OF",ROUND(R21/31*0,0),0))))))))))))</f>
        <v>3689</v>
      </c>
      <c r="AJ21" s="9">
        <f t="array" ref="AJ21">IF(BN21="MSS",ROUND(S21/31*5,0),IF(BN21="MS",ROUND(S21/31*3,0),IF(BN21="MM",ROUND(S21/31*2,0),IF(BN21="MF",ROUND(S21/31*1,0),IF(BN21="SSS",ROUND(W21/30*2,0),IF(BN21="SS",ROUND(W21/30,0),IF(BN21="SM",ROUND(W21/30,0),IF(BN21="SF",ROUND(W21/30*0,0),IF(BN21="OSS",ROUND(W21/31*2,0),IF(BN21="OS",ROUND(W21/31,0),IF(BN21="OM",ROUND(W21/31,0),IF(BN21="OF",ROUND(W21/31*0,0),0))))))))))))</f>
        <v>1710</v>
      </c>
      <c r="AK21" s="10">
        <f t="shared" si="33"/>
        <v>1979</v>
      </c>
      <c r="AL21" s="352">
        <f t="shared" si="18"/>
        <v>0</v>
      </c>
      <c r="AM21" s="353">
        <f t="shared" si="19"/>
        <v>0</v>
      </c>
      <c r="AN21" s="349">
        <f t="array" ref="AN21">AL21-AM21</f>
        <v>0</v>
      </c>
      <c r="AO21" s="133">
        <f t="shared" si="20"/>
        <v>3068</v>
      </c>
      <c r="AP21" s="134">
        <f t="array" ref="AP21">AE21+AH21+AK21+AN21+AO21</f>
        <v>6047</v>
      </c>
      <c r="AQ21" s="16">
        <f t="array" ref="AQ21">AB21-AP21</f>
        <v>24636</v>
      </c>
      <c r="AR21" s="356"/>
      <c r="AS21" s="180"/>
      <c r="AT21" s="86" t="str">
        <f t="shared" si="21"/>
        <v>NO</v>
      </c>
      <c r="AU21" s="87">
        <v>0.03</v>
      </c>
      <c r="AV21" s="88">
        <f t="array" ref="AV21">IF(AND(AT21="Yes",$E$2="Fixation"),ROUND(N21*AU21,0),IF(AT21="yes",ROUND((N21-S21)*AU21,0),0))</f>
        <v>0</v>
      </c>
      <c r="AW21" s="180"/>
      <c r="AX21" s="78"/>
      <c r="AY21" s="78"/>
      <c r="AZ21" s="24">
        <f t="shared" si="22"/>
        <v>44108</v>
      </c>
      <c r="BA21" s="123">
        <f t="shared" si="23"/>
        <v>10</v>
      </c>
      <c r="BB21" s="123">
        <f t="shared" si="34"/>
        <v>38900</v>
      </c>
      <c r="BF21" s="48">
        <f t="shared" si="35"/>
        <v>44108</v>
      </c>
      <c r="BH21" s="44">
        <f t="shared" si="24"/>
        <v>1</v>
      </c>
      <c r="BI21" s="45" t="str">
        <f t="shared" si="25"/>
        <v>102020</v>
      </c>
      <c r="BJ21" s="44">
        <f t="shared" si="26"/>
        <v>102021</v>
      </c>
      <c r="BK21" s="46" t="str">
        <f t="shared" si="27"/>
        <v>FO</v>
      </c>
      <c r="BL21" s="46" t="str">
        <f t="shared" si="28"/>
        <v>O</v>
      </c>
      <c r="BM21" s="49" t="str">
        <f t="shared" si="29"/>
        <v>ss</v>
      </c>
      <c r="BN21" s="46" t="str">
        <f t="shared" si="30"/>
        <v>Oss</v>
      </c>
    </row>
    <row r="22" spans="1:66" ht="18" customHeight="1">
      <c r="A22" s="23">
        <f t="shared" si="8"/>
        <v>38900</v>
      </c>
      <c r="B22" s="129">
        <f t="shared" si="36"/>
        <v>0.38</v>
      </c>
      <c r="C22" s="129">
        <f t="shared" ref="C22" si="47">C19</f>
        <v>0.38</v>
      </c>
      <c r="D22" s="129">
        <f t="shared" si="36"/>
        <v>0.08</v>
      </c>
      <c r="E22" s="129">
        <f t="shared" ref="E22" si="48">E19</f>
        <v>0.09</v>
      </c>
      <c r="F22" s="36">
        <v>10</v>
      </c>
      <c r="G22" s="172">
        <f t="shared" si="9"/>
        <v>44139</v>
      </c>
      <c r="H22" s="173"/>
      <c r="I22" s="173"/>
      <c r="J22" s="174"/>
      <c r="K22" s="47">
        <f t="shared" si="10"/>
        <v>11</v>
      </c>
      <c r="L22" s="47">
        <f t="shared" si="2"/>
        <v>2020</v>
      </c>
      <c r="M22" s="47" t="str">
        <f t="shared" si="0"/>
        <v>112020</v>
      </c>
      <c r="N22" s="18">
        <f t="shared" si="3"/>
        <v>38900</v>
      </c>
      <c r="O22" s="31">
        <f t="shared" si="11"/>
        <v>14782</v>
      </c>
      <c r="P22" s="31">
        <f t="shared" si="12"/>
        <v>0</v>
      </c>
      <c r="Q22" s="31">
        <f t="shared" si="4"/>
        <v>3501</v>
      </c>
      <c r="R22" s="32">
        <f t="array" ref="R22">SUM(N22:Q22)</f>
        <v>57183</v>
      </c>
      <c r="S22" s="8">
        <f t="array" ref="S22">IF(N22=0,0,IF($E$2="FIXATION",$B$5,IF(N22=0,0,IF(BA22=7,ROUND(S21*1.03,-2),S21))))</f>
        <v>26500</v>
      </c>
      <c r="T22" s="9">
        <f t="shared" si="5"/>
        <v>0</v>
      </c>
      <c r="U22" s="31">
        <f t="shared" si="6"/>
        <v>0</v>
      </c>
      <c r="V22" s="9">
        <f t="array" ref="V22">IF($E$2="fixation",0,ROUND(S22*D22,0))</f>
        <v>0</v>
      </c>
      <c r="W22" s="32">
        <f t="array" ref="W22">SUM(S22:V22)</f>
        <v>26500</v>
      </c>
      <c r="X22" s="76">
        <f>N22-S22</f>
        <v>12400</v>
      </c>
      <c r="Y22" s="77">
        <f>O22-T22</f>
        <v>14782</v>
      </c>
      <c r="Z22" s="77"/>
      <c r="AA22" s="77">
        <f>Q22-V22</f>
        <v>3501</v>
      </c>
      <c r="AB22" s="13">
        <f t="array" ref="AB22">SUM(X22:AA22)</f>
        <v>30683</v>
      </c>
      <c r="AC22" s="14">
        <f t="shared" si="16"/>
        <v>2100</v>
      </c>
      <c r="AD22" s="11">
        <f t="shared" si="17"/>
        <v>1100</v>
      </c>
      <c r="AE22" s="15">
        <f t="shared" si="31"/>
        <v>1000</v>
      </c>
      <c r="AF22" s="11">
        <f t="array" ref="AF22">IF(N22=0,0,AF21)</f>
        <v>3000</v>
      </c>
      <c r="AG22" s="9">
        <f t="array" ref="AG22">IF(N22=0,0,AG21)</f>
        <v>3000</v>
      </c>
      <c r="AH22" s="10">
        <f t="shared" si="32"/>
        <v>0</v>
      </c>
      <c r="AI22" s="11">
        <f t="array" ref="AI22">IF(BN22="MSS",ROUND(N22/31*5,0),IF(BN22="MS",ROUND(N22/31*3,0),IF(BN22="MM",ROUND(N22/31*2,0),IF(BN22="MF",ROUND(N22/31*1,0),IF(BN22="SSS",ROUND(R22/30*2,0),IF(BN22="SS",ROUND(R22/30,0),IF(BN22="SM",ROUND(R22/30,0),IF(BN22="SF",ROUND(R22/30*0,0),IF(BN22="OSS",ROUND(R22/31*2,0),IF(BN22="OS",ROUND(R22/31,0),IF(BN22="OM",ROUND(R22/31,0),IF(BN22="OF",ROUND(R22/31*0,0),0))))))))))))</f>
        <v>0</v>
      </c>
      <c r="AJ22" s="9">
        <f t="array" ref="AJ22">IF(BN22="MSS",ROUND(S22/31*5,0),IF(BN22="MS",ROUND(S22/31*3,0),IF(BN22="MM",ROUND(S22/31*2,0),IF(BN22="MF",ROUND(S22/31*1,0),IF(BN22="SSS",ROUND(W22/30*2,0),IF(BN22="SS",ROUND(W22/30,0),IF(BN22="SM",ROUND(W22/30,0),IF(BN22="SF",ROUND(W22/30*0,0),IF(BN22="OSS",ROUND(W22/31*2,0),IF(BN22="OS",ROUND(W22/31,0),IF(BN22="OM",ROUND(W22/31,0),IF(BN22="OF",ROUND(W22/31*0,0),0))))))))))))</f>
        <v>0</v>
      </c>
      <c r="AK22" s="10">
        <f t="shared" si="33"/>
        <v>0</v>
      </c>
      <c r="AL22" s="352">
        <f t="shared" si="18"/>
        <v>0</v>
      </c>
      <c r="AM22" s="353">
        <f t="shared" si="19"/>
        <v>0</v>
      </c>
      <c r="AN22" s="349">
        <f t="array" ref="AN22">AL22-AM22</f>
        <v>0</v>
      </c>
      <c r="AO22" s="133">
        <f t="shared" si="20"/>
        <v>3068</v>
      </c>
      <c r="AP22" s="134">
        <f t="array" ref="AP22">AE22+AH22+AK22+AN22+AO22</f>
        <v>4068</v>
      </c>
      <c r="AQ22" s="16">
        <f t="array" ref="AQ22">AB22-AP22</f>
        <v>26615</v>
      </c>
      <c r="AR22" s="356"/>
      <c r="AS22" s="180"/>
      <c r="AT22" s="86" t="str">
        <f t="shared" si="21"/>
        <v>NO</v>
      </c>
      <c r="AU22" s="87">
        <v>0.03</v>
      </c>
      <c r="AV22" s="88">
        <f t="array" ref="AV22">IF(AND(AT22="Yes",$E$2="Fixation"),ROUND(N22*AU22,0),IF(AT22="yes",ROUND((N22-S22)*AU22,0),0))</f>
        <v>0</v>
      </c>
      <c r="AW22" s="180"/>
      <c r="AX22" s="78"/>
      <c r="AY22" s="78"/>
      <c r="AZ22" s="24">
        <f t="shared" ref="AZ22:AZ60" si="49">G22</f>
        <v>44139</v>
      </c>
      <c r="BA22" s="123">
        <f t="shared" si="23"/>
        <v>11</v>
      </c>
      <c r="BB22" s="123">
        <f t="shared" si="34"/>
        <v>38900</v>
      </c>
      <c r="BF22" s="48">
        <f t="shared" si="35"/>
        <v>44139</v>
      </c>
      <c r="BH22" s="44">
        <f t="shared" si="24"/>
        <v>1</v>
      </c>
      <c r="BI22" s="45" t="str">
        <f t="shared" ref="BI22:BI60" si="50">M22</f>
        <v>112020</v>
      </c>
      <c r="BJ22" s="44">
        <f t="shared" ref="BJ22:BJ60" si="51">BH22+BI22</f>
        <v>112021</v>
      </c>
      <c r="BK22" s="46">
        <f t="shared" ref="BK22:BK60" si="52">IF(BJ22=32025,"SSM",IF(BJ22=32023,"SM",IF(BJ22=32022,"MM",IF(BJ22=32021,"FM",IF(BJ22=92025,"SSS",IF(BJ22=92023,"SS",IF(BJ22=92022,"MS",IF(BJ22=92021,"FS",IF(BJ22=102025,"SSO",IF(BJ22=102023,"SO",IF(BJ22=102022,"MO",IF(BJ22=102021,"FO",0))))))))))))</f>
        <v>0</v>
      </c>
      <c r="BL22" s="46">
        <f t="shared" ref="BL22:BL60" si="53">IF(BI22="32020","M",IF(BI22="92020","S",IF(BI22="102020","O",0)))</f>
        <v>0</v>
      </c>
      <c r="BM22" s="49">
        <f t="shared" si="29"/>
        <v>0</v>
      </c>
      <c r="BN22" s="46" t="str">
        <f t="shared" ref="BN22:BN60" si="54">CONCATENATE(BL22,BM22)</f>
        <v>00</v>
      </c>
    </row>
    <row r="23" spans="1:66" ht="18" customHeight="1">
      <c r="A23" s="23">
        <f t="shared" si="8"/>
        <v>38900</v>
      </c>
      <c r="B23" s="129">
        <f t="shared" si="36"/>
        <v>0.38</v>
      </c>
      <c r="C23" s="129">
        <f t="shared" ref="C23" si="55">C20</f>
        <v>0.38</v>
      </c>
      <c r="D23" s="129">
        <f t="shared" si="36"/>
        <v>0.08</v>
      </c>
      <c r="E23" s="129">
        <f t="shared" ref="E23" si="56">E20</f>
        <v>0.09</v>
      </c>
      <c r="F23" s="36">
        <v>11</v>
      </c>
      <c r="G23" s="172">
        <f t="shared" si="9"/>
        <v>44170</v>
      </c>
      <c r="H23" s="173"/>
      <c r="I23" s="173"/>
      <c r="J23" s="174"/>
      <c r="K23" s="47">
        <f t="shared" ref="K23:K59" si="57">MONTH(G23)</f>
        <v>12</v>
      </c>
      <c r="L23" s="47">
        <f t="shared" ref="L23:L59" si="58">YEAR(G23)</f>
        <v>2020</v>
      </c>
      <c r="M23" s="47" t="str">
        <f t="shared" ref="M23:M59" si="59">CONCATENATE(K23,L23)</f>
        <v>122020</v>
      </c>
      <c r="N23" s="18">
        <f t="shared" si="3"/>
        <v>38900</v>
      </c>
      <c r="O23" s="31">
        <f t="shared" si="11"/>
        <v>14782</v>
      </c>
      <c r="P23" s="31">
        <f t="shared" si="12"/>
        <v>0</v>
      </c>
      <c r="Q23" s="31">
        <f t="shared" si="4"/>
        <v>3501</v>
      </c>
      <c r="R23" s="32">
        <f t="array" ref="R23">SUM(N23:Q23)</f>
        <v>57183</v>
      </c>
      <c r="S23" s="8">
        <f t="array" ref="S23">IF(N23=0,0,IF($E$2="FIXATION",$B$5,IF(N23=0,0,IF(BA23=7,ROUND(S22*1.03,-2),S22))))</f>
        <v>26500</v>
      </c>
      <c r="T23" s="9">
        <f t="shared" si="5"/>
        <v>0</v>
      </c>
      <c r="U23" s="31">
        <f t="shared" si="6"/>
        <v>0</v>
      </c>
      <c r="V23" s="9">
        <f t="array" ref="V23">IF($E$2="fixation",0,ROUND(S23*D23,0))</f>
        <v>0</v>
      </c>
      <c r="W23" s="32">
        <f t="array" ref="W23">SUM(S23:V23)</f>
        <v>26500</v>
      </c>
      <c r="X23" s="76">
        <f>N23-S23</f>
        <v>12400</v>
      </c>
      <c r="Y23" s="77">
        <f>O23-T23</f>
        <v>14782</v>
      </c>
      <c r="Z23" s="77"/>
      <c r="AA23" s="77">
        <f>Q23-V23</f>
        <v>3501</v>
      </c>
      <c r="AB23" s="13">
        <f t="array" ref="AB23">SUM(X23:AA23)</f>
        <v>30683</v>
      </c>
      <c r="AC23" s="14">
        <f t="shared" si="16"/>
        <v>2100</v>
      </c>
      <c r="AD23" s="11">
        <f t="shared" si="17"/>
        <v>1100</v>
      </c>
      <c r="AE23" s="15">
        <f t="shared" si="31"/>
        <v>1000</v>
      </c>
      <c r="AF23" s="11">
        <f t="array" ref="AF23">IF(N23=0,0,AF22)</f>
        <v>3000</v>
      </c>
      <c r="AG23" s="9">
        <f t="array" ref="AG23">IF(N23=0,0,AG22)</f>
        <v>3000</v>
      </c>
      <c r="AH23" s="10">
        <f t="shared" si="32"/>
        <v>0</v>
      </c>
      <c r="AI23" s="11">
        <f t="array" ref="AI23">IF(BN23="MSS",ROUND(N23/31*5,0),IF(BN23="MS",ROUND(N23/31*3,0),IF(BN23="MM",ROUND(N23/31*2,0),IF(BN23="MF",ROUND(N23/31*1,0),IF(BN23="SSS",ROUND(R23/30*2,0),IF(BN23="SS",ROUND(R23/30,0),IF(BN23="SM",ROUND(R23/30,0),IF(BN23="SF",ROUND(R23/30*0,0),IF(BN23="OSS",ROUND(R23/31*2,0),IF(BN23="OS",ROUND(R23/31,0),IF(BN23="OM",ROUND(R23/31,0),IF(BN23="OF",ROUND(R23/31*0,0),0))))))))))))</f>
        <v>0</v>
      </c>
      <c r="AJ23" s="9">
        <f t="array" ref="AJ23">IF(BN23="MSS",ROUND(S23/31*5,0),IF(BN23="MS",ROUND(S23/31*3,0),IF(BN23="MM",ROUND(S23/31*2,0),IF(BN23="MF",ROUND(S23/31*1,0),IF(BN23="SSS",ROUND(W23/30*2,0),IF(BN23="SS",ROUND(W23/30,0),IF(BN23="SM",ROUND(W23/30,0),IF(BN23="SF",ROUND(W23/30*0,0),IF(BN23="OSS",ROUND(W23/31*2,0),IF(BN23="OS",ROUND(W23/31,0),IF(BN23="OM",ROUND(W23/31,0),IF(BN23="OF",ROUND(W23/31*0,0),0))))))))))))</f>
        <v>0</v>
      </c>
      <c r="AK23" s="10">
        <f t="shared" si="33"/>
        <v>0</v>
      </c>
      <c r="AL23" s="352">
        <f t="shared" si="18"/>
        <v>0</v>
      </c>
      <c r="AM23" s="353">
        <f t="shared" si="19"/>
        <v>0</v>
      </c>
      <c r="AN23" s="349">
        <f t="array" ref="AN23">AL23-AM23</f>
        <v>0</v>
      </c>
      <c r="AO23" s="133">
        <f t="shared" si="20"/>
        <v>3068</v>
      </c>
      <c r="AP23" s="134">
        <f t="array" ref="AP23">AE23+AH23+AK23+AN23+AO23</f>
        <v>4068</v>
      </c>
      <c r="AQ23" s="16">
        <f t="array" ref="AQ23">AB23-AP23</f>
        <v>26615</v>
      </c>
      <c r="AR23" s="356"/>
      <c r="AS23" s="180"/>
      <c r="AT23" s="86" t="str">
        <f t="shared" si="21"/>
        <v>NO</v>
      </c>
      <c r="AU23" s="87">
        <v>0.03</v>
      </c>
      <c r="AV23" s="88">
        <f t="array" ref="AV23">IF(AND(AT23="Yes",$E$2="Fixation"),ROUND(N23*AU23,0),IF(AT23="yes",ROUND((N23-S23)*AU23,0),0))</f>
        <v>0</v>
      </c>
      <c r="AW23" s="180"/>
      <c r="AX23" s="78"/>
      <c r="AY23" s="78"/>
      <c r="AZ23" s="24">
        <f t="shared" si="49"/>
        <v>44170</v>
      </c>
      <c r="BA23" s="123">
        <f t="shared" si="23"/>
        <v>12</v>
      </c>
      <c r="BB23" s="123">
        <f t="shared" si="34"/>
        <v>38900</v>
      </c>
      <c r="BF23" s="48">
        <f t="shared" si="35"/>
        <v>44170</v>
      </c>
      <c r="BH23" s="44">
        <f t="shared" si="24"/>
        <v>1</v>
      </c>
      <c r="BI23" s="45" t="str">
        <f t="shared" si="50"/>
        <v>122020</v>
      </c>
      <c r="BJ23" s="44">
        <f t="shared" si="51"/>
        <v>122021</v>
      </c>
      <c r="BK23" s="46">
        <f t="shared" si="52"/>
        <v>0</v>
      </c>
      <c r="BL23" s="46">
        <f t="shared" si="53"/>
        <v>0</v>
      </c>
      <c r="BM23" s="49">
        <f t="shared" si="29"/>
        <v>0</v>
      </c>
      <c r="BN23" s="46" t="str">
        <f t="shared" si="54"/>
        <v>00</v>
      </c>
    </row>
    <row r="24" spans="1:66" ht="18" customHeight="1">
      <c r="A24" s="23">
        <f t="shared" si="8"/>
        <v>38900</v>
      </c>
      <c r="B24" s="129">
        <f t="shared" ref="B24:C24" si="60">B21</f>
        <v>0.38</v>
      </c>
      <c r="C24" s="129">
        <f t="shared" si="60"/>
        <v>0.38</v>
      </c>
      <c r="D24" s="129">
        <f t="shared" ref="D24:E24" si="61">D21</f>
        <v>0.08</v>
      </c>
      <c r="E24" s="129">
        <f t="shared" si="61"/>
        <v>0.09</v>
      </c>
      <c r="F24" s="36">
        <v>12</v>
      </c>
      <c r="G24" s="172">
        <f t="shared" si="9"/>
        <v>44201</v>
      </c>
      <c r="H24" s="173"/>
      <c r="I24" s="173"/>
      <c r="J24" s="174"/>
      <c r="K24" s="47">
        <f t="shared" si="57"/>
        <v>1</v>
      </c>
      <c r="L24" s="47">
        <f t="shared" si="58"/>
        <v>2021</v>
      </c>
      <c r="M24" s="47" t="str">
        <f t="shared" si="59"/>
        <v>12021</v>
      </c>
      <c r="N24" s="18">
        <f t="shared" ref="N24:N59" si="62">BB24</f>
        <v>38900</v>
      </c>
      <c r="O24" s="31">
        <f t="shared" ref="O24:O59" si="63">ROUND(N24*C24,0)</f>
        <v>14782</v>
      </c>
      <c r="P24" s="31">
        <f t="shared" si="12"/>
        <v>0</v>
      </c>
      <c r="Q24" s="31">
        <f t="shared" ref="Q24:Q59" si="64">ROUND(N24*E24,0)</f>
        <v>3501</v>
      </c>
      <c r="R24" s="32">
        <f t="array" ref="R24">SUM(N24:Q24)</f>
        <v>57183</v>
      </c>
      <c r="S24" s="8">
        <f t="array" ref="S24">IF(N24=0,0,IF($E$2="FIXATION",$B$5,IF(N24=0,0,IF(BA24=7,ROUND(S23*1.03,-2),S23))))</f>
        <v>26500</v>
      </c>
      <c r="T24" s="9">
        <f t="shared" ref="T24:T59" si="65">IF($E$2="fixation",0,ROUND(S24*B24,0))</f>
        <v>0</v>
      </c>
      <c r="U24" s="31">
        <f t="shared" si="6"/>
        <v>0</v>
      </c>
      <c r="V24" s="9">
        <f t="array" ref="V24">IF($E$2="fixation",0,ROUND(S24*D24,0))</f>
        <v>0</v>
      </c>
      <c r="W24" s="32">
        <f t="array" ref="W24">SUM(S24:V24)</f>
        <v>26500</v>
      </c>
      <c r="X24" s="76">
        <f t="shared" ref="X24:X59" si="66">N24-S24</f>
        <v>12400</v>
      </c>
      <c r="Y24" s="77">
        <f t="shared" ref="Y24:Y59" si="67">O24-T24</f>
        <v>14782</v>
      </c>
      <c r="Z24" s="77"/>
      <c r="AA24" s="77">
        <f t="shared" ref="AA24:AA59" si="68">Q24-V24</f>
        <v>3501</v>
      </c>
      <c r="AB24" s="13">
        <f t="array" ref="AB24">SUM(X24:AA24)</f>
        <v>30683</v>
      </c>
      <c r="AC24" s="14">
        <f t="shared" si="16"/>
        <v>3267</v>
      </c>
      <c r="AD24" s="11">
        <f t="shared" si="17"/>
        <v>1100</v>
      </c>
      <c r="AE24" s="15">
        <f t="shared" ref="AE24:AE59" si="69">AC24-AD24</f>
        <v>2167</v>
      </c>
      <c r="AF24" s="11">
        <f t="array" ref="AF24">IF(N24=0,0,AF23)</f>
        <v>3000</v>
      </c>
      <c r="AG24" s="9">
        <f t="array" ref="AG24">IF(N24=0,0,AG23)</f>
        <v>3000</v>
      </c>
      <c r="AH24" s="10">
        <f t="shared" ref="AH24:AH59" si="70">AF24-AG24</f>
        <v>0</v>
      </c>
      <c r="AI24" s="11">
        <f t="array" ref="AI24">IF(BN24="MSS",ROUND(N24/31*5,0),IF(BN24="MS",ROUND(N24/31*3,0),IF(BN24="MM",ROUND(N24/31*2,0),IF(BN24="MF",ROUND(N24/31*1,0),IF(BN24="SSS",ROUND(R24/30*2,0),IF(BN24="SS",ROUND(R24/30,0),IF(BN24="SM",ROUND(R24/30,0),IF(BN24="SF",ROUND(R24/30*0,0),IF(BN24="OSS",ROUND(R24/31*2,0),IF(BN24="OS",ROUND(R24/31,0),IF(BN24="OM",ROUND(R24/31,0),IF(BN24="OF",ROUND(R24/31*0,0),0))))))))))))</f>
        <v>0</v>
      </c>
      <c r="AJ24" s="9">
        <f t="array" ref="AJ24">IF(BN24="MSS",ROUND(S24/31*5,0),IF(BN24="MS",ROUND(S24/31*3,0),IF(BN24="MM",ROUND(S24/31*2,0),IF(BN24="MF",ROUND(S24/31*1,0),IF(BN24="SSS",ROUND(W24/30*2,0),IF(BN24="SS",ROUND(W24/30,0),IF(BN24="SM",ROUND(W24/30,0),IF(BN24="SF",ROUND(W24/30*0,0),IF(BN24="OSS",ROUND(W24/31*2,0),IF(BN24="OS",ROUND(W24/31,0),IF(BN24="OM",ROUND(W24/31,0),IF(BN24="OF",ROUND(W24/31*0,0),0))))))))))))</f>
        <v>0</v>
      </c>
      <c r="AK24" s="10">
        <f t="shared" ref="AK24:AK59" si="71">AI24-AJ24</f>
        <v>0</v>
      </c>
      <c r="AL24" s="352">
        <f t="shared" si="18"/>
        <v>0</v>
      </c>
      <c r="AM24" s="353">
        <f t="shared" si="19"/>
        <v>0</v>
      </c>
      <c r="AN24" s="349">
        <f t="array" ref="AN24">AL24-AM24</f>
        <v>0</v>
      </c>
      <c r="AO24" s="133">
        <f t="shared" si="20"/>
        <v>3068</v>
      </c>
      <c r="AP24" s="134">
        <f t="array" ref="AP24">AE24+AH24+AK24+AN24+AO24</f>
        <v>5235</v>
      </c>
      <c r="AQ24" s="16">
        <f t="array" ref="AQ24">AB24-AP24</f>
        <v>25448</v>
      </c>
      <c r="AR24" s="356"/>
      <c r="AS24" s="180"/>
      <c r="AT24" s="86" t="str">
        <f t="shared" si="21"/>
        <v>YES</v>
      </c>
      <c r="AU24" s="87">
        <v>0.03</v>
      </c>
      <c r="AV24" s="88">
        <f t="array" ref="AV24">IF(AND(AT24="Yes",$E$2="Fixation"),ROUND(N24*AU24,0),IF(AT24="yes",ROUND((N24-S24)*AU24,0),0))</f>
        <v>1167</v>
      </c>
      <c r="AW24" s="180"/>
      <c r="AX24" s="78"/>
      <c r="AY24" s="78"/>
      <c r="AZ24" s="24">
        <f t="shared" si="49"/>
        <v>44201</v>
      </c>
      <c r="BA24" s="123">
        <f t="shared" si="23"/>
        <v>1</v>
      </c>
      <c r="BB24" s="123">
        <f t="shared" si="34"/>
        <v>38900</v>
      </c>
      <c r="BF24" s="48">
        <f t="shared" si="35"/>
        <v>44201</v>
      </c>
      <c r="BH24" s="44">
        <f t="shared" si="24"/>
        <v>1</v>
      </c>
      <c r="BI24" s="45" t="str">
        <f t="shared" si="50"/>
        <v>12021</v>
      </c>
      <c r="BJ24" s="44">
        <f t="shared" si="51"/>
        <v>12022</v>
      </c>
      <c r="BK24" s="46">
        <f t="shared" si="52"/>
        <v>0</v>
      </c>
      <c r="BL24" s="46">
        <f t="shared" si="53"/>
        <v>0</v>
      </c>
      <c r="BM24" s="49">
        <f t="shared" si="29"/>
        <v>0</v>
      </c>
      <c r="BN24" s="46" t="str">
        <f t="shared" si="54"/>
        <v>00</v>
      </c>
    </row>
    <row r="25" spans="1:66" ht="18" customHeight="1">
      <c r="A25" s="23">
        <f t="shared" si="8"/>
        <v>38900</v>
      </c>
      <c r="B25" s="129">
        <f t="shared" ref="B25:C25" si="72">B22</f>
        <v>0.38</v>
      </c>
      <c r="C25" s="129">
        <f t="shared" si="72"/>
        <v>0.38</v>
      </c>
      <c r="D25" s="129">
        <f t="shared" ref="D25:E25" si="73">D22</f>
        <v>0.08</v>
      </c>
      <c r="E25" s="129">
        <f t="shared" si="73"/>
        <v>0.09</v>
      </c>
      <c r="F25" s="36">
        <v>13</v>
      </c>
      <c r="G25" s="172">
        <f t="shared" si="9"/>
        <v>44232</v>
      </c>
      <c r="H25" s="173"/>
      <c r="I25" s="173"/>
      <c r="J25" s="174"/>
      <c r="K25" s="47">
        <f t="shared" si="57"/>
        <v>2</v>
      </c>
      <c r="L25" s="47">
        <f t="shared" si="58"/>
        <v>2021</v>
      </c>
      <c r="M25" s="47" t="str">
        <f t="shared" si="59"/>
        <v>22021</v>
      </c>
      <c r="N25" s="18">
        <f t="shared" si="62"/>
        <v>38900</v>
      </c>
      <c r="O25" s="31">
        <f t="shared" si="63"/>
        <v>14782</v>
      </c>
      <c r="P25" s="31">
        <f t="shared" si="12"/>
        <v>0</v>
      </c>
      <c r="Q25" s="31">
        <f t="shared" si="64"/>
        <v>3501</v>
      </c>
      <c r="R25" s="32">
        <f t="array" ref="R25">SUM(N25:Q25)</f>
        <v>57183</v>
      </c>
      <c r="S25" s="8">
        <f t="array" ref="S25">IF(N25=0,0,IF($E$2="FIXATION",$B$5,IF(N25=0,0,IF(BA25=7,ROUND(S24*1.03,-2),S24))))</f>
        <v>26500</v>
      </c>
      <c r="T25" s="9">
        <f t="shared" si="65"/>
        <v>0</v>
      </c>
      <c r="U25" s="31">
        <f t="shared" si="6"/>
        <v>0</v>
      </c>
      <c r="V25" s="9">
        <f t="array" ref="V25">IF($E$2="fixation",0,ROUND(S25*D25,0))</f>
        <v>0</v>
      </c>
      <c r="W25" s="32">
        <f t="array" ref="W25">SUM(S25:V25)</f>
        <v>26500</v>
      </c>
      <c r="X25" s="76">
        <f t="shared" si="66"/>
        <v>12400</v>
      </c>
      <c r="Y25" s="77">
        <f t="shared" si="67"/>
        <v>14782</v>
      </c>
      <c r="Z25" s="77"/>
      <c r="AA25" s="77">
        <f t="shared" si="68"/>
        <v>3501</v>
      </c>
      <c r="AB25" s="13">
        <f t="array" ref="AB25">SUM(X25:AA25)</f>
        <v>30683</v>
      </c>
      <c r="AC25" s="14">
        <f t="shared" si="16"/>
        <v>3267</v>
      </c>
      <c r="AD25" s="11">
        <f t="shared" si="17"/>
        <v>1100</v>
      </c>
      <c r="AE25" s="15">
        <f t="shared" si="69"/>
        <v>2167</v>
      </c>
      <c r="AF25" s="11">
        <f t="array" ref="AF25">IF(N25=0,0,AF24)</f>
        <v>3000</v>
      </c>
      <c r="AG25" s="9">
        <f t="array" ref="AG25">IF(N25=0,0,AG24)</f>
        <v>3000</v>
      </c>
      <c r="AH25" s="10">
        <f t="shared" si="70"/>
        <v>0</v>
      </c>
      <c r="AI25" s="11">
        <f t="array" ref="AI25">IF(BN25="MSS",ROUND(N25/31*5,0),IF(BN25="MS",ROUND(N25/31*3,0),IF(BN25="MM",ROUND(N25/31*2,0),IF(BN25="MF",ROUND(N25/31*1,0),IF(BN25="SSS",ROUND(R25/30*2,0),IF(BN25="SS",ROUND(R25/30,0),IF(BN25="SM",ROUND(R25/30,0),IF(BN25="SF",ROUND(R25/30*0,0),IF(BN25="OSS",ROUND(R25/31*2,0),IF(BN25="OS",ROUND(R25/31,0),IF(BN25="OM",ROUND(R25/31,0),IF(BN25="OF",ROUND(R25/31*0,0),0))))))))))))</f>
        <v>0</v>
      </c>
      <c r="AJ25" s="9">
        <f t="array" ref="AJ25">IF(BN25="MSS",ROUND(S25/31*5,0),IF(BN25="MS",ROUND(S25/31*3,0),IF(BN25="MM",ROUND(S25/31*2,0),IF(BN25="MF",ROUND(S25/31*1,0),IF(BN25="SSS",ROUND(W25/30*2,0),IF(BN25="SS",ROUND(W25/30,0),IF(BN25="SM",ROUND(W25/30,0),IF(BN25="SF",ROUND(W25/30*0,0),IF(BN25="OSS",ROUND(W25/31*2,0),IF(BN25="OS",ROUND(W25/31,0),IF(BN25="OM",ROUND(W25/31,0),IF(BN25="OF",ROUND(W25/31*0,0),0))))))))))))</f>
        <v>0</v>
      </c>
      <c r="AK25" s="10">
        <f t="shared" si="71"/>
        <v>0</v>
      </c>
      <c r="AL25" s="352">
        <f t="shared" si="18"/>
        <v>0</v>
      </c>
      <c r="AM25" s="353">
        <f t="shared" si="19"/>
        <v>0</v>
      </c>
      <c r="AN25" s="349">
        <f t="array" ref="AN25">AL25-AM25</f>
        <v>0</v>
      </c>
      <c r="AO25" s="133">
        <f t="shared" si="20"/>
        <v>3068</v>
      </c>
      <c r="AP25" s="134">
        <f t="array" ref="AP25">AE25+AH25+AK25+AN25+AO25</f>
        <v>5235</v>
      </c>
      <c r="AQ25" s="16">
        <f t="array" ref="AQ25">AB25-AP25</f>
        <v>25448</v>
      </c>
      <c r="AR25" s="356"/>
      <c r="AS25" s="180"/>
      <c r="AT25" s="86" t="str">
        <f t="shared" si="21"/>
        <v>YES</v>
      </c>
      <c r="AU25" s="87">
        <v>0.03</v>
      </c>
      <c r="AV25" s="88">
        <f t="array" ref="AV25">IF(AND(AT25="Yes",$E$2="Fixation"),ROUND(N25*AU25,0),IF(AT25="yes",ROUND((N25-S25)*AU25,0),0))</f>
        <v>1167</v>
      </c>
      <c r="AW25" s="180"/>
      <c r="AX25" s="78"/>
      <c r="AY25" s="78"/>
      <c r="AZ25" s="24">
        <f t="shared" si="49"/>
        <v>44232</v>
      </c>
      <c r="BA25" s="123">
        <f t="shared" si="23"/>
        <v>2</v>
      </c>
      <c r="BB25" s="123">
        <f t="shared" si="34"/>
        <v>38900</v>
      </c>
      <c r="BF25" s="48">
        <f t="shared" si="35"/>
        <v>44232</v>
      </c>
      <c r="BH25" s="44">
        <f t="shared" si="24"/>
        <v>1</v>
      </c>
      <c r="BI25" s="45" t="str">
        <f t="shared" si="50"/>
        <v>22021</v>
      </c>
      <c r="BJ25" s="44">
        <f t="shared" si="51"/>
        <v>22022</v>
      </c>
      <c r="BK25" s="46">
        <f t="shared" si="52"/>
        <v>0</v>
      </c>
      <c r="BL25" s="46">
        <f t="shared" si="53"/>
        <v>0</v>
      </c>
      <c r="BM25" s="49">
        <f t="shared" si="29"/>
        <v>0</v>
      </c>
      <c r="BN25" s="46" t="str">
        <f t="shared" si="54"/>
        <v>00</v>
      </c>
    </row>
    <row r="26" spans="1:66" ht="18" customHeight="1">
      <c r="A26" s="23">
        <f t="shared" si="8"/>
        <v>38900</v>
      </c>
      <c r="B26" s="129">
        <f t="shared" ref="B26:C26" si="74">B23</f>
        <v>0.38</v>
      </c>
      <c r="C26" s="129">
        <f t="shared" si="74"/>
        <v>0.38</v>
      </c>
      <c r="D26" s="129">
        <f t="shared" ref="D26:E26" si="75">D23</f>
        <v>0.08</v>
      </c>
      <c r="E26" s="129">
        <f t="shared" si="75"/>
        <v>0.09</v>
      </c>
      <c r="F26" s="36">
        <v>14</v>
      </c>
      <c r="G26" s="172">
        <f t="shared" si="9"/>
        <v>44263</v>
      </c>
      <c r="H26" s="173"/>
      <c r="I26" s="173"/>
      <c r="J26" s="174"/>
      <c r="K26" s="47">
        <f t="shared" si="57"/>
        <v>3</v>
      </c>
      <c r="L26" s="47">
        <f t="shared" si="58"/>
        <v>2021</v>
      </c>
      <c r="M26" s="47" t="str">
        <f t="shared" si="59"/>
        <v>32021</v>
      </c>
      <c r="N26" s="18">
        <f t="shared" si="62"/>
        <v>38900</v>
      </c>
      <c r="O26" s="31">
        <f t="shared" si="63"/>
        <v>14782</v>
      </c>
      <c r="P26" s="31">
        <f t="shared" si="12"/>
        <v>0</v>
      </c>
      <c r="Q26" s="31">
        <f t="shared" si="64"/>
        <v>3501</v>
      </c>
      <c r="R26" s="32">
        <f t="array" ref="R26">SUM(N26:Q26)</f>
        <v>57183</v>
      </c>
      <c r="S26" s="8">
        <f t="array" ref="S26">IF(N26=0,0,IF($E$2="FIXATION",$B$5,IF(N26=0,0,IF(BA26=7,ROUND(S25*1.03,-2),S25))))</f>
        <v>26500</v>
      </c>
      <c r="T26" s="9">
        <f t="shared" si="65"/>
        <v>0</v>
      </c>
      <c r="U26" s="31">
        <f t="shared" si="6"/>
        <v>0</v>
      </c>
      <c r="V26" s="9">
        <f t="array" ref="V26">IF($E$2="fixation",0,ROUND(S26*D26,0))</f>
        <v>0</v>
      </c>
      <c r="W26" s="32">
        <f t="array" ref="W26">SUM(S26:V26)</f>
        <v>26500</v>
      </c>
      <c r="X26" s="76">
        <f t="shared" si="66"/>
        <v>12400</v>
      </c>
      <c r="Y26" s="77">
        <f t="shared" si="67"/>
        <v>14782</v>
      </c>
      <c r="Z26" s="77"/>
      <c r="AA26" s="77">
        <f t="shared" si="68"/>
        <v>3501</v>
      </c>
      <c r="AB26" s="13">
        <f t="array" ref="AB26">SUM(X26:AA26)</f>
        <v>30683</v>
      </c>
      <c r="AC26" s="14">
        <f t="shared" si="16"/>
        <v>3267</v>
      </c>
      <c r="AD26" s="11">
        <f t="shared" si="17"/>
        <v>1100</v>
      </c>
      <c r="AE26" s="15">
        <f t="shared" si="69"/>
        <v>2167</v>
      </c>
      <c r="AF26" s="11">
        <f t="array" ref="AF26">IF(N26=0,0,AF25)</f>
        <v>3000</v>
      </c>
      <c r="AG26" s="9">
        <f t="array" ref="AG26">IF(N26=0,0,AG25)</f>
        <v>3000</v>
      </c>
      <c r="AH26" s="10">
        <f t="shared" si="70"/>
        <v>0</v>
      </c>
      <c r="AI26" s="11">
        <f t="array" ref="AI26">IF(BN26="MSS",ROUND(N26/31*5,0),IF(BN26="MS",ROUND(N26/31*3,0),IF(BN26="MM",ROUND(N26/31*2,0),IF(BN26="MF",ROUND(N26/31*1,0),IF(BN26="SSS",ROUND(R26/30*2,0),IF(BN26="SS",ROUND(R26/30,0),IF(BN26="SM",ROUND(R26/30,0),IF(BN26="SF",ROUND(R26/30*0,0),IF(BN26="OSS",ROUND(R26/31*2,0),IF(BN26="OS",ROUND(R26/31,0),IF(BN26="OM",ROUND(R26/31,0),IF(BN26="OF",ROUND(R26/31*0,0),0))))))))))))</f>
        <v>0</v>
      </c>
      <c r="AJ26" s="9">
        <f t="array" ref="AJ26">IF(BN26="MSS",ROUND(S26/31*5,0),IF(BN26="MS",ROUND(S26/31*3,0),IF(BN26="MM",ROUND(S26/31*2,0),IF(BN26="MF",ROUND(S26/31*1,0),IF(BN26="SSS",ROUND(W26/30*2,0),IF(BN26="SS",ROUND(W26/30,0),IF(BN26="SM",ROUND(W26/30,0),IF(BN26="SF",ROUND(W26/30*0,0),IF(BN26="OSS",ROUND(W26/31*2,0),IF(BN26="OS",ROUND(W26/31,0),IF(BN26="OM",ROUND(W26/31,0),IF(BN26="OF",ROUND(W26/31*0,0),0))))))))))))</f>
        <v>0</v>
      </c>
      <c r="AK26" s="10">
        <f t="shared" si="71"/>
        <v>0</v>
      </c>
      <c r="AL26" s="352">
        <f t="shared" si="18"/>
        <v>0</v>
      </c>
      <c r="AM26" s="353">
        <f t="shared" si="19"/>
        <v>0</v>
      </c>
      <c r="AN26" s="349">
        <f t="array" ref="AN26">AL26-AM26</f>
        <v>0</v>
      </c>
      <c r="AO26" s="133">
        <f t="shared" si="20"/>
        <v>3068</v>
      </c>
      <c r="AP26" s="134">
        <f t="array" ref="AP26">AE26+AH26+AK26+AN26+AO26</f>
        <v>5235</v>
      </c>
      <c r="AQ26" s="16">
        <f t="array" ref="AQ26">AB26-AP26</f>
        <v>25448</v>
      </c>
      <c r="AR26" s="356"/>
      <c r="AS26" s="180"/>
      <c r="AT26" s="86" t="str">
        <f t="shared" si="21"/>
        <v>YES</v>
      </c>
      <c r="AU26" s="87">
        <v>0.03</v>
      </c>
      <c r="AV26" s="88">
        <f t="array" ref="AV26">IF(AND(AT26="Yes",$E$2="Fixation"),ROUND(N26*AU26,0),IF(AT26="yes",ROUND((N26-S26)*AU26,0),0))</f>
        <v>1167</v>
      </c>
      <c r="AW26" s="180"/>
      <c r="AX26" s="78"/>
      <c r="AY26" s="78"/>
      <c r="AZ26" s="24">
        <f t="shared" si="49"/>
        <v>44263</v>
      </c>
      <c r="BA26" s="123">
        <f t="shared" si="23"/>
        <v>3</v>
      </c>
      <c r="BB26" s="123">
        <f t="shared" si="34"/>
        <v>38900</v>
      </c>
      <c r="BF26" s="48">
        <f t="shared" si="35"/>
        <v>44263</v>
      </c>
      <c r="BH26" s="44">
        <f t="shared" si="24"/>
        <v>1</v>
      </c>
      <c r="BI26" s="45" t="str">
        <f t="shared" si="50"/>
        <v>32021</v>
      </c>
      <c r="BJ26" s="44">
        <f t="shared" si="51"/>
        <v>32022</v>
      </c>
      <c r="BK26" s="46" t="str">
        <f t="shared" si="52"/>
        <v>MM</v>
      </c>
      <c r="BL26" s="46">
        <f t="shared" si="53"/>
        <v>0</v>
      </c>
      <c r="BM26" s="49">
        <f t="shared" si="29"/>
        <v>0</v>
      </c>
      <c r="BN26" s="46" t="str">
        <f t="shared" si="54"/>
        <v>00</v>
      </c>
    </row>
    <row r="27" spans="1:66" ht="18" customHeight="1">
      <c r="A27" s="23">
        <f t="shared" si="8"/>
        <v>38900</v>
      </c>
      <c r="B27" s="129">
        <f t="shared" ref="B27:C27" si="76">B24</f>
        <v>0.38</v>
      </c>
      <c r="C27" s="129">
        <f t="shared" si="76"/>
        <v>0.38</v>
      </c>
      <c r="D27" s="129">
        <f t="shared" ref="D27:E27" si="77">D24</f>
        <v>0.08</v>
      </c>
      <c r="E27" s="129">
        <f t="shared" si="77"/>
        <v>0.09</v>
      </c>
      <c r="F27" s="36">
        <v>15</v>
      </c>
      <c r="G27" s="172">
        <f t="shared" si="9"/>
        <v>44294</v>
      </c>
      <c r="H27" s="173"/>
      <c r="I27" s="173"/>
      <c r="J27" s="174"/>
      <c r="K27" s="47">
        <f t="shared" si="57"/>
        <v>4</v>
      </c>
      <c r="L27" s="47">
        <f t="shared" si="58"/>
        <v>2021</v>
      </c>
      <c r="M27" s="47" t="str">
        <f t="shared" si="59"/>
        <v>42021</v>
      </c>
      <c r="N27" s="18">
        <f t="shared" si="62"/>
        <v>38900</v>
      </c>
      <c r="O27" s="31">
        <f t="shared" si="63"/>
        <v>14782</v>
      </c>
      <c r="P27" s="31">
        <f t="shared" si="12"/>
        <v>0</v>
      </c>
      <c r="Q27" s="31">
        <f t="shared" si="64"/>
        <v>3501</v>
      </c>
      <c r="R27" s="32">
        <f t="array" ref="R27">SUM(N27:Q27)</f>
        <v>57183</v>
      </c>
      <c r="S27" s="8">
        <f t="array" ref="S27">IF(N27=0,0,IF($E$2="FIXATION",$B$5,IF(N27=0,0,IF(BA27=7,ROUND(S26*1.03,-2),S26))))</f>
        <v>26500</v>
      </c>
      <c r="T27" s="9">
        <f t="shared" si="65"/>
        <v>0</v>
      </c>
      <c r="U27" s="31">
        <f t="shared" si="6"/>
        <v>0</v>
      </c>
      <c r="V27" s="9">
        <f t="array" ref="V27">IF($E$2="fixation",0,ROUND(S27*D27,0))</f>
        <v>0</v>
      </c>
      <c r="W27" s="32">
        <f t="array" ref="W27">SUM(S27:V27)</f>
        <v>26500</v>
      </c>
      <c r="X27" s="76">
        <f t="shared" si="66"/>
        <v>12400</v>
      </c>
      <c r="Y27" s="77">
        <f t="shared" si="67"/>
        <v>14782</v>
      </c>
      <c r="Z27" s="77"/>
      <c r="AA27" s="77">
        <f t="shared" si="68"/>
        <v>3501</v>
      </c>
      <c r="AB27" s="13">
        <f t="array" ref="AB27">SUM(X27:AA27)</f>
        <v>30683</v>
      </c>
      <c r="AC27" s="14">
        <f t="shared" si="16"/>
        <v>2100</v>
      </c>
      <c r="AD27" s="11">
        <f t="shared" si="17"/>
        <v>1100</v>
      </c>
      <c r="AE27" s="15">
        <f t="shared" si="69"/>
        <v>1000</v>
      </c>
      <c r="AF27" s="11">
        <f t="array" ref="AF27">IF(N27=0,0,AF26)</f>
        <v>3000</v>
      </c>
      <c r="AG27" s="9">
        <f t="array" ref="AG27">IF(N27=0,0,AG26)</f>
        <v>3000</v>
      </c>
      <c r="AH27" s="10">
        <f t="shared" si="70"/>
        <v>0</v>
      </c>
      <c r="AI27" s="11">
        <f t="array" ref="AI27">IF(BN27="MSS",ROUND(N27/31*5,0),IF(BN27="MS",ROUND(N27/31*3,0),IF(BN27="MM",ROUND(N27/31*2,0),IF(BN27="MF",ROUND(N27/31*1,0),IF(BN27="SSS",ROUND(R27/30*2,0),IF(BN27="SS",ROUND(R27/30,0),IF(BN27="SM",ROUND(R27/30,0),IF(BN27="SF",ROUND(R27/30*0,0),IF(BN27="OSS",ROUND(R27/31*2,0),IF(BN27="OS",ROUND(R27/31,0),IF(BN27="OM",ROUND(R27/31,0),IF(BN27="OF",ROUND(R27/31*0,0),0))))))))))))</f>
        <v>0</v>
      </c>
      <c r="AJ27" s="9">
        <f t="array" ref="AJ27">IF(BN27="MSS",ROUND(S27/31*5,0),IF(BN27="MS",ROUND(S27/31*3,0),IF(BN27="MM",ROUND(S27/31*2,0),IF(BN27="MF",ROUND(S27/31*1,0),IF(BN27="SSS",ROUND(W27/30*2,0),IF(BN27="SS",ROUND(W27/30,0),IF(BN27="SM",ROUND(W27/30,0),IF(BN27="SF",ROUND(W27/30*0,0),IF(BN27="OSS",ROUND(W27/31*2,0),IF(BN27="OS",ROUND(W27/31,0),IF(BN27="OM",ROUND(W27/31,0),IF(BN27="OF",ROUND(W27/31*0,0),0))))))))))))</f>
        <v>0</v>
      </c>
      <c r="AK27" s="10">
        <f t="shared" si="71"/>
        <v>0</v>
      </c>
      <c r="AL27" s="352">
        <f t="shared" si="18"/>
        <v>0</v>
      </c>
      <c r="AM27" s="353">
        <f t="shared" si="19"/>
        <v>0</v>
      </c>
      <c r="AN27" s="349">
        <f t="array" ref="AN27">AL27-AM27</f>
        <v>0</v>
      </c>
      <c r="AO27" s="133">
        <f t="shared" si="20"/>
        <v>3068</v>
      </c>
      <c r="AP27" s="134">
        <f t="array" ref="AP27">AE27+AH27+AK27+AN27+AO27</f>
        <v>4068</v>
      </c>
      <c r="AQ27" s="16">
        <f t="array" ref="AQ27">AB27-AP27</f>
        <v>26615</v>
      </c>
      <c r="AR27" s="356"/>
      <c r="AS27" s="180"/>
      <c r="AT27" s="86" t="str">
        <f t="shared" si="21"/>
        <v>NO</v>
      </c>
      <c r="AU27" s="87">
        <v>0.03</v>
      </c>
      <c r="AV27" s="88">
        <f t="array" ref="AV27">IF(AND(AT27="Yes",$E$2="Fixation"),ROUND(N27*AU27,0),IF(AT27="yes",ROUND((N27-S27)*AU27,0),0))</f>
        <v>0</v>
      </c>
      <c r="AW27" s="180"/>
      <c r="AX27" s="78"/>
      <c r="AY27" s="78"/>
      <c r="AZ27" s="24">
        <f t="shared" si="49"/>
        <v>44294</v>
      </c>
      <c r="BA27" s="123">
        <f t="shared" si="23"/>
        <v>4</v>
      </c>
      <c r="BB27" s="123">
        <f t="shared" si="34"/>
        <v>38900</v>
      </c>
      <c r="BF27" s="48">
        <f t="shared" si="35"/>
        <v>44294</v>
      </c>
      <c r="BH27" s="44">
        <f t="shared" si="24"/>
        <v>1</v>
      </c>
      <c r="BI27" s="45" t="str">
        <f t="shared" si="50"/>
        <v>42021</v>
      </c>
      <c r="BJ27" s="44">
        <f t="shared" si="51"/>
        <v>42022</v>
      </c>
      <c r="BK27" s="46">
        <f t="shared" si="52"/>
        <v>0</v>
      </c>
      <c r="BL27" s="46">
        <f t="shared" si="53"/>
        <v>0</v>
      </c>
      <c r="BM27" s="49">
        <f t="shared" si="29"/>
        <v>0</v>
      </c>
      <c r="BN27" s="46" t="str">
        <f t="shared" si="54"/>
        <v>00</v>
      </c>
    </row>
    <row r="28" spans="1:66" ht="18" customHeight="1">
      <c r="A28" s="23">
        <f t="shared" si="8"/>
        <v>38900</v>
      </c>
      <c r="B28" s="129">
        <f t="shared" ref="B28:C28" si="78">B25</f>
        <v>0.38</v>
      </c>
      <c r="C28" s="129">
        <f t="shared" si="78"/>
        <v>0.38</v>
      </c>
      <c r="D28" s="129">
        <f t="shared" ref="D28:E28" si="79">D25</f>
        <v>0.08</v>
      </c>
      <c r="E28" s="129">
        <f t="shared" si="79"/>
        <v>0.09</v>
      </c>
      <c r="F28" s="36">
        <v>16</v>
      </c>
      <c r="G28" s="172">
        <f t="shared" si="9"/>
        <v>44325</v>
      </c>
      <c r="H28" s="173"/>
      <c r="I28" s="173"/>
      <c r="J28" s="174"/>
      <c r="K28" s="47">
        <f t="shared" si="57"/>
        <v>5</v>
      </c>
      <c r="L28" s="47">
        <f t="shared" si="58"/>
        <v>2021</v>
      </c>
      <c r="M28" s="47" t="str">
        <f t="shared" si="59"/>
        <v>52021</v>
      </c>
      <c r="N28" s="18">
        <f t="shared" si="62"/>
        <v>38900</v>
      </c>
      <c r="O28" s="31">
        <f t="shared" si="63"/>
        <v>14782</v>
      </c>
      <c r="P28" s="31">
        <f t="shared" si="12"/>
        <v>0</v>
      </c>
      <c r="Q28" s="31">
        <f t="shared" si="64"/>
        <v>3501</v>
      </c>
      <c r="R28" s="32">
        <f t="array" ref="R28">SUM(N28:Q28)</f>
        <v>57183</v>
      </c>
      <c r="S28" s="8">
        <f t="array" ref="S28">IF(N28=0,0,IF($E$2="FIXATION",$B$5,IF(N28=0,0,IF(BA28=7,ROUND(S27*1.03,-2),S27))))</f>
        <v>26500</v>
      </c>
      <c r="T28" s="9">
        <f t="shared" si="65"/>
        <v>0</v>
      </c>
      <c r="U28" s="31">
        <f t="shared" si="6"/>
        <v>0</v>
      </c>
      <c r="V28" s="9">
        <f t="array" ref="V28">IF($E$2="fixation",0,ROUND(S28*D28,0))</f>
        <v>0</v>
      </c>
      <c r="W28" s="32">
        <f t="array" ref="W28">SUM(S28:V28)</f>
        <v>26500</v>
      </c>
      <c r="X28" s="76">
        <f t="shared" si="66"/>
        <v>12400</v>
      </c>
      <c r="Y28" s="77">
        <f t="shared" si="67"/>
        <v>14782</v>
      </c>
      <c r="Z28" s="77"/>
      <c r="AA28" s="77">
        <f t="shared" si="68"/>
        <v>3501</v>
      </c>
      <c r="AB28" s="13">
        <f t="array" ref="AB28">SUM(X28:AA28)</f>
        <v>30683</v>
      </c>
      <c r="AC28" s="14">
        <f t="shared" si="16"/>
        <v>2100</v>
      </c>
      <c r="AD28" s="11">
        <f t="shared" si="17"/>
        <v>1100</v>
      </c>
      <c r="AE28" s="15">
        <f t="shared" si="69"/>
        <v>1000</v>
      </c>
      <c r="AF28" s="11">
        <f t="array" ref="AF28">IF(N28=0,0,AF27)</f>
        <v>3000</v>
      </c>
      <c r="AG28" s="9">
        <f t="array" ref="AG28">IF(N28=0,0,AG27)</f>
        <v>3000</v>
      </c>
      <c r="AH28" s="10">
        <f t="shared" si="70"/>
        <v>0</v>
      </c>
      <c r="AI28" s="11">
        <f t="array" ref="AI28">IF(BN28="MSS",ROUND(N28/31*5,0),IF(BN28="MS",ROUND(N28/31*3,0),IF(BN28="MM",ROUND(N28/31*2,0),IF(BN28="MF",ROUND(N28/31*1,0),IF(BN28="SSS",ROUND(R28/30*2,0),IF(BN28="SS",ROUND(R28/30,0),IF(BN28="SM",ROUND(R28/30,0),IF(BN28="SF",ROUND(R28/30*0,0),IF(BN28="OSS",ROUND(R28/31*2,0),IF(BN28="OS",ROUND(R28/31,0),IF(BN28="OM",ROUND(R28/31,0),IF(BN28="OF",ROUND(R28/31*0,0),0))))))))))))</f>
        <v>0</v>
      </c>
      <c r="AJ28" s="9">
        <f t="array" ref="AJ28">IF(BN28="MSS",ROUND(S28/31*5,0),IF(BN28="MS",ROUND(S28/31*3,0),IF(BN28="MM",ROUND(S28/31*2,0),IF(BN28="MF",ROUND(S28/31*1,0),IF(BN28="SSS",ROUND(W28/30*2,0),IF(BN28="SS",ROUND(W28/30,0),IF(BN28="SM",ROUND(W28/30,0),IF(BN28="SF",ROUND(W28/30*0,0),IF(BN28="OSS",ROUND(W28/31*2,0),IF(BN28="OS",ROUND(W28/31,0),IF(BN28="OM",ROUND(W28/31,0),IF(BN28="OF",ROUND(W28/31*0,0),0))))))))))))</f>
        <v>0</v>
      </c>
      <c r="AK28" s="10">
        <f t="shared" si="71"/>
        <v>0</v>
      </c>
      <c r="AL28" s="352">
        <f t="shared" si="18"/>
        <v>0</v>
      </c>
      <c r="AM28" s="353">
        <f t="shared" si="19"/>
        <v>0</v>
      </c>
      <c r="AN28" s="349">
        <f t="array" ref="AN28">AL28-AM28</f>
        <v>0</v>
      </c>
      <c r="AO28" s="133">
        <f t="shared" si="20"/>
        <v>3068</v>
      </c>
      <c r="AP28" s="134">
        <f t="array" ref="AP28">AE28+AH28+AK28+AN28+AO28</f>
        <v>4068</v>
      </c>
      <c r="AQ28" s="16">
        <f t="array" ref="AQ28">AB28-AP28</f>
        <v>26615</v>
      </c>
      <c r="AR28" s="356"/>
      <c r="AS28" s="180"/>
      <c r="AT28" s="86" t="str">
        <f t="shared" si="21"/>
        <v>NO</v>
      </c>
      <c r="AU28" s="87">
        <v>0.03</v>
      </c>
      <c r="AV28" s="88">
        <f t="array" ref="AV28">IF(AND(AT28="Yes",$E$2="Fixation"),ROUND(N28*AU28,0),IF(AT28="yes",ROUND((N28-S28)*AU28,0),0))</f>
        <v>0</v>
      </c>
      <c r="AW28" s="180"/>
      <c r="AX28" s="78"/>
      <c r="AY28" s="78"/>
      <c r="AZ28" s="24">
        <f t="shared" si="49"/>
        <v>44325</v>
      </c>
      <c r="BA28" s="123">
        <f t="shared" si="23"/>
        <v>5</v>
      </c>
      <c r="BB28" s="123">
        <f t="shared" si="34"/>
        <v>38900</v>
      </c>
      <c r="BF28" s="48">
        <f t="shared" si="35"/>
        <v>44325</v>
      </c>
      <c r="BH28" s="44">
        <f t="shared" si="24"/>
        <v>1</v>
      </c>
      <c r="BI28" s="45" t="str">
        <f t="shared" si="50"/>
        <v>52021</v>
      </c>
      <c r="BJ28" s="44">
        <f t="shared" si="51"/>
        <v>52022</v>
      </c>
      <c r="BK28" s="46">
        <f t="shared" si="52"/>
        <v>0</v>
      </c>
      <c r="BL28" s="46">
        <f t="shared" si="53"/>
        <v>0</v>
      </c>
      <c r="BM28" s="49">
        <f t="shared" si="29"/>
        <v>0</v>
      </c>
      <c r="BN28" s="46" t="str">
        <f t="shared" si="54"/>
        <v>00</v>
      </c>
    </row>
    <row r="29" spans="1:66" ht="18" customHeight="1">
      <c r="A29" s="23">
        <f t="shared" si="8"/>
        <v>38900</v>
      </c>
      <c r="B29" s="129">
        <f t="shared" ref="B29:C29" si="80">B26</f>
        <v>0.38</v>
      </c>
      <c r="C29" s="129">
        <f t="shared" si="80"/>
        <v>0.38</v>
      </c>
      <c r="D29" s="129">
        <f t="shared" ref="D29:E29" si="81">D26</f>
        <v>0.08</v>
      </c>
      <c r="E29" s="129">
        <f t="shared" si="81"/>
        <v>0.09</v>
      </c>
      <c r="F29" s="36">
        <v>17</v>
      </c>
      <c r="G29" s="172">
        <f t="shared" si="9"/>
        <v>44356</v>
      </c>
      <c r="H29" s="173"/>
      <c r="I29" s="173"/>
      <c r="J29" s="174"/>
      <c r="K29" s="47">
        <f t="shared" si="57"/>
        <v>6</v>
      </c>
      <c r="L29" s="47">
        <f t="shared" si="58"/>
        <v>2021</v>
      </c>
      <c r="M29" s="47" t="str">
        <f t="shared" si="59"/>
        <v>62021</v>
      </c>
      <c r="N29" s="18">
        <f t="shared" si="62"/>
        <v>38900</v>
      </c>
      <c r="O29" s="31">
        <f t="shared" si="63"/>
        <v>14782</v>
      </c>
      <c r="P29" s="31">
        <f t="shared" si="12"/>
        <v>0</v>
      </c>
      <c r="Q29" s="31">
        <f t="shared" si="64"/>
        <v>3501</v>
      </c>
      <c r="R29" s="32">
        <f t="array" ref="R29">SUM(N29:Q29)</f>
        <v>57183</v>
      </c>
      <c r="S29" s="8">
        <f t="array" ref="S29">IF(N29=0,0,IF($E$2="FIXATION",$B$5,IF(N29=0,0,IF(BA29=7,ROUND(S28*1.03,-2),S28))))</f>
        <v>26500</v>
      </c>
      <c r="T29" s="9">
        <f t="shared" si="65"/>
        <v>0</v>
      </c>
      <c r="U29" s="31">
        <f t="shared" si="6"/>
        <v>0</v>
      </c>
      <c r="V29" s="9">
        <f t="array" ref="V29">IF($E$2="fixation",0,ROUND(S29*D29,0))</f>
        <v>0</v>
      </c>
      <c r="W29" s="32">
        <f t="array" ref="W29">SUM(S29:V29)</f>
        <v>26500</v>
      </c>
      <c r="X29" s="76">
        <f t="shared" si="66"/>
        <v>12400</v>
      </c>
      <c r="Y29" s="77">
        <f t="shared" si="67"/>
        <v>14782</v>
      </c>
      <c r="Z29" s="77"/>
      <c r="AA29" s="77">
        <f t="shared" si="68"/>
        <v>3501</v>
      </c>
      <c r="AB29" s="13">
        <f t="array" ref="AB29">SUM(X29:AA29)</f>
        <v>30683</v>
      </c>
      <c r="AC29" s="14">
        <f t="shared" si="16"/>
        <v>2100</v>
      </c>
      <c r="AD29" s="11">
        <f t="shared" si="17"/>
        <v>1100</v>
      </c>
      <c r="AE29" s="15">
        <f t="shared" si="69"/>
        <v>1000</v>
      </c>
      <c r="AF29" s="11">
        <f t="array" ref="AF29">IF(N29=0,0,AF28)</f>
        <v>3000</v>
      </c>
      <c r="AG29" s="9">
        <f t="array" ref="AG29">IF(N29=0,0,AG28)</f>
        <v>3000</v>
      </c>
      <c r="AH29" s="10">
        <f t="shared" si="70"/>
        <v>0</v>
      </c>
      <c r="AI29" s="11">
        <f t="array" ref="AI29">IF(BN29="MSS",ROUND(N29/31*5,0),IF(BN29="MS",ROUND(N29/31*3,0),IF(BN29="MM",ROUND(N29/31*2,0),IF(BN29="MF",ROUND(N29/31*1,0),IF(BN29="SSS",ROUND(R29/30*2,0),IF(BN29="SS",ROUND(R29/30,0),IF(BN29="SM",ROUND(R29/30,0),IF(BN29="SF",ROUND(R29/30*0,0),IF(BN29="OSS",ROUND(R29/31*2,0),IF(BN29="OS",ROUND(R29/31,0),IF(BN29="OM",ROUND(R29/31,0),IF(BN29="OF",ROUND(R29/31*0,0),0))))))))))))</f>
        <v>0</v>
      </c>
      <c r="AJ29" s="9">
        <f t="array" ref="AJ29">IF(BN29="MSS",ROUND(S29/31*5,0),IF(BN29="MS",ROUND(S29/31*3,0),IF(BN29="MM",ROUND(S29/31*2,0),IF(BN29="MF",ROUND(S29/31*1,0),IF(BN29="SSS",ROUND(W29/30*2,0),IF(BN29="SS",ROUND(W29/30,0),IF(BN29="SM",ROUND(W29/30,0),IF(BN29="SF",ROUND(W29/30*0,0),IF(BN29="OSS",ROUND(W29/31*2,0),IF(BN29="OS",ROUND(W29/31,0),IF(BN29="OM",ROUND(W29/31,0),IF(BN29="OF",ROUND(W29/31*0,0),0))))))))))))</f>
        <v>0</v>
      </c>
      <c r="AK29" s="10">
        <f t="shared" si="71"/>
        <v>0</v>
      </c>
      <c r="AL29" s="352">
        <f t="shared" si="18"/>
        <v>0</v>
      </c>
      <c r="AM29" s="353">
        <f t="shared" si="19"/>
        <v>0</v>
      </c>
      <c r="AN29" s="349">
        <f t="array" ref="AN29">AL29-AM29</f>
        <v>0</v>
      </c>
      <c r="AO29" s="133">
        <f t="shared" si="20"/>
        <v>3068</v>
      </c>
      <c r="AP29" s="134">
        <f t="array" ref="AP29">AE29+AH29+AK29+AN29+AO29</f>
        <v>4068</v>
      </c>
      <c r="AQ29" s="16">
        <f t="array" ref="AQ29">AB29-AP29</f>
        <v>26615</v>
      </c>
      <c r="AR29" s="356"/>
      <c r="AS29" s="180"/>
      <c r="AT29" s="86" t="str">
        <f t="shared" si="21"/>
        <v>NO</v>
      </c>
      <c r="AU29" s="87">
        <v>0.03</v>
      </c>
      <c r="AV29" s="88">
        <f t="array" ref="AV29">IF(AND(AT29="Yes",$E$2="Fixation"),ROUND(N29*AU29,0),IF(AT29="yes",ROUND((N29-S29)*AU29,0),0))</f>
        <v>0</v>
      </c>
      <c r="AW29" s="180"/>
      <c r="AX29" s="78"/>
      <c r="AY29" s="78"/>
      <c r="AZ29" s="24">
        <f t="shared" si="49"/>
        <v>44356</v>
      </c>
      <c r="BA29" s="123">
        <f t="shared" si="23"/>
        <v>6</v>
      </c>
      <c r="BB29" s="123">
        <f t="shared" si="34"/>
        <v>38900</v>
      </c>
      <c r="BF29" s="48">
        <f t="shared" si="35"/>
        <v>44356</v>
      </c>
      <c r="BH29" s="44">
        <f t="shared" si="24"/>
        <v>1</v>
      </c>
      <c r="BI29" s="45" t="str">
        <f t="shared" si="50"/>
        <v>62021</v>
      </c>
      <c r="BJ29" s="44">
        <f t="shared" si="51"/>
        <v>62022</v>
      </c>
      <c r="BK29" s="46">
        <f t="shared" si="52"/>
        <v>0</v>
      </c>
      <c r="BL29" s="46">
        <f t="shared" si="53"/>
        <v>0</v>
      </c>
      <c r="BM29" s="49">
        <f t="shared" si="29"/>
        <v>0</v>
      </c>
      <c r="BN29" s="46" t="str">
        <f t="shared" si="54"/>
        <v>00</v>
      </c>
    </row>
    <row r="30" spans="1:66" ht="18" customHeight="1">
      <c r="A30" s="23">
        <f t="shared" si="8"/>
        <v>40100</v>
      </c>
      <c r="B30" s="129">
        <f t="shared" ref="B30:C30" si="82">B27</f>
        <v>0.38</v>
      </c>
      <c r="C30" s="129">
        <f t="shared" si="82"/>
        <v>0.38</v>
      </c>
      <c r="D30" s="129">
        <f t="shared" ref="D30:E30" si="83">D27</f>
        <v>0.08</v>
      </c>
      <c r="E30" s="129">
        <f t="shared" si="83"/>
        <v>0.09</v>
      </c>
      <c r="F30" s="36">
        <v>18</v>
      </c>
      <c r="G30" s="172">
        <f t="shared" si="9"/>
        <v>44387</v>
      </c>
      <c r="H30" s="173"/>
      <c r="I30" s="173"/>
      <c r="J30" s="174"/>
      <c r="K30" s="47">
        <f t="shared" si="57"/>
        <v>7</v>
      </c>
      <c r="L30" s="47">
        <f t="shared" si="58"/>
        <v>2021</v>
      </c>
      <c r="M30" s="47" t="str">
        <f t="shared" si="59"/>
        <v>72021</v>
      </c>
      <c r="N30" s="18">
        <f t="shared" si="62"/>
        <v>40100</v>
      </c>
      <c r="O30" s="31">
        <f t="shared" si="63"/>
        <v>15238</v>
      </c>
      <c r="P30" s="31">
        <f t="shared" si="12"/>
        <v>0</v>
      </c>
      <c r="Q30" s="31">
        <f t="shared" si="64"/>
        <v>3609</v>
      </c>
      <c r="R30" s="32">
        <f t="array" ref="R30">SUM(N30:Q30)</f>
        <v>58947</v>
      </c>
      <c r="S30" s="8">
        <f t="array" ref="S30">IF(N30=0,0,IF($E$2="FIXATION",$B$5,IF(N30=0,0,IF(BA30=7,ROUND(S29*1.03,-2),S29))))</f>
        <v>26500</v>
      </c>
      <c r="T30" s="9">
        <f t="shared" si="65"/>
        <v>0</v>
      </c>
      <c r="U30" s="31">
        <f t="shared" si="6"/>
        <v>0</v>
      </c>
      <c r="V30" s="9">
        <f t="array" ref="V30">IF($E$2="fixation",0,ROUND(S30*D30,0))</f>
        <v>0</v>
      </c>
      <c r="W30" s="32">
        <f t="array" ref="W30">SUM(S30:V30)</f>
        <v>26500</v>
      </c>
      <c r="X30" s="76">
        <f t="shared" si="66"/>
        <v>13600</v>
      </c>
      <c r="Y30" s="77">
        <f t="shared" si="67"/>
        <v>15238</v>
      </c>
      <c r="Z30" s="77"/>
      <c r="AA30" s="77">
        <f t="shared" si="68"/>
        <v>3609</v>
      </c>
      <c r="AB30" s="13">
        <f t="array" ref="AB30">SUM(X30:AA30)</f>
        <v>32447</v>
      </c>
      <c r="AC30" s="14">
        <f t="shared" si="16"/>
        <v>3303</v>
      </c>
      <c r="AD30" s="11">
        <f t="shared" si="17"/>
        <v>1100</v>
      </c>
      <c r="AE30" s="15">
        <f t="shared" si="69"/>
        <v>2203</v>
      </c>
      <c r="AF30" s="11">
        <f t="array" ref="AF30">IF(N30=0,0,AF29)</f>
        <v>3000</v>
      </c>
      <c r="AG30" s="9">
        <f t="array" ref="AG30">IF(N30=0,0,AG29)</f>
        <v>3000</v>
      </c>
      <c r="AH30" s="10">
        <f t="shared" si="70"/>
        <v>0</v>
      </c>
      <c r="AI30" s="11">
        <f t="array" ref="AI30">IF(BN30="MSS",ROUND(N30/31*5,0),IF(BN30="MS",ROUND(N30/31*3,0),IF(BN30="MM",ROUND(N30/31*2,0),IF(BN30="MF",ROUND(N30/31*1,0),IF(BN30="SSS",ROUND(R30/30*2,0),IF(BN30="SS",ROUND(R30/30,0),IF(BN30="SM",ROUND(R30/30,0),IF(BN30="SF",ROUND(R30/30*0,0),IF(BN30="OSS",ROUND(R30/31*2,0),IF(BN30="OS",ROUND(R30/31,0),IF(BN30="OM",ROUND(R30/31,0),IF(BN30="OF",ROUND(R30/31*0,0),0))))))))))))</f>
        <v>0</v>
      </c>
      <c r="AJ30" s="9">
        <f t="array" ref="AJ30">IF(BN30="MSS",ROUND(S30/31*5,0),IF(BN30="MS",ROUND(S30/31*3,0),IF(BN30="MM",ROUND(S30/31*2,0),IF(BN30="MF",ROUND(S30/31*1,0),IF(BN30="SSS",ROUND(W30/30*2,0),IF(BN30="SS",ROUND(W30/30,0),IF(BN30="SM",ROUND(W30/30,0),IF(BN30="SF",ROUND(W30/30*0,0),IF(BN30="OSS",ROUND(W30/31*2,0),IF(BN30="OS",ROUND(W30/31,0),IF(BN30="OM",ROUND(W30/31,0),IF(BN30="OF",ROUND(W30/31*0,0),0))))))))))))</f>
        <v>0</v>
      </c>
      <c r="AK30" s="10">
        <f t="shared" si="71"/>
        <v>0</v>
      </c>
      <c r="AL30" s="352">
        <f t="shared" si="18"/>
        <v>0</v>
      </c>
      <c r="AM30" s="353">
        <f t="shared" si="19"/>
        <v>0</v>
      </c>
      <c r="AN30" s="349">
        <f t="array" ref="AN30">AL30-AM30</f>
        <v>0</v>
      </c>
      <c r="AO30" s="133">
        <f t="shared" si="20"/>
        <v>3245</v>
      </c>
      <c r="AP30" s="134">
        <f t="array" ref="AP30">AE30+AH30+AK30+AN30+AO30</f>
        <v>5448</v>
      </c>
      <c r="AQ30" s="16">
        <f t="array" ref="AQ30">AB30-AP30</f>
        <v>26999</v>
      </c>
      <c r="AR30" s="356"/>
      <c r="AS30" s="180"/>
      <c r="AT30" s="86" t="str">
        <f t="shared" si="21"/>
        <v>YES</v>
      </c>
      <c r="AU30" s="87">
        <v>0.03</v>
      </c>
      <c r="AV30" s="88">
        <f t="array" ref="AV30">IF(AND(AT30="Yes",$E$2="Fixation"),ROUND(N30*AU30,0),IF(AT30="yes",ROUND((N30-S30)*AU30,0),0))</f>
        <v>1203</v>
      </c>
      <c r="AW30" s="180"/>
      <c r="AX30" s="78"/>
      <c r="AY30" s="78"/>
      <c r="AZ30" s="24">
        <f t="shared" si="49"/>
        <v>44387</v>
      </c>
      <c r="BA30" s="123">
        <f t="shared" si="23"/>
        <v>7</v>
      </c>
      <c r="BB30" s="123">
        <f t="shared" si="34"/>
        <v>40100</v>
      </c>
      <c r="BF30" s="48">
        <f t="shared" si="35"/>
        <v>44387</v>
      </c>
      <c r="BH30" s="44">
        <f t="shared" si="24"/>
        <v>1</v>
      </c>
      <c r="BI30" s="45" t="str">
        <f t="shared" si="50"/>
        <v>72021</v>
      </c>
      <c r="BJ30" s="44">
        <f t="shared" si="51"/>
        <v>72022</v>
      </c>
      <c r="BK30" s="46">
        <f t="shared" si="52"/>
        <v>0</v>
      </c>
      <c r="BL30" s="46">
        <f t="shared" si="53"/>
        <v>0</v>
      </c>
      <c r="BM30" s="49">
        <f t="shared" si="29"/>
        <v>0</v>
      </c>
      <c r="BN30" s="46" t="str">
        <f t="shared" si="54"/>
        <v>00</v>
      </c>
    </row>
    <row r="31" spans="1:66" ht="18" customHeight="1">
      <c r="A31" s="23">
        <f t="shared" si="8"/>
        <v>40100</v>
      </c>
      <c r="B31" s="129">
        <f t="shared" ref="B31:C31" si="84">B28</f>
        <v>0.38</v>
      </c>
      <c r="C31" s="129">
        <f t="shared" si="84"/>
        <v>0.38</v>
      </c>
      <c r="D31" s="129">
        <f t="shared" ref="D31:E31" si="85">D28</f>
        <v>0.08</v>
      </c>
      <c r="E31" s="129">
        <f t="shared" si="85"/>
        <v>0.09</v>
      </c>
      <c r="F31" s="36">
        <v>19</v>
      </c>
      <c r="G31" s="172">
        <f t="shared" si="9"/>
        <v>44418</v>
      </c>
      <c r="H31" s="173"/>
      <c r="I31" s="173"/>
      <c r="J31" s="174"/>
      <c r="K31" s="47">
        <f t="shared" si="57"/>
        <v>8</v>
      </c>
      <c r="L31" s="47">
        <f t="shared" si="58"/>
        <v>2021</v>
      </c>
      <c r="M31" s="47" t="str">
        <f t="shared" si="59"/>
        <v>82021</v>
      </c>
      <c r="N31" s="18">
        <f t="shared" si="62"/>
        <v>40100</v>
      </c>
      <c r="O31" s="31">
        <f t="shared" si="63"/>
        <v>15238</v>
      </c>
      <c r="P31" s="31">
        <f t="shared" si="12"/>
        <v>0</v>
      </c>
      <c r="Q31" s="31">
        <f t="shared" si="64"/>
        <v>3609</v>
      </c>
      <c r="R31" s="32">
        <f t="array" ref="R31">SUM(N31:Q31)</f>
        <v>58947</v>
      </c>
      <c r="S31" s="8">
        <f t="array" ref="S31">IF(N31=0,0,IF($E$2="FIXATION",$B$5,IF(N31=0,0,IF(BA31=7,ROUND(S30*1.03,-2),S30))))</f>
        <v>26500</v>
      </c>
      <c r="T31" s="9">
        <f t="shared" si="65"/>
        <v>0</v>
      </c>
      <c r="U31" s="31">
        <f t="shared" si="6"/>
        <v>0</v>
      </c>
      <c r="V31" s="9">
        <f t="array" ref="V31">IF($E$2="fixation",0,ROUND(S31*D31,0))</f>
        <v>0</v>
      </c>
      <c r="W31" s="32">
        <f t="array" ref="W31">SUM(S31:V31)</f>
        <v>26500</v>
      </c>
      <c r="X31" s="76">
        <f t="shared" si="66"/>
        <v>13600</v>
      </c>
      <c r="Y31" s="77">
        <f t="shared" si="67"/>
        <v>15238</v>
      </c>
      <c r="Z31" s="77"/>
      <c r="AA31" s="77">
        <f t="shared" si="68"/>
        <v>3609</v>
      </c>
      <c r="AB31" s="13">
        <f t="array" ref="AB31">SUM(X31:AA31)</f>
        <v>32447</v>
      </c>
      <c r="AC31" s="14">
        <f t="shared" si="16"/>
        <v>3303</v>
      </c>
      <c r="AD31" s="11">
        <f t="shared" si="17"/>
        <v>1100</v>
      </c>
      <c r="AE31" s="15">
        <f t="shared" si="69"/>
        <v>2203</v>
      </c>
      <c r="AF31" s="11">
        <f t="array" ref="AF31">IF(N31=0,0,AF30)</f>
        <v>3000</v>
      </c>
      <c r="AG31" s="9">
        <f t="array" ref="AG31">IF(N31=0,0,AG30)</f>
        <v>3000</v>
      </c>
      <c r="AH31" s="10">
        <f t="shared" si="70"/>
        <v>0</v>
      </c>
      <c r="AI31" s="11">
        <f t="array" ref="AI31">IF(BN31="MSS",ROUND(N31/31*5,0),IF(BN31="MS",ROUND(N31/31*3,0),IF(BN31="MM",ROUND(N31/31*2,0),IF(BN31="MF",ROUND(N31/31*1,0),IF(BN31="SSS",ROUND(R31/30*2,0),IF(BN31="SS",ROUND(R31/30,0),IF(BN31="SM",ROUND(R31/30,0),IF(BN31="SF",ROUND(R31/30*0,0),IF(BN31="OSS",ROUND(R31/31*2,0),IF(BN31="OS",ROUND(R31/31,0),IF(BN31="OM",ROUND(R31/31,0),IF(BN31="OF",ROUND(R31/31*0,0),0))))))))))))</f>
        <v>0</v>
      </c>
      <c r="AJ31" s="9">
        <f t="array" ref="AJ31">IF(BN31="MSS",ROUND(S31/31*5,0),IF(BN31="MS",ROUND(S31/31*3,0),IF(BN31="MM",ROUND(S31/31*2,0),IF(BN31="MF",ROUND(S31/31*1,0),IF(BN31="SSS",ROUND(W31/30*2,0),IF(BN31="SS",ROUND(W31/30,0),IF(BN31="SM",ROUND(W31/30,0),IF(BN31="SF",ROUND(W31/30*0,0),IF(BN31="OSS",ROUND(W31/31*2,0),IF(BN31="OS",ROUND(W31/31,0),IF(BN31="OM",ROUND(W31/31,0),IF(BN31="OF",ROUND(W31/31*0,0),0))))))))))))</f>
        <v>0</v>
      </c>
      <c r="AK31" s="10">
        <f t="shared" si="71"/>
        <v>0</v>
      </c>
      <c r="AL31" s="352">
        <f t="shared" si="18"/>
        <v>0</v>
      </c>
      <c r="AM31" s="353">
        <f t="shared" si="19"/>
        <v>0</v>
      </c>
      <c r="AN31" s="349">
        <f t="array" ref="AN31">AL31-AM31</f>
        <v>0</v>
      </c>
      <c r="AO31" s="133">
        <f t="shared" si="20"/>
        <v>3245</v>
      </c>
      <c r="AP31" s="134">
        <f t="array" ref="AP31">AE31+AH31+AK31+AN31+AO31</f>
        <v>5448</v>
      </c>
      <c r="AQ31" s="16">
        <f t="array" ref="AQ31">AB31-AP31</f>
        <v>26999</v>
      </c>
      <c r="AR31" s="356"/>
      <c r="AS31" s="180"/>
      <c r="AT31" s="86" t="str">
        <f t="shared" si="21"/>
        <v>YES</v>
      </c>
      <c r="AU31" s="87">
        <v>0.03</v>
      </c>
      <c r="AV31" s="88">
        <f t="array" ref="AV31">IF(AND(AT31="Yes",$E$2="Fixation"),ROUND(N31*AU31,0),IF(AT31="yes",ROUND((N31-S31)*AU31,0),0))</f>
        <v>1203</v>
      </c>
      <c r="AW31" s="180"/>
      <c r="AX31" s="78"/>
      <c r="AY31" s="78"/>
      <c r="AZ31" s="24">
        <f t="shared" si="49"/>
        <v>44418</v>
      </c>
      <c r="BA31" s="123">
        <f t="shared" si="23"/>
        <v>8</v>
      </c>
      <c r="BB31" s="123">
        <f t="shared" si="34"/>
        <v>40100</v>
      </c>
      <c r="BF31" s="48">
        <f t="shared" si="35"/>
        <v>44418</v>
      </c>
      <c r="BH31" s="44">
        <f t="shared" si="24"/>
        <v>1</v>
      </c>
      <c r="BI31" s="45" t="str">
        <f t="shared" si="50"/>
        <v>82021</v>
      </c>
      <c r="BJ31" s="44">
        <f t="shared" si="51"/>
        <v>82022</v>
      </c>
      <c r="BK31" s="46">
        <f t="shared" si="52"/>
        <v>0</v>
      </c>
      <c r="BL31" s="46">
        <f t="shared" si="53"/>
        <v>0</v>
      </c>
      <c r="BM31" s="49">
        <f t="shared" si="29"/>
        <v>0</v>
      </c>
      <c r="BN31" s="46" t="str">
        <f t="shared" si="54"/>
        <v>00</v>
      </c>
    </row>
    <row r="32" spans="1:66" ht="18" customHeight="1">
      <c r="A32" s="23">
        <f t="shared" si="8"/>
        <v>40100</v>
      </c>
      <c r="B32" s="129">
        <f t="shared" ref="B32:C32" si="86">B29</f>
        <v>0.38</v>
      </c>
      <c r="C32" s="129">
        <f t="shared" si="86"/>
        <v>0.38</v>
      </c>
      <c r="D32" s="129">
        <f t="shared" ref="D32:E32" si="87">D29</f>
        <v>0.08</v>
      </c>
      <c r="E32" s="129">
        <f t="shared" si="87"/>
        <v>0.09</v>
      </c>
      <c r="F32" s="36">
        <v>20</v>
      </c>
      <c r="G32" s="172">
        <f t="shared" si="9"/>
        <v>44449</v>
      </c>
      <c r="H32" s="173"/>
      <c r="I32" s="173"/>
      <c r="J32" s="174"/>
      <c r="K32" s="47">
        <f t="shared" si="57"/>
        <v>9</v>
      </c>
      <c r="L32" s="47">
        <f t="shared" si="58"/>
        <v>2021</v>
      </c>
      <c r="M32" s="47" t="str">
        <f t="shared" si="59"/>
        <v>92021</v>
      </c>
      <c r="N32" s="18">
        <f t="shared" si="62"/>
        <v>40100</v>
      </c>
      <c r="O32" s="31">
        <f t="shared" si="63"/>
        <v>15238</v>
      </c>
      <c r="P32" s="31">
        <f t="shared" si="12"/>
        <v>0</v>
      </c>
      <c r="Q32" s="31">
        <f t="shared" si="64"/>
        <v>3609</v>
      </c>
      <c r="R32" s="32">
        <f t="array" ref="R32">SUM(N32:Q32)</f>
        <v>58947</v>
      </c>
      <c r="S32" s="8">
        <f t="array" ref="S32">IF(N32=0,0,IF($E$2="FIXATION",$B$5,IF(N32=0,0,IF(BA32=7,ROUND(S31*1.03,-2),S31))))</f>
        <v>26500</v>
      </c>
      <c r="T32" s="9">
        <f t="shared" si="65"/>
        <v>0</v>
      </c>
      <c r="U32" s="31">
        <f t="shared" si="6"/>
        <v>0</v>
      </c>
      <c r="V32" s="9">
        <f t="array" ref="V32">IF($E$2="fixation",0,ROUND(S32*D32,0))</f>
        <v>0</v>
      </c>
      <c r="W32" s="32">
        <f t="array" ref="W32">SUM(S32:V32)</f>
        <v>26500</v>
      </c>
      <c r="X32" s="76">
        <f t="shared" si="66"/>
        <v>13600</v>
      </c>
      <c r="Y32" s="77">
        <f t="shared" si="67"/>
        <v>15238</v>
      </c>
      <c r="Z32" s="77"/>
      <c r="AA32" s="77">
        <f t="shared" si="68"/>
        <v>3609</v>
      </c>
      <c r="AB32" s="13">
        <f t="array" ref="AB32">SUM(X32:AA32)</f>
        <v>32447</v>
      </c>
      <c r="AC32" s="14">
        <f t="shared" si="16"/>
        <v>3303</v>
      </c>
      <c r="AD32" s="11">
        <f t="shared" si="17"/>
        <v>1100</v>
      </c>
      <c r="AE32" s="15">
        <f t="shared" si="69"/>
        <v>2203</v>
      </c>
      <c r="AF32" s="11">
        <f t="array" ref="AF32">IF(N32=0,0,AF31)</f>
        <v>3000</v>
      </c>
      <c r="AG32" s="9">
        <f t="array" ref="AG32">IF(N32=0,0,AG31)</f>
        <v>3000</v>
      </c>
      <c r="AH32" s="10">
        <f t="shared" si="70"/>
        <v>0</v>
      </c>
      <c r="AI32" s="11">
        <f t="array" ref="AI32">IF(BN32="MSS",ROUND(N32/31*5,0),IF(BN32="MS",ROUND(N32/31*3,0),IF(BN32="MM",ROUND(N32/31*2,0),IF(BN32="MF",ROUND(N32/31*1,0),IF(BN32="SSS",ROUND(R32/30*2,0),IF(BN32="SS",ROUND(R32/30,0),IF(BN32="SM",ROUND(R32/30,0),IF(BN32="SF",ROUND(R32/30*0,0),IF(BN32="OSS",ROUND(R32/31*2,0),IF(BN32="OS",ROUND(R32/31,0),IF(BN32="OM",ROUND(R32/31,0),IF(BN32="OF",ROUND(R32/31*0,0),0))))))))))))</f>
        <v>0</v>
      </c>
      <c r="AJ32" s="9">
        <f t="array" ref="AJ32">IF(BN32="MSS",ROUND(S32/31*5,0),IF(BN32="MS",ROUND(S32/31*3,0),IF(BN32="MM",ROUND(S32/31*2,0),IF(BN32="MF",ROUND(S32/31*1,0),IF(BN32="SSS",ROUND(W32/30*2,0),IF(BN32="SS",ROUND(W32/30,0),IF(BN32="SM",ROUND(W32/30,0),IF(BN32="SF",ROUND(W32/30*0,0),IF(BN32="OSS",ROUND(W32/31*2,0),IF(BN32="OS",ROUND(W32/31,0),IF(BN32="OM",ROUND(W32/31,0),IF(BN32="OF",ROUND(W32/31*0,0),0))))))))))))</f>
        <v>0</v>
      </c>
      <c r="AK32" s="10">
        <f t="shared" si="71"/>
        <v>0</v>
      </c>
      <c r="AL32" s="352">
        <f t="shared" si="18"/>
        <v>0</v>
      </c>
      <c r="AM32" s="353">
        <f t="shared" si="19"/>
        <v>0</v>
      </c>
      <c r="AN32" s="349">
        <f t="array" ref="AN32">AL32-AM32</f>
        <v>0</v>
      </c>
      <c r="AO32" s="133">
        <f t="shared" si="20"/>
        <v>3245</v>
      </c>
      <c r="AP32" s="134">
        <f t="array" ref="AP32">AE32+AH32+AK32+AN32+AO32</f>
        <v>5448</v>
      </c>
      <c r="AQ32" s="16">
        <f t="array" ref="AQ32">AB32-AP32</f>
        <v>26999</v>
      </c>
      <c r="AR32" s="356"/>
      <c r="AS32" s="180"/>
      <c r="AT32" s="86" t="str">
        <f t="shared" si="21"/>
        <v>YES</v>
      </c>
      <c r="AU32" s="87">
        <v>0.03</v>
      </c>
      <c r="AV32" s="88">
        <f t="array" ref="AV32">IF(AND(AT32="Yes",$E$2="Fixation"),ROUND(N32*AU32,0),IF(AT32="yes",ROUND((N32-S32)*AU32,0),0))</f>
        <v>1203</v>
      </c>
      <c r="AW32" s="180"/>
      <c r="AX32" s="78"/>
      <c r="AY32" s="78"/>
      <c r="AZ32" s="24">
        <f t="shared" si="49"/>
        <v>44449</v>
      </c>
      <c r="BA32" s="123">
        <f t="shared" si="23"/>
        <v>9</v>
      </c>
      <c r="BB32" s="123">
        <f t="shared" si="34"/>
        <v>40100</v>
      </c>
      <c r="BF32" s="48">
        <f t="shared" si="35"/>
        <v>44449</v>
      </c>
      <c r="BH32" s="44">
        <f t="shared" si="24"/>
        <v>1</v>
      </c>
      <c r="BI32" s="45" t="str">
        <f t="shared" si="50"/>
        <v>92021</v>
      </c>
      <c r="BJ32" s="44">
        <f t="shared" si="51"/>
        <v>92022</v>
      </c>
      <c r="BK32" s="46" t="str">
        <f t="shared" si="52"/>
        <v>MS</v>
      </c>
      <c r="BL32" s="46">
        <f t="shared" si="53"/>
        <v>0</v>
      </c>
      <c r="BM32" s="49">
        <f t="shared" si="29"/>
        <v>0</v>
      </c>
      <c r="BN32" s="46" t="str">
        <f t="shared" si="54"/>
        <v>00</v>
      </c>
    </row>
    <row r="33" spans="1:66" ht="18" customHeight="1">
      <c r="A33" s="23">
        <f t="shared" si="8"/>
        <v>40100</v>
      </c>
      <c r="B33" s="129">
        <f t="shared" ref="B33:C33" si="88">B30</f>
        <v>0.38</v>
      </c>
      <c r="C33" s="129">
        <f t="shared" si="88"/>
        <v>0.38</v>
      </c>
      <c r="D33" s="129">
        <f t="shared" ref="D33:E33" si="89">D30</f>
        <v>0.08</v>
      </c>
      <c r="E33" s="129">
        <f t="shared" si="89"/>
        <v>0.09</v>
      </c>
      <c r="F33" s="36">
        <v>21</v>
      </c>
      <c r="G33" s="172">
        <f t="shared" si="9"/>
        <v>44480</v>
      </c>
      <c r="H33" s="173"/>
      <c r="I33" s="173"/>
      <c r="J33" s="174"/>
      <c r="K33" s="47">
        <f t="shared" si="57"/>
        <v>10</v>
      </c>
      <c r="L33" s="47">
        <f t="shared" si="58"/>
        <v>2021</v>
      </c>
      <c r="M33" s="47" t="str">
        <f t="shared" si="59"/>
        <v>102021</v>
      </c>
      <c r="N33" s="18">
        <f t="shared" si="62"/>
        <v>40100</v>
      </c>
      <c r="O33" s="31">
        <f t="shared" si="63"/>
        <v>15238</v>
      </c>
      <c r="P33" s="31">
        <f t="shared" si="12"/>
        <v>0</v>
      </c>
      <c r="Q33" s="31">
        <f t="shared" si="64"/>
        <v>3609</v>
      </c>
      <c r="R33" s="32">
        <f t="array" ref="R33">SUM(N33:Q33)</f>
        <v>58947</v>
      </c>
      <c r="S33" s="8">
        <f t="array" ref="S33">IF(N33=0,0,IF($E$2="FIXATION",$B$5,IF(N33=0,0,IF(BA33=7,ROUND(S32*1.03,-2),S32))))</f>
        <v>26500</v>
      </c>
      <c r="T33" s="9">
        <f t="shared" si="65"/>
        <v>0</v>
      </c>
      <c r="U33" s="31">
        <f t="shared" si="6"/>
        <v>0</v>
      </c>
      <c r="V33" s="9">
        <f t="array" ref="V33">IF($E$2="fixation",0,ROUND(S33*D33,0))</f>
        <v>0</v>
      </c>
      <c r="W33" s="32">
        <f t="array" ref="W33">SUM(S33:V33)</f>
        <v>26500</v>
      </c>
      <c r="X33" s="76">
        <f t="shared" si="66"/>
        <v>13600</v>
      </c>
      <c r="Y33" s="77">
        <f t="shared" si="67"/>
        <v>15238</v>
      </c>
      <c r="Z33" s="77"/>
      <c r="AA33" s="77">
        <f t="shared" si="68"/>
        <v>3609</v>
      </c>
      <c r="AB33" s="13">
        <f t="array" ref="AB33">SUM(X33:AA33)</f>
        <v>32447</v>
      </c>
      <c r="AC33" s="14">
        <f t="shared" si="16"/>
        <v>2100</v>
      </c>
      <c r="AD33" s="11">
        <f t="shared" si="17"/>
        <v>1100</v>
      </c>
      <c r="AE33" s="15">
        <f t="shared" si="69"/>
        <v>1000</v>
      </c>
      <c r="AF33" s="11">
        <f t="array" ref="AF33">IF(N33=0,0,AF32)</f>
        <v>3000</v>
      </c>
      <c r="AG33" s="9">
        <f t="array" ref="AG33">IF(N33=0,0,AG32)</f>
        <v>3000</v>
      </c>
      <c r="AH33" s="10">
        <f t="shared" si="70"/>
        <v>0</v>
      </c>
      <c r="AI33" s="11">
        <f t="array" ref="AI33">IF(BN33="MSS",ROUND(N33/31*5,0),IF(BN33="MS",ROUND(N33/31*3,0),IF(BN33="MM",ROUND(N33/31*2,0),IF(BN33="MF",ROUND(N33/31*1,0),IF(BN33="SSS",ROUND(R33/30*2,0),IF(BN33="SS",ROUND(R33/30,0),IF(BN33="SM",ROUND(R33/30,0),IF(BN33="SF",ROUND(R33/30*0,0),IF(BN33="OSS",ROUND(R33/31*2,0),IF(BN33="OS",ROUND(R33/31,0),IF(BN33="OM",ROUND(R33/31,0),IF(BN33="OF",ROUND(R33/31*0,0),0))))))))))))</f>
        <v>0</v>
      </c>
      <c r="AJ33" s="9">
        <f t="array" ref="AJ33">IF(BN33="MSS",ROUND(S33/31*5,0),IF(BN33="MS",ROUND(S33/31*3,0),IF(BN33="MM",ROUND(S33/31*2,0),IF(BN33="MF",ROUND(S33/31*1,0),IF(BN33="SSS",ROUND(W33/30*2,0),IF(BN33="SS",ROUND(W33/30,0),IF(BN33="SM",ROUND(W33/30,0),IF(BN33="SF",ROUND(W33/30*0,0),IF(BN33="OSS",ROUND(W33/31*2,0),IF(BN33="OS",ROUND(W33/31,0),IF(BN33="OM",ROUND(W33/31,0),IF(BN33="OF",ROUND(W33/31*0,0),0))))))))))))</f>
        <v>0</v>
      </c>
      <c r="AK33" s="10">
        <f t="shared" si="71"/>
        <v>0</v>
      </c>
      <c r="AL33" s="352">
        <f t="shared" si="18"/>
        <v>0</v>
      </c>
      <c r="AM33" s="353">
        <f t="shared" si="19"/>
        <v>0</v>
      </c>
      <c r="AN33" s="349">
        <f t="array" ref="AN33">AL33-AM33</f>
        <v>0</v>
      </c>
      <c r="AO33" s="133">
        <f t="shared" si="20"/>
        <v>3245</v>
      </c>
      <c r="AP33" s="134">
        <f t="array" ref="AP33">AE33+AH33+AK33+AN33+AO33</f>
        <v>4245</v>
      </c>
      <c r="AQ33" s="16">
        <f t="array" ref="AQ33">AB33-AP33</f>
        <v>28202</v>
      </c>
      <c r="AR33" s="356"/>
      <c r="AS33" s="180"/>
      <c r="AT33" s="86" t="str">
        <f t="shared" si="21"/>
        <v>NO</v>
      </c>
      <c r="AU33" s="87">
        <v>0.03</v>
      </c>
      <c r="AV33" s="88">
        <f t="array" ref="AV33">IF(AND(AT33="Yes",$E$2="Fixation"),ROUND(N33*AU33,0),IF(AT33="yes",ROUND((N33-S33)*AU33,0),0))</f>
        <v>0</v>
      </c>
      <c r="AW33" s="180"/>
      <c r="AX33" s="78"/>
      <c r="AY33" s="78"/>
      <c r="AZ33" s="24">
        <f t="shared" si="49"/>
        <v>44480</v>
      </c>
      <c r="BA33" s="123">
        <f t="shared" si="23"/>
        <v>10</v>
      </c>
      <c r="BB33" s="123">
        <f t="shared" si="34"/>
        <v>40100</v>
      </c>
      <c r="BF33" s="48">
        <f t="shared" si="35"/>
        <v>44480</v>
      </c>
      <c r="BH33" s="44">
        <f t="shared" si="24"/>
        <v>1</v>
      </c>
      <c r="BI33" s="45" t="str">
        <f t="shared" si="50"/>
        <v>102021</v>
      </c>
      <c r="BJ33" s="44">
        <f t="shared" si="51"/>
        <v>102022</v>
      </c>
      <c r="BK33" s="46" t="str">
        <f t="shared" si="52"/>
        <v>MO</v>
      </c>
      <c r="BL33" s="46">
        <f t="shared" si="53"/>
        <v>0</v>
      </c>
      <c r="BM33" s="49">
        <f t="shared" si="29"/>
        <v>0</v>
      </c>
      <c r="BN33" s="46" t="str">
        <f t="shared" si="54"/>
        <v>00</v>
      </c>
    </row>
    <row r="34" spans="1:66" ht="18" customHeight="1">
      <c r="A34" s="23">
        <f t="shared" si="8"/>
        <v>40100</v>
      </c>
      <c r="B34" s="129">
        <f t="shared" ref="B34:C34" si="90">B31</f>
        <v>0.38</v>
      </c>
      <c r="C34" s="129">
        <f t="shared" si="90"/>
        <v>0.38</v>
      </c>
      <c r="D34" s="129">
        <f t="shared" ref="D34:E34" si="91">D31</f>
        <v>0.08</v>
      </c>
      <c r="E34" s="129">
        <f t="shared" si="91"/>
        <v>0.09</v>
      </c>
      <c r="F34" s="36">
        <v>22</v>
      </c>
      <c r="G34" s="172">
        <f t="shared" si="9"/>
        <v>44511</v>
      </c>
      <c r="H34" s="173"/>
      <c r="I34" s="173"/>
      <c r="J34" s="174"/>
      <c r="K34" s="47">
        <f t="shared" si="57"/>
        <v>11</v>
      </c>
      <c r="L34" s="47">
        <f t="shared" si="58"/>
        <v>2021</v>
      </c>
      <c r="M34" s="47" t="str">
        <f t="shared" si="59"/>
        <v>112021</v>
      </c>
      <c r="N34" s="18">
        <f t="shared" si="62"/>
        <v>40100</v>
      </c>
      <c r="O34" s="31">
        <f t="shared" si="63"/>
        <v>15238</v>
      </c>
      <c r="P34" s="31">
        <f t="shared" si="12"/>
        <v>0</v>
      </c>
      <c r="Q34" s="31">
        <f t="shared" si="64"/>
        <v>3609</v>
      </c>
      <c r="R34" s="32">
        <f t="array" ref="R34">SUM(N34:Q34)</f>
        <v>58947</v>
      </c>
      <c r="S34" s="8">
        <f t="array" ref="S34">IF(N34=0,0,IF($E$2="FIXATION",$B$5,IF(N34=0,0,IF(BA34=7,ROUND(S33*1.03,-2),S33))))</f>
        <v>26500</v>
      </c>
      <c r="T34" s="9">
        <f t="shared" si="65"/>
        <v>0</v>
      </c>
      <c r="U34" s="31">
        <f t="shared" si="6"/>
        <v>0</v>
      </c>
      <c r="V34" s="9">
        <f t="array" ref="V34">IF($E$2="fixation",0,ROUND(S34*D34,0))</f>
        <v>0</v>
      </c>
      <c r="W34" s="32">
        <f t="array" ref="W34">SUM(S34:V34)</f>
        <v>26500</v>
      </c>
      <c r="X34" s="76">
        <f t="shared" si="66"/>
        <v>13600</v>
      </c>
      <c r="Y34" s="77">
        <f t="shared" si="67"/>
        <v>15238</v>
      </c>
      <c r="Z34" s="77"/>
      <c r="AA34" s="77">
        <f t="shared" si="68"/>
        <v>3609</v>
      </c>
      <c r="AB34" s="13">
        <f t="array" ref="AB34">SUM(X34:AA34)</f>
        <v>32447</v>
      </c>
      <c r="AC34" s="14">
        <f t="shared" si="16"/>
        <v>2100</v>
      </c>
      <c r="AD34" s="11">
        <f t="shared" si="17"/>
        <v>1100</v>
      </c>
      <c r="AE34" s="15">
        <f t="shared" si="69"/>
        <v>1000</v>
      </c>
      <c r="AF34" s="11">
        <f t="array" ref="AF34">IF(N34=0,0,AF33)</f>
        <v>3000</v>
      </c>
      <c r="AG34" s="9">
        <f t="array" ref="AG34">IF(N34=0,0,AG33)</f>
        <v>3000</v>
      </c>
      <c r="AH34" s="10">
        <f t="shared" si="70"/>
        <v>0</v>
      </c>
      <c r="AI34" s="11">
        <f t="array" ref="AI34">IF(BN34="MSS",ROUND(N34/31*5,0),IF(BN34="MS",ROUND(N34/31*3,0),IF(BN34="MM",ROUND(N34/31*2,0),IF(BN34="MF",ROUND(N34/31*1,0),IF(BN34="SSS",ROUND(R34/30*2,0),IF(BN34="SS",ROUND(R34/30,0),IF(BN34="SM",ROUND(R34/30,0),IF(BN34="SF",ROUND(R34/30*0,0),IF(BN34="OSS",ROUND(R34/31*2,0),IF(BN34="OS",ROUND(R34/31,0),IF(BN34="OM",ROUND(R34/31,0),IF(BN34="OF",ROUND(R34/31*0,0),0))))))))))))</f>
        <v>0</v>
      </c>
      <c r="AJ34" s="9">
        <f t="array" ref="AJ34">IF(BN34="MSS",ROUND(S34/31*5,0),IF(BN34="MS",ROUND(S34/31*3,0),IF(BN34="MM",ROUND(S34/31*2,0),IF(BN34="MF",ROUND(S34/31*1,0),IF(BN34="SSS",ROUND(W34/30*2,0),IF(BN34="SS",ROUND(W34/30,0),IF(BN34="SM",ROUND(W34/30,0),IF(BN34="SF",ROUND(W34/30*0,0),IF(BN34="OSS",ROUND(W34/31*2,0),IF(BN34="OS",ROUND(W34/31,0),IF(BN34="OM",ROUND(W34/31,0),IF(BN34="OF",ROUND(W34/31*0,0),0))))))))))))</f>
        <v>0</v>
      </c>
      <c r="AK34" s="10">
        <f t="shared" si="71"/>
        <v>0</v>
      </c>
      <c r="AL34" s="352">
        <f t="shared" si="18"/>
        <v>0</v>
      </c>
      <c r="AM34" s="353">
        <f t="shared" si="19"/>
        <v>0</v>
      </c>
      <c r="AN34" s="349">
        <f t="array" ref="AN34">AL34-AM34</f>
        <v>0</v>
      </c>
      <c r="AO34" s="133">
        <f t="shared" si="20"/>
        <v>3245</v>
      </c>
      <c r="AP34" s="134">
        <f t="array" ref="AP34">AE34+AH34+AK34+AN34+AO34</f>
        <v>4245</v>
      </c>
      <c r="AQ34" s="16">
        <f t="array" ref="AQ34">AB34-AP34</f>
        <v>28202</v>
      </c>
      <c r="AR34" s="356"/>
      <c r="AS34" s="180"/>
      <c r="AT34" s="86" t="str">
        <f t="shared" si="21"/>
        <v>NO</v>
      </c>
      <c r="AU34" s="87">
        <v>0.03</v>
      </c>
      <c r="AV34" s="88">
        <f t="array" ref="AV34">IF(AND(AT34="Yes",$E$2="Fixation"),ROUND(N34*AU34,0),IF(AT34="yes",ROUND((N34-S34)*AU34,0),0))</f>
        <v>0</v>
      </c>
      <c r="AW34" s="180"/>
      <c r="AX34" s="78"/>
      <c r="AY34" s="78"/>
      <c r="AZ34" s="24">
        <f t="shared" si="49"/>
        <v>44511</v>
      </c>
      <c r="BA34" s="123">
        <f t="shared" si="23"/>
        <v>11</v>
      </c>
      <c r="BB34" s="123">
        <f t="shared" si="34"/>
        <v>40100</v>
      </c>
      <c r="BF34" s="48">
        <f t="shared" si="35"/>
        <v>44511</v>
      </c>
      <c r="BH34" s="44">
        <f t="shared" si="24"/>
        <v>1</v>
      </c>
      <c r="BI34" s="45" t="str">
        <f t="shared" si="50"/>
        <v>112021</v>
      </c>
      <c r="BJ34" s="44">
        <f t="shared" si="51"/>
        <v>112022</v>
      </c>
      <c r="BK34" s="46">
        <f t="shared" si="52"/>
        <v>0</v>
      </c>
      <c r="BL34" s="46">
        <f t="shared" si="53"/>
        <v>0</v>
      </c>
      <c r="BM34" s="49">
        <f t="shared" si="29"/>
        <v>0</v>
      </c>
      <c r="BN34" s="46" t="str">
        <f t="shared" si="54"/>
        <v>00</v>
      </c>
    </row>
    <row r="35" spans="1:66" ht="18" customHeight="1">
      <c r="A35" s="23">
        <f t="shared" si="8"/>
        <v>40100</v>
      </c>
      <c r="B35" s="129">
        <f t="shared" ref="B35:C35" si="92">B32</f>
        <v>0.38</v>
      </c>
      <c r="C35" s="129">
        <f t="shared" si="92"/>
        <v>0.38</v>
      </c>
      <c r="D35" s="129">
        <f t="shared" ref="D35:E35" si="93">D32</f>
        <v>0.08</v>
      </c>
      <c r="E35" s="129">
        <f t="shared" si="93"/>
        <v>0.09</v>
      </c>
      <c r="F35" s="36">
        <v>23</v>
      </c>
      <c r="G35" s="172">
        <f t="shared" si="9"/>
        <v>44542</v>
      </c>
      <c r="H35" s="173"/>
      <c r="I35" s="173"/>
      <c r="J35" s="174"/>
      <c r="K35" s="47">
        <f t="shared" si="57"/>
        <v>12</v>
      </c>
      <c r="L35" s="47">
        <f t="shared" si="58"/>
        <v>2021</v>
      </c>
      <c r="M35" s="47" t="str">
        <f t="shared" si="59"/>
        <v>122021</v>
      </c>
      <c r="N35" s="18">
        <f t="shared" si="62"/>
        <v>40100</v>
      </c>
      <c r="O35" s="31">
        <f t="shared" si="63"/>
        <v>15238</v>
      </c>
      <c r="P35" s="31">
        <f t="shared" si="12"/>
        <v>0</v>
      </c>
      <c r="Q35" s="31">
        <f t="shared" si="64"/>
        <v>3609</v>
      </c>
      <c r="R35" s="32">
        <f t="array" ref="R35">SUM(N35:Q35)</f>
        <v>58947</v>
      </c>
      <c r="S35" s="8">
        <f t="array" ref="S35">IF(N35=0,0,IF($E$2="FIXATION",$B$5,IF(N35=0,0,IF(BA35=7,ROUND(S34*1.03,-2),S34))))</f>
        <v>26500</v>
      </c>
      <c r="T35" s="9">
        <f t="shared" si="65"/>
        <v>0</v>
      </c>
      <c r="U35" s="31">
        <f t="shared" si="6"/>
        <v>0</v>
      </c>
      <c r="V35" s="9">
        <f t="array" ref="V35">IF($E$2="fixation",0,ROUND(S35*D35,0))</f>
        <v>0</v>
      </c>
      <c r="W35" s="32">
        <f t="array" ref="W35">SUM(S35:V35)</f>
        <v>26500</v>
      </c>
      <c r="X35" s="76">
        <f t="shared" si="66"/>
        <v>13600</v>
      </c>
      <c r="Y35" s="77">
        <f t="shared" si="67"/>
        <v>15238</v>
      </c>
      <c r="Z35" s="77"/>
      <c r="AA35" s="77">
        <f t="shared" si="68"/>
        <v>3609</v>
      </c>
      <c r="AB35" s="13">
        <f t="array" ref="AB35">SUM(X35:AA35)</f>
        <v>32447</v>
      </c>
      <c r="AC35" s="14">
        <f t="shared" si="16"/>
        <v>2100</v>
      </c>
      <c r="AD35" s="11">
        <f t="shared" si="17"/>
        <v>1100</v>
      </c>
      <c r="AE35" s="15">
        <f t="shared" si="69"/>
        <v>1000</v>
      </c>
      <c r="AF35" s="11">
        <f t="array" ref="AF35">IF(N35=0,0,AF34)</f>
        <v>3000</v>
      </c>
      <c r="AG35" s="9">
        <f t="array" ref="AG35">IF(N35=0,0,AG34)</f>
        <v>3000</v>
      </c>
      <c r="AH35" s="10">
        <f t="shared" si="70"/>
        <v>0</v>
      </c>
      <c r="AI35" s="11">
        <f t="array" ref="AI35">IF(BN35="MSS",ROUND(N35/31*5,0),IF(BN35="MS",ROUND(N35/31*3,0),IF(BN35="MM",ROUND(N35/31*2,0),IF(BN35="MF",ROUND(N35/31*1,0),IF(BN35="SSS",ROUND(R35/30*2,0),IF(BN35="SS",ROUND(R35/30,0),IF(BN35="SM",ROUND(R35/30,0),IF(BN35="SF",ROUND(R35/30*0,0),IF(BN35="OSS",ROUND(R35/31*2,0),IF(BN35="OS",ROUND(R35/31,0),IF(BN35="OM",ROUND(R35/31,0),IF(BN35="OF",ROUND(R35/31*0,0),0))))))))))))</f>
        <v>0</v>
      </c>
      <c r="AJ35" s="9">
        <f t="array" ref="AJ35">IF(BN35="MSS",ROUND(S35/31*5,0),IF(BN35="MS",ROUND(S35/31*3,0),IF(BN35="MM",ROUND(S35/31*2,0),IF(BN35="MF",ROUND(S35/31*1,0),IF(BN35="SSS",ROUND(W35/30*2,0),IF(BN35="SS",ROUND(W35/30,0),IF(BN35="SM",ROUND(W35/30,0),IF(BN35="SF",ROUND(W35/30*0,0),IF(BN35="OSS",ROUND(W35/31*2,0),IF(BN35="OS",ROUND(W35/31,0),IF(BN35="OM",ROUND(W35/31,0),IF(BN35="OF",ROUND(W35/31*0,0),0))))))))))))</f>
        <v>0</v>
      </c>
      <c r="AK35" s="10">
        <f t="shared" si="71"/>
        <v>0</v>
      </c>
      <c r="AL35" s="352">
        <f t="shared" si="18"/>
        <v>0</v>
      </c>
      <c r="AM35" s="353">
        <f t="shared" si="19"/>
        <v>0</v>
      </c>
      <c r="AN35" s="349">
        <f t="array" ref="AN35">AL35-AM35</f>
        <v>0</v>
      </c>
      <c r="AO35" s="133">
        <f t="shared" si="20"/>
        <v>3245</v>
      </c>
      <c r="AP35" s="134">
        <f t="array" ref="AP35">AE35+AH35+AK35+AN35+AO35</f>
        <v>4245</v>
      </c>
      <c r="AQ35" s="16">
        <f t="array" ref="AQ35">AB35-AP35</f>
        <v>28202</v>
      </c>
      <c r="AR35" s="356"/>
      <c r="AS35" s="180"/>
      <c r="AT35" s="86" t="str">
        <f t="shared" si="21"/>
        <v>NO</v>
      </c>
      <c r="AU35" s="87">
        <v>0.03</v>
      </c>
      <c r="AV35" s="88">
        <f t="array" ref="AV35">IF(AND(AT35="Yes",$E$2="Fixation"),ROUND(N35*AU35,0),IF(AT35="yes",ROUND((N35-S35)*AU35,0),0))</f>
        <v>0</v>
      </c>
      <c r="AW35" s="180"/>
      <c r="AX35" s="78"/>
      <c r="AY35" s="78"/>
      <c r="AZ35" s="24">
        <f t="shared" si="49"/>
        <v>44542</v>
      </c>
      <c r="BA35" s="123">
        <f t="shared" si="23"/>
        <v>12</v>
      </c>
      <c r="BB35" s="123">
        <f t="shared" si="34"/>
        <v>40100</v>
      </c>
      <c r="BF35" s="48">
        <f t="shared" si="35"/>
        <v>44542</v>
      </c>
      <c r="BH35" s="44">
        <f t="shared" si="24"/>
        <v>1</v>
      </c>
      <c r="BI35" s="45" t="str">
        <f t="shared" si="50"/>
        <v>122021</v>
      </c>
      <c r="BJ35" s="44">
        <f t="shared" si="51"/>
        <v>122022</v>
      </c>
      <c r="BK35" s="46">
        <f t="shared" si="52"/>
        <v>0</v>
      </c>
      <c r="BL35" s="46">
        <f t="shared" si="53"/>
        <v>0</v>
      </c>
      <c r="BM35" s="49">
        <f t="shared" si="29"/>
        <v>0</v>
      </c>
      <c r="BN35" s="46" t="str">
        <f t="shared" si="54"/>
        <v>00</v>
      </c>
    </row>
    <row r="36" spans="1:66" ht="18" customHeight="1">
      <c r="A36" s="23">
        <f t="shared" si="8"/>
        <v>40100</v>
      </c>
      <c r="B36" s="129">
        <f t="shared" ref="B36:C36" si="94">B33</f>
        <v>0.38</v>
      </c>
      <c r="C36" s="129">
        <f t="shared" si="94"/>
        <v>0.38</v>
      </c>
      <c r="D36" s="129">
        <f t="shared" ref="D36:E36" si="95">D33</f>
        <v>0.08</v>
      </c>
      <c r="E36" s="129">
        <f t="shared" si="95"/>
        <v>0.09</v>
      </c>
      <c r="F36" s="36">
        <v>24</v>
      </c>
      <c r="G36" s="172">
        <f t="shared" si="9"/>
        <v>44573</v>
      </c>
      <c r="H36" s="173"/>
      <c r="I36" s="173"/>
      <c r="J36" s="174"/>
      <c r="K36" s="47">
        <f t="shared" si="57"/>
        <v>1</v>
      </c>
      <c r="L36" s="47">
        <f t="shared" si="58"/>
        <v>2022</v>
      </c>
      <c r="M36" s="47" t="str">
        <f t="shared" si="59"/>
        <v>12022</v>
      </c>
      <c r="N36" s="18">
        <f t="shared" si="62"/>
        <v>40100</v>
      </c>
      <c r="O36" s="31">
        <f t="shared" si="63"/>
        <v>15238</v>
      </c>
      <c r="P36" s="31">
        <f t="shared" si="12"/>
        <v>0</v>
      </c>
      <c r="Q36" s="31">
        <f t="shared" si="64"/>
        <v>3609</v>
      </c>
      <c r="R36" s="32">
        <f t="array" ref="R36">SUM(N36:Q36)</f>
        <v>58947</v>
      </c>
      <c r="S36" s="8">
        <f t="array" ref="S36">IF(N36=0,0,IF($E$2="FIXATION",$B$5,IF(N36=0,0,IF(BA36=7,ROUND(S35*1.03,-2),S35))))</f>
        <v>26500</v>
      </c>
      <c r="T36" s="9">
        <f t="shared" si="65"/>
        <v>0</v>
      </c>
      <c r="U36" s="31">
        <f t="shared" si="6"/>
        <v>0</v>
      </c>
      <c r="V36" s="9">
        <f t="array" ref="V36">IF($E$2="fixation",0,ROUND(S36*D36,0))</f>
        <v>0</v>
      </c>
      <c r="W36" s="32">
        <f t="array" ref="W36">SUM(S36:V36)</f>
        <v>26500</v>
      </c>
      <c r="X36" s="76">
        <f t="shared" si="66"/>
        <v>13600</v>
      </c>
      <c r="Y36" s="77">
        <f t="shared" si="67"/>
        <v>15238</v>
      </c>
      <c r="Z36" s="77"/>
      <c r="AA36" s="77">
        <f t="shared" si="68"/>
        <v>3609</v>
      </c>
      <c r="AB36" s="13">
        <f t="array" ref="AB36">SUM(X36:AA36)</f>
        <v>32447</v>
      </c>
      <c r="AC36" s="14">
        <f t="shared" si="16"/>
        <v>3303</v>
      </c>
      <c r="AD36" s="11">
        <f t="shared" si="17"/>
        <v>1100</v>
      </c>
      <c r="AE36" s="15">
        <f t="shared" si="69"/>
        <v>2203</v>
      </c>
      <c r="AF36" s="11">
        <f t="array" ref="AF36">IF(N36=0,0,AF35)</f>
        <v>3000</v>
      </c>
      <c r="AG36" s="9">
        <f t="array" ref="AG36">IF(N36=0,0,AG35)</f>
        <v>3000</v>
      </c>
      <c r="AH36" s="10">
        <f t="shared" si="70"/>
        <v>0</v>
      </c>
      <c r="AI36" s="11">
        <f t="array" ref="AI36">IF(BN36="MSS",ROUND(N36/31*5,0),IF(BN36="MS",ROUND(N36/31*3,0),IF(BN36="MM",ROUND(N36/31*2,0),IF(BN36="MF",ROUND(N36/31*1,0),IF(BN36="SSS",ROUND(R36/30*2,0),IF(BN36="SS",ROUND(R36/30,0),IF(BN36="SM",ROUND(R36/30,0),IF(BN36="SF",ROUND(R36/30*0,0),IF(BN36="OSS",ROUND(R36/31*2,0),IF(BN36="OS",ROUND(R36/31,0),IF(BN36="OM",ROUND(R36/31,0),IF(BN36="OF",ROUND(R36/31*0,0),0))))))))))))</f>
        <v>0</v>
      </c>
      <c r="AJ36" s="9">
        <f t="array" ref="AJ36">IF(BN36="MSS",ROUND(S36/31*5,0),IF(BN36="MS",ROUND(S36/31*3,0),IF(BN36="MM",ROUND(S36/31*2,0),IF(BN36="MF",ROUND(S36/31*1,0),IF(BN36="SSS",ROUND(W36/30*2,0),IF(BN36="SS",ROUND(W36/30,0),IF(BN36="SM",ROUND(W36/30,0),IF(BN36="SF",ROUND(W36/30*0,0),IF(BN36="OSS",ROUND(W36/31*2,0),IF(BN36="OS",ROUND(W36/31,0),IF(BN36="OM",ROUND(W36/31,0),IF(BN36="OF",ROUND(W36/31*0,0),0))))))))))))</f>
        <v>0</v>
      </c>
      <c r="AK36" s="10">
        <f t="shared" si="71"/>
        <v>0</v>
      </c>
      <c r="AL36" s="352">
        <f t="shared" si="18"/>
        <v>0</v>
      </c>
      <c r="AM36" s="353">
        <f t="shared" si="19"/>
        <v>0</v>
      </c>
      <c r="AN36" s="349">
        <f t="array" ref="AN36">AL36-AM36</f>
        <v>0</v>
      </c>
      <c r="AO36" s="133">
        <f t="shared" si="20"/>
        <v>3245</v>
      </c>
      <c r="AP36" s="134">
        <f t="array" ref="AP36">AE36+AH36+AK36+AN36+AO36</f>
        <v>5448</v>
      </c>
      <c r="AQ36" s="16">
        <f t="array" ref="AQ36">AB36-AP36</f>
        <v>26999</v>
      </c>
      <c r="AR36" s="356"/>
      <c r="AS36" s="180"/>
      <c r="AT36" s="86" t="str">
        <f t="shared" si="21"/>
        <v>YES</v>
      </c>
      <c r="AU36" s="87">
        <v>0.03</v>
      </c>
      <c r="AV36" s="88">
        <f t="array" ref="AV36">IF(AND(AT36="Yes",$E$2="Fixation"),ROUND(N36*AU36,0),IF(AT36="yes",ROUND((N36-S36)*AU36,0),0))</f>
        <v>1203</v>
      </c>
      <c r="AW36" s="180"/>
      <c r="AX36" s="78"/>
      <c r="AY36" s="78"/>
      <c r="AZ36" s="24">
        <f t="shared" si="49"/>
        <v>44573</v>
      </c>
      <c r="BA36" s="123">
        <f t="shared" si="23"/>
        <v>1</v>
      </c>
      <c r="BB36" s="123">
        <f t="shared" si="34"/>
        <v>40100</v>
      </c>
      <c r="BF36" s="48">
        <f t="shared" si="35"/>
        <v>44573</v>
      </c>
      <c r="BH36" s="44">
        <f t="shared" si="24"/>
        <v>1</v>
      </c>
      <c r="BI36" s="45" t="str">
        <f t="shared" si="50"/>
        <v>12022</v>
      </c>
      <c r="BJ36" s="44">
        <f t="shared" si="51"/>
        <v>12023</v>
      </c>
      <c r="BK36" s="46">
        <f t="shared" si="52"/>
        <v>0</v>
      </c>
      <c r="BL36" s="46">
        <f t="shared" si="53"/>
        <v>0</v>
      </c>
      <c r="BM36" s="49">
        <f t="shared" si="29"/>
        <v>0</v>
      </c>
      <c r="BN36" s="46" t="str">
        <f t="shared" si="54"/>
        <v>00</v>
      </c>
    </row>
    <row r="37" spans="1:66" ht="18" customHeight="1">
      <c r="A37" s="23">
        <f t="shared" si="8"/>
        <v>40100</v>
      </c>
      <c r="B37" s="129">
        <f t="shared" ref="B37:C37" si="96">B34</f>
        <v>0.38</v>
      </c>
      <c r="C37" s="129">
        <f t="shared" si="96"/>
        <v>0.38</v>
      </c>
      <c r="D37" s="129">
        <f t="shared" ref="D37:E37" si="97">D34</f>
        <v>0.08</v>
      </c>
      <c r="E37" s="129">
        <f t="shared" si="97"/>
        <v>0.09</v>
      </c>
      <c r="F37" s="36">
        <v>25</v>
      </c>
      <c r="G37" s="172">
        <f t="shared" si="9"/>
        <v>44604</v>
      </c>
      <c r="H37" s="173"/>
      <c r="I37" s="173"/>
      <c r="J37" s="174"/>
      <c r="K37" s="47">
        <f t="shared" si="57"/>
        <v>2</v>
      </c>
      <c r="L37" s="47">
        <f t="shared" si="58"/>
        <v>2022</v>
      </c>
      <c r="M37" s="47" t="str">
        <f t="shared" si="59"/>
        <v>22022</v>
      </c>
      <c r="N37" s="18">
        <f t="shared" si="62"/>
        <v>40100</v>
      </c>
      <c r="O37" s="31">
        <f t="shared" si="63"/>
        <v>15238</v>
      </c>
      <c r="P37" s="31">
        <f t="shared" si="12"/>
        <v>0</v>
      </c>
      <c r="Q37" s="31">
        <f t="shared" si="64"/>
        <v>3609</v>
      </c>
      <c r="R37" s="32">
        <f t="array" ref="R37">SUM(N37:Q37)</f>
        <v>58947</v>
      </c>
      <c r="S37" s="8">
        <f t="array" ref="S37">IF(N37=0,0,IF($E$2="FIXATION",$B$5,IF(N37=0,0,IF(BA37=7,ROUND(S36*1.03,-2),S36))))</f>
        <v>26500</v>
      </c>
      <c r="T37" s="9">
        <f t="shared" si="65"/>
        <v>0</v>
      </c>
      <c r="U37" s="31">
        <f t="shared" si="6"/>
        <v>0</v>
      </c>
      <c r="V37" s="9">
        <f t="array" ref="V37">IF($E$2="fixation",0,ROUND(S37*D37,0))</f>
        <v>0</v>
      </c>
      <c r="W37" s="32">
        <f t="array" ref="W37">SUM(S37:V37)</f>
        <v>26500</v>
      </c>
      <c r="X37" s="76">
        <f t="shared" si="66"/>
        <v>13600</v>
      </c>
      <c r="Y37" s="77">
        <f t="shared" si="67"/>
        <v>15238</v>
      </c>
      <c r="Z37" s="77"/>
      <c r="AA37" s="77">
        <f t="shared" si="68"/>
        <v>3609</v>
      </c>
      <c r="AB37" s="13">
        <f t="array" ref="AB37">SUM(X37:AA37)</f>
        <v>32447</v>
      </c>
      <c r="AC37" s="14">
        <f t="shared" si="16"/>
        <v>3303</v>
      </c>
      <c r="AD37" s="11">
        <f t="shared" si="17"/>
        <v>1100</v>
      </c>
      <c r="AE37" s="15">
        <f t="shared" si="69"/>
        <v>2203</v>
      </c>
      <c r="AF37" s="11">
        <f t="array" ref="AF37">IF(N37=0,0,AF36)</f>
        <v>3000</v>
      </c>
      <c r="AG37" s="9">
        <f t="array" ref="AG37">IF(N37=0,0,AG36)</f>
        <v>3000</v>
      </c>
      <c r="AH37" s="10">
        <f t="shared" si="70"/>
        <v>0</v>
      </c>
      <c r="AI37" s="11">
        <f t="array" ref="AI37">IF(BN37="MSS",ROUND(N37/31*5,0),IF(BN37="MS",ROUND(N37/31*3,0),IF(BN37="MM",ROUND(N37/31*2,0),IF(BN37="MF",ROUND(N37/31*1,0),IF(BN37="SSS",ROUND(R37/30*2,0),IF(BN37="SS",ROUND(R37/30,0),IF(BN37="SM",ROUND(R37/30,0),IF(BN37="SF",ROUND(R37/30*0,0),IF(BN37="OSS",ROUND(R37/31*2,0),IF(BN37="OS",ROUND(R37/31,0),IF(BN37="OM",ROUND(R37/31,0),IF(BN37="OF",ROUND(R37/31*0,0),0))))))))))))</f>
        <v>0</v>
      </c>
      <c r="AJ37" s="9">
        <f t="array" ref="AJ37">IF(BN37="MSS",ROUND(S37/31*5,0),IF(BN37="MS",ROUND(S37/31*3,0),IF(BN37="MM",ROUND(S37/31*2,0),IF(BN37="MF",ROUND(S37/31*1,0),IF(BN37="SSS",ROUND(W37/30*2,0),IF(BN37="SS",ROUND(W37/30,0),IF(BN37="SM",ROUND(W37/30,0),IF(BN37="SF",ROUND(W37/30*0,0),IF(BN37="OSS",ROUND(W37/31*2,0),IF(BN37="OS",ROUND(W37/31,0),IF(BN37="OM",ROUND(W37/31,0),IF(BN37="OF",ROUND(W37/31*0,0),0))))))))))))</f>
        <v>0</v>
      </c>
      <c r="AK37" s="10">
        <f t="shared" si="71"/>
        <v>0</v>
      </c>
      <c r="AL37" s="352">
        <f t="shared" si="18"/>
        <v>0</v>
      </c>
      <c r="AM37" s="353">
        <f t="shared" si="19"/>
        <v>0</v>
      </c>
      <c r="AN37" s="349">
        <f t="array" ref="AN37">AL37-AM37</f>
        <v>0</v>
      </c>
      <c r="AO37" s="133">
        <f t="shared" si="20"/>
        <v>3245</v>
      </c>
      <c r="AP37" s="134">
        <f t="array" ref="AP37">AE37+AH37+AK37+AN37+AO37</f>
        <v>5448</v>
      </c>
      <c r="AQ37" s="16">
        <f t="array" ref="AQ37">AB37-AP37</f>
        <v>26999</v>
      </c>
      <c r="AR37" s="356"/>
      <c r="AS37" s="180"/>
      <c r="AT37" s="86" t="str">
        <f t="shared" si="21"/>
        <v>YES</v>
      </c>
      <c r="AU37" s="87">
        <v>0.03</v>
      </c>
      <c r="AV37" s="88">
        <f t="array" ref="AV37">IF(AND(AT37="Yes",$E$2="Fixation"),ROUND(N37*AU37,0),IF(AT37="yes",ROUND((N37-S37)*AU37,0),0))</f>
        <v>1203</v>
      </c>
      <c r="AW37" s="180"/>
      <c r="AX37" s="78"/>
      <c r="AY37" s="78"/>
      <c r="AZ37" s="24">
        <f t="shared" si="49"/>
        <v>44604</v>
      </c>
      <c r="BA37" s="123">
        <f t="shared" si="23"/>
        <v>2</v>
      </c>
      <c r="BB37" s="123">
        <f t="shared" si="34"/>
        <v>40100</v>
      </c>
      <c r="BF37" s="48">
        <f t="shared" si="35"/>
        <v>44604</v>
      </c>
      <c r="BH37" s="44">
        <f t="shared" si="24"/>
        <v>1</v>
      </c>
      <c r="BI37" s="45" t="str">
        <f t="shared" si="50"/>
        <v>22022</v>
      </c>
      <c r="BJ37" s="44">
        <f t="shared" si="51"/>
        <v>22023</v>
      </c>
      <c r="BK37" s="46">
        <f t="shared" si="52"/>
        <v>0</v>
      </c>
      <c r="BL37" s="46">
        <f t="shared" si="53"/>
        <v>0</v>
      </c>
      <c r="BM37" s="49">
        <f t="shared" si="29"/>
        <v>0</v>
      </c>
      <c r="BN37" s="46" t="str">
        <f t="shared" si="54"/>
        <v>00</v>
      </c>
    </row>
    <row r="38" spans="1:66" ht="18" customHeight="1">
      <c r="A38" s="23">
        <f t="shared" si="8"/>
        <v>40100</v>
      </c>
      <c r="B38" s="129">
        <f t="shared" ref="B38:C38" si="98">B35</f>
        <v>0.38</v>
      </c>
      <c r="C38" s="129">
        <f t="shared" si="98"/>
        <v>0.38</v>
      </c>
      <c r="D38" s="129">
        <f t="shared" ref="D38:E38" si="99">D35</f>
        <v>0.08</v>
      </c>
      <c r="E38" s="129">
        <f t="shared" si="99"/>
        <v>0.09</v>
      </c>
      <c r="F38" s="36">
        <v>26</v>
      </c>
      <c r="G38" s="172">
        <f t="shared" si="9"/>
        <v>44635</v>
      </c>
      <c r="H38" s="173"/>
      <c r="I38" s="173"/>
      <c r="J38" s="174"/>
      <c r="K38" s="47">
        <f t="shared" si="57"/>
        <v>3</v>
      </c>
      <c r="L38" s="47">
        <f t="shared" si="58"/>
        <v>2022</v>
      </c>
      <c r="M38" s="47" t="str">
        <f t="shared" si="59"/>
        <v>32022</v>
      </c>
      <c r="N38" s="18">
        <f t="shared" si="62"/>
        <v>40100</v>
      </c>
      <c r="O38" s="31">
        <f t="shared" si="63"/>
        <v>15238</v>
      </c>
      <c r="P38" s="31">
        <f t="shared" si="12"/>
        <v>0</v>
      </c>
      <c r="Q38" s="31">
        <f t="shared" si="64"/>
        <v>3609</v>
      </c>
      <c r="R38" s="32">
        <f t="array" ref="R38">SUM(N38:Q38)</f>
        <v>58947</v>
      </c>
      <c r="S38" s="8">
        <f t="array" ref="S38">IF(N38=0,0,IF($E$2="FIXATION",$B$5,IF(N38=0,0,IF(BA38=7,ROUND(S37*1.03,-2),S37))))</f>
        <v>26500</v>
      </c>
      <c r="T38" s="9">
        <f t="shared" si="65"/>
        <v>0</v>
      </c>
      <c r="U38" s="31">
        <f t="shared" si="6"/>
        <v>0</v>
      </c>
      <c r="V38" s="9">
        <f t="array" ref="V38">IF($E$2="fixation",0,ROUND(S38*D38,0))</f>
        <v>0</v>
      </c>
      <c r="W38" s="32">
        <f t="array" ref="W38">SUM(S38:V38)</f>
        <v>26500</v>
      </c>
      <c r="X38" s="76">
        <f t="shared" si="66"/>
        <v>13600</v>
      </c>
      <c r="Y38" s="77">
        <f t="shared" si="67"/>
        <v>15238</v>
      </c>
      <c r="Z38" s="77"/>
      <c r="AA38" s="77">
        <f t="shared" si="68"/>
        <v>3609</v>
      </c>
      <c r="AB38" s="13">
        <f t="array" ref="AB38">SUM(X38:AA38)</f>
        <v>32447</v>
      </c>
      <c r="AC38" s="14">
        <f t="shared" si="16"/>
        <v>3303</v>
      </c>
      <c r="AD38" s="11">
        <f t="shared" si="17"/>
        <v>1100</v>
      </c>
      <c r="AE38" s="15">
        <f t="shared" si="69"/>
        <v>2203</v>
      </c>
      <c r="AF38" s="11">
        <f t="array" ref="AF38">IF(N38=0,0,AF37)</f>
        <v>3000</v>
      </c>
      <c r="AG38" s="9">
        <f t="array" ref="AG38">IF(N38=0,0,AG37)</f>
        <v>3000</v>
      </c>
      <c r="AH38" s="10">
        <f t="shared" si="70"/>
        <v>0</v>
      </c>
      <c r="AI38" s="11">
        <f t="array" ref="AI38">IF(BN38="MSS",ROUND(N38/31*5,0),IF(BN38="MS",ROUND(N38/31*3,0),IF(BN38="MM",ROUND(N38/31*2,0),IF(BN38="MF",ROUND(N38/31*1,0),IF(BN38="SSS",ROUND(R38/30*2,0),IF(BN38="SS",ROUND(R38/30,0),IF(BN38="SM",ROUND(R38/30,0),IF(BN38="SF",ROUND(R38/30*0,0),IF(BN38="OSS",ROUND(R38/31*2,0),IF(BN38="OS",ROUND(R38/31,0),IF(BN38="OM",ROUND(R38/31,0),IF(BN38="OF",ROUND(R38/31*0,0),0))))))))))))</f>
        <v>0</v>
      </c>
      <c r="AJ38" s="9">
        <f t="array" ref="AJ38">IF(BN38="MSS",ROUND(S38/31*5,0),IF(BN38="MS",ROUND(S38/31*3,0),IF(BN38="MM",ROUND(S38/31*2,0),IF(BN38="MF",ROUND(S38/31*1,0),IF(BN38="SSS",ROUND(W38/30*2,0),IF(BN38="SS",ROUND(W38/30,0),IF(BN38="SM",ROUND(W38/30,0),IF(BN38="SF",ROUND(W38/30*0,0),IF(BN38="OSS",ROUND(W38/31*2,0),IF(BN38="OS",ROUND(W38/31,0),IF(BN38="OM",ROUND(W38/31,0),IF(BN38="OF",ROUND(W38/31*0,0),0))))))))))))</f>
        <v>0</v>
      </c>
      <c r="AK38" s="10">
        <f t="shared" si="71"/>
        <v>0</v>
      </c>
      <c r="AL38" s="352">
        <f t="shared" si="18"/>
        <v>0</v>
      </c>
      <c r="AM38" s="353">
        <f t="shared" si="19"/>
        <v>0</v>
      </c>
      <c r="AN38" s="349">
        <f t="array" ref="AN38">AL38-AM38</f>
        <v>0</v>
      </c>
      <c r="AO38" s="133">
        <f t="shared" si="20"/>
        <v>3245</v>
      </c>
      <c r="AP38" s="134">
        <f t="array" ref="AP38">AE38+AH38+AK38+AN38+AO38</f>
        <v>5448</v>
      </c>
      <c r="AQ38" s="16">
        <f t="array" ref="AQ38">AB38-AP38</f>
        <v>26999</v>
      </c>
      <c r="AR38" s="356"/>
      <c r="AS38" s="180"/>
      <c r="AT38" s="86" t="str">
        <f t="shared" si="21"/>
        <v>YES</v>
      </c>
      <c r="AU38" s="87">
        <v>0.03</v>
      </c>
      <c r="AV38" s="88">
        <f t="array" ref="AV38">IF(AND(AT38="Yes",$E$2="Fixation"),ROUND(N38*AU38,0),IF(AT38="yes",ROUND((N38-S38)*AU38,0),0))</f>
        <v>1203</v>
      </c>
      <c r="AW38" s="180"/>
      <c r="AX38" s="78"/>
      <c r="AY38" s="78"/>
      <c r="AZ38" s="24">
        <f t="shared" si="49"/>
        <v>44635</v>
      </c>
      <c r="BA38" s="123">
        <f t="shared" si="23"/>
        <v>3</v>
      </c>
      <c r="BB38" s="123">
        <f t="shared" si="34"/>
        <v>40100</v>
      </c>
      <c r="BF38" s="48">
        <f t="shared" si="35"/>
        <v>44635</v>
      </c>
      <c r="BH38" s="44">
        <f t="shared" si="24"/>
        <v>1</v>
      </c>
      <c r="BI38" s="45" t="str">
        <f t="shared" si="50"/>
        <v>32022</v>
      </c>
      <c r="BJ38" s="44">
        <f t="shared" si="51"/>
        <v>32023</v>
      </c>
      <c r="BK38" s="46" t="str">
        <f t="shared" si="52"/>
        <v>SM</v>
      </c>
      <c r="BL38" s="46">
        <f t="shared" si="53"/>
        <v>0</v>
      </c>
      <c r="BM38" s="49">
        <f t="shared" si="29"/>
        <v>0</v>
      </c>
      <c r="BN38" s="46" t="str">
        <f t="shared" si="54"/>
        <v>00</v>
      </c>
    </row>
    <row r="39" spans="1:66" ht="18" customHeight="1">
      <c r="A39" s="23">
        <f t="shared" si="8"/>
        <v>40100</v>
      </c>
      <c r="B39" s="129">
        <f t="shared" ref="B39:C39" si="100">B36</f>
        <v>0.38</v>
      </c>
      <c r="C39" s="129">
        <f t="shared" si="100"/>
        <v>0.38</v>
      </c>
      <c r="D39" s="129">
        <f t="shared" ref="D39:E39" si="101">D36</f>
        <v>0.08</v>
      </c>
      <c r="E39" s="129">
        <f t="shared" si="101"/>
        <v>0.09</v>
      </c>
      <c r="F39" s="36">
        <v>27</v>
      </c>
      <c r="G39" s="172">
        <f t="shared" si="9"/>
        <v>44666</v>
      </c>
      <c r="H39" s="173"/>
      <c r="I39" s="173"/>
      <c r="J39" s="174"/>
      <c r="K39" s="47">
        <f t="shared" si="57"/>
        <v>4</v>
      </c>
      <c r="L39" s="47">
        <f t="shared" si="58"/>
        <v>2022</v>
      </c>
      <c r="M39" s="47" t="str">
        <f t="shared" si="59"/>
        <v>42022</v>
      </c>
      <c r="N39" s="18">
        <f t="shared" si="62"/>
        <v>40100</v>
      </c>
      <c r="O39" s="31">
        <f t="shared" si="63"/>
        <v>15238</v>
      </c>
      <c r="P39" s="31">
        <f t="shared" si="12"/>
        <v>0</v>
      </c>
      <c r="Q39" s="31">
        <f t="shared" si="64"/>
        <v>3609</v>
      </c>
      <c r="R39" s="32">
        <f t="array" ref="R39">SUM(N39:Q39)</f>
        <v>58947</v>
      </c>
      <c r="S39" s="8">
        <f t="array" ref="S39">IF(N39=0,0,IF($E$2="FIXATION",$B$5,IF(N39=0,0,IF(BA39=7,ROUND(S38*1.03,-2),S38))))</f>
        <v>26500</v>
      </c>
      <c r="T39" s="9">
        <f t="shared" si="65"/>
        <v>0</v>
      </c>
      <c r="U39" s="31">
        <f t="shared" si="6"/>
        <v>0</v>
      </c>
      <c r="V39" s="9">
        <f t="array" ref="V39">IF($E$2="fixation",0,ROUND(S39*D39,0))</f>
        <v>0</v>
      </c>
      <c r="W39" s="32">
        <f t="array" ref="W39">SUM(S39:V39)</f>
        <v>26500</v>
      </c>
      <c r="X39" s="76">
        <f t="shared" si="66"/>
        <v>13600</v>
      </c>
      <c r="Y39" s="77">
        <f t="shared" si="67"/>
        <v>15238</v>
      </c>
      <c r="Z39" s="77"/>
      <c r="AA39" s="77">
        <f t="shared" si="68"/>
        <v>3609</v>
      </c>
      <c r="AB39" s="13">
        <f t="array" ref="AB39">SUM(X39:AA39)</f>
        <v>32447</v>
      </c>
      <c r="AC39" s="14">
        <f t="shared" si="16"/>
        <v>2100</v>
      </c>
      <c r="AD39" s="11">
        <f t="shared" si="17"/>
        <v>1100</v>
      </c>
      <c r="AE39" s="15">
        <f t="shared" si="69"/>
        <v>1000</v>
      </c>
      <c r="AF39" s="11">
        <f t="array" ref="AF39">IF(N39=0,0,AF38)</f>
        <v>3000</v>
      </c>
      <c r="AG39" s="9">
        <f t="array" ref="AG39">IF(N39=0,0,AG38)</f>
        <v>3000</v>
      </c>
      <c r="AH39" s="10">
        <f t="shared" si="70"/>
        <v>0</v>
      </c>
      <c r="AI39" s="11">
        <f t="array" ref="AI39">IF(BN39="MSS",ROUND(N39/31*5,0),IF(BN39="MS",ROUND(N39/31*3,0),IF(BN39="MM",ROUND(N39/31*2,0),IF(BN39="MF",ROUND(N39/31*1,0),IF(BN39="SSS",ROUND(R39/30*2,0),IF(BN39="SS",ROUND(R39/30,0),IF(BN39="SM",ROUND(R39/30,0),IF(BN39="SF",ROUND(R39/30*0,0),IF(BN39="OSS",ROUND(R39/31*2,0),IF(BN39="OS",ROUND(R39/31,0),IF(BN39="OM",ROUND(R39/31,0),IF(BN39="OF",ROUND(R39/31*0,0),0))))))))))))</f>
        <v>0</v>
      </c>
      <c r="AJ39" s="9">
        <f t="array" ref="AJ39">IF(BN39="MSS",ROUND(S39/31*5,0),IF(BN39="MS",ROUND(S39/31*3,0),IF(BN39="MM",ROUND(S39/31*2,0),IF(BN39="MF",ROUND(S39/31*1,0),IF(BN39="SSS",ROUND(W39/30*2,0),IF(BN39="SS",ROUND(W39/30,0),IF(BN39="SM",ROUND(W39/30,0),IF(BN39="SF",ROUND(W39/30*0,0),IF(BN39="OSS",ROUND(W39/31*2,0),IF(BN39="OS",ROUND(W39/31,0),IF(BN39="OM",ROUND(W39/31,0),IF(BN39="OF",ROUND(W39/31*0,0),0))))))))))))</f>
        <v>0</v>
      </c>
      <c r="AK39" s="10">
        <f t="shared" si="71"/>
        <v>0</v>
      </c>
      <c r="AL39" s="352">
        <f t="shared" si="18"/>
        <v>0</v>
      </c>
      <c r="AM39" s="353">
        <f t="shared" si="19"/>
        <v>0</v>
      </c>
      <c r="AN39" s="349">
        <f t="array" ref="AN39">AL39-AM39</f>
        <v>0</v>
      </c>
      <c r="AO39" s="133">
        <f t="shared" si="20"/>
        <v>3245</v>
      </c>
      <c r="AP39" s="134">
        <f t="array" ref="AP39">AE39+AH39+AK39+AN39+AO39</f>
        <v>4245</v>
      </c>
      <c r="AQ39" s="16">
        <f t="array" ref="AQ39">AB39-AP39</f>
        <v>28202</v>
      </c>
      <c r="AR39" s="356"/>
      <c r="AS39" s="180"/>
      <c r="AT39" s="86" t="str">
        <f t="shared" si="21"/>
        <v>NO</v>
      </c>
      <c r="AU39" s="87">
        <v>0.03</v>
      </c>
      <c r="AV39" s="88">
        <f t="array" ref="AV39">IF(AND(AT39="Yes",$E$2="Fixation"),ROUND(N39*AU39,0),IF(AT39="yes",ROUND((N39-S39)*AU39,0),0))</f>
        <v>0</v>
      </c>
      <c r="AW39" s="180"/>
      <c r="AX39" s="78"/>
      <c r="AY39" s="78"/>
      <c r="AZ39" s="24">
        <f t="shared" si="49"/>
        <v>44666</v>
      </c>
      <c r="BA39" s="123">
        <f t="shared" si="23"/>
        <v>4</v>
      </c>
      <c r="BB39" s="123">
        <f t="shared" si="34"/>
        <v>40100</v>
      </c>
      <c r="BF39" s="48">
        <f t="shared" si="35"/>
        <v>44666</v>
      </c>
      <c r="BH39" s="44">
        <f t="shared" si="24"/>
        <v>1</v>
      </c>
      <c r="BI39" s="45" t="str">
        <f t="shared" si="50"/>
        <v>42022</v>
      </c>
      <c r="BJ39" s="44">
        <f t="shared" si="51"/>
        <v>42023</v>
      </c>
      <c r="BK39" s="46">
        <f t="shared" si="52"/>
        <v>0</v>
      </c>
      <c r="BL39" s="46">
        <f t="shared" si="53"/>
        <v>0</v>
      </c>
      <c r="BM39" s="49">
        <f t="shared" si="29"/>
        <v>0</v>
      </c>
      <c r="BN39" s="46" t="str">
        <f t="shared" si="54"/>
        <v>00</v>
      </c>
    </row>
    <row r="40" spans="1:66" ht="18" customHeight="1">
      <c r="A40" s="23">
        <f t="shared" si="8"/>
        <v>40100</v>
      </c>
      <c r="B40" s="129">
        <f t="shared" ref="B40:C40" si="102">B37</f>
        <v>0.38</v>
      </c>
      <c r="C40" s="129">
        <f t="shared" si="102"/>
        <v>0.38</v>
      </c>
      <c r="D40" s="129">
        <f t="shared" ref="D40:E40" si="103">D37</f>
        <v>0.08</v>
      </c>
      <c r="E40" s="129">
        <f t="shared" si="103"/>
        <v>0.09</v>
      </c>
      <c r="F40" s="36">
        <v>28</v>
      </c>
      <c r="G40" s="172">
        <f t="shared" si="9"/>
        <v>44697</v>
      </c>
      <c r="H40" s="173"/>
      <c r="I40" s="173"/>
      <c r="J40" s="174"/>
      <c r="K40" s="47">
        <f t="shared" si="57"/>
        <v>5</v>
      </c>
      <c r="L40" s="47">
        <f t="shared" si="58"/>
        <v>2022</v>
      </c>
      <c r="M40" s="47" t="str">
        <f t="shared" si="59"/>
        <v>52022</v>
      </c>
      <c r="N40" s="18">
        <f t="shared" si="62"/>
        <v>40100</v>
      </c>
      <c r="O40" s="31">
        <f t="shared" si="63"/>
        <v>15238</v>
      </c>
      <c r="P40" s="31">
        <f t="shared" si="12"/>
        <v>0</v>
      </c>
      <c r="Q40" s="31">
        <f t="shared" si="64"/>
        <v>3609</v>
      </c>
      <c r="R40" s="32">
        <f t="array" ref="R40">SUM(N40:Q40)</f>
        <v>58947</v>
      </c>
      <c r="S40" s="8">
        <f t="array" ref="S40">IF(N40=0,0,IF($E$2="FIXATION",$B$5,IF(N40=0,0,IF(BA40=7,ROUND(S39*1.03,-2),S39))))</f>
        <v>26500</v>
      </c>
      <c r="T40" s="9">
        <f t="shared" si="65"/>
        <v>0</v>
      </c>
      <c r="U40" s="31">
        <f t="shared" si="6"/>
        <v>0</v>
      </c>
      <c r="V40" s="9">
        <f t="array" ref="V40">IF($E$2="fixation",0,ROUND(S40*D40,0))</f>
        <v>0</v>
      </c>
      <c r="W40" s="32">
        <f t="array" ref="W40">SUM(S40:V40)</f>
        <v>26500</v>
      </c>
      <c r="X40" s="76">
        <f t="shared" si="66"/>
        <v>13600</v>
      </c>
      <c r="Y40" s="77">
        <f t="shared" si="67"/>
        <v>15238</v>
      </c>
      <c r="Z40" s="77"/>
      <c r="AA40" s="77">
        <f t="shared" si="68"/>
        <v>3609</v>
      </c>
      <c r="AB40" s="13">
        <f t="array" ref="AB40">SUM(X40:AA40)</f>
        <v>32447</v>
      </c>
      <c r="AC40" s="14">
        <f t="shared" si="16"/>
        <v>2100</v>
      </c>
      <c r="AD40" s="11">
        <f t="shared" si="17"/>
        <v>1100</v>
      </c>
      <c r="AE40" s="15">
        <f t="shared" si="69"/>
        <v>1000</v>
      </c>
      <c r="AF40" s="11">
        <f t="array" ref="AF40">IF(N40=0,0,AF39)</f>
        <v>3000</v>
      </c>
      <c r="AG40" s="9">
        <f t="array" ref="AG40">IF(N40=0,0,AG39)</f>
        <v>3000</v>
      </c>
      <c r="AH40" s="10">
        <f t="shared" si="70"/>
        <v>0</v>
      </c>
      <c r="AI40" s="11">
        <f t="array" ref="AI40">IF(BN40="MSS",ROUND(N40/31*5,0),IF(BN40="MS",ROUND(N40/31*3,0),IF(BN40="MM",ROUND(N40/31*2,0),IF(BN40="MF",ROUND(N40/31*1,0),IF(BN40="SSS",ROUND(R40/30*2,0),IF(BN40="SS",ROUND(R40/30,0),IF(BN40="SM",ROUND(R40/30,0),IF(BN40="SF",ROUND(R40/30*0,0),IF(BN40="OSS",ROUND(R40/31*2,0),IF(BN40="OS",ROUND(R40/31,0),IF(BN40="OM",ROUND(R40/31,0),IF(BN40="OF",ROUND(R40/31*0,0),0))))))))))))</f>
        <v>0</v>
      </c>
      <c r="AJ40" s="9">
        <f t="array" ref="AJ40">IF(BN40="MSS",ROUND(S40/31*5,0),IF(BN40="MS",ROUND(S40/31*3,0),IF(BN40="MM",ROUND(S40/31*2,0),IF(BN40="MF",ROUND(S40/31*1,0),IF(BN40="SSS",ROUND(W40/30*2,0),IF(BN40="SS",ROUND(W40/30,0),IF(BN40="SM",ROUND(W40/30,0),IF(BN40="SF",ROUND(W40/30*0,0),IF(BN40="OSS",ROUND(W40/31*2,0),IF(BN40="OS",ROUND(W40/31,0),IF(BN40="OM",ROUND(W40/31,0),IF(BN40="OF",ROUND(W40/31*0,0),0))))))))))))</f>
        <v>0</v>
      </c>
      <c r="AK40" s="10">
        <f t="shared" si="71"/>
        <v>0</v>
      </c>
      <c r="AL40" s="352">
        <f t="shared" si="18"/>
        <v>0</v>
      </c>
      <c r="AM40" s="353">
        <f t="shared" si="19"/>
        <v>0</v>
      </c>
      <c r="AN40" s="349">
        <f t="array" ref="AN40">AL40-AM40</f>
        <v>0</v>
      </c>
      <c r="AO40" s="133">
        <f t="shared" si="20"/>
        <v>3245</v>
      </c>
      <c r="AP40" s="134">
        <f t="array" ref="AP40">AE40+AH40+AK40+AN40+AO40</f>
        <v>4245</v>
      </c>
      <c r="AQ40" s="16">
        <f t="array" ref="AQ40">AB40-AP40</f>
        <v>28202</v>
      </c>
      <c r="AR40" s="356"/>
      <c r="AS40" s="180"/>
      <c r="AT40" s="86" t="str">
        <f t="shared" si="21"/>
        <v>NO</v>
      </c>
      <c r="AU40" s="87">
        <v>0.03</v>
      </c>
      <c r="AV40" s="88">
        <f t="array" ref="AV40">IF(AND(AT40="Yes",$E$2="Fixation"),ROUND(N40*AU40,0),IF(AT40="yes",ROUND((N40-S40)*AU40,0),0))</f>
        <v>0</v>
      </c>
      <c r="AW40" s="180"/>
      <c r="AX40" s="78"/>
      <c r="AY40" s="78"/>
      <c r="AZ40" s="24">
        <f t="shared" si="49"/>
        <v>44697</v>
      </c>
      <c r="BA40" s="123">
        <f t="shared" si="23"/>
        <v>5</v>
      </c>
      <c r="BB40" s="123">
        <f t="shared" si="34"/>
        <v>40100</v>
      </c>
      <c r="BF40" s="48">
        <f t="shared" si="35"/>
        <v>44697</v>
      </c>
      <c r="BH40" s="44">
        <f t="shared" si="24"/>
        <v>1</v>
      </c>
      <c r="BI40" s="45" t="str">
        <f t="shared" si="50"/>
        <v>52022</v>
      </c>
      <c r="BJ40" s="44">
        <f t="shared" si="51"/>
        <v>52023</v>
      </c>
      <c r="BK40" s="46">
        <f t="shared" si="52"/>
        <v>0</v>
      </c>
      <c r="BL40" s="46">
        <f t="shared" si="53"/>
        <v>0</v>
      </c>
      <c r="BM40" s="49">
        <f t="shared" si="29"/>
        <v>0</v>
      </c>
      <c r="BN40" s="46" t="str">
        <f t="shared" si="54"/>
        <v>00</v>
      </c>
    </row>
    <row r="41" spans="1:66" ht="18" customHeight="1">
      <c r="A41" s="23">
        <f t="shared" si="8"/>
        <v>40100</v>
      </c>
      <c r="B41" s="129">
        <f t="shared" ref="B41:C41" si="104">B38</f>
        <v>0.38</v>
      </c>
      <c r="C41" s="129">
        <f t="shared" si="104"/>
        <v>0.38</v>
      </c>
      <c r="D41" s="129">
        <f t="shared" ref="D41:E41" si="105">D38</f>
        <v>0.08</v>
      </c>
      <c r="E41" s="129">
        <f t="shared" si="105"/>
        <v>0.09</v>
      </c>
      <c r="F41" s="36">
        <v>29</v>
      </c>
      <c r="G41" s="172">
        <f t="shared" si="9"/>
        <v>44728</v>
      </c>
      <c r="H41" s="173"/>
      <c r="I41" s="173"/>
      <c r="J41" s="174"/>
      <c r="K41" s="47">
        <f t="shared" si="57"/>
        <v>6</v>
      </c>
      <c r="L41" s="47">
        <f t="shared" si="58"/>
        <v>2022</v>
      </c>
      <c r="M41" s="47" t="str">
        <f t="shared" si="59"/>
        <v>62022</v>
      </c>
      <c r="N41" s="18">
        <f t="shared" si="62"/>
        <v>40100</v>
      </c>
      <c r="O41" s="31">
        <f t="shared" si="63"/>
        <v>15238</v>
      </c>
      <c r="P41" s="31">
        <f t="shared" si="12"/>
        <v>0</v>
      </c>
      <c r="Q41" s="31">
        <f t="shared" si="64"/>
        <v>3609</v>
      </c>
      <c r="R41" s="32">
        <f t="array" ref="R41">SUM(N41:Q41)</f>
        <v>58947</v>
      </c>
      <c r="S41" s="8">
        <f t="array" ref="S41">IF(N41=0,0,IF($E$2="FIXATION",$B$5,IF(N41=0,0,IF(BA41=7,ROUND(S40*1.03,-2),S40))))</f>
        <v>26500</v>
      </c>
      <c r="T41" s="9">
        <f t="shared" si="65"/>
        <v>0</v>
      </c>
      <c r="U41" s="31">
        <f t="shared" si="6"/>
        <v>0</v>
      </c>
      <c r="V41" s="9">
        <f t="array" ref="V41">IF($E$2="fixation",0,ROUND(S41*D41,0))</f>
        <v>0</v>
      </c>
      <c r="W41" s="32">
        <f t="array" ref="W41">SUM(S41:V41)</f>
        <v>26500</v>
      </c>
      <c r="X41" s="76">
        <f t="shared" si="66"/>
        <v>13600</v>
      </c>
      <c r="Y41" s="77">
        <f t="shared" si="67"/>
        <v>15238</v>
      </c>
      <c r="Z41" s="77"/>
      <c r="AA41" s="77">
        <f t="shared" si="68"/>
        <v>3609</v>
      </c>
      <c r="AB41" s="13">
        <f t="array" ref="AB41">SUM(X41:AA41)</f>
        <v>32447</v>
      </c>
      <c r="AC41" s="14">
        <f t="shared" si="16"/>
        <v>2100</v>
      </c>
      <c r="AD41" s="11">
        <f t="shared" si="17"/>
        <v>1100</v>
      </c>
      <c r="AE41" s="15">
        <f t="shared" si="69"/>
        <v>1000</v>
      </c>
      <c r="AF41" s="11">
        <f t="array" ref="AF41">IF(N41=0,0,AF40)</f>
        <v>3000</v>
      </c>
      <c r="AG41" s="9">
        <f t="array" ref="AG41">IF(N41=0,0,AG40)</f>
        <v>3000</v>
      </c>
      <c r="AH41" s="10">
        <f t="shared" si="70"/>
        <v>0</v>
      </c>
      <c r="AI41" s="11">
        <f t="array" ref="AI41">IF(BN41="MSS",ROUND(N41/31*5,0),IF(BN41="MS",ROUND(N41/31*3,0),IF(BN41="MM",ROUND(N41/31*2,0),IF(BN41="MF",ROUND(N41/31*1,0),IF(BN41="SSS",ROUND(R41/30*2,0),IF(BN41="SS",ROUND(R41/30,0),IF(BN41="SM",ROUND(R41/30,0),IF(BN41="SF",ROUND(R41/30*0,0),IF(BN41="OSS",ROUND(R41/31*2,0),IF(BN41="OS",ROUND(R41/31,0),IF(BN41="OM",ROUND(R41/31,0),IF(BN41="OF",ROUND(R41/31*0,0),0))))))))))))</f>
        <v>0</v>
      </c>
      <c r="AJ41" s="9">
        <f t="array" ref="AJ41">IF(BN41="MSS",ROUND(S41/31*5,0),IF(BN41="MS",ROUND(S41/31*3,0),IF(BN41="MM",ROUND(S41/31*2,0),IF(BN41="MF",ROUND(S41/31*1,0),IF(BN41="SSS",ROUND(W41/30*2,0),IF(BN41="SS",ROUND(W41/30,0),IF(BN41="SM",ROUND(W41/30,0),IF(BN41="SF",ROUND(W41/30*0,0),IF(BN41="OSS",ROUND(W41/31*2,0),IF(BN41="OS",ROUND(W41/31,0),IF(BN41="OM",ROUND(W41/31,0),IF(BN41="OF",ROUND(W41/31*0,0),0))))))))))))</f>
        <v>0</v>
      </c>
      <c r="AK41" s="10">
        <f t="shared" si="71"/>
        <v>0</v>
      </c>
      <c r="AL41" s="352">
        <f t="shared" si="18"/>
        <v>0</v>
      </c>
      <c r="AM41" s="353">
        <f t="shared" si="19"/>
        <v>0</v>
      </c>
      <c r="AN41" s="349">
        <f t="array" ref="AN41">AL41-AM41</f>
        <v>0</v>
      </c>
      <c r="AO41" s="133">
        <f t="shared" si="20"/>
        <v>3245</v>
      </c>
      <c r="AP41" s="134">
        <f t="array" ref="AP41">AE41+AH41+AK41+AN41+AO41</f>
        <v>4245</v>
      </c>
      <c r="AQ41" s="16">
        <f t="array" ref="AQ41">AB41-AP41</f>
        <v>28202</v>
      </c>
      <c r="AR41" s="356"/>
      <c r="AS41" s="180"/>
      <c r="AT41" s="86" t="str">
        <f t="shared" si="21"/>
        <v>NO</v>
      </c>
      <c r="AU41" s="87">
        <v>0.03</v>
      </c>
      <c r="AV41" s="88">
        <f t="array" ref="AV41">IF(AND(AT41="Yes",$E$2="Fixation"),ROUND(N41*AU41,0),IF(AT41="yes",ROUND((N41-S41)*AU41,0),0))</f>
        <v>0</v>
      </c>
      <c r="AW41" s="180"/>
      <c r="AX41" s="78"/>
      <c r="AY41" s="78"/>
      <c r="AZ41" s="24">
        <f t="shared" si="49"/>
        <v>44728</v>
      </c>
      <c r="BA41" s="123">
        <f t="shared" si="23"/>
        <v>6</v>
      </c>
      <c r="BB41" s="123">
        <f t="shared" si="34"/>
        <v>40100</v>
      </c>
      <c r="BF41" s="48">
        <f t="shared" si="35"/>
        <v>44728</v>
      </c>
      <c r="BH41" s="44">
        <f t="shared" si="24"/>
        <v>1</v>
      </c>
      <c r="BI41" s="45" t="str">
        <f t="shared" si="50"/>
        <v>62022</v>
      </c>
      <c r="BJ41" s="44">
        <f t="shared" si="51"/>
        <v>62023</v>
      </c>
      <c r="BK41" s="46">
        <f t="shared" si="52"/>
        <v>0</v>
      </c>
      <c r="BL41" s="46">
        <f t="shared" si="53"/>
        <v>0</v>
      </c>
      <c r="BM41" s="49">
        <f t="shared" si="29"/>
        <v>0</v>
      </c>
      <c r="BN41" s="46" t="str">
        <f t="shared" si="54"/>
        <v>00</v>
      </c>
    </row>
    <row r="42" spans="1:66" ht="18" customHeight="1">
      <c r="A42" s="23">
        <f t="shared" si="8"/>
        <v>41300</v>
      </c>
      <c r="B42" s="129">
        <f t="shared" ref="B42:C42" si="106">B39</f>
        <v>0.38</v>
      </c>
      <c r="C42" s="129">
        <f t="shared" si="106"/>
        <v>0.38</v>
      </c>
      <c r="D42" s="129">
        <f t="shared" ref="D42:E42" si="107">D39</f>
        <v>0.08</v>
      </c>
      <c r="E42" s="129">
        <f t="shared" si="107"/>
        <v>0.09</v>
      </c>
      <c r="F42" s="36">
        <v>30</v>
      </c>
      <c r="G42" s="172">
        <f t="shared" si="9"/>
        <v>44759</v>
      </c>
      <c r="H42" s="173"/>
      <c r="I42" s="173"/>
      <c r="J42" s="174"/>
      <c r="K42" s="47">
        <f t="shared" si="57"/>
        <v>7</v>
      </c>
      <c r="L42" s="47">
        <f t="shared" si="58"/>
        <v>2022</v>
      </c>
      <c r="M42" s="47" t="str">
        <f t="shared" si="59"/>
        <v>72022</v>
      </c>
      <c r="N42" s="18">
        <f t="shared" si="62"/>
        <v>41300</v>
      </c>
      <c r="O42" s="31">
        <f t="shared" si="63"/>
        <v>15694</v>
      </c>
      <c r="P42" s="31">
        <f t="shared" si="12"/>
        <v>0</v>
      </c>
      <c r="Q42" s="31">
        <f t="shared" si="64"/>
        <v>3717</v>
      </c>
      <c r="R42" s="32">
        <f t="array" ref="R42">SUM(N42:Q42)</f>
        <v>60711</v>
      </c>
      <c r="S42" s="8">
        <f t="array" ref="S42">IF(N42=0,0,IF($E$2="FIXATION",$B$5,IF(N42=0,0,IF(BA42=7,ROUND(S41*1.03,-2),S41))))</f>
        <v>26500</v>
      </c>
      <c r="T42" s="9">
        <f t="shared" si="65"/>
        <v>0</v>
      </c>
      <c r="U42" s="31">
        <f t="shared" si="6"/>
        <v>0</v>
      </c>
      <c r="V42" s="9">
        <f t="array" ref="V42">IF($E$2="fixation",0,ROUND(S42*D42,0))</f>
        <v>0</v>
      </c>
      <c r="W42" s="32">
        <f t="array" ref="W42">SUM(S42:V42)</f>
        <v>26500</v>
      </c>
      <c r="X42" s="76">
        <f t="shared" si="66"/>
        <v>14800</v>
      </c>
      <c r="Y42" s="77">
        <f t="shared" si="67"/>
        <v>15694</v>
      </c>
      <c r="Z42" s="77"/>
      <c r="AA42" s="77">
        <f t="shared" si="68"/>
        <v>3717</v>
      </c>
      <c r="AB42" s="13">
        <f t="array" ref="AB42">SUM(X42:AA42)</f>
        <v>34211</v>
      </c>
      <c r="AC42" s="14">
        <f t="shared" si="16"/>
        <v>3339</v>
      </c>
      <c r="AD42" s="11">
        <f t="shared" si="17"/>
        <v>1100</v>
      </c>
      <c r="AE42" s="15">
        <f t="shared" si="69"/>
        <v>2239</v>
      </c>
      <c r="AF42" s="11">
        <f t="array" ref="AF42">IF(N42=0,0,AF41)</f>
        <v>3000</v>
      </c>
      <c r="AG42" s="9">
        <f t="array" ref="AG42">IF(N42=0,0,AG41)</f>
        <v>3000</v>
      </c>
      <c r="AH42" s="10">
        <f t="shared" si="70"/>
        <v>0</v>
      </c>
      <c r="AI42" s="11">
        <f t="array" ref="AI42">IF(BN42="MSS",ROUND(N42/31*5,0),IF(BN42="MS",ROUND(N42/31*3,0),IF(BN42="MM",ROUND(N42/31*2,0),IF(BN42="MF",ROUND(N42/31*1,0),IF(BN42="SSS",ROUND(R42/30*2,0),IF(BN42="SS",ROUND(R42/30,0),IF(BN42="SM",ROUND(R42/30,0),IF(BN42="SF",ROUND(R42/30*0,0),IF(BN42="OSS",ROUND(R42/31*2,0),IF(BN42="OS",ROUND(R42/31,0),IF(BN42="OM",ROUND(R42/31,0),IF(BN42="OF",ROUND(R42/31*0,0),0))))))))))))</f>
        <v>0</v>
      </c>
      <c r="AJ42" s="9">
        <f t="array" ref="AJ42">IF(BN42="MSS",ROUND(S42/31*5,0),IF(BN42="MS",ROUND(S42/31*3,0),IF(BN42="MM",ROUND(S42/31*2,0),IF(BN42="MF",ROUND(S42/31*1,0),IF(BN42="SSS",ROUND(W42/30*2,0),IF(BN42="SS",ROUND(W42/30,0),IF(BN42="SM",ROUND(W42/30,0),IF(BN42="SF",ROUND(W42/30*0,0),IF(BN42="OSS",ROUND(W42/31*2,0),IF(BN42="OS",ROUND(W42/31,0),IF(BN42="OM",ROUND(W42/31,0),IF(BN42="OF",ROUND(W42/31*0,0),0))))))))))))</f>
        <v>0</v>
      </c>
      <c r="AK42" s="10">
        <f t="shared" si="71"/>
        <v>0</v>
      </c>
      <c r="AL42" s="352">
        <f t="shared" si="18"/>
        <v>0</v>
      </c>
      <c r="AM42" s="353">
        <f t="shared" si="19"/>
        <v>0</v>
      </c>
      <c r="AN42" s="349">
        <f t="array" ref="AN42">AL42-AM42</f>
        <v>0</v>
      </c>
      <c r="AO42" s="133">
        <f t="shared" si="20"/>
        <v>3421</v>
      </c>
      <c r="AP42" s="134">
        <f t="array" ref="AP42">AE42+AH42+AK42+AN42+AO42</f>
        <v>5660</v>
      </c>
      <c r="AQ42" s="16">
        <f t="array" ref="AQ42">AB42-AP42</f>
        <v>28551</v>
      </c>
      <c r="AR42" s="356"/>
      <c r="AS42" s="180"/>
      <c r="AT42" s="86" t="str">
        <f t="shared" si="21"/>
        <v>YES</v>
      </c>
      <c r="AU42" s="87">
        <v>0.03</v>
      </c>
      <c r="AV42" s="88">
        <f t="array" ref="AV42">IF(AND(AT42="Yes",$E$2="Fixation"),ROUND(N42*AU42,0),IF(AT42="yes",ROUND((N42-S42)*AU42,0),0))</f>
        <v>1239</v>
      </c>
      <c r="AW42" s="180"/>
      <c r="AX42" s="78"/>
      <c r="AY42" s="78"/>
      <c r="AZ42" s="24">
        <f t="shared" si="49"/>
        <v>44759</v>
      </c>
      <c r="BA42" s="123">
        <f t="shared" si="23"/>
        <v>7</v>
      </c>
      <c r="BB42" s="123">
        <f t="shared" si="34"/>
        <v>41300</v>
      </c>
      <c r="BF42" s="48">
        <f t="shared" si="35"/>
        <v>44759</v>
      </c>
      <c r="BH42" s="44">
        <f t="shared" si="24"/>
        <v>1</v>
      </c>
      <c r="BI42" s="45" t="str">
        <f t="shared" si="50"/>
        <v>72022</v>
      </c>
      <c r="BJ42" s="44">
        <f t="shared" si="51"/>
        <v>72023</v>
      </c>
      <c r="BK42" s="46">
        <f t="shared" si="52"/>
        <v>0</v>
      </c>
      <c r="BL42" s="46">
        <f t="shared" si="53"/>
        <v>0</v>
      </c>
      <c r="BM42" s="49">
        <f t="shared" si="29"/>
        <v>0</v>
      </c>
      <c r="BN42" s="46" t="str">
        <f t="shared" si="54"/>
        <v>00</v>
      </c>
    </row>
    <row r="43" spans="1:66" ht="18" customHeight="1">
      <c r="A43" s="23">
        <f t="shared" si="8"/>
        <v>41300</v>
      </c>
      <c r="B43" s="129">
        <f t="shared" ref="B43:C43" si="108">B40</f>
        <v>0.38</v>
      </c>
      <c r="C43" s="129">
        <f t="shared" si="108"/>
        <v>0.38</v>
      </c>
      <c r="D43" s="129">
        <f t="shared" ref="D43:E43" si="109">D40</f>
        <v>0.08</v>
      </c>
      <c r="E43" s="129">
        <f t="shared" si="109"/>
        <v>0.09</v>
      </c>
      <c r="F43" s="36">
        <v>31</v>
      </c>
      <c r="G43" s="172">
        <f t="shared" si="9"/>
        <v>44790</v>
      </c>
      <c r="H43" s="173"/>
      <c r="I43" s="173"/>
      <c r="J43" s="174"/>
      <c r="K43" s="47">
        <f t="shared" si="57"/>
        <v>8</v>
      </c>
      <c r="L43" s="47">
        <f t="shared" si="58"/>
        <v>2022</v>
      </c>
      <c r="M43" s="47" t="str">
        <f t="shared" si="59"/>
        <v>82022</v>
      </c>
      <c r="N43" s="18">
        <f t="shared" si="62"/>
        <v>41300</v>
      </c>
      <c r="O43" s="31">
        <f t="shared" si="63"/>
        <v>15694</v>
      </c>
      <c r="P43" s="31">
        <f t="shared" si="12"/>
        <v>0</v>
      </c>
      <c r="Q43" s="31">
        <f t="shared" si="64"/>
        <v>3717</v>
      </c>
      <c r="R43" s="32">
        <f t="array" ref="R43">SUM(N43:Q43)</f>
        <v>60711</v>
      </c>
      <c r="S43" s="8">
        <f t="array" ref="S43">IF(N43=0,0,IF($E$2="FIXATION",$B$5,IF(N43=0,0,IF(BA43=7,ROUND(S42*1.03,-2),S42))))</f>
        <v>26500</v>
      </c>
      <c r="T43" s="9">
        <f t="shared" si="65"/>
        <v>0</v>
      </c>
      <c r="U43" s="31">
        <f t="shared" si="6"/>
        <v>0</v>
      </c>
      <c r="V43" s="9">
        <f t="array" ref="V43">IF($E$2="fixation",0,ROUND(S43*D43,0))</f>
        <v>0</v>
      </c>
      <c r="W43" s="32">
        <f t="array" ref="W43">SUM(S43:V43)</f>
        <v>26500</v>
      </c>
      <c r="X43" s="76">
        <f t="shared" si="66"/>
        <v>14800</v>
      </c>
      <c r="Y43" s="77">
        <f t="shared" si="67"/>
        <v>15694</v>
      </c>
      <c r="Z43" s="77"/>
      <c r="AA43" s="77">
        <f t="shared" si="68"/>
        <v>3717</v>
      </c>
      <c r="AB43" s="13">
        <f t="array" ref="AB43">SUM(X43:AA43)</f>
        <v>34211</v>
      </c>
      <c r="AC43" s="14">
        <f t="shared" si="16"/>
        <v>3339</v>
      </c>
      <c r="AD43" s="11">
        <f t="shared" si="17"/>
        <v>1100</v>
      </c>
      <c r="AE43" s="15">
        <f t="shared" si="69"/>
        <v>2239</v>
      </c>
      <c r="AF43" s="11">
        <f t="array" ref="AF43">IF(N43=0,0,AF42)</f>
        <v>3000</v>
      </c>
      <c r="AG43" s="9">
        <f t="array" ref="AG43">IF(N43=0,0,AG42)</f>
        <v>3000</v>
      </c>
      <c r="AH43" s="10">
        <f t="shared" si="70"/>
        <v>0</v>
      </c>
      <c r="AI43" s="11">
        <f t="array" ref="AI43">IF(BN43="MSS",ROUND(N43/31*5,0),IF(BN43="MS",ROUND(N43/31*3,0),IF(BN43="MM",ROUND(N43/31*2,0),IF(BN43="MF",ROUND(N43/31*1,0),IF(BN43="SSS",ROUND(R43/30*2,0),IF(BN43="SS",ROUND(R43/30,0),IF(BN43="SM",ROUND(R43/30,0),IF(BN43="SF",ROUND(R43/30*0,0),IF(BN43="OSS",ROUND(R43/31*2,0),IF(BN43="OS",ROUND(R43/31,0),IF(BN43="OM",ROUND(R43/31,0),IF(BN43="OF",ROUND(R43/31*0,0),0))))))))))))</f>
        <v>0</v>
      </c>
      <c r="AJ43" s="9">
        <f t="array" ref="AJ43">IF(BN43="MSS",ROUND(S43/31*5,0),IF(BN43="MS",ROUND(S43/31*3,0),IF(BN43="MM",ROUND(S43/31*2,0),IF(BN43="MF",ROUND(S43/31*1,0),IF(BN43="SSS",ROUND(W43/30*2,0),IF(BN43="SS",ROUND(W43/30,0),IF(BN43="SM",ROUND(W43/30,0),IF(BN43="SF",ROUND(W43/30*0,0),IF(BN43="OSS",ROUND(W43/31*2,0),IF(BN43="OS",ROUND(W43/31,0),IF(BN43="OM",ROUND(W43/31,0),IF(BN43="OF",ROUND(W43/31*0,0),0))))))))))))</f>
        <v>0</v>
      </c>
      <c r="AK43" s="10">
        <f t="shared" si="71"/>
        <v>0</v>
      </c>
      <c r="AL43" s="352">
        <f t="shared" si="18"/>
        <v>0</v>
      </c>
      <c r="AM43" s="353">
        <f t="shared" si="19"/>
        <v>0</v>
      </c>
      <c r="AN43" s="349">
        <f t="array" ref="AN43">AL43-AM43</f>
        <v>0</v>
      </c>
      <c r="AO43" s="133">
        <f t="shared" si="20"/>
        <v>3421</v>
      </c>
      <c r="AP43" s="134">
        <f t="array" ref="AP43">AE43+AH43+AK43+AN43+AO43</f>
        <v>5660</v>
      </c>
      <c r="AQ43" s="16">
        <f t="array" ref="AQ43">AB43-AP43</f>
        <v>28551</v>
      </c>
      <c r="AR43" s="356"/>
      <c r="AS43" s="180"/>
      <c r="AT43" s="86" t="str">
        <f t="shared" si="21"/>
        <v>YES</v>
      </c>
      <c r="AU43" s="87">
        <v>0.03</v>
      </c>
      <c r="AV43" s="88">
        <f t="array" ref="AV43">IF(AND(AT43="Yes",$E$2="Fixation"),ROUND(N43*AU43,0),IF(AT43="yes",ROUND((N43-S43)*AU43,0),0))</f>
        <v>1239</v>
      </c>
      <c r="AW43" s="180"/>
      <c r="AX43" s="78"/>
      <c r="AY43" s="78"/>
      <c r="AZ43" s="24">
        <f t="shared" si="49"/>
        <v>44790</v>
      </c>
      <c r="BA43" s="123">
        <f t="shared" si="23"/>
        <v>8</v>
      </c>
      <c r="BB43" s="123">
        <f t="shared" si="34"/>
        <v>41300</v>
      </c>
      <c r="BF43" s="48">
        <f t="shared" si="35"/>
        <v>44790</v>
      </c>
      <c r="BH43" s="44">
        <f t="shared" si="24"/>
        <v>1</v>
      </c>
      <c r="BI43" s="45" t="str">
        <f t="shared" si="50"/>
        <v>82022</v>
      </c>
      <c r="BJ43" s="44">
        <f t="shared" si="51"/>
        <v>82023</v>
      </c>
      <c r="BK43" s="46">
        <f t="shared" si="52"/>
        <v>0</v>
      </c>
      <c r="BL43" s="46">
        <f t="shared" si="53"/>
        <v>0</v>
      </c>
      <c r="BM43" s="49">
        <f t="shared" si="29"/>
        <v>0</v>
      </c>
      <c r="BN43" s="46" t="str">
        <f t="shared" si="54"/>
        <v>00</v>
      </c>
    </row>
    <row r="44" spans="1:66" ht="18" customHeight="1">
      <c r="A44" s="23">
        <f t="shared" si="8"/>
        <v>41300</v>
      </c>
      <c r="B44" s="129">
        <f t="shared" ref="B44:C44" si="110">B41</f>
        <v>0.38</v>
      </c>
      <c r="C44" s="129">
        <f t="shared" si="110"/>
        <v>0.38</v>
      </c>
      <c r="D44" s="129">
        <f t="shared" ref="D44:E44" si="111">D41</f>
        <v>0.08</v>
      </c>
      <c r="E44" s="129">
        <f t="shared" si="111"/>
        <v>0.09</v>
      </c>
      <c r="F44" s="36">
        <v>32</v>
      </c>
      <c r="G44" s="172">
        <f t="shared" si="9"/>
        <v>44821</v>
      </c>
      <c r="H44" s="173"/>
      <c r="I44" s="173"/>
      <c r="J44" s="174"/>
      <c r="K44" s="47">
        <f t="shared" si="57"/>
        <v>9</v>
      </c>
      <c r="L44" s="47">
        <f t="shared" si="58"/>
        <v>2022</v>
      </c>
      <c r="M44" s="47" t="str">
        <f t="shared" si="59"/>
        <v>92022</v>
      </c>
      <c r="N44" s="18">
        <f t="shared" si="62"/>
        <v>41300</v>
      </c>
      <c r="O44" s="31">
        <f t="shared" si="63"/>
        <v>15694</v>
      </c>
      <c r="P44" s="31">
        <f t="shared" si="12"/>
        <v>0</v>
      </c>
      <c r="Q44" s="31">
        <f t="shared" si="64"/>
        <v>3717</v>
      </c>
      <c r="R44" s="32">
        <f t="array" ref="R44">SUM(N44:Q44)</f>
        <v>60711</v>
      </c>
      <c r="S44" s="8">
        <f t="array" ref="S44">IF(N44=0,0,IF($E$2="FIXATION",$B$5,IF(N44=0,0,IF(BA44=7,ROUND(S43*1.03,-2),S43))))</f>
        <v>26500</v>
      </c>
      <c r="T44" s="9">
        <f t="shared" si="65"/>
        <v>0</v>
      </c>
      <c r="U44" s="31">
        <f t="shared" si="6"/>
        <v>0</v>
      </c>
      <c r="V44" s="9">
        <f t="array" ref="V44">IF($E$2="fixation",0,ROUND(S44*D44,0))</f>
        <v>0</v>
      </c>
      <c r="W44" s="32">
        <f t="array" ref="W44">SUM(S44:V44)</f>
        <v>26500</v>
      </c>
      <c r="X44" s="76">
        <f t="shared" si="66"/>
        <v>14800</v>
      </c>
      <c r="Y44" s="77">
        <f t="shared" si="67"/>
        <v>15694</v>
      </c>
      <c r="Z44" s="77"/>
      <c r="AA44" s="77">
        <f t="shared" si="68"/>
        <v>3717</v>
      </c>
      <c r="AB44" s="13">
        <f t="array" ref="AB44">SUM(X44:AA44)</f>
        <v>34211</v>
      </c>
      <c r="AC44" s="14">
        <f t="shared" si="16"/>
        <v>3339</v>
      </c>
      <c r="AD44" s="11">
        <f t="shared" si="17"/>
        <v>1100</v>
      </c>
      <c r="AE44" s="15">
        <f t="shared" si="69"/>
        <v>2239</v>
      </c>
      <c r="AF44" s="11">
        <f t="array" ref="AF44">IF(N44=0,0,AF43)</f>
        <v>3000</v>
      </c>
      <c r="AG44" s="9">
        <f t="array" ref="AG44">IF(N44=0,0,AG43)</f>
        <v>3000</v>
      </c>
      <c r="AH44" s="10">
        <f t="shared" si="70"/>
        <v>0</v>
      </c>
      <c r="AI44" s="11">
        <f t="array" ref="AI44">IF(BN44="MSS",ROUND(N44/31*5,0),IF(BN44="MS",ROUND(N44/31*3,0),IF(BN44="MM",ROUND(N44/31*2,0),IF(BN44="MF",ROUND(N44/31*1,0),IF(BN44="SSS",ROUND(R44/30*2,0),IF(BN44="SS",ROUND(R44/30,0),IF(BN44="SM",ROUND(R44/30,0),IF(BN44="SF",ROUND(R44/30*0,0),IF(BN44="OSS",ROUND(R44/31*2,0),IF(BN44="OS",ROUND(R44/31,0),IF(BN44="OM",ROUND(R44/31,0),IF(BN44="OF",ROUND(R44/31*0,0),0))))))))))))</f>
        <v>0</v>
      </c>
      <c r="AJ44" s="9">
        <f t="array" ref="AJ44">IF(BN44="MSS",ROUND(S44/31*5,0),IF(BN44="MS",ROUND(S44/31*3,0),IF(BN44="MM",ROUND(S44/31*2,0),IF(BN44="MF",ROUND(S44/31*1,0),IF(BN44="SSS",ROUND(W44/30*2,0),IF(BN44="SS",ROUND(W44/30,0),IF(BN44="SM",ROUND(W44/30,0),IF(BN44="SF",ROUND(W44/30*0,0),IF(BN44="OSS",ROUND(W44/31*2,0),IF(BN44="OS",ROUND(W44/31,0),IF(BN44="OM",ROUND(W44/31,0),IF(BN44="OF",ROUND(W44/31*0,0),0))))))))))))</f>
        <v>0</v>
      </c>
      <c r="AK44" s="10">
        <f t="shared" si="71"/>
        <v>0</v>
      </c>
      <c r="AL44" s="352">
        <f t="shared" si="18"/>
        <v>0</v>
      </c>
      <c r="AM44" s="353">
        <f t="shared" si="19"/>
        <v>0</v>
      </c>
      <c r="AN44" s="349">
        <f t="array" ref="AN44">AL44-AM44</f>
        <v>0</v>
      </c>
      <c r="AO44" s="133">
        <f t="shared" si="20"/>
        <v>3421</v>
      </c>
      <c r="AP44" s="134">
        <f t="array" ref="AP44">AE44+AH44+AK44+AN44+AO44</f>
        <v>5660</v>
      </c>
      <c r="AQ44" s="16">
        <f t="array" ref="AQ44">AB44-AP44</f>
        <v>28551</v>
      </c>
      <c r="AR44" s="356"/>
      <c r="AS44" s="180"/>
      <c r="AT44" s="86" t="str">
        <f t="shared" si="21"/>
        <v>YES</v>
      </c>
      <c r="AU44" s="87">
        <v>0.03</v>
      </c>
      <c r="AV44" s="88">
        <f t="array" ref="AV44">IF(AND(AT44="Yes",$E$2="Fixation"),ROUND(N44*AU44,0),IF(AT44="yes",ROUND((N44-S44)*AU44,0),0))</f>
        <v>1239</v>
      </c>
      <c r="AW44" s="180"/>
      <c r="AX44" s="78"/>
      <c r="AY44" s="78"/>
      <c r="AZ44" s="24">
        <f t="shared" si="49"/>
        <v>44821</v>
      </c>
      <c r="BA44" s="123">
        <f t="shared" si="23"/>
        <v>9</v>
      </c>
      <c r="BB44" s="123">
        <f t="shared" si="34"/>
        <v>41300</v>
      </c>
      <c r="BF44" s="48">
        <f t="shared" si="35"/>
        <v>44821</v>
      </c>
      <c r="BH44" s="44">
        <f t="shared" si="24"/>
        <v>1</v>
      </c>
      <c r="BI44" s="45" t="str">
        <f t="shared" si="50"/>
        <v>92022</v>
      </c>
      <c r="BJ44" s="44">
        <f t="shared" si="51"/>
        <v>92023</v>
      </c>
      <c r="BK44" s="46" t="str">
        <f t="shared" si="52"/>
        <v>SS</v>
      </c>
      <c r="BL44" s="46">
        <f t="shared" si="53"/>
        <v>0</v>
      </c>
      <c r="BM44" s="49">
        <f t="shared" si="29"/>
        <v>0</v>
      </c>
      <c r="BN44" s="46" t="str">
        <f t="shared" si="54"/>
        <v>00</v>
      </c>
    </row>
    <row r="45" spans="1:66" ht="18" customHeight="1">
      <c r="A45" s="23">
        <f t="shared" si="8"/>
        <v>41300</v>
      </c>
      <c r="B45" s="129">
        <f t="shared" ref="B45:C45" si="112">B42</f>
        <v>0.38</v>
      </c>
      <c r="C45" s="129">
        <f t="shared" si="112"/>
        <v>0.38</v>
      </c>
      <c r="D45" s="129">
        <f t="shared" ref="D45:E45" si="113">D42</f>
        <v>0.08</v>
      </c>
      <c r="E45" s="129">
        <f t="shared" si="113"/>
        <v>0.09</v>
      </c>
      <c r="F45" s="36">
        <v>33</v>
      </c>
      <c r="G45" s="172">
        <f t="shared" si="9"/>
        <v>44852</v>
      </c>
      <c r="H45" s="173"/>
      <c r="I45" s="173"/>
      <c r="J45" s="174"/>
      <c r="K45" s="47">
        <f t="shared" si="57"/>
        <v>10</v>
      </c>
      <c r="L45" s="47">
        <f t="shared" si="58"/>
        <v>2022</v>
      </c>
      <c r="M45" s="47" t="str">
        <f t="shared" si="59"/>
        <v>102022</v>
      </c>
      <c r="N45" s="18">
        <f t="shared" si="62"/>
        <v>41300</v>
      </c>
      <c r="O45" s="31">
        <f t="shared" si="63"/>
        <v>15694</v>
      </c>
      <c r="P45" s="31">
        <f t="shared" si="12"/>
        <v>0</v>
      </c>
      <c r="Q45" s="31">
        <f t="shared" si="64"/>
        <v>3717</v>
      </c>
      <c r="R45" s="32">
        <f t="array" ref="R45">SUM(N45:Q45)</f>
        <v>60711</v>
      </c>
      <c r="S45" s="8">
        <f t="array" ref="S45">IF(N45=0,0,IF($E$2="FIXATION",$B$5,IF(N45=0,0,IF(BA45=7,ROUND(S44*1.03,-2),S44))))</f>
        <v>26500</v>
      </c>
      <c r="T45" s="9">
        <f t="shared" si="65"/>
        <v>0</v>
      </c>
      <c r="U45" s="31">
        <f t="shared" si="6"/>
        <v>0</v>
      </c>
      <c r="V45" s="9">
        <f t="array" ref="V45">IF($E$2="fixation",0,ROUND(S45*D45,0))</f>
        <v>0</v>
      </c>
      <c r="W45" s="32">
        <f t="array" ref="W45">SUM(S45:V45)</f>
        <v>26500</v>
      </c>
      <c r="X45" s="76">
        <f t="shared" si="66"/>
        <v>14800</v>
      </c>
      <c r="Y45" s="77">
        <f t="shared" si="67"/>
        <v>15694</v>
      </c>
      <c r="Z45" s="77"/>
      <c r="AA45" s="77">
        <f t="shared" si="68"/>
        <v>3717</v>
      </c>
      <c r="AB45" s="13">
        <f t="array" ref="AB45">SUM(X45:AA45)</f>
        <v>34211</v>
      </c>
      <c r="AC45" s="14">
        <f t="shared" si="16"/>
        <v>2100</v>
      </c>
      <c r="AD45" s="11">
        <f t="shared" si="17"/>
        <v>1100</v>
      </c>
      <c r="AE45" s="15">
        <f t="shared" si="69"/>
        <v>1000</v>
      </c>
      <c r="AF45" s="11">
        <f t="array" ref="AF45">IF(N45=0,0,AF44)</f>
        <v>3000</v>
      </c>
      <c r="AG45" s="9">
        <f t="array" ref="AG45">IF(N45=0,0,AG44)</f>
        <v>3000</v>
      </c>
      <c r="AH45" s="10">
        <f t="shared" si="70"/>
        <v>0</v>
      </c>
      <c r="AI45" s="11">
        <f t="array" ref="AI45">IF(BN45="MSS",ROUND(N45/31*5,0),IF(BN45="MS",ROUND(N45/31*3,0),IF(BN45="MM",ROUND(N45/31*2,0),IF(BN45="MF",ROUND(N45/31*1,0),IF(BN45="SSS",ROUND(R45/30*2,0),IF(BN45="SS",ROUND(R45/30,0),IF(BN45="SM",ROUND(R45/30,0),IF(BN45="SF",ROUND(R45/30*0,0),IF(BN45="OSS",ROUND(R45/31*2,0),IF(BN45="OS",ROUND(R45/31,0),IF(BN45="OM",ROUND(R45/31,0),IF(BN45="OF",ROUND(R45/31*0,0),0))))))))))))</f>
        <v>0</v>
      </c>
      <c r="AJ45" s="9">
        <f t="array" ref="AJ45">IF(BN45="MSS",ROUND(S45/31*5,0),IF(BN45="MS",ROUND(S45/31*3,0),IF(BN45="MM",ROUND(S45/31*2,0),IF(BN45="MF",ROUND(S45/31*1,0),IF(BN45="SSS",ROUND(W45/30*2,0),IF(BN45="SS",ROUND(W45/30,0),IF(BN45="SM",ROUND(W45/30,0),IF(BN45="SF",ROUND(W45/30*0,0),IF(BN45="OSS",ROUND(W45/31*2,0),IF(BN45="OS",ROUND(W45/31,0),IF(BN45="OM",ROUND(W45/31,0),IF(BN45="OF",ROUND(W45/31*0,0),0))))))))))))</f>
        <v>0</v>
      </c>
      <c r="AK45" s="10">
        <f t="shared" si="71"/>
        <v>0</v>
      </c>
      <c r="AL45" s="352">
        <f t="shared" si="18"/>
        <v>0</v>
      </c>
      <c r="AM45" s="353">
        <f t="shared" si="19"/>
        <v>0</v>
      </c>
      <c r="AN45" s="349">
        <f t="array" ref="AN45">AL45-AM45</f>
        <v>0</v>
      </c>
      <c r="AO45" s="133">
        <f t="shared" si="20"/>
        <v>3421</v>
      </c>
      <c r="AP45" s="134">
        <f t="array" ref="AP45">AE45+AH45+AK45+AN45+AO45</f>
        <v>4421</v>
      </c>
      <c r="AQ45" s="16">
        <f t="array" ref="AQ45">AB45-AP45</f>
        <v>29790</v>
      </c>
      <c r="AR45" s="356"/>
      <c r="AS45" s="180"/>
      <c r="AT45" s="86" t="str">
        <f t="shared" si="21"/>
        <v>NO</v>
      </c>
      <c r="AU45" s="87">
        <v>0.03</v>
      </c>
      <c r="AV45" s="88">
        <f t="array" ref="AV45">IF(AND(AT45="Yes",$E$2="Fixation"),ROUND(N45*AU45,0),IF(AT45="yes",ROUND((N45-S45)*AU45,0),0))</f>
        <v>0</v>
      </c>
      <c r="AW45" s="180"/>
      <c r="AX45" s="78"/>
      <c r="AY45" s="78"/>
      <c r="AZ45" s="24">
        <f t="shared" si="49"/>
        <v>44852</v>
      </c>
      <c r="BA45" s="123">
        <f t="shared" si="23"/>
        <v>10</v>
      </c>
      <c r="BB45" s="123">
        <f t="shared" si="34"/>
        <v>41300</v>
      </c>
      <c r="BF45" s="48">
        <f t="shared" si="35"/>
        <v>44852</v>
      </c>
      <c r="BH45" s="44">
        <f t="shared" si="24"/>
        <v>1</v>
      </c>
      <c r="BI45" s="45" t="str">
        <f t="shared" si="50"/>
        <v>102022</v>
      </c>
      <c r="BJ45" s="44">
        <f t="shared" si="51"/>
        <v>102023</v>
      </c>
      <c r="BK45" s="46" t="str">
        <f t="shared" si="52"/>
        <v>SO</v>
      </c>
      <c r="BL45" s="46">
        <f t="shared" si="53"/>
        <v>0</v>
      </c>
      <c r="BM45" s="49">
        <f t="shared" si="29"/>
        <v>0</v>
      </c>
      <c r="BN45" s="46" t="str">
        <f t="shared" si="54"/>
        <v>00</v>
      </c>
    </row>
    <row r="46" spans="1:66" ht="18" customHeight="1">
      <c r="A46" s="23">
        <f t="shared" si="8"/>
        <v>0</v>
      </c>
      <c r="B46" s="129">
        <f t="shared" ref="B46:C46" si="114">B43</f>
        <v>0.38</v>
      </c>
      <c r="C46" s="129">
        <f t="shared" si="114"/>
        <v>0.38</v>
      </c>
      <c r="D46" s="129">
        <f t="shared" ref="D46:E46" si="115">D43</f>
        <v>0.08</v>
      </c>
      <c r="E46" s="129">
        <f t="shared" si="115"/>
        <v>0.09</v>
      </c>
      <c r="F46" s="36">
        <v>34</v>
      </c>
      <c r="G46" s="172">
        <f t="shared" si="9"/>
        <v>0</v>
      </c>
      <c r="H46" s="173"/>
      <c r="I46" s="173"/>
      <c r="J46" s="174"/>
      <c r="K46" s="47">
        <f t="shared" si="57"/>
        <v>1</v>
      </c>
      <c r="L46" s="47">
        <f t="shared" si="58"/>
        <v>1900</v>
      </c>
      <c r="M46" s="47" t="str">
        <f t="shared" si="59"/>
        <v>11900</v>
      </c>
      <c r="N46" s="18">
        <f t="shared" si="62"/>
        <v>0</v>
      </c>
      <c r="O46" s="31">
        <f t="shared" si="63"/>
        <v>0</v>
      </c>
      <c r="P46" s="31">
        <f t="shared" si="12"/>
        <v>0</v>
      </c>
      <c r="Q46" s="31">
        <f t="shared" si="64"/>
        <v>0</v>
      </c>
      <c r="R46" s="32">
        <f t="array" ref="R46">SUM(N46:Q46)</f>
        <v>0</v>
      </c>
      <c r="S46" s="8">
        <f t="array" ref="S46">IF(N46=0,0,IF($E$2="FIXATION",$B$5,IF(N46=0,0,IF(BA46=7,ROUND(S45*1.03,-2),S45))))</f>
        <v>0</v>
      </c>
      <c r="T46" s="9">
        <f t="shared" si="65"/>
        <v>0</v>
      </c>
      <c r="U46" s="31">
        <f t="shared" si="6"/>
        <v>0</v>
      </c>
      <c r="V46" s="9">
        <f t="array" ref="V46">IF($E$2="fixation",0,ROUND(S46*D46,0))</f>
        <v>0</v>
      </c>
      <c r="W46" s="32">
        <f t="array" ref="W46">SUM(S46:V46)</f>
        <v>0</v>
      </c>
      <c r="X46" s="76">
        <f t="shared" si="66"/>
        <v>0</v>
      </c>
      <c r="Y46" s="77">
        <f t="shared" si="67"/>
        <v>0</v>
      </c>
      <c r="Z46" s="77"/>
      <c r="AA46" s="77">
        <f t="shared" si="68"/>
        <v>0</v>
      </c>
      <c r="AB46" s="13">
        <f t="array" ref="AB46">SUM(X46:AA46)</f>
        <v>0</v>
      </c>
      <c r="AC46" s="14">
        <f t="shared" si="16"/>
        <v>0</v>
      </c>
      <c r="AD46" s="11">
        <f t="shared" si="17"/>
        <v>0</v>
      </c>
      <c r="AE46" s="15">
        <f t="shared" si="69"/>
        <v>0</v>
      </c>
      <c r="AF46" s="11">
        <f t="array" ref="AF46">IF(N46=0,0,AF45)</f>
        <v>0</v>
      </c>
      <c r="AG46" s="9">
        <f t="array" ref="AG46">IF(N46=0,0,AG45)</f>
        <v>0</v>
      </c>
      <c r="AH46" s="10">
        <f t="shared" si="70"/>
        <v>0</v>
      </c>
      <c r="AI46" s="11">
        <f t="array" ref="AI46">IF(BN46="MSS",ROUND(N46/31*5,0),IF(BN46="MS",ROUND(N46/31*3,0),IF(BN46="MM",ROUND(N46/31*2,0),IF(BN46="MF",ROUND(N46/31*1,0),IF(BN46="SSS",ROUND(R46/30*2,0),IF(BN46="SS",ROUND(R46/30,0),IF(BN46="SM",ROUND(R46/30,0),IF(BN46="SF",ROUND(R46/30*0,0),IF(BN46="OSS",ROUND(R46/31*2,0),IF(BN46="OS",ROUND(R46/31,0),IF(BN46="OM",ROUND(R46/31,0),IF(BN46="OF",ROUND(R46/31*0,0),0))))))))))))</f>
        <v>0</v>
      </c>
      <c r="AJ46" s="9">
        <f t="array" ref="AJ46">IF(BN46="MSS",ROUND(S46/31*5,0),IF(BN46="MS",ROUND(S46/31*3,0),IF(BN46="MM",ROUND(S46/31*2,0),IF(BN46="MF",ROUND(S46/31*1,0),IF(BN46="SSS",ROUND(W46/30*2,0),IF(BN46="SS",ROUND(W46/30,0),IF(BN46="SM",ROUND(W46/30,0),IF(BN46="SF",ROUND(W46/30*0,0),IF(BN46="OSS",ROUND(W46/31*2,0),IF(BN46="OS",ROUND(W46/31,0),IF(BN46="OM",ROUND(W46/31,0),IF(BN46="OF",ROUND(W46/31*0,0),0))))))))))))</f>
        <v>0</v>
      </c>
      <c r="AK46" s="10">
        <f t="shared" si="71"/>
        <v>0</v>
      </c>
      <c r="AL46" s="352">
        <f t="shared" si="18"/>
        <v>0</v>
      </c>
      <c r="AM46" s="353">
        <f t="shared" si="19"/>
        <v>0</v>
      </c>
      <c r="AN46" s="349">
        <f t="array" ref="AN46">AL46-AM46</f>
        <v>0</v>
      </c>
      <c r="AO46" s="133">
        <f t="shared" si="20"/>
        <v>0</v>
      </c>
      <c r="AP46" s="134">
        <f t="array" ref="AP46">AE46+AH46+AK46+AN46+AO46</f>
        <v>0</v>
      </c>
      <c r="AQ46" s="16">
        <f t="array" ref="AQ46">AB46-AP46</f>
        <v>0</v>
      </c>
      <c r="AR46" s="356"/>
      <c r="AS46" s="180"/>
      <c r="AT46" s="86">
        <f t="shared" si="21"/>
        <v>0</v>
      </c>
      <c r="AU46" s="87">
        <v>0.03</v>
      </c>
      <c r="AV46" s="88">
        <f t="array" ref="AV46">IF(AND(AT46="Yes",$E$2="Fixation"),ROUND(N46*AU46,0),IF(AT46="yes",ROUND((N46-S46)*AU46,0),0))</f>
        <v>0</v>
      </c>
      <c r="AW46" s="180"/>
      <c r="AX46" s="78"/>
      <c r="AY46" s="78"/>
      <c r="AZ46" s="24">
        <f t="shared" si="49"/>
        <v>0</v>
      </c>
      <c r="BA46" s="123">
        <f t="shared" si="23"/>
        <v>0</v>
      </c>
      <c r="BB46" s="123">
        <f t="shared" si="34"/>
        <v>0</v>
      </c>
      <c r="BF46" s="48">
        <f t="shared" si="35"/>
        <v>44883</v>
      </c>
      <c r="BH46" s="44">
        <f t="shared" si="24"/>
        <v>1</v>
      </c>
      <c r="BI46" s="45" t="str">
        <f t="shared" si="50"/>
        <v>11900</v>
      </c>
      <c r="BJ46" s="44">
        <f t="shared" si="51"/>
        <v>11901</v>
      </c>
      <c r="BK46" s="46">
        <f t="shared" si="52"/>
        <v>0</v>
      </c>
      <c r="BL46" s="46">
        <f t="shared" si="53"/>
        <v>0</v>
      </c>
      <c r="BM46" s="49">
        <f t="shared" si="29"/>
        <v>0</v>
      </c>
      <c r="BN46" s="46" t="str">
        <f t="shared" si="54"/>
        <v>00</v>
      </c>
    </row>
    <row r="47" spans="1:66" ht="18" customHeight="1">
      <c r="A47" s="23">
        <f t="shared" si="8"/>
        <v>0</v>
      </c>
      <c r="B47" s="129">
        <f t="shared" ref="B47:C47" si="116">B44</f>
        <v>0.38</v>
      </c>
      <c r="C47" s="129">
        <f t="shared" si="116"/>
        <v>0.38</v>
      </c>
      <c r="D47" s="129">
        <f t="shared" ref="D47:E47" si="117">D44</f>
        <v>0.08</v>
      </c>
      <c r="E47" s="129">
        <f t="shared" si="117"/>
        <v>0.09</v>
      </c>
      <c r="F47" s="36">
        <v>35</v>
      </c>
      <c r="G47" s="172">
        <f t="shared" si="9"/>
        <v>0</v>
      </c>
      <c r="H47" s="173"/>
      <c r="I47" s="173"/>
      <c r="J47" s="174"/>
      <c r="K47" s="47">
        <f t="shared" si="57"/>
        <v>1</v>
      </c>
      <c r="L47" s="47">
        <f t="shared" si="58"/>
        <v>1900</v>
      </c>
      <c r="M47" s="47" t="str">
        <f t="shared" si="59"/>
        <v>11900</v>
      </c>
      <c r="N47" s="18">
        <f t="shared" si="62"/>
        <v>0</v>
      </c>
      <c r="O47" s="31">
        <f t="shared" si="63"/>
        <v>0</v>
      </c>
      <c r="P47" s="31">
        <f t="shared" si="12"/>
        <v>0</v>
      </c>
      <c r="Q47" s="31">
        <f t="shared" si="64"/>
        <v>0</v>
      </c>
      <c r="R47" s="32">
        <f t="array" ref="R47">SUM(N47:Q47)</f>
        <v>0</v>
      </c>
      <c r="S47" s="8">
        <f t="array" ref="S47">IF(N47=0,0,IF($E$2="FIXATION",$B$5,IF(N47=0,0,IF(BA47=7,ROUND(S46*1.03,-2),S46))))</f>
        <v>0</v>
      </c>
      <c r="T47" s="9">
        <f t="shared" si="65"/>
        <v>0</v>
      </c>
      <c r="U47" s="31">
        <f t="shared" si="6"/>
        <v>0</v>
      </c>
      <c r="V47" s="9">
        <f t="array" ref="V47">IF($E$2="fixation",0,ROUND(S47*D47,0))</f>
        <v>0</v>
      </c>
      <c r="W47" s="32">
        <f t="array" ref="W47">SUM(S47:V47)</f>
        <v>0</v>
      </c>
      <c r="X47" s="76">
        <f t="shared" si="66"/>
        <v>0</v>
      </c>
      <c r="Y47" s="77">
        <f t="shared" si="67"/>
        <v>0</v>
      </c>
      <c r="Z47" s="77"/>
      <c r="AA47" s="77">
        <f t="shared" si="68"/>
        <v>0</v>
      </c>
      <c r="AB47" s="13">
        <f t="array" ref="AB47">SUM(X47:AA47)</f>
        <v>0</v>
      </c>
      <c r="AC47" s="14">
        <f t="shared" si="16"/>
        <v>0</v>
      </c>
      <c r="AD47" s="11">
        <f t="shared" si="17"/>
        <v>0</v>
      </c>
      <c r="AE47" s="15">
        <f t="shared" si="69"/>
        <v>0</v>
      </c>
      <c r="AF47" s="11">
        <f t="array" ref="AF47">IF(N47=0,0,AF46)</f>
        <v>0</v>
      </c>
      <c r="AG47" s="9">
        <f t="array" ref="AG47">IF(N47=0,0,AG46)</f>
        <v>0</v>
      </c>
      <c r="AH47" s="10">
        <f t="shared" si="70"/>
        <v>0</v>
      </c>
      <c r="AI47" s="11">
        <f t="array" ref="AI47">IF(BN47="MSS",ROUND(N47/31*5,0),IF(BN47="MS",ROUND(N47/31*3,0),IF(BN47="MM",ROUND(N47/31*2,0),IF(BN47="MF",ROUND(N47/31*1,0),IF(BN47="SSS",ROUND(R47/30*2,0),IF(BN47="SS",ROUND(R47/30,0),IF(BN47="SM",ROUND(R47/30,0),IF(BN47="SF",ROUND(R47/30*0,0),IF(BN47="OSS",ROUND(R47/31*2,0),IF(BN47="OS",ROUND(R47/31,0),IF(BN47="OM",ROUND(R47/31,0),IF(BN47="OF",ROUND(R47/31*0,0),0))))))))))))</f>
        <v>0</v>
      </c>
      <c r="AJ47" s="9">
        <f t="array" ref="AJ47">IF(BN47="MSS",ROUND(S47/31*5,0),IF(BN47="MS",ROUND(S47/31*3,0),IF(BN47="MM",ROUND(S47/31*2,0),IF(BN47="MF",ROUND(S47/31*1,0),IF(BN47="SSS",ROUND(W47/30*2,0),IF(BN47="SS",ROUND(W47/30,0),IF(BN47="SM",ROUND(W47/30,0),IF(BN47="SF",ROUND(W47/30*0,0),IF(BN47="OSS",ROUND(W47/31*2,0),IF(BN47="OS",ROUND(W47/31,0),IF(BN47="OM",ROUND(W47/31,0),IF(BN47="OF",ROUND(W47/31*0,0),0))))))))))))</f>
        <v>0</v>
      </c>
      <c r="AK47" s="10">
        <f t="shared" si="71"/>
        <v>0</v>
      </c>
      <c r="AL47" s="352">
        <f t="shared" si="18"/>
        <v>0</v>
      </c>
      <c r="AM47" s="353">
        <f t="shared" si="19"/>
        <v>0</v>
      </c>
      <c r="AN47" s="349">
        <f t="array" ref="AN47">AL47-AM47</f>
        <v>0</v>
      </c>
      <c r="AO47" s="133">
        <f t="shared" si="20"/>
        <v>0</v>
      </c>
      <c r="AP47" s="134">
        <f t="array" ref="AP47">AE47+AH47+AK47+AN47+AO47</f>
        <v>0</v>
      </c>
      <c r="AQ47" s="16">
        <f t="array" ref="AQ47">AB47-AP47</f>
        <v>0</v>
      </c>
      <c r="AR47" s="356"/>
      <c r="AS47" s="180"/>
      <c r="AT47" s="86">
        <f t="shared" si="21"/>
        <v>0</v>
      </c>
      <c r="AU47" s="87">
        <v>0.03</v>
      </c>
      <c r="AV47" s="88">
        <f t="array" ref="AV47">IF(AND(AT47="Yes",$E$2="Fixation"),ROUND(N47*AU47,0),IF(AT47="yes",ROUND((N47-S47)*AU47,0),0))</f>
        <v>0</v>
      </c>
      <c r="AW47" s="180"/>
      <c r="AX47" s="78"/>
      <c r="AY47" s="78"/>
      <c r="AZ47" s="24">
        <f t="shared" si="49"/>
        <v>0</v>
      </c>
      <c r="BA47" s="123">
        <f t="shared" si="23"/>
        <v>0</v>
      </c>
      <c r="BB47" s="123">
        <f t="shared" si="34"/>
        <v>0</v>
      </c>
      <c r="BF47" s="48">
        <f t="shared" si="35"/>
        <v>44914</v>
      </c>
      <c r="BH47" s="44">
        <f t="shared" si="24"/>
        <v>1</v>
      </c>
      <c r="BI47" s="45" t="str">
        <f t="shared" si="50"/>
        <v>11900</v>
      </c>
      <c r="BJ47" s="44">
        <f t="shared" si="51"/>
        <v>11901</v>
      </c>
      <c r="BK47" s="46">
        <f t="shared" si="52"/>
        <v>0</v>
      </c>
      <c r="BL47" s="46">
        <f t="shared" si="53"/>
        <v>0</v>
      </c>
      <c r="BM47" s="49">
        <f t="shared" si="29"/>
        <v>0</v>
      </c>
      <c r="BN47" s="46" t="str">
        <f t="shared" si="54"/>
        <v>00</v>
      </c>
    </row>
    <row r="48" spans="1:66" ht="18" customHeight="1">
      <c r="A48" s="23">
        <f t="shared" si="8"/>
        <v>0</v>
      </c>
      <c r="B48" s="129">
        <f t="shared" ref="B48:C48" si="118">B45</f>
        <v>0.38</v>
      </c>
      <c r="C48" s="129">
        <f t="shared" si="118"/>
        <v>0.38</v>
      </c>
      <c r="D48" s="129">
        <f t="shared" ref="D48:E48" si="119">D45</f>
        <v>0.08</v>
      </c>
      <c r="E48" s="129">
        <f t="shared" si="119"/>
        <v>0.09</v>
      </c>
      <c r="F48" s="36">
        <v>36</v>
      </c>
      <c r="G48" s="172">
        <f t="shared" si="9"/>
        <v>0</v>
      </c>
      <c r="H48" s="173"/>
      <c r="I48" s="173"/>
      <c r="J48" s="174"/>
      <c r="K48" s="47">
        <f t="shared" si="57"/>
        <v>1</v>
      </c>
      <c r="L48" s="47">
        <f t="shared" si="58"/>
        <v>1900</v>
      </c>
      <c r="M48" s="47" t="str">
        <f t="shared" si="59"/>
        <v>11900</v>
      </c>
      <c r="N48" s="18">
        <f t="shared" si="62"/>
        <v>0</v>
      </c>
      <c r="O48" s="31">
        <f t="shared" si="63"/>
        <v>0</v>
      </c>
      <c r="P48" s="31">
        <f t="shared" si="12"/>
        <v>0</v>
      </c>
      <c r="Q48" s="31">
        <f t="shared" si="64"/>
        <v>0</v>
      </c>
      <c r="R48" s="32">
        <f t="array" ref="R48">SUM(N48:Q48)</f>
        <v>0</v>
      </c>
      <c r="S48" s="8">
        <f t="array" ref="S48">IF(N48=0,0,IF($E$2="FIXATION",$B$5,IF(N48=0,0,IF(BA48=7,ROUND(S47*1.03,-2),S47))))</f>
        <v>0</v>
      </c>
      <c r="T48" s="9">
        <f t="shared" si="65"/>
        <v>0</v>
      </c>
      <c r="U48" s="31">
        <f t="shared" si="6"/>
        <v>0</v>
      </c>
      <c r="V48" s="9">
        <f t="array" ref="V48">IF($E$2="fixation",0,ROUND(S48*D48,0))</f>
        <v>0</v>
      </c>
      <c r="W48" s="32">
        <f t="array" ref="W48">SUM(S48:V48)</f>
        <v>0</v>
      </c>
      <c r="X48" s="76">
        <f t="shared" si="66"/>
        <v>0</v>
      </c>
      <c r="Y48" s="77">
        <f t="shared" si="67"/>
        <v>0</v>
      </c>
      <c r="Z48" s="77"/>
      <c r="AA48" s="77">
        <f t="shared" si="68"/>
        <v>0</v>
      </c>
      <c r="AB48" s="13">
        <f t="array" ref="AB48">SUM(X48:AA48)</f>
        <v>0</v>
      </c>
      <c r="AC48" s="14">
        <f t="shared" si="16"/>
        <v>0</v>
      </c>
      <c r="AD48" s="11">
        <f t="shared" si="17"/>
        <v>0</v>
      </c>
      <c r="AE48" s="15">
        <f t="shared" si="69"/>
        <v>0</v>
      </c>
      <c r="AF48" s="11">
        <f t="array" ref="AF48">IF(N48=0,0,AF47)</f>
        <v>0</v>
      </c>
      <c r="AG48" s="9">
        <f t="array" ref="AG48">IF(N48=0,0,AG47)</f>
        <v>0</v>
      </c>
      <c r="AH48" s="10">
        <f t="shared" si="70"/>
        <v>0</v>
      </c>
      <c r="AI48" s="11">
        <f t="array" ref="AI48">IF(BN48="MSS",ROUND(N48/31*5,0),IF(BN48="MS",ROUND(N48/31*3,0),IF(BN48="MM",ROUND(N48/31*2,0),IF(BN48="MF",ROUND(N48/31*1,0),IF(BN48="SSS",ROUND(R48/30*2,0),IF(BN48="SS",ROUND(R48/30,0),IF(BN48="SM",ROUND(R48/30,0),IF(BN48="SF",ROUND(R48/30*0,0),IF(BN48="OSS",ROUND(R48/31*2,0),IF(BN48="OS",ROUND(R48/31,0),IF(BN48="OM",ROUND(R48/31,0),IF(BN48="OF",ROUND(R48/31*0,0),0))))))))))))</f>
        <v>0</v>
      </c>
      <c r="AJ48" s="9">
        <f t="array" ref="AJ48">IF(BN48="MSS",ROUND(S48/31*5,0),IF(BN48="MS",ROUND(S48/31*3,0),IF(BN48="MM",ROUND(S48/31*2,0),IF(BN48="MF",ROUND(S48/31*1,0),IF(BN48="SSS",ROUND(W48/30*2,0),IF(BN48="SS",ROUND(W48/30,0),IF(BN48="SM",ROUND(W48/30,0),IF(BN48="SF",ROUND(W48/30*0,0),IF(BN48="OSS",ROUND(W48/31*2,0),IF(BN48="OS",ROUND(W48/31,0),IF(BN48="OM",ROUND(W48/31,0),IF(BN48="OF",ROUND(W48/31*0,0),0))))))))))))</f>
        <v>0</v>
      </c>
      <c r="AK48" s="10">
        <f t="shared" si="71"/>
        <v>0</v>
      </c>
      <c r="AL48" s="352">
        <f t="shared" si="18"/>
        <v>0</v>
      </c>
      <c r="AM48" s="353">
        <f t="shared" si="19"/>
        <v>0</v>
      </c>
      <c r="AN48" s="349">
        <f t="array" ref="AN48">AL48-AM48</f>
        <v>0</v>
      </c>
      <c r="AO48" s="133">
        <f t="shared" si="20"/>
        <v>0</v>
      </c>
      <c r="AP48" s="134">
        <f t="array" ref="AP48">AE48+AH48+AK48+AN48+AO48</f>
        <v>0</v>
      </c>
      <c r="AQ48" s="16">
        <f t="array" ref="AQ48">AB48-AP48</f>
        <v>0</v>
      </c>
      <c r="AR48" s="356"/>
      <c r="AS48" s="180"/>
      <c r="AT48" s="86">
        <f t="shared" si="21"/>
        <v>0</v>
      </c>
      <c r="AU48" s="87">
        <v>0.03</v>
      </c>
      <c r="AV48" s="88">
        <f t="array" ref="AV48">IF(AND(AT48="Yes",$E$2="Fixation"),ROUND(N48*AU48,0),IF(AT48="yes",ROUND((N48-S48)*AU48,0),0))</f>
        <v>0</v>
      </c>
      <c r="AW48" s="180"/>
      <c r="AX48" s="78"/>
      <c r="AY48" s="78"/>
      <c r="AZ48" s="24">
        <f t="shared" si="49"/>
        <v>0</v>
      </c>
      <c r="BA48" s="123">
        <f t="shared" si="23"/>
        <v>0</v>
      </c>
      <c r="BB48" s="123">
        <f t="shared" si="34"/>
        <v>0</v>
      </c>
      <c r="BF48" s="48">
        <f t="shared" si="35"/>
        <v>44945</v>
      </c>
      <c r="BH48" s="44">
        <f t="shared" si="24"/>
        <v>1</v>
      </c>
      <c r="BI48" s="45" t="str">
        <f t="shared" si="50"/>
        <v>11900</v>
      </c>
      <c r="BJ48" s="44">
        <f t="shared" si="51"/>
        <v>11901</v>
      </c>
      <c r="BK48" s="46">
        <f t="shared" si="52"/>
        <v>0</v>
      </c>
      <c r="BL48" s="46">
        <f t="shared" si="53"/>
        <v>0</v>
      </c>
      <c r="BM48" s="49">
        <f t="shared" si="29"/>
        <v>0</v>
      </c>
      <c r="BN48" s="46" t="str">
        <f t="shared" si="54"/>
        <v>00</v>
      </c>
    </row>
    <row r="49" spans="1:66" ht="18" customHeight="1">
      <c r="A49" s="23">
        <f t="shared" si="8"/>
        <v>0</v>
      </c>
      <c r="B49" s="129">
        <f t="shared" ref="B49:C49" si="120">B46</f>
        <v>0.38</v>
      </c>
      <c r="C49" s="129">
        <f t="shared" si="120"/>
        <v>0.38</v>
      </c>
      <c r="D49" s="129">
        <f t="shared" ref="D49:E49" si="121">D46</f>
        <v>0.08</v>
      </c>
      <c r="E49" s="129">
        <f t="shared" si="121"/>
        <v>0.09</v>
      </c>
      <c r="F49" s="36">
        <v>37</v>
      </c>
      <c r="G49" s="172">
        <f t="shared" si="9"/>
        <v>0</v>
      </c>
      <c r="H49" s="173"/>
      <c r="I49" s="173"/>
      <c r="J49" s="174"/>
      <c r="K49" s="47">
        <f t="shared" si="57"/>
        <v>1</v>
      </c>
      <c r="L49" s="47">
        <f t="shared" si="58"/>
        <v>1900</v>
      </c>
      <c r="M49" s="47" t="str">
        <f t="shared" si="59"/>
        <v>11900</v>
      </c>
      <c r="N49" s="18">
        <f t="shared" si="62"/>
        <v>0</v>
      </c>
      <c r="O49" s="31">
        <f t="shared" si="63"/>
        <v>0</v>
      </c>
      <c r="P49" s="31">
        <f t="shared" si="12"/>
        <v>0</v>
      </c>
      <c r="Q49" s="31">
        <f t="shared" si="64"/>
        <v>0</v>
      </c>
      <c r="R49" s="32">
        <f t="array" ref="R49">SUM(N49:Q49)</f>
        <v>0</v>
      </c>
      <c r="S49" s="8">
        <f t="array" ref="S49">IF(N49=0,0,IF($E$2="FIXATION",$B$5,IF(N49=0,0,IF(BA49=7,ROUND(S48*1.03,-2),S48))))</f>
        <v>0</v>
      </c>
      <c r="T49" s="9">
        <f t="shared" si="65"/>
        <v>0</v>
      </c>
      <c r="U49" s="31">
        <f t="shared" si="6"/>
        <v>0</v>
      </c>
      <c r="V49" s="9">
        <f t="array" ref="V49">IF($E$2="fixation",0,ROUND(S49*D49,0))</f>
        <v>0</v>
      </c>
      <c r="W49" s="32">
        <f t="array" ref="W49">SUM(S49:V49)</f>
        <v>0</v>
      </c>
      <c r="X49" s="76">
        <f t="shared" si="66"/>
        <v>0</v>
      </c>
      <c r="Y49" s="77">
        <f t="shared" si="67"/>
        <v>0</v>
      </c>
      <c r="Z49" s="77"/>
      <c r="AA49" s="77">
        <f t="shared" si="68"/>
        <v>0</v>
      </c>
      <c r="AB49" s="13">
        <f t="array" ref="AB49">SUM(X49:AA49)</f>
        <v>0</v>
      </c>
      <c r="AC49" s="14">
        <f t="shared" si="16"/>
        <v>0</v>
      </c>
      <c r="AD49" s="11">
        <f t="shared" si="17"/>
        <v>0</v>
      </c>
      <c r="AE49" s="15">
        <f t="shared" si="69"/>
        <v>0</v>
      </c>
      <c r="AF49" s="11">
        <f t="array" ref="AF49">IF(N49=0,0,AF48)</f>
        <v>0</v>
      </c>
      <c r="AG49" s="9">
        <f t="array" ref="AG49">IF(N49=0,0,AG48)</f>
        <v>0</v>
      </c>
      <c r="AH49" s="10">
        <f t="shared" si="70"/>
        <v>0</v>
      </c>
      <c r="AI49" s="11">
        <f t="array" ref="AI49">IF(BN49="MSS",ROUND(N49/31*5,0),IF(BN49="MS",ROUND(N49/31*3,0),IF(BN49="MM",ROUND(N49/31*2,0),IF(BN49="MF",ROUND(N49/31*1,0),IF(BN49="SSS",ROUND(R49/30*2,0),IF(BN49="SS",ROUND(R49/30,0),IF(BN49="SM",ROUND(R49/30,0),IF(BN49="SF",ROUND(R49/30*0,0),IF(BN49="OSS",ROUND(R49/31*2,0),IF(BN49="OS",ROUND(R49/31,0),IF(BN49="OM",ROUND(R49/31,0),IF(BN49="OF",ROUND(R49/31*0,0),0))))))))))))</f>
        <v>0</v>
      </c>
      <c r="AJ49" s="9">
        <f t="array" ref="AJ49">IF(BN49="MSS",ROUND(S49/31*5,0),IF(BN49="MS",ROUND(S49/31*3,0),IF(BN49="MM",ROUND(S49/31*2,0),IF(BN49="MF",ROUND(S49/31*1,0),IF(BN49="SSS",ROUND(W49/30*2,0),IF(BN49="SS",ROUND(W49/30,0),IF(BN49="SM",ROUND(W49/30,0),IF(BN49="SF",ROUND(W49/30*0,0),IF(BN49="OSS",ROUND(W49/31*2,0),IF(BN49="OS",ROUND(W49/31,0),IF(BN49="OM",ROUND(W49/31,0),IF(BN49="OF",ROUND(W49/31*0,0),0))))))))))))</f>
        <v>0</v>
      </c>
      <c r="AK49" s="10">
        <f t="shared" si="71"/>
        <v>0</v>
      </c>
      <c r="AL49" s="352">
        <f t="shared" si="18"/>
        <v>0</v>
      </c>
      <c r="AM49" s="353">
        <f t="shared" si="19"/>
        <v>0</v>
      </c>
      <c r="AN49" s="349">
        <f t="array" ref="AN49">AL49-AM49</f>
        <v>0</v>
      </c>
      <c r="AO49" s="133">
        <f t="shared" si="20"/>
        <v>0</v>
      </c>
      <c r="AP49" s="134">
        <f t="array" ref="AP49">AE49+AH49+AK49+AN49+AO49</f>
        <v>0</v>
      </c>
      <c r="AQ49" s="16">
        <f t="array" ref="AQ49">AB49-AP49</f>
        <v>0</v>
      </c>
      <c r="AR49" s="356"/>
      <c r="AS49" s="180"/>
      <c r="AT49" s="86">
        <f t="shared" si="21"/>
        <v>0</v>
      </c>
      <c r="AU49" s="87">
        <v>0.03</v>
      </c>
      <c r="AV49" s="88">
        <f t="array" ref="AV49">IF(AND(AT49="Yes",$E$2="Fixation"),ROUND(N49*AU49,0),IF(AT49="yes",ROUND((N49-S49)*AU49,0),0))</f>
        <v>0</v>
      </c>
      <c r="AW49" s="180"/>
      <c r="AX49" s="78"/>
      <c r="AY49" s="78"/>
      <c r="AZ49" s="24">
        <f t="shared" si="49"/>
        <v>0</v>
      </c>
      <c r="BA49" s="123">
        <f t="shared" si="23"/>
        <v>0</v>
      </c>
      <c r="BB49" s="123">
        <f t="shared" si="34"/>
        <v>0</v>
      </c>
      <c r="BF49" s="48">
        <f t="shared" si="35"/>
        <v>44976</v>
      </c>
      <c r="BH49" s="44">
        <f t="shared" si="24"/>
        <v>1</v>
      </c>
      <c r="BI49" s="45" t="str">
        <f t="shared" si="50"/>
        <v>11900</v>
      </c>
      <c r="BJ49" s="44">
        <f t="shared" si="51"/>
        <v>11901</v>
      </c>
      <c r="BK49" s="46">
        <f t="shared" si="52"/>
        <v>0</v>
      </c>
      <c r="BL49" s="46">
        <f t="shared" si="53"/>
        <v>0</v>
      </c>
      <c r="BM49" s="49">
        <f t="shared" si="29"/>
        <v>0</v>
      </c>
      <c r="BN49" s="46" t="str">
        <f t="shared" si="54"/>
        <v>00</v>
      </c>
    </row>
    <row r="50" spans="1:66" ht="18" customHeight="1">
      <c r="A50" s="23">
        <f t="shared" si="8"/>
        <v>0</v>
      </c>
      <c r="B50" s="129">
        <f t="shared" ref="B50:C50" si="122">B47</f>
        <v>0.38</v>
      </c>
      <c r="C50" s="129">
        <f t="shared" si="122"/>
        <v>0.38</v>
      </c>
      <c r="D50" s="129">
        <f t="shared" ref="D50:E50" si="123">D47</f>
        <v>0.08</v>
      </c>
      <c r="E50" s="129">
        <f t="shared" si="123"/>
        <v>0.09</v>
      </c>
      <c r="F50" s="36">
        <v>38</v>
      </c>
      <c r="G50" s="172">
        <f t="shared" si="9"/>
        <v>0</v>
      </c>
      <c r="H50" s="173"/>
      <c r="I50" s="173"/>
      <c r="J50" s="174"/>
      <c r="K50" s="47">
        <f t="shared" si="57"/>
        <v>1</v>
      </c>
      <c r="L50" s="47">
        <f t="shared" si="58"/>
        <v>1900</v>
      </c>
      <c r="M50" s="47" t="str">
        <f t="shared" si="59"/>
        <v>11900</v>
      </c>
      <c r="N50" s="18">
        <f t="shared" si="62"/>
        <v>0</v>
      </c>
      <c r="O50" s="31">
        <f t="shared" si="63"/>
        <v>0</v>
      </c>
      <c r="P50" s="31">
        <f t="shared" si="12"/>
        <v>0</v>
      </c>
      <c r="Q50" s="31">
        <f t="shared" si="64"/>
        <v>0</v>
      </c>
      <c r="R50" s="32">
        <f t="array" ref="R50">SUM(N50:Q50)</f>
        <v>0</v>
      </c>
      <c r="S50" s="8">
        <f t="array" ref="S50">IF(N50=0,0,IF($E$2="FIXATION",$B$5,IF(N50=0,0,IF(BA50=7,ROUND(S49*1.03,-2),S49))))</f>
        <v>0</v>
      </c>
      <c r="T50" s="9">
        <f t="shared" si="65"/>
        <v>0</v>
      </c>
      <c r="U50" s="31">
        <f t="shared" si="6"/>
        <v>0</v>
      </c>
      <c r="V50" s="9">
        <f t="array" ref="V50">IF($E$2="fixation",0,ROUND(S50*D50,0))</f>
        <v>0</v>
      </c>
      <c r="W50" s="32">
        <f t="array" ref="W50">SUM(S50:V50)</f>
        <v>0</v>
      </c>
      <c r="X50" s="76">
        <f t="shared" si="66"/>
        <v>0</v>
      </c>
      <c r="Y50" s="77">
        <f t="shared" si="67"/>
        <v>0</v>
      </c>
      <c r="Z50" s="77"/>
      <c r="AA50" s="77">
        <f t="shared" si="68"/>
        <v>0</v>
      </c>
      <c r="AB50" s="13">
        <f t="array" ref="AB50">SUM(X50:AA50)</f>
        <v>0</v>
      </c>
      <c r="AC50" s="14">
        <f t="shared" si="16"/>
        <v>0</v>
      </c>
      <c r="AD50" s="11">
        <f t="shared" si="17"/>
        <v>0</v>
      </c>
      <c r="AE50" s="15">
        <f t="shared" si="69"/>
        <v>0</v>
      </c>
      <c r="AF50" s="11">
        <f t="array" ref="AF50">IF(N50=0,0,AF49)</f>
        <v>0</v>
      </c>
      <c r="AG50" s="9">
        <f t="array" ref="AG50">IF(N50=0,0,AG49)</f>
        <v>0</v>
      </c>
      <c r="AH50" s="10">
        <f t="shared" si="70"/>
        <v>0</v>
      </c>
      <c r="AI50" s="11">
        <f t="array" ref="AI50">IF(BN50="MSS",ROUND(N50/31*5,0),IF(BN50="MS",ROUND(N50/31*3,0),IF(BN50="MM",ROUND(N50/31*2,0),IF(BN50="MF",ROUND(N50/31*1,0),IF(BN50="SSS",ROUND(R50/30*2,0),IF(BN50="SS",ROUND(R50/30,0),IF(BN50="SM",ROUND(R50/30,0),IF(BN50="SF",ROUND(R50/30*0,0),IF(BN50="OSS",ROUND(R50/31*2,0),IF(BN50="OS",ROUND(R50/31,0),IF(BN50="OM",ROUND(R50/31,0),IF(BN50="OF",ROUND(R50/31*0,0),0))))))))))))</f>
        <v>0</v>
      </c>
      <c r="AJ50" s="9">
        <f t="array" ref="AJ50">IF(BN50="MSS",ROUND(S50/31*5,0),IF(BN50="MS",ROUND(S50/31*3,0),IF(BN50="MM",ROUND(S50/31*2,0),IF(BN50="MF",ROUND(S50/31*1,0),IF(BN50="SSS",ROUND(W50/30*2,0),IF(BN50="SS",ROUND(W50/30,0),IF(BN50="SM",ROUND(W50/30,0),IF(BN50="SF",ROUND(W50/30*0,0),IF(BN50="OSS",ROUND(W50/31*2,0),IF(BN50="OS",ROUND(W50/31,0),IF(BN50="OM",ROUND(W50/31,0),IF(BN50="OF",ROUND(W50/31*0,0),0))))))))))))</f>
        <v>0</v>
      </c>
      <c r="AK50" s="10">
        <f t="shared" si="71"/>
        <v>0</v>
      </c>
      <c r="AL50" s="352">
        <f t="shared" si="18"/>
        <v>0</v>
      </c>
      <c r="AM50" s="353">
        <f t="shared" si="19"/>
        <v>0</v>
      </c>
      <c r="AN50" s="349">
        <f t="array" ref="AN50">AL50-AM50</f>
        <v>0</v>
      </c>
      <c r="AO50" s="133">
        <f t="shared" si="20"/>
        <v>0</v>
      </c>
      <c r="AP50" s="134">
        <f t="array" ref="AP50">AE50+AH50+AK50+AN50+AO50</f>
        <v>0</v>
      </c>
      <c r="AQ50" s="16">
        <f t="array" ref="AQ50">AB50-AP50</f>
        <v>0</v>
      </c>
      <c r="AR50" s="356"/>
      <c r="AS50" s="180"/>
      <c r="AT50" s="86">
        <f t="shared" si="21"/>
        <v>0</v>
      </c>
      <c r="AU50" s="87">
        <v>0.03</v>
      </c>
      <c r="AV50" s="88">
        <f t="array" ref="AV50">IF(AND(AT50="Yes",$E$2="Fixation"),ROUND(N50*AU50,0),IF(AT50="yes",ROUND((N50-S50)*AU50,0),0))</f>
        <v>0</v>
      </c>
      <c r="AW50" s="180"/>
      <c r="AX50" s="78"/>
      <c r="AY50" s="78"/>
      <c r="AZ50" s="24">
        <f t="shared" si="49"/>
        <v>0</v>
      </c>
      <c r="BA50" s="123">
        <f t="shared" si="23"/>
        <v>0</v>
      </c>
      <c r="BB50" s="123">
        <f t="shared" si="34"/>
        <v>0</v>
      </c>
      <c r="BF50" s="48">
        <f t="shared" si="35"/>
        <v>45007</v>
      </c>
      <c r="BH50" s="44">
        <f t="shared" si="24"/>
        <v>1</v>
      </c>
      <c r="BI50" s="45" t="str">
        <f t="shared" si="50"/>
        <v>11900</v>
      </c>
      <c r="BJ50" s="44">
        <f t="shared" si="51"/>
        <v>11901</v>
      </c>
      <c r="BK50" s="46">
        <f t="shared" si="52"/>
        <v>0</v>
      </c>
      <c r="BL50" s="46">
        <f t="shared" si="53"/>
        <v>0</v>
      </c>
      <c r="BM50" s="49">
        <f t="shared" si="29"/>
        <v>0</v>
      </c>
      <c r="BN50" s="46" t="str">
        <f t="shared" si="54"/>
        <v>00</v>
      </c>
    </row>
    <row r="51" spans="1:66" ht="18" customHeight="1">
      <c r="A51" s="23">
        <f t="shared" si="8"/>
        <v>0</v>
      </c>
      <c r="B51" s="129">
        <f t="shared" ref="B51:C51" si="124">B48</f>
        <v>0.38</v>
      </c>
      <c r="C51" s="129">
        <f t="shared" si="124"/>
        <v>0.38</v>
      </c>
      <c r="D51" s="129">
        <f t="shared" ref="D51:E51" si="125">D48</f>
        <v>0.08</v>
      </c>
      <c r="E51" s="129">
        <f t="shared" si="125"/>
        <v>0.09</v>
      </c>
      <c r="F51" s="36">
        <v>39</v>
      </c>
      <c r="G51" s="172">
        <f t="shared" si="9"/>
        <v>0</v>
      </c>
      <c r="H51" s="173"/>
      <c r="I51" s="173"/>
      <c r="J51" s="174"/>
      <c r="K51" s="47">
        <f t="shared" si="57"/>
        <v>1</v>
      </c>
      <c r="L51" s="47">
        <f t="shared" si="58"/>
        <v>1900</v>
      </c>
      <c r="M51" s="47" t="str">
        <f t="shared" si="59"/>
        <v>11900</v>
      </c>
      <c r="N51" s="18">
        <f t="shared" si="62"/>
        <v>0</v>
      </c>
      <c r="O51" s="31">
        <f t="shared" si="63"/>
        <v>0</v>
      </c>
      <c r="P51" s="31">
        <f t="shared" si="12"/>
        <v>0</v>
      </c>
      <c r="Q51" s="31">
        <f t="shared" si="64"/>
        <v>0</v>
      </c>
      <c r="R51" s="32">
        <f t="array" ref="R51">SUM(N51:Q51)</f>
        <v>0</v>
      </c>
      <c r="S51" s="8">
        <f t="array" ref="S51">IF(N51=0,0,IF($E$2="FIXATION",$B$5,IF(N51=0,0,IF(BA51=7,ROUND(S50*1.03,-2),S50))))</f>
        <v>0</v>
      </c>
      <c r="T51" s="9">
        <f t="shared" si="65"/>
        <v>0</v>
      </c>
      <c r="U51" s="31">
        <f t="shared" si="6"/>
        <v>0</v>
      </c>
      <c r="V51" s="9">
        <f t="array" ref="V51">IF($E$2="fixation",0,ROUND(S51*D51,0))</f>
        <v>0</v>
      </c>
      <c r="W51" s="32">
        <f t="array" ref="W51">SUM(S51:V51)</f>
        <v>0</v>
      </c>
      <c r="X51" s="76">
        <f t="shared" si="66"/>
        <v>0</v>
      </c>
      <c r="Y51" s="77">
        <f t="shared" si="67"/>
        <v>0</v>
      </c>
      <c r="Z51" s="77"/>
      <c r="AA51" s="77">
        <f t="shared" si="68"/>
        <v>0</v>
      </c>
      <c r="AB51" s="13">
        <f t="array" ref="AB51">SUM(X51:AA51)</f>
        <v>0</v>
      </c>
      <c r="AC51" s="14">
        <f t="shared" si="16"/>
        <v>0</v>
      </c>
      <c r="AD51" s="11">
        <f t="shared" si="17"/>
        <v>0</v>
      </c>
      <c r="AE51" s="15">
        <f t="shared" si="69"/>
        <v>0</v>
      </c>
      <c r="AF51" s="11">
        <f t="array" ref="AF51">IF(N51=0,0,AF50)</f>
        <v>0</v>
      </c>
      <c r="AG51" s="9">
        <f t="array" ref="AG51">IF(N51=0,0,AG50)</f>
        <v>0</v>
      </c>
      <c r="AH51" s="10">
        <f t="shared" si="70"/>
        <v>0</v>
      </c>
      <c r="AI51" s="11">
        <f t="array" ref="AI51">IF(BN51="MSS",ROUND(N51/31*5,0),IF(BN51="MS",ROUND(N51/31*3,0),IF(BN51="MM",ROUND(N51/31*2,0),IF(BN51="MF",ROUND(N51/31*1,0),IF(BN51="SSS",ROUND(R51/30*2,0),IF(BN51="SS",ROUND(R51/30,0),IF(BN51="SM",ROUND(R51/30,0),IF(BN51="SF",ROUND(R51/30*0,0),IF(BN51="OSS",ROUND(R51/31*2,0),IF(BN51="OS",ROUND(R51/31,0),IF(BN51="OM",ROUND(R51/31,0),IF(BN51="OF",ROUND(R51/31*0,0),0))))))))))))</f>
        <v>0</v>
      </c>
      <c r="AJ51" s="9">
        <f t="array" ref="AJ51">IF(BN51="MSS",ROUND(S51/31*5,0),IF(BN51="MS",ROUND(S51/31*3,0),IF(BN51="MM",ROUND(S51/31*2,0),IF(BN51="MF",ROUND(S51/31*1,0),IF(BN51="SSS",ROUND(W51/30*2,0),IF(BN51="SS",ROUND(W51/30,0),IF(BN51="SM",ROUND(W51/30,0),IF(BN51="SF",ROUND(W51/30*0,0),IF(BN51="OSS",ROUND(W51/31*2,0),IF(BN51="OS",ROUND(W51/31,0),IF(BN51="OM",ROUND(W51/31,0),IF(BN51="OF",ROUND(W51/31*0,0),0))))))))))))</f>
        <v>0</v>
      </c>
      <c r="AK51" s="10">
        <f t="shared" si="71"/>
        <v>0</v>
      </c>
      <c r="AL51" s="352">
        <f t="shared" si="18"/>
        <v>0</v>
      </c>
      <c r="AM51" s="353">
        <f t="shared" si="19"/>
        <v>0</v>
      </c>
      <c r="AN51" s="349">
        <f t="array" ref="AN51">AL51-AM51</f>
        <v>0</v>
      </c>
      <c r="AO51" s="133">
        <f t="shared" si="20"/>
        <v>0</v>
      </c>
      <c r="AP51" s="134">
        <f t="array" ref="AP51">AE51+AH51+AK51+AN51+AO51</f>
        <v>0</v>
      </c>
      <c r="AQ51" s="16">
        <f t="array" ref="AQ51">AB51-AP51</f>
        <v>0</v>
      </c>
      <c r="AR51" s="356"/>
      <c r="AS51" s="180"/>
      <c r="AT51" s="86">
        <f t="shared" si="21"/>
        <v>0</v>
      </c>
      <c r="AU51" s="87">
        <v>0.03</v>
      </c>
      <c r="AV51" s="88">
        <f t="array" ref="AV51">IF(AND(AT51="Yes",$E$2="Fixation"),ROUND(N51*AU51,0),IF(AT51="yes",ROUND((N51-S51)*AU51,0),0))</f>
        <v>0</v>
      </c>
      <c r="AW51" s="180"/>
      <c r="AX51" s="78"/>
      <c r="AY51" s="78"/>
      <c r="AZ51" s="24">
        <f t="shared" si="49"/>
        <v>0</v>
      </c>
      <c r="BA51" s="123">
        <f t="shared" si="23"/>
        <v>0</v>
      </c>
      <c r="BB51" s="123">
        <f t="shared" si="34"/>
        <v>0</v>
      </c>
      <c r="BF51" s="48">
        <f t="shared" si="35"/>
        <v>45038</v>
      </c>
      <c r="BH51" s="44">
        <f t="shared" si="24"/>
        <v>1</v>
      </c>
      <c r="BI51" s="45" t="str">
        <f t="shared" si="50"/>
        <v>11900</v>
      </c>
      <c r="BJ51" s="44">
        <f t="shared" si="51"/>
        <v>11901</v>
      </c>
      <c r="BK51" s="46">
        <f t="shared" si="52"/>
        <v>0</v>
      </c>
      <c r="BL51" s="46">
        <f t="shared" si="53"/>
        <v>0</v>
      </c>
      <c r="BM51" s="49">
        <f t="shared" si="29"/>
        <v>0</v>
      </c>
      <c r="BN51" s="46" t="str">
        <f t="shared" si="54"/>
        <v>00</v>
      </c>
    </row>
    <row r="52" spans="1:66" ht="18" customHeight="1">
      <c r="A52" s="23">
        <f t="shared" si="8"/>
        <v>0</v>
      </c>
      <c r="B52" s="129">
        <f t="shared" ref="B52:C52" si="126">B49</f>
        <v>0.38</v>
      </c>
      <c r="C52" s="129">
        <f t="shared" si="126"/>
        <v>0.38</v>
      </c>
      <c r="D52" s="129">
        <f t="shared" ref="D52:E52" si="127">D49</f>
        <v>0.08</v>
      </c>
      <c r="E52" s="129">
        <f t="shared" si="127"/>
        <v>0.09</v>
      </c>
      <c r="F52" s="36">
        <v>40</v>
      </c>
      <c r="G52" s="172">
        <f t="shared" si="9"/>
        <v>0</v>
      </c>
      <c r="H52" s="173"/>
      <c r="I52" s="173"/>
      <c r="J52" s="174"/>
      <c r="K52" s="47">
        <f t="shared" si="57"/>
        <v>1</v>
      </c>
      <c r="L52" s="47">
        <f t="shared" si="58"/>
        <v>1900</v>
      </c>
      <c r="M52" s="47" t="str">
        <f t="shared" si="59"/>
        <v>11900</v>
      </c>
      <c r="N52" s="18">
        <f t="shared" si="62"/>
        <v>0</v>
      </c>
      <c r="O52" s="31">
        <f t="shared" si="63"/>
        <v>0</v>
      </c>
      <c r="P52" s="31">
        <f t="shared" si="12"/>
        <v>0</v>
      </c>
      <c r="Q52" s="31">
        <f t="shared" si="64"/>
        <v>0</v>
      </c>
      <c r="R52" s="32">
        <f t="array" ref="R52">SUM(N52:Q52)</f>
        <v>0</v>
      </c>
      <c r="S52" s="8">
        <f t="array" ref="S52">IF(N52=0,0,IF($E$2="FIXATION",$B$5,IF(N52=0,0,IF(BA52=7,ROUND(S51*1.03,-2),S51))))</f>
        <v>0</v>
      </c>
      <c r="T52" s="9">
        <f t="shared" si="65"/>
        <v>0</v>
      </c>
      <c r="U52" s="31">
        <f t="shared" si="6"/>
        <v>0</v>
      </c>
      <c r="V52" s="9">
        <f t="array" ref="V52">IF($E$2="fixation",0,ROUND(S52*D52,0))</f>
        <v>0</v>
      </c>
      <c r="W52" s="32">
        <f t="array" ref="W52">SUM(S52:V52)</f>
        <v>0</v>
      </c>
      <c r="X52" s="76">
        <f t="shared" si="66"/>
        <v>0</v>
      </c>
      <c r="Y52" s="77">
        <f t="shared" si="67"/>
        <v>0</v>
      </c>
      <c r="Z52" s="77"/>
      <c r="AA52" s="77">
        <f t="shared" si="68"/>
        <v>0</v>
      </c>
      <c r="AB52" s="13">
        <f t="array" ref="AB52">SUM(X52:AA52)</f>
        <v>0</v>
      </c>
      <c r="AC52" s="14">
        <f t="shared" si="16"/>
        <v>0</v>
      </c>
      <c r="AD52" s="11">
        <f t="shared" si="17"/>
        <v>0</v>
      </c>
      <c r="AE52" s="15">
        <f t="shared" si="69"/>
        <v>0</v>
      </c>
      <c r="AF52" s="11">
        <f t="array" ref="AF52">IF(N52=0,0,AF51)</f>
        <v>0</v>
      </c>
      <c r="AG52" s="9">
        <f t="array" ref="AG52">IF(N52=0,0,AG51)</f>
        <v>0</v>
      </c>
      <c r="AH52" s="10">
        <f t="shared" si="70"/>
        <v>0</v>
      </c>
      <c r="AI52" s="11">
        <f t="array" ref="AI52">IF(BN52="MSS",ROUND(N52/31*5,0),IF(BN52="MS",ROUND(N52/31*3,0),IF(BN52="MM",ROUND(N52/31*2,0),IF(BN52="MF",ROUND(N52/31*1,0),IF(BN52="SSS",ROUND(R52/30*2,0),IF(BN52="SS",ROUND(R52/30,0),IF(BN52="SM",ROUND(R52/30,0),IF(BN52="SF",ROUND(R52/30*0,0),IF(BN52="OSS",ROUND(R52/31*2,0),IF(BN52="OS",ROUND(R52/31,0),IF(BN52="OM",ROUND(R52/31,0),IF(BN52="OF",ROUND(R52/31*0,0),0))))))))))))</f>
        <v>0</v>
      </c>
      <c r="AJ52" s="9">
        <f t="array" ref="AJ52">IF(BN52="MSS",ROUND(S52/31*5,0),IF(BN52="MS",ROUND(S52/31*3,0),IF(BN52="MM",ROUND(S52/31*2,0),IF(BN52="MF",ROUND(S52/31*1,0),IF(BN52="SSS",ROUND(W52/30*2,0),IF(BN52="SS",ROUND(W52/30,0),IF(BN52="SM",ROUND(W52/30,0),IF(BN52="SF",ROUND(W52/30*0,0),IF(BN52="OSS",ROUND(W52/31*2,0),IF(BN52="OS",ROUND(W52/31,0),IF(BN52="OM",ROUND(W52/31,0),IF(BN52="OF",ROUND(W52/31*0,0),0))))))))))))</f>
        <v>0</v>
      </c>
      <c r="AK52" s="10">
        <f t="shared" si="71"/>
        <v>0</v>
      </c>
      <c r="AL52" s="352">
        <f t="shared" si="18"/>
        <v>0</v>
      </c>
      <c r="AM52" s="353">
        <f t="shared" si="19"/>
        <v>0</v>
      </c>
      <c r="AN52" s="349">
        <f t="array" ref="AN52">AL52-AM52</f>
        <v>0</v>
      </c>
      <c r="AO52" s="133">
        <f t="shared" si="20"/>
        <v>0</v>
      </c>
      <c r="AP52" s="134">
        <f t="array" ref="AP52">AE52+AH52+AK52+AN52+AO52</f>
        <v>0</v>
      </c>
      <c r="AQ52" s="16">
        <f t="array" ref="AQ52">AB52-AP52</f>
        <v>0</v>
      </c>
      <c r="AR52" s="356"/>
      <c r="AS52" s="180"/>
      <c r="AT52" s="86">
        <f t="shared" si="21"/>
        <v>0</v>
      </c>
      <c r="AU52" s="87">
        <v>0.03</v>
      </c>
      <c r="AV52" s="88">
        <f t="array" ref="AV52">IF(AND(AT52="Yes",$E$2="Fixation"),ROUND(N52*AU52,0),IF(AT52="yes",ROUND((N52-S52)*AU52,0),0))</f>
        <v>0</v>
      </c>
      <c r="AW52" s="180"/>
      <c r="AX52" s="78"/>
      <c r="AY52" s="78"/>
      <c r="AZ52" s="24">
        <f t="shared" si="49"/>
        <v>0</v>
      </c>
      <c r="BA52" s="123">
        <f t="shared" si="23"/>
        <v>0</v>
      </c>
      <c r="BB52" s="123">
        <f t="shared" si="34"/>
        <v>0</v>
      </c>
      <c r="BF52" s="48">
        <f t="shared" si="35"/>
        <v>45069</v>
      </c>
      <c r="BH52" s="44">
        <f t="shared" si="24"/>
        <v>1</v>
      </c>
      <c r="BI52" s="45" t="str">
        <f t="shared" si="50"/>
        <v>11900</v>
      </c>
      <c r="BJ52" s="44">
        <f t="shared" si="51"/>
        <v>11901</v>
      </c>
      <c r="BK52" s="46">
        <f t="shared" si="52"/>
        <v>0</v>
      </c>
      <c r="BL52" s="46">
        <f t="shared" si="53"/>
        <v>0</v>
      </c>
      <c r="BM52" s="49">
        <f t="shared" si="29"/>
        <v>0</v>
      </c>
      <c r="BN52" s="46" t="str">
        <f t="shared" si="54"/>
        <v>00</v>
      </c>
    </row>
    <row r="53" spans="1:66" ht="18" customHeight="1">
      <c r="A53" s="23">
        <f t="shared" si="8"/>
        <v>0</v>
      </c>
      <c r="B53" s="129">
        <f t="shared" ref="B53:C53" si="128">B50</f>
        <v>0.38</v>
      </c>
      <c r="C53" s="129">
        <f t="shared" si="128"/>
        <v>0.38</v>
      </c>
      <c r="D53" s="129">
        <f t="shared" ref="D53:E53" si="129">D50</f>
        <v>0.08</v>
      </c>
      <c r="E53" s="129">
        <f t="shared" si="129"/>
        <v>0.09</v>
      </c>
      <c r="F53" s="36">
        <v>41</v>
      </c>
      <c r="G53" s="172">
        <f t="shared" si="9"/>
        <v>0</v>
      </c>
      <c r="H53" s="173"/>
      <c r="I53" s="173"/>
      <c r="J53" s="174"/>
      <c r="K53" s="47">
        <f t="shared" si="57"/>
        <v>1</v>
      </c>
      <c r="L53" s="47">
        <f t="shared" si="58"/>
        <v>1900</v>
      </c>
      <c r="M53" s="47" t="str">
        <f t="shared" si="59"/>
        <v>11900</v>
      </c>
      <c r="N53" s="18">
        <f t="shared" si="62"/>
        <v>0</v>
      </c>
      <c r="O53" s="31">
        <f t="shared" si="63"/>
        <v>0</v>
      </c>
      <c r="P53" s="31">
        <f t="shared" si="12"/>
        <v>0</v>
      </c>
      <c r="Q53" s="31">
        <f t="shared" si="64"/>
        <v>0</v>
      </c>
      <c r="R53" s="32">
        <f t="array" ref="R53">SUM(N53:Q53)</f>
        <v>0</v>
      </c>
      <c r="S53" s="8">
        <f t="array" ref="S53">IF(N53=0,0,IF($E$2="FIXATION",$B$5,IF(N53=0,0,IF(BA53=7,ROUND(S52*1.03,-2),S52))))</f>
        <v>0</v>
      </c>
      <c r="T53" s="9">
        <f t="shared" si="65"/>
        <v>0</v>
      </c>
      <c r="U53" s="31">
        <f t="shared" si="6"/>
        <v>0</v>
      </c>
      <c r="V53" s="9">
        <f t="array" ref="V53">IF($E$2="fixation",0,ROUND(S53*D53,0))</f>
        <v>0</v>
      </c>
      <c r="W53" s="32">
        <f t="array" ref="W53">SUM(S53:V53)</f>
        <v>0</v>
      </c>
      <c r="X53" s="76">
        <f t="shared" si="66"/>
        <v>0</v>
      </c>
      <c r="Y53" s="77">
        <f t="shared" si="67"/>
        <v>0</v>
      </c>
      <c r="Z53" s="77"/>
      <c r="AA53" s="77">
        <f t="shared" si="68"/>
        <v>0</v>
      </c>
      <c r="AB53" s="13">
        <f t="array" ref="AB53">SUM(X53:AA53)</f>
        <v>0</v>
      </c>
      <c r="AC53" s="14">
        <f t="shared" si="16"/>
        <v>0</v>
      </c>
      <c r="AD53" s="11">
        <f t="shared" si="17"/>
        <v>0</v>
      </c>
      <c r="AE53" s="15">
        <f t="shared" si="69"/>
        <v>0</v>
      </c>
      <c r="AF53" s="11">
        <f t="array" ref="AF53">IF(N53=0,0,AF52)</f>
        <v>0</v>
      </c>
      <c r="AG53" s="9">
        <f t="array" ref="AG53">IF(N53=0,0,AG52)</f>
        <v>0</v>
      </c>
      <c r="AH53" s="10">
        <f t="shared" si="70"/>
        <v>0</v>
      </c>
      <c r="AI53" s="11">
        <f t="array" ref="AI53">IF(BN53="MSS",ROUND(N53/31*5,0),IF(BN53="MS",ROUND(N53/31*3,0),IF(BN53="MM",ROUND(N53/31*2,0),IF(BN53="MF",ROUND(N53/31*1,0),IF(BN53="SSS",ROUND(R53/30*2,0),IF(BN53="SS",ROUND(R53/30,0),IF(BN53="SM",ROUND(R53/30,0),IF(BN53="SF",ROUND(R53/30*0,0),IF(BN53="OSS",ROUND(R53/31*2,0),IF(BN53="OS",ROUND(R53/31,0),IF(BN53="OM",ROUND(R53/31,0),IF(BN53="OF",ROUND(R53/31*0,0),0))))))))))))</f>
        <v>0</v>
      </c>
      <c r="AJ53" s="9">
        <f t="array" ref="AJ53">IF(BN53="MSS",ROUND(S53/31*5,0),IF(BN53="MS",ROUND(S53/31*3,0),IF(BN53="MM",ROUND(S53/31*2,0),IF(BN53="MF",ROUND(S53/31*1,0),IF(BN53="SSS",ROUND(W53/30*2,0),IF(BN53="SS",ROUND(W53/30,0),IF(BN53="SM",ROUND(W53/30,0),IF(BN53="SF",ROUND(W53/30*0,0),IF(BN53="OSS",ROUND(W53/31*2,0),IF(BN53="OS",ROUND(W53/31,0),IF(BN53="OM",ROUND(W53/31,0),IF(BN53="OF",ROUND(W53/31*0,0),0))))))))))))</f>
        <v>0</v>
      </c>
      <c r="AK53" s="10">
        <f t="shared" si="71"/>
        <v>0</v>
      </c>
      <c r="AL53" s="352">
        <f t="shared" si="18"/>
        <v>0</v>
      </c>
      <c r="AM53" s="353">
        <f t="shared" si="19"/>
        <v>0</v>
      </c>
      <c r="AN53" s="349">
        <f t="array" ref="AN53">AL53-AM53</f>
        <v>0</v>
      </c>
      <c r="AO53" s="133">
        <f t="shared" si="20"/>
        <v>0</v>
      </c>
      <c r="AP53" s="134">
        <f t="array" ref="AP53">AE53+AH53+AK53+AN53+AO53</f>
        <v>0</v>
      </c>
      <c r="AQ53" s="16">
        <f t="array" ref="AQ53">AB53-AP53</f>
        <v>0</v>
      </c>
      <c r="AR53" s="356"/>
      <c r="AS53" s="180"/>
      <c r="AT53" s="86">
        <f t="shared" si="21"/>
        <v>0</v>
      </c>
      <c r="AU53" s="87">
        <v>0.03</v>
      </c>
      <c r="AV53" s="88">
        <f t="array" ref="AV53">IF(AND(AT53="Yes",$E$2="Fixation"),ROUND(N53*AU53,0),IF(AT53="yes",ROUND((N53-S53)*AU53,0),0))</f>
        <v>0</v>
      </c>
      <c r="AW53" s="180"/>
      <c r="AX53" s="78"/>
      <c r="AY53" s="78"/>
      <c r="AZ53" s="24">
        <f t="shared" si="49"/>
        <v>0</v>
      </c>
      <c r="BA53" s="123">
        <f t="shared" si="23"/>
        <v>0</v>
      </c>
      <c r="BB53" s="123">
        <f t="shared" si="34"/>
        <v>0</v>
      </c>
      <c r="BF53" s="48">
        <f t="shared" si="35"/>
        <v>45100</v>
      </c>
      <c r="BH53" s="44">
        <f t="shared" si="24"/>
        <v>1</v>
      </c>
      <c r="BI53" s="45" t="str">
        <f t="shared" si="50"/>
        <v>11900</v>
      </c>
      <c r="BJ53" s="44">
        <f t="shared" si="51"/>
        <v>11901</v>
      </c>
      <c r="BK53" s="46">
        <f t="shared" si="52"/>
        <v>0</v>
      </c>
      <c r="BL53" s="46">
        <f t="shared" si="53"/>
        <v>0</v>
      </c>
      <c r="BM53" s="49">
        <f t="shared" si="29"/>
        <v>0</v>
      </c>
      <c r="BN53" s="46" t="str">
        <f t="shared" si="54"/>
        <v>00</v>
      </c>
    </row>
    <row r="54" spans="1:66" ht="18" customHeight="1">
      <c r="A54" s="23">
        <f t="shared" si="8"/>
        <v>0</v>
      </c>
      <c r="B54" s="129">
        <f t="shared" ref="B54:C54" si="130">B51</f>
        <v>0.38</v>
      </c>
      <c r="C54" s="129">
        <f t="shared" si="130"/>
        <v>0.38</v>
      </c>
      <c r="D54" s="129">
        <f t="shared" ref="D54:E54" si="131">D51</f>
        <v>0.08</v>
      </c>
      <c r="E54" s="129">
        <f t="shared" si="131"/>
        <v>0.09</v>
      </c>
      <c r="F54" s="36">
        <v>42</v>
      </c>
      <c r="G54" s="172">
        <f t="shared" si="9"/>
        <v>0</v>
      </c>
      <c r="H54" s="173"/>
      <c r="I54" s="173"/>
      <c r="J54" s="174"/>
      <c r="K54" s="47">
        <f t="shared" si="57"/>
        <v>1</v>
      </c>
      <c r="L54" s="47">
        <f t="shared" si="58"/>
        <v>1900</v>
      </c>
      <c r="M54" s="47" t="str">
        <f t="shared" si="59"/>
        <v>11900</v>
      </c>
      <c r="N54" s="18">
        <f t="shared" si="62"/>
        <v>0</v>
      </c>
      <c r="O54" s="31">
        <f t="shared" si="63"/>
        <v>0</v>
      </c>
      <c r="P54" s="31">
        <f t="shared" si="12"/>
        <v>0</v>
      </c>
      <c r="Q54" s="31">
        <f t="shared" si="64"/>
        <v>0</v>
      </c>
      <c r="R54" s="32">
        <f t="array" ref="R54">SUM(N54:Q54)</f>
        <v>0</v>
      </c>
      <c r="S54" s="8">
        <f t="array" ref="S54">IF(N54=0,0,IF($E$2="FIXATION",$B$5,IF(N54=0,0,IF(BA54=7,ROUND(S53*1.03,-2),S53))))</f>
        <v>0</v>
      </c>
      <c r="T54" s="9">
        <f t="shared" si="65"/>
        <v>0</v>
      </c>
      <c r="U54" s="31">
        <f t="shared" si="6"/>
        <v>0</v>
      </c>
      <c r="V54" s="9">
        <f t="array" ref="V54">IF($E$2="fixation",0,ROUND(S54*D54,0))</f>
        <v>0</v>
      </c>
      <c r="W54" s="32">
        <f t="array" ref="W54">SUM(S54:V54)</f>
        <v>0</v>
      </c>
      <c r="X54" s="76">
        <f t="shared" si="66"/>
        <v>0</v>
      </c>
      <c r="Y54" s="77">
        <f t="shared" si="67"/>
        <v>0</v>
      </c>
      <c r="Z54" s="77"/>
      <c r="AA54" s="77">
        <f t="shared" si="68"/>
        <v>0</v>
      </c>
      <c r="AB54" s="13">
        <f t="array" ref="AB54">SUM(X54:AA54)</f>
        <v>0</v>
      </c>
      <c r="AC54" s="14">
        <f t="shared" si="16"/>
        <v>0</v>
      </c>
      <c r="AD54" s="11">
        <f t="shared" si="17"/>
        <v>0</v>
      </c>
      <c r="AE54" s="15">
        <f t="shared" si="69"/>
        <v>0</v>
      </c>
      <c r="AF54" s="11">
        <f t="array" ref="AF54">IF(N54=0,0,AF53)</f>
        <v>0</v>
      </c>
      <c r="AG54" s="9">
        <f t="array" ref="AG54">IF(N54=0,0,AG53)</f>
        <v>0</v>
      </c>
      <c r="AH54" s="10">
        <f t="shared" si="70"/>
        <v>0</v>
      </c>
      <c r="AI54" s="11">
        <f t="array" ref="AI54">IF(BN54="MSS",ROUND(N54/31*5,0),IF(BN54="MS",ROUND(N54/31*3,0),IF(BN54="MM",ROUND(N54/31*2,0),IF(BN54="MF",ROUND(N54/31*1,0),IF(BN54="SSS",ROUND(R54/30*2,0),IF(BN54="SS",ROUND(R54/30,0),IF(BN54="SM",ROUND(R54/30,0),IF(BN54="SF",ROUND(R54/30*0,0),IF(BN54="OSS",ROUND(R54/31*2,0),IF(BN54="OS",ROUND(R54/31,0),IF(BN54="OM",ROUND(R54/31,0),IF(BN54="OF",ROUND(R54/31*0,0),0))))))))))))</f>
        <v>0</v>
      </c>
      <c r="AJ54" s="9">
        <f t="array" ref="AJ54">IF(BN54="MSS",ROUND(S54/31*5,0),IF(BN54="MS",ROUND(S54/31*3,0),IF(BN54="MM",ROUND(S54/31*2,0),IF(BN54="MF",ROUND(S54/31*1,0),IF(BN54="SSS",ROUND(W54/30*2,0),IF(BN54="SS",ROUND(W54/30,0),IF(BN54="SM",ROUND(W54/30,0),IF(BN54="SF",ROUND(W54/30*0,0),IF(BN54="OSS",ROUND(W54/31*2,0),IF(BN54="OS",ROUND(W54/31,0),IF(BN54="OM",ROUND(W54/31,0),IF(BN54="OF",ROUND(W54/31*0,0),0))))))))))))</f>
        <v>0</v>
      </c>
      <c r="AK54" s="10">
        <f t="shared" si="71"/>
        <v>0</v>
      </c>
      <c r="AL54" s="352">
        <f t="shared" si="18"/>
        <v>0</v>
      </c>
      <c r="AM54" s="353">
        <f t="shared" si="19"/>
        <v>0</v>
      </c>
      <c r="AN54" s="349">
        <f t="array" ref="AN54">AL54-AM54</f>
        <v>0</v>
      </c>
      <c r="AO54" s="133">
        <f t="shared" si="20"/>
        <v>0</v>
      </c>
      <c r="AP54" s="134">
        <f t="array" ref="AP54">AE54+AH54+AK54+AN54+AO54</f>
        <v>0</v>
      </c>
      <c r="AQ54" s="16">
        <f t="array" ref="AQ54">AB54-AP54</f>
        <v>0</v>
      </c>
      <c r="AR54" s="356"/>
      <c r="AS54" s="180"/>
      <c r="AT54" s="86">
        <f t="shared" si="21"/>
        <v>0</v>
      </c>
      <c r="AU54" s="87">
        <v>0.03</v>
      </c>
      <c r="AV54" s="88">
        <f t="array" ref="AV54">IF(AND(AT54="Yes",$E$2="Fixation"),ROUND(N54*AU54,0),IF(AT54="yes",ROUND((N54-S54)*AU54,0),0))</f>
        <v>0</v>
      </c>
      <c r="AW54" s="180"/>
      <c r="AX54" s="78"/>
      <c r="AY54" s="78"/>
      <c r="AZ54" s="24">
        <f t="shared" si="49"/>
        <v>0</v>
      </c>
      <c r="BA54" s="123">
        <f t="shared" si="23"/>
        <v>0</v>
      </c>
      <c r="BB54" s="123">
        <f t="shared" si="34"/>
        <v>0</v>
      </c>
      <c r="BF54" s="48">
        <f t="shared" si="35"/>
        <v>45131</v>
      </c>
      <c r="BH54" s="44">
        <f t="shared" si="24"/>
        <v>1</v>
      </c>
      <c r="BI54" s="45" t="str">
        <f t="shared" si="50"/>
        <v>11900</v>
      </c>
      <c r="BJ54" s="44">
        <f t="shared" si="51"/>
        <v>11901</v>
      </c>
      <c r="BK54" s="46">
        <f t="shared" si="52"/>
        <v>0</v>
      </c>
      <c r="BL54" s="46">
        <f t="shared" si="53"/>
        <v>0</v>
      </c>
      <c r="BM54" s="49">
        <f t="shared" si="29"/>
        <v>0</v>
      </c>
      <c r="BN54" s="46" t="str">
        <f t="shared" si="54"/>
        <v>00</v>
      </c>
    </row>
    <row r="55" spans="1:66" ht="18" customHeight="1">
      <c r="A55" s="23">
        <f t="shared" si="8"/>
        <v>0</v>
      </c>
      <c r="B55" s="129">
        <f t="shared" ref="B55:C55" si="132">B52</f>
        <v>0.38</v>
      </c>
      <c r="C55" s="129">
        <f t="shared" si="132"/>
        <v>0.38</v>
      </c>
      <c r="D55" s="129">
        <f t="shared" ref="D55:E55" si="133">D52</f>
        <v>0.08</v>
      </c>
      <c r="E55" s="129">
        <f t="shared" si="133"/>
        <v>0.09</v>
      </c>
      <c r="F55" s="36">
        <v>43</v>
      </c>
      <c r="G55" s="172">
        <f t="shared" si="9"/>
        <v>0</v>
      </c>
      <c r="H55" s="173"/>
      <c r="I55" s="173"/>
      <c r="J55" s="174"/>
      <c r="K55" s="47">
        <f t="shared" si="57"/>
        <v>1</v>
      </c>
      <c r="L55" s="47">
        <f t="shared" si="58"/>
        <v>1900</v>
      </c>
      <c r="M55" s="47" t="str">
        <f t="shared" si="59"/>
        <v>11900</v>
      </c>
      <c r="N55" s="18">
        <f t="shared" si="62"/>
        <v>0</v>
      </c>
      <c r="O55" s="31">
        <f t="shared" si="63"/>
        <v>0</v>
      </c>
      <c r="P55" s="31">
        <f t="shared" si="12"/>
        <v>0</v>
      </c>
      <c r="Q55" s="31">
        <f t="shared" si="64"/>
        <v>0</v>
      </c>
      <c r="R55" s="32">
        <f t="array" ref="R55">SUM(N55:Q55)</f>
        <v>0</v>
      </c>
      <c r="S55" s="8">
        <f t="array" ref="S55">IF(N55=0,0,IF($E$2="FIXATION",$B$5,IF(N55=0,0,IF(BA55=7,ROUND(S54*1.03,-2),S54))))</f>
        <v>0</v>
      </c>
      <c r="T55" s="9">
        <f t="shared" si="65"/>
        <v>0</v>
      </c>
      <c r="U55" s="31">
        <f t="shared" si="6"/>
        <v>0</v>
      </c>
      <c r="V55" s="9">
        <f t="array" ref="V55">IF($E$2="fixation",0,ROUND(S55*D55,0))</f>
        <v>0</v>
      </c>
      <c r="W55" s="32">
        <f t="array" ref="W55">SUM(S55:V55)</f>
        <v>0</v>
      </c>
      <c r="X55" s="76">
        <f t="shared" si="66"/>
        <v>0</v>
      </c>
      <c r="Y55" s="77">
        <f t="shared" si="67"/>
        <v>0</v>
      </c>
      <c r="Z55" s="77"/>
      <c r="AA55" s="77">
        <f t="shared" si="68"/>
        <v>0</v>
      </c>
      <c r="AB55" s="13">
        <f t="array" ref="AB55">SUM(X55:AA55)</f>
        <v>0</v>
      </c>
      <c r="AC55" s="14">
        <f t="shared" si="16"/>
        <v>0</v>
      </c>
      <c r="AD55" s="11">
        <f t="shared" si="17"/>
        <v>0</v>
      </c>
      <c r="AE55" s="15">
        <f t="shared" si="69"/>
        <v>0</v>
      </c>
      <c r="AF55" s="11">
        <f t="array" ref="AF55">IF(N55=0,0,AF54)</f>
        <v>0</v>
      </c>
      <c r="AG55" s="9">
        <f t="array" ref="AG55">IF(N55=0,0,AG54)</f>
        <v>0</v>
      </c>
      <c r="AH55" s="10">
        <f t="shared" si="70"/>
        <v>0</v>
      </c>
      <c r="AI55" s="11">
        <f t="array" ref="AI55">IF(BN55="MSS",ROUND(N55/31*5,0),IF(BN55="MS",ROUND(N55/31*3,0),IF(BN55="MM",ROUND(N55/31*2,0),IF(BN55="MF",ROUND(N55/31*1,0),IF(BN55="SSS",ROUND(R55/30*2,0),IF(BN55="SS",ROUND(R55/30,0),IF(BN55="SM",ROUND(R55/30,0),IF(BN55="SF",ROUND(R55/30*0,0),IF(BN55="OSS",ROUND(R55/31*2,0),IF(BN55="OS",ROUND(R55/31,0),IF(BN55="OM",ROUND(R55/31,0),IF(BN55="OF",ROUND(R55/31*0,0),0))))))))))))</f>
        <v>0</v>
      </c>
      <c r="AJ55" s="9">
        <f t="array" ref="AJ55">IF(BN55="MSS",ROUND(S55/31*5,0),IF(BN55="MS",ROUND(S55/31*3,0),IF(BN55="MM",ROUND(S55/31*2,0),IF(BN55="MF",ROUND(S55/31*1,0),IF(BN55="SSS",ROUND(W55/30*2,0),IF(BN55="SS",ROUND(W55/30,0),IF(BN55="SM",ROUND(W55/30,0),IF(BN55="SF",ROUND(W55/30*0,0),IF(BN55="OSS",ROUND(W55/31*2,0),IF(BN55="OS",ROUND(W55/31,0),IF(BN55="OM",ROUND(W55/31,0),IF(BN55="OF",ROUND(W55/31*0,0),0))))))))))))</f>
        <v>0</v>
      </c>
      <c r="AK55" s="10">
        <f t="shared" si="71"/>
        <v>0</v>
      </c>
      <c r="AL55" s="352">
        <f t="shared" si="18"/>
        <v>0</v>
      </c>
      <c r="AM55" s="353">
        <f t="shared" si="19"/>
        <v>0</v>
      </c>
      <c r="AN55" s="349">
        <f t="array" ref="AN55">AL55-AM55</f>
        <v>0</v>
      </c>
      <c r="AO55" s="133">
        <f t="shared" si="20"/>
        <v>0</v>
      </c>
      <c r="AP55" s="134">
        <f t="array" ref="AP55">AE55+AH55+AK55+AN55+AO55</f>
        <v>0</v>
      </c>
      <c r="AQ55" s="16">
        <f t="array" ref="AQ55">AB55-AP55</f>
        <v>0</v>
      </c>
      <c r="AR55" s="356"/>
      <c r="AS55" s="180"/>
      <c r="AT55" s="86">
        <f t="shared" si="21"/>
        <v>0</v>
      </c>
      <c r="AU55" s="87">
        <v>0.03</v>
      </c>
      <c r="AV55" s="88">
        <f t="array" ref="AV55">IF(AND(AT55="Yes",$E$2="Fixation"),ROUND(N55*AU55,0),IF(AT55="yes",ROUND((N55-S55)*AU55,0),0))</f>
        <v>0</v>
      </c>
      <c r="AW55" s="180"/>
      <c r="AX55" s="78"/>
      <c r="AY55" s="78"/>
      <c r="AZ55" s="24">
        <f t="shared" si="49"/>
        <v>0</v>
      </c>
      <c r="BA55" s="123">
        <f t="shared" si="23"/>
        <v>0</v>
      </c>
      <c r="BB55" s="123">
        <f t="shared" si="34"/>
        <v>0</v>
      </c>
      <c r="BF55" s="48">
        <f t="shared" si="35"/>
        <v>45162</v>
      </c>
      <c r="BH55" s="44">
        <f t="shared" si="24"/>
        <v>1</v>
      </c>
      <c r="BI55" s="45" t="str">
        <f t="shared" si="50"/>
        <v>11900</v>
      </c>
      <c r="BJ55" s="44">
        <f t="shared" si="51"/>
        <v>11901</v>
      </c>
      <c r="BK55" s="46">
        <f t="shared" si="52"/>
        <v>0</v>
      </c>
      <c r="BL55" s="46">
        <f t="shared" si="53"/>
        <v>0</v>
      </c>
      <c r="BM55" s="49">
        <f t="shared" si="29"/>
        <v>0</v>
      </c>
      <c r="BN55" s="46" t="str">
        <f t="shared" si="54"/>
        <v>00</v>
      </c>
    </row>
    <row r="56" spans="1:66" ht="18" customHeight="1">
      <c r="A56" s="23">
        <f t="shared" si="8"/>
        <v>0</v>
      </c>
      <c r="B56" s="129">
        <f t="shared" ref="B56:C56" si="134">B53</f>
        <v>0.38</v>
      </c>
      <c r="C56" s="129">
        <f t="shared" si="134"/>
        <v>0.38</v>
      </c>
      <c r="D56" s="129">
        <f t="shared" ref="D56:E56" si="135">D53</f>
        <v>0.08</v>
      </c>
      <c r="E56" s="129">
        <f t="shared" si="135"/>
        <v>0.09</v>
      </c>
      <c r="F56" s="36">
        <v>44</v>
      </c>
      <c r="G56" s="172">
        <f t="shared" si="9"/>
        <v>0</v>
      </c>
      <c r="H56" s="173"/>
      <c r="I56" s="173"/>
      <c r="J56" s="174"/>
      <c r="K56" s="47">
        <f t="shared" si="57"/>
        <v>1</v>
      </c>
      <c r="L56" s="47">
        <f t="shared" si="58"/>
        <v>1900</v>
      </c>
      <c r="M56" s="47" t="str">
        <f t="shared" si="59"/>
        <v>11900</v>
      </c>
      <c r="N56" s="18">
        <f t="shared" si="62"/>
        <v>0</v>
      </c>
      <c r="O56" s="31">
        <f t="shared" si="63"/>
        <v>0</v>
      </c>
      <c r="P56" s="31">
        <f t="shared" si="12"/>
        <v>0</v>
      </c>
      <c r="Q56" s="31">
        <f t="shared" si="64"/>
        <v>0</v>
      </c>
      <c r="R56" s="32">
        <f t="array" ref="R56">SUM(N56:Q56)</f>
        <v>0</v>
      </c>
      <c r="S56" s="8">
        <f t="array" ref="S56">IF(N56=0,0,IF($E$2="FIXATION",$B$5,IF(N56=0,0,IF(BA56=7,ROUND(S55*1.03,-2),S55))))</f>
        <v>0</v>
      </c>
      <c r="T56" s="9">
        <f t="shared" si="65"/>
        <v>0</v>
      </c>
      <c r="U56" s="31">
        <f t="shared" si="6"/>
        <v>0</v>
      </c>
      <c r="V56" s="9">
        <f t="array" ref="V56">IF($E$2="fixation",0,ROUND(S56*D56,0))</f>
        <v>0</v>
      </c>
      <c r="W56" s="32">
        <f t="array" ref="W56">SUM(S56:V56)</f>
        <v>0</v>
      </c>
      <c r="X56" s="76">
        <f t="shared" si="66"/>
        <v>0</v>
      </c>
      <c r="Y56" s="77">
        <f t="shared" si="67"/>
        <v>0</v>
      </c>
      <c r="Z56" s="77"/>
      <c r="AA56" s="77">
        <f t="shared" si="68"/>
        <v>0</v>
      </c>
      <c r="AB56" s="13">
        <f t="array" ref="AB56">SUM(X56:AA56)</f>
        <v>0</v>
      </c>
      <c r="AC56" s="14">
        <f t="shared" si="16"/>
        <v>0</v>
      </c>
      <c r="AD56" s="11">
        <f t="shared" si="17"/>
        <v>0</v>
      </c>
      <c r="AE56" s="15">
        <f t="shared" si="69"/>
        <v>0</v>
      </c>
      <c r="AF56" s="11">
        <f t="array" ref="AF56">IF(N56=0,0,AF55)</f>
        <v>0</v>
      </c>
      <c r="AG56" s="9">
        <f t="array" ref="AG56">IF(N56=0,0,AG55)</f>
        <v>0</v>
      </c>
      <c r="AH56" s="10">
        <f t="shared" si="70"/>
        <v>0</v>
      </c>
      <c r="AI56" s="11">
        <f t="array" ref="AI56">IF(BN56="MSS",ROUND(N56/31*5,0),IF(BN56="MS",ROUND(N56/31*3,0),IF(BN56="MM",ROUND(N56/31*2,0),IF(BN56="MF",ROUND(N56/31*1,0),IF(BN56="SSS",ROUND(R56/30*2,0),IF(BN56="SS",ROUND(R56/30,0),IF(BN56="SM",ROUND(R56/30,0),IF(BN56="SF",ROUND(R56/30*0,0),IF(BN56="OSS",ROUND(R56/31*2,0),IF(BN56="OS",ROUND(R56/31,0),IF(BN56="OM",ROUND(R56/31,0),IF(BN56="OF",ROUND(R56/31*0,0),0))))))))))))</f>
        <v>0</v>
      </c>
      <c r="AJ56" s="9">
        <f t="array" ref="AJ56">IF(BN56="MSS",ROUND(S56/31*5,0),IF(BN56="MS",ROUND(S56/31*3,0),IF(BN56="MM",ROUND(S56/31*2,0),IF(BN56="MF",ROUND(S56/31*1,0),IF(BN56="SSS",ROUND(W56/30*2,0),IF(BN56="SS",ROUND(W56/30,0),IF(BN56="SM",ROUND(W56/30,0),IF(BN56="SF",ROUND(W56/30*0,0),IF(BN56="OSS",ROUND(W56/31*2,0),IF(BN56="OS",ROUND(W56/31,0),IF(BN56="OM",ROUND(W56/31,0),IF(BN56="OF",ROUND(W56/31*0,0),0))))))))))))</f>
        <v>0</v>
      </c>
      <c r="AK56" s="10">
        <f t="shared" si="71"/>
        <v>0</v>
      </c>
      <c r="AL56" s="352">
        <f t="shared" si="18"/>
        <v>0</v>
      </c>
      <c r="AM56" s="353">
        <f t="shared" si="19"/>
        <v>0</v>
      </c>
      <c r="AN56" s="349">
        <f t="array" ref="AN56">AL56-AM56</f>
        <v>0</v>
      </c>
      <c r="AO56" s="133">
        <f t="shared" si="20"/>
        <v>0</v>
      </c>
      <c r="AP56" s="134">
        <f t="array" ref="AP56">AE56+AH56+AK56+AN56+AO56</f>
        <v>0</v>
      </c>
      <c r="AQ56" s="16">
        <f t="array" ref="AQ56">AB56-AP56</f>
        <v>0</v>
      </c>
      <c r="AR56" s="356"/>
      <c r="AS56" s="180"/>
      <c r="AT56" s="86">
        <f t="shared" si="21"/>
        <v>0</v>
      </c>
      <c r="AU56" s="87">
        <v>0.03</v>
      </c>
      <c r="AV56" s="88">
        <f t="array" ref="AV56">IF(AND(AT56="Yes",$E$2="Fixation"),ROUND(N56*AU56,0),IF(AT56="yes",ROUND((N56-S56)*AU56,0),0))</f>
        <v>0</v>
      </c>
      <c r="AW56" s="180"/>
      <c r="AX56" s="78"/>
      <c r="AY56" s="78"/>
      <c r="AZ56" s="24">
        <f t="shared" si="49"/>
        <v>0</v>
      </c>
      <c r="BA56" s="123">
        <f t="shared" si="23"/>
        <v>0</v>
      </c>
      <c r="BB56" s="123">
        <f t="shared" si="34"/>
        <v>0</v>
      </c>
      <c r="BF56" s="48">
        <f t="shared" si="35"/>
        <v>45193</v>
      </c>
      <c r="BH56" s="44">
        <f t="shared" si="24"/>
        <v>1</v>
      </c>
      <c r="BI56" s="45" t="str">
        <f t="shared" si="50"/>
        <v>11900</v>
      </c>
      <c r="BJ56" s="44">
        <f t="shared" si="51"/>
        <v>11901</v>
      </c>
      <c r="BK56" s="46">
        <f t="shared" si="52"/>
        <v>0</v>
      </c>
      <c r="BL56" s="46">
        <f t="shared" si="53"/>
        <v>0</v>
      </c>
      <c r="BM56" s="49">
        <f t="shared" si="29"/>
        <v>0</v>
      </c>
      <c r="BN56" s="46" t="str">
        <f t="shared" si="54"/>
        <v>00</v>
      </c>
    </row>
    <row r="57" spans="1:66" ht="18" customHeight="1">
      <c r="A57" s="23">
        <f t="shared" si="8"/>
        <v>0</v>
      </c>
      <c r="B57" s="129">
        <f t="shared" ref="B57:C57" si="136">B54</f>
        <v>0.38</v>
      </c>
      <c r="C57" s="129">
        <f t="shared" si="136"/>
        <v>0.38</v>
      </c>
      <c r="D57" s="129">
        <f t="shared" ref="D57:E57" si="137">D54</f>
        <v>0.08</v>
      </c>
      <c r="E57" s="129">
        <f t="shared" si="137"/>
        <v>0.09</v>
      </c>
      <c r="F57" s="36">
        <v>45</v>
      </c>
      <c r="G57" s="172">
        <f t="shared" si="9"/>
        <v>0</v>
      </c>
      <c r="H57" s="173"/>
      <c r="I57" s="173"/>
      <c r="J57" s="174"/>
      <c r="K57" s="47">
        <f t="shared" si="57"/>
        <v>1</v>
      </c>
      <c r="L57" s="47">
        <f t="shared" si="58"/>
        <v>1900</v>
      </c>
      <c r="M57" s="47" t="str">
        <f t="shared" si="59"/>
        <v>11900</v>
      </c>
      <c r="N57" s="18">
        <f t="shared" si="62"/>
        <v>0</v>
      </c>
      <c r="O57" s="31">
        <f t="shared" si="63"/>
        <v>0</v>
      </c>
      <c r="P57" s="31">
        <f t="shared" si="12"/>
        <v>0</v>
      </c>
      <c r="Q57" s="31">
        <f t="shared" si="64"/>
        <v>0</v>
      </c>
      <c r="R57" s="32">
        <f t="array" ref="R57">SUM(N57:Q57)</f>
        <v>0</v>
      </c>
      <c r="S57" s="8">
        <f t="array" ref="S57">IF(N57=0,0,IF($E$2="FIXATION",$B$5,IF(N57=0,0,IF(BA57=7,ROUND(S56*1.03,-2),S56))))</f>
        <v>0</v>
      </c>
      <c r="T57" s="9">
        <f t="shared" si="65"/>
        <v>0</v>
      </c>
      <c r="U57" s="31">
        <f t="shared" si="6"/>
        <v>0</v>
      </c>
      <c r="V57" s="9">
        <f t="array" ref="V57">IF($E$2="fixation",0,ROUND(S57*D57,0))</f>
        <v>0</v>
      </c>
      <c r="W57" s="32">
        <f t="array" ref="W57">SUM(S57:V57)</f>
        <v>0</v>
      </c>
      <c r="X57" s="76">
        <f t="shared" si="66"/>
        <v>0</v>
      </c>
      <c r="Y57" s="77">
        <f t="shared" si="67"/>
        <v>0</v>
      </c>
      <c r="Z57" s="77"/>
      <c r="AA57" s="77">
        <f t="shared" si="68"/>
        <v>0</v>
      </c>
      <c r="AB57" s="13">
        <f t="array" ref="AB57">SUM(X57:AA57)</f>
        <v>0</v>
      </c>
      <c r="AC57" s="14">
        <f t="shared" si="16"/>
        <v>0</v>
      </c>
      <c r="AD57" s="11">
        <f t="shared" si="17"/>
        <v>0</v>
      </c>
      <c r="AE57" s="15">
        <f t="shared" si="69"/>
        <v>0</v>
      </c>
      <c r="AF57" s="11">
        <f t="array" ref="AF57">IF(N57=0,0,AF56)</f>
        <v>0</v>
      </c>
      <c r="AG57" s="9">
        <f t="array" ref="AG57">IF(N57=0,0,AG56)</f>
        <v>0</v>
      </c>
      <c r="AH57" s="10">
        <f t="shared" si="70"/>
        <v>0</v>
      </c>
      <c r="AI57" s="11">
        <f t="array" ref="AI57">IF(BN57="MSS",ROUND(N57/31*5,0),IF(BN57="MS",ROUND(N57/31*3,0),IF(BN57="MM",ROUND(N57/31*2,0),IF(BN57="MF",ROUND(N57/31*1,0),IF(BN57="SSS",ROUND(R57/30*2,0),IF(BN57="SS",ROUND(R57/30,0),IF(BN57="SM",ROUND(R57/30,0),IF(BN57="SF",ROUND(R57/30*0,0),IF(BN57="OSS",ROUND(R57/31*2,0),IF(BN57="OS",ROUND(R57/31,0),IF(BN57="OM",ROUND(R57/31,0),IF(BN57="OF",ROUND(R57/31*0,0),0))))))))))))</f>
        <v>0</v>
      </c>
      <c r="AJ57" s="9">
        <f t="array" ref="AJ57">IF(BN57="MSS",ROUND(S57/31*5,0),IF(BN57="MS",ROUND(S57/31*3,0),IF(BN57="MM",ROUND(S57/31*2,0),IF(BN57="MF",ROUND(S57/31*1,0),IF(BN57="SSS",ROUND(W57/30*2,0),IF(BN57="SS",ROUND(W57/30,0),IF(BN57="SM",ROUND(W57/30,0),IF(BN57="SF",ROUND(W57/30*0,0),IF(BN57="OSS",ROUND(W57/31*2,0),IF(BN57="OS",ROUND(W57/31,0),IF(BN57="OM",ROUND(W57/31,0),IF(BN57="OF",ROUND(W57/31*0,0),0))))))))))))</f>
        <v>0</v>
      </c>
      <c r="AK57" s="10">
        <f t="shared" si="71"/>
        <v>0</v>
      </c>
      <c r="AL57" s="352">
        <f t="shared" si="18"/>
        <v>0</v>
      </c>
      <c r="AM57" s="353">
        <f t="shared" si="19"/>
        <v>0</v>
      </c>
      <c r="AN57" s="349">
        <f t="array" ref="AN57">AL57-AM57</f>
        <v>0</v>
      </c>
      <c r="AO57" s="133">
        <f t="shared" si="20"/>
        <v>0</v>
      </c>
      <c r="AP57" s="134">
        <f t="array" ref="AP57">AE57+AH57+AK57+AN57+AO57</f>
        <v>0</v>
      </c>
      <c r="AQ57" s="16">
        <f t="array" ref="AQ57">AB57-AP57</f>
        <v>0</v>
      </c>
      <c r="AR57" s="356"/>
      <c r="AS57" s="180"/>
      <c r="AT57" s="86">
        <f t="shared" si="21"/>
        <v>0</v>
      </c>
      <c r="AU57" s="87">
        <v>0.03</v>
      </c>
      <c r="AV57" s="88">
        <f t="array" ref="AV57">IF(AND(AT57="Yes",$E$2="Fixation"),ROUND(N57*AU57,0),IF(AT57="yes",ROUND((N57-S57)*AU57,0),0))</f>
        <v>0</v>
      </c>
      <c r="AW57" s="180"/>
      <c r="AX57" s="78"/>
      <c r="AY57" s="78"/>
      <c r="AZ57" s="24">
        <f t="shared" si="49"/>
        <v>0</v>
      </c>
      <c r="BA57" s="123">
        <f t="shared" si="23"/>
        <v>0</v>
      </c>
      <c r="BB57" s="123">
        <f t="shared" si="34"/>
        <v>0</v>
      </c>
      <c r="BF57" s="48">
        <f t="shared" si="35"/>
        <v>45224</v>
      </c>
      <c r="BH57" s="44">
        <f t="shared" si="24"/>
        <v>1</v>
      </c>
      <c r="BI57" s="45" t="str">
        <f t="shared" si="50"/>
        <v>11900</v>
      </c>
      <c r="BJ57" s="44">
        <f t="shared" si="51"/>
        <v>11901</v>
      </c>
      <c r="BK57" s="46">
        <f t="shared" si="52"/>
        <v>0</v>
      </c>
      <c r="BL57" s="46">
        <f t="shared" si="53"/>
        <v>0</v>
      </c>
      <c r="BM57" s="49">
        <f t="shared" si="29"/>
        <v>0</v>
      </c>
      <c r="BN57" s="46" t="str">
        <f t="shared" si="54"/>
        <v>00</v>
      </c>
    </row>
    <row r="58" spans="1:66" ht="18" customHeight="1">
      <c r="A58" s="23">
        <f t="shared" si="8"/>
        <v>0</v>
      </c>
      <c r="B58" s="129">
        <f t="shared" ref="B58:C58" si="138">B55</f>
        <v>0.38</v>
      </c>
      <c r="C58" s="129">
        <f t="shared" si="138"/>
        <v>0.38</v>
      </c>
      <c r="D58" s="129">
        <f t="shared" ref="D58:E58" si="139">D55</f>
        <v>0.08</v>
      </c>
      <c r="E58" s="129">
        <f t="shared" si="139"/>
        <v>0.09</v>
      </c>
      <c r="F58" s="36">
        <v>46</v>
      </c>
      <c r="G58" s="172">
        <f t="shared" si="9"/>
        <v>0</v>
      </c>
      <c r="H58" s="173"/>
      <c r="I58" s="173"/>
      <c r="J58" s="174"/>
      <c r="K58" s="47">
        <f t="shared" si="57"/>
        <v>1</v>
      </c>
      <c r="L58" s="47">
        <f t="shared" si="58"/>
        <v>1900</v>
      </c>
      <c r="M58" s="47" t="str">
        <f t="shared" si="59"/>
        <v>11900</v>
      </c>
      <c r="N58" s="18">
        <f t="shared" si="62"/>
        <v>0</v>
      </c>
      <c r="O58" s="31">
        <f t="shared" si="63"/>
        <v>0</v>
      </c>
      <c r="P58" s="31">
        <f t="shared" si="12"/>
        <v>0</v>
      </c>
      <c r="Q58" s="31">
        <f t="shared" si="64"/>
        <v>0</v>
      </c>
      <c r="R58" s="32">
        <f t="array" ref="R58">SUM(N58:Q58)</f>
        <v>0</v>
      </c>
      <c r="S58" s="8">
        <f t="array" ref="S58">IF(N58=0,0,IF($E$2="FIXATION",$B$5,IF(N58=0,0,IF(BA58=7,ROUND(S57*1.03,-2),S57))))</f>
        <v>0</v>
      </c>
      <c r="T58" s="9">
        <f t="shared" si="65"/>
        <v>0</v>
      </c>
      <c r="U58" s="31">
        <f t="shared" si="6"/>
        <v>0</v>
      </c>
      <c r="V58" s="9">
        <f t="array" ref="V58">IF($E$2="fixation",0,ROUND(S58*D58,0))</f>
        <v>0</v>
      </c>
      <c r="W58" s="32">
        <f t="array" ref="W58">SUM(S58:V58)</f>
        <v>0</v>
      </c>
      <c r="X58" s="76">
        <f t="shared" si="66"/>
        <v>0</v>
      </c>
      <c r="Y58" s="77">
        <f t="shared" si="67"/>
        <v>0</v>
      </c>
      <c r="Z58" s="77"/>
      <c r="AA58" s="77">
        <f t="shared" si="68"/>
        <v>0</v>
      </c>
      <c r="AB58" s="13">
        <f t="array" ref="AB58">SUM(X58:AA58)</f>
        <v>0</v>
      </c>
      <c r="AC58" s="14">
        <f t="shared" si="16"/>
        <v>0</v>
      </c>
      <c r="AD58" s="11">
        <f t="shared" si="17"/>
        <v>0</v>
      </c>
      <c r="AE58" s="15">
        <f t="shared" si="69"/>
        <v>0</v>
      </c>
      <c r="AF58" s="11">
        <f t="array" ref="AF58">IF(N58=0,0,AF57)</f>
        <v>0</v>
      </c>
      <c r="AG58" s="9">
        <f t="array" ref="AG58">IF(N58=0,0,AG57)</f>
        <v>0</v>
      </c>
      <c r="AH58" s="10">
        <f t="shared" si="70"/>
        <v>0</v>
      </c>
      <c r="AI58" s="11">
        <f t="array" ref="AI58">IF(BN58="MSS",ROUND(N58/31*5,0),IF(BN58="MS",ROUND(N58/31*3,0),IF(BN58="MM",ROUND(N58/31*2,0),IF(BN58="MF",ROUND(N58/31*1,0),IF(BN58="SSS",ROUND(R58/30*2,0),IF(BN58="SS",ROUND(R58/30,0),IF(BN58="SM",ROUND(R58/30,0),IF(BN58="SF",ROUND(R58/30*0,0),IF(BN58="OSS",ROUND(R58/31*2,0),IF(BN58="OS",ROUND(R58/31,0),IF(BN58="OM",ROUND(R58/31,0),IF(BN58="OF",ROUND(R58/31*0,0),0))))))))))))</f>
        <v>0</v>
      </c>
      <c r="AJ58" s="9">
        <f t="array" ref="AJ58">IF(BN58="MSS",ROUND(S58/31*5,0),IF(BN58="MS",ROUND(S58/31*3,0),IF(BN58="MM",ROUND(S58/31*2,0),IF(BN58="MF",ROUND(S58/31*1,0),IF(BN58="SSS",ROUND(W58/30*2,0),IF(BN58="SS",ROUND(W58/30,0),IF(BN58="SM",ROUND(W58/30,0),IF(BN58="SF",ROUND(W58/30*0,0),IF(BN58="OSS",ROUND(W58/31*2,0),IF(BN58="OS",ROUND(W58/31,0),IF(BN58="OM",ROUND(W58/31,0),IF(BN58="OF",ROUND(W58/31*0,0),0))))))))))))</f>
        <v>0</v>
      </c>
      <c r="AK58" s="10">
        <f t="shared" si="71"/>
        <v>0</v>
      </c>
      <c r="AL58" s="352">
        <f t="shared" si="18"/>
        <v>0</v>
      </c>
      <c r="AM58" s="353">
        <f t="shared" si="19"/>
        <v>0</v>
      </c>
      <c r="AN58" s="349">
        <f t="array" ref="AN58">AL58-AM58</f>
        <v>0</v>
      </c>
      <c r="AO58" s="133">
        <f t="shared" si="20"/>
        <v>0</v>
      </c>
      <c r="AP58" s="134">
        <f t="array" ref="AP58">AE58+AH58+AK58+AN58+AO58</f>
        <v>0</v>
      </c>
      <c r="AQ58" s="16">
        <f t="array" ref="AQ58">AB58-AP58</f>
        <v>0</v>
      </c>
      <c r="AR58" s="356"/>
      <c r="AS58" s="180"/>
      <c r="AT58" s="86">
        <f t="shared" si="21"/>
        <v>0</v>
      </c>
      <c r="AU58" s="87">
        <v>0.03</v>
      </c>
      <c r="AV58" s="88">
        <f t="array" ref="AV58">IF(AND(AT58="Yes",$E$2="Fixation"),ROUND(N58*AU58,0),IF(AT58="yes",ROUND((N58-S58)*AU58,0),0))</f>
        <v>0</v>
      </c>
      <c r="AW58" s="180"/>
      <c r="AX58" s="78"/>
      <c r="AY58" s="78"/>
      <c r="AZ58" s="24">
        <f t="shared" si="49"/>
        <v>0</v>
      </c>
      <c r="BA58" s="123">
        <f t="shared" si="23"/>
        <v>0</v>
      </c>
      <c r="BB58" s="123">
        <f t="shared" si="34"/>
        <v>0</v>
      </c>
      <c r="BF58" s="48">
        <f t="shared" si="35"/>
        <v>45255</v>
      </c>
      <c r="BH58" s="44">
        <f t="shared" si="24"/>
        <v>1</v>
      </c>
      <c r="BI58" s="45" t="str">
        <f t="shared" si="50"/>
        <v>11900</v>
      </c>
      <c r="BJ58" s="44">
        <f t="shared" si="51"/>
        <v>11901</v>
      </c>
      <c r="BK58" s="46">
        <f t="shared" si="52"/>
        <v>0</v>
      </c>
      <c r="BL58" s="46">
        <f t="shared" si="53"/>
        <v>0</v>
      </c>
      <c r="BM58" s="49">
        <f t="shared" si="29"/>
        <v>0</v>
      </c>
      <c r="BN58" s="46" t="str">
        <f t="shared" si="54"/>
        <v>00</v>
      </c>
    </row>
    <row r="59" spans="1:66" ht="18" customHeight="1">
      <c r="A59" s="23">
        <f t="shared" si="8"/>
        <v>0</v>
      </c>
      <c r="B59" s="129">
        <f t="shared" ref="B59:C59" si="140">B56</f>
        <v>0.38</v>
      </c>
      <c r="C59" s="129">
        <f t="shared" si="140"/>
        <v>0.38</v>
      </c>
      <c r="D59" s="129">
        <f t="shared" ref="D59:E59" si="141">D56</f>
        <v>0.08</v>
      </c>
      <c r="E59" s="129">
        <f t="shared" si="141"/>
        <v>0.09</v>
      </c>
      <c r="F59" s="36">
        <v>47</v>
      </c>
      <c r="G59" s="172">
        <f t="shared" si="9"/>
        <v>0</v>
      </c>
      <c r="H59" s="173"/>
      <c r="I59" s="173"/>
      <c r="J59" s="174"/>
      <c r="K59" s="47">
        <f t="shared" si="57"/>
        <v>1</v>
      </c>
      <c r="L59" s="47">
        <f t="shared" si="58"/>
        <v>1900</v>
      </c>
      <c r="M59" s="47" t="str">
        <f t="shared" si="59"/>
        <v>11900</v>
      </c>
      <c r="N59" s="18">
        <f t="shared" si="62"/>
        <v>0</v>
      </c>
      <c r="O59" s="31">
        <f t="shared" si="63"/>
        <v>0</v>
      </c>
      <c r="P59" s="31">
        <f t="shared" si="12"/>
        <v>0</v>
      </c>
      <c r="Q59" s="31">
        <f t="shared" si="64"/>
        <v>0</v>
      </c>
      <c r="R59" s="32">
        <f t="array" ref="R59">SUM(N59:Q59)</f>
        <v>0</v>
      </c>
      <c r="S59" s="8">
        <f t="array" ref="S59">IF(N59=0,0,IF($E$2="FIXATION",$B$5,IF(N59=0,0,IF(BA59=7,ROUND(S58*1.03,-2),S58))))</f>
        <v>0</v>
      </c>
      <c r="T59" s="9">
        <f t="shared" si="65"/>
        <v>0</v>
      </c>
      <c r="U59" s="31">
        <f t="shared" si="6"/>
        <v>0</v>
      </c>
      <c r="V59" s="9">
        <f t="array" ref="V59">IF($E$2="fixation",0,ROUND(S59*D59,0))</f>
        <v>0</v>
      </c>
      <c r="W59" s="32">
        <f t="array" ref="W59">SUM(S59:V59)</f>
        <v>0</v>
      </c>
      <c r="X59" s="76">
        <f t="shared" si="66"/>
        <v>0</v>
      </c>
      <c r="Y59" s="77">
        <f t="shared" si="67"/>
        <v>0</v>
      </c>
      <c r="Z59" s="77"/>
      <c r="AA59" s="77">
        <f t="shared" si="68"/>
        <v>0</v>
      </c>
      <c r="AB59" s="13">
        <f t="array" ref="AB59">SUM(X59:AA59)</f>
        <v>0</v>
      </c>
      <c r="AC59" s="14">
        <f t="shared" si="16"/>
        <v>0</v>
      </c>
      <c r="AD59" s="11">
        <f t="shared" si="17"/>
        <v>0</v>
      </c>
      <c r="AE59" s="15">
        <f t="shared" si="69"/>
        <v>0</v>
      </c>
      <c r="AF59" s="11">
        <f t="array" ref="AF59">IF(N59=0,0,AF58)</f>
        <v>0</v>
      </c>
      <c r="AG59" s="9">
        <f t="array" ref="AG59">IF(N59=0,0,AG58)</f>
        <v>0</v>
      </c>
      <c r="AH59" s="10">
        <f t="shared" si="70"/>
        <v>0</v>
      </c>
      <c r="AI59" s="11">
        <f t="array" ref="AI59">IF(BN59="MSS",ROUND(N59/31*5,0),IF(BN59="MS",ROUND(N59/31*3,0),IF(BN59="MM",ROUND(N59/31*2,0),IF(BN59="MF",ROUND(N59/31*1,0),IF(BN59="SSS",ROUND(R59/30*2,0),IF(BN59="SS",ROUND(R59/30,0),IF(BN59="SM",ROUND(R59/30,0),IF(BN59="SF",ROUND(R59/30*0,0),IF(BN59="OSS",ROUND(R59/31*2,0),IF(BN59="OS",ROUND(R59/31,0),IF(BN59="OM",ROUND(R59/31,0),IF(BN59="OF",ROUND(R59/31*0,0),0))))))))))))</f>
        <v>0</v>
      </c>
      <c r="AJ59" s="9">
        <f t="array" ref="AJ59">IF(BN59="MSS",ROUND(S59/31*5,0),IF(BN59="MS",ROUND(S59/31*3,0),IF(BN59="MM",ROUND(S59/31*2,0),IF(BN59="MF",ROUND(S59/31*1,0),IF(BN59="SSS",ROUND(W59/30*2,0),IF(BN59="SS",ROUND(W59/30,0),IF(BN59="SM",ROUND(W59/30,0),IF(BN59="SF",ROUND(W59/30*0,0),IF(BN59="OSS",ROUND(W59/31*2,0),IF(BN59="OS",ROUND(W59/31,0),IF(BN59="OM",ROUND(W59/31,0),IF(BN59="OF",ROUND(W59/31*0,0),0))))))))))))</f>
        <v>0</v>
      </c>
      <c r="AK59" s="10">
        <f t="shared" si="71"/>
        <v>0</v>
      </c>
      <c r="AL59" s="352">
        <f t="shared" si="18"/>
        <v>0</v>
      </c>
      <c r="AM59" s="353">
        <f t="shared" si="19"/>
        <v>0</v>
      </c>
      <c r="AN59" s="349">
        <f t="array" ref="AN59">AL59-AM59</f>
        <v>0</v>
      </c>
      <c r="AO59" s="133">
        <f t="shared" si="20"/>
        <v>0</v>
      </c>
      <c r="AP59" s="134">
        <f t="array" ref="AP59">AE59+AH59+AK59+AN59+AO59</f>
        <v>0</v>
      </c>
      <c r="AQ59" s="16">
        <f t="array" ref="AQ59">AB59-AP59</f>
        <v>0</v>
      </c>
      <c r="AR59" s="356"/>
      <c r="AS59" s="180"/>
      <c r="AT59" s="86">
        <f t="shared" si="21"/>
        <v>0</v>
      </c>
      <c r="AU59" s="87">
        <v>0.03</v>
      </c>
      <c r="AV59" s="88">
        <f t="array" ref="AV59">IF(AND(AT59="Yes",$E$2="Fixation"),ROUND(N59*AU59,0),IF(AT59="yes",ROUND((N59-S59)*AU59,0),0))</f>
        <v>0</v>
      </c>
      <c r="AW59" s="180"/>
      <c r="AX59" s="78"/>
      <c r="AY59" s="78"/>
      <c r="AZ59" s="24">
        <f t="shared" si="49"/>
        <v>0</v>
      </c>
      <c r="BA59" s="123">
        <f t="shared" si="23"/>
        <v>0</v>
      </c>
      <c r="BB59" s="123">
        <f t="shared" si="34"/>
        <v>0</v>
      </c>
      <c r="BF59" s="48">
        <f t="shared" si="35"/>
        <v>45286</v>
      </c>
      <c r="BH59" s="44">
        <f t="shared" si="24"/>
        <v>1</v>
      </c>
      <c r="BI59" s="45" t="str">
        <f t="shared" si="50"/>
        <v>11900</v>
      </c>
      <c r="BJ59" s="44">
        <f t="shared" si="51"/>
        <v>11901</v>
      </c>
      <c r="BK59" s="46">
        <f t="shared" si="52"/>
        <v>0</v>
      </c>
      <c r="BL59" s="46">
        <f t="shared" si="53"/>
        <v>0</v>
      </c>
      <c r="BM59" s="49">
        <f t="shared" si="29"/>
        <v>0</v>
      </c>
      <c r="BN59" s="46" t="str">
        <f t="shared" si="54"/>
        <v>00</v>
      </c>
    </row>
    <row r="60" spans="1:66" ht="17.25" customHeight="1" thickBot="1">
      <c r="A60" s="23">
        <f t="shared" si="8"/>
        <v>0</v>
      </c>
      <c r="B60" s="129">
        <f t="shared" ref="B60:C60" si="142">B57</f>
        <v>0.38</v>
      </c>
      <c r="C60" s="129">
        <f t="shared" si="142"/>
        <v>0.38</v>
      </c>
      <c r="D60" s="129">
        <f t="shared" ref="D60:E60" si="143">D57</f>
        <v>0.08</v>
      </c>
      <c r="E60" s="129">
        <f t="shared" si="143"/>
        <v>0.09</v>
      </c>
      <c r="F60" s="36">
        <v>48</v>
      </c>
      <c r="G60" s="175">
        <f t="shared" si="9"/>
        <v>0</v>
      </c>
      <c r="H60" s="176"/>
      <c r="I60" s="176"/>
      <c r="J60" s="177"/>
      <c r="K60" s="85">
        <f t="shared" ref="K60" si="144">MONTH(G60)</f>
        <v>1</v>
      </c>
      <c r="L60" s="85">
        <f t="shared" ref="L60" si="145">YEAR(G60)</f>
        <v>1900</v>
      </c>
      <c r="M60" s="85" t="str">
        <f t="shared" ref="M60" si="146">CONCATENATE(K60,L60)</f>
        <v>11900</v>
      </c>
      <c r="N60" s="18">
        <f t="shared" ref="N60" si="147">BB60</f>
        <v>0</v>
      </c>
      <c r="O60" s="9">
        <f t="shared" ref="O60" si="148">ROUND(N60*C60,0)</f>
        <v>0</v>
      </c>
      <c r="P60" s="9">
        <f t="shared" ref="P60" si="149">P59</f>
        <v>0</v>
      </c>
      <c r="Q60" s="9">
        <f t="shared" ref="Q60" si="150">ROUND(N60*E60,0)</f>
        <v>0</v>
      </c>
      <c r="R60" s="10">
        <f t="array" ref="R60">SUM(N60:Q60)</f>
        <v>0</v>
      </c>
      <c r="S60" s="8">
        <f t="array" ref="S60">IF(N60=0,0,IF($E$2="FIXATION",$B$5,IF(N60=0,0,IF(BA60=7,ROUND(S59*1.03,-2),S59))))</f>
        <v>0</v>
      </c>
      <c r="T60" s="9">
        <f t="shared" ref="T60" si="151">IF($E$2="fixation",0,ROUND(S60*B60,0))</f>
        <v>0</v>
      </c>
      <c r="U60" s="9">
        <f t="shared" ref="U60" si="152">U59</f>
        <v>0</v>
      </c>
      <c r="V60" s="9">
        <f t="array" ref="V60">IF($E$2="fixation",0,ROUND(S60*D60,0))</f>
        <v>0</v>
      </c>
      <c r="W60" s="10">
        <f t="array" ref="W60">SUM(S60:V60)</f>
        <v>0</v>
      </c>
      <c r="X60" s="76">
        <f t="shared" ref="X60" si="153">N60-S60</f>
        <v>0</v>
      </c>
      <c r="Y60" s="77">
        <f t="shared" ref="Y60" si="154">O60-T60</f>
        <v>0</v>
      </c>
      <c r="Z60" s="77"/>
      <c r="AA60" s="77">
        <f t="shared" ref="AA60" si="155">Q60-V60</f>
        <v>0</v>
      </c>
      <c r="AB60" s="13">
        <f t="array" ref="AB60">SUM(X60:AA60)</f>
        <v>0</v>
      </c>
      <c r="AC60" s="14">
        <f t="shared" si="16"/>
        <v>0</v>
      </c>
      <c r="AD60" s="11">
        <f t="shared" si="17"/>
        <v>0</v>
      </c>
      <c r="AE60" s="15">
        <f t="shared" ref="AE60" si="156">AC60-AD60</f>
        <v>0</v>
      </c>
      <c r="AF60" s="11">
        <f t="array" ref="AF60">IF(N60=0,0,AF59)</f>
        <v>0</v>
      </c>
      <c r="AG60" s="9">
        <f t="array" ref="AG60">IF(N60=0,0,AG59)</f>
        <v>0</v>
      </c>
      <c r="AH60" s="10">
        <f t="shared" ref="AH60" si="157">AF60-AG60</f>
        <v>0</v>
      </c>
      <c r="AI60" s="11">
        <f t="array" ref="AI60">IF(BN60="MSS",ROUND(N60/31*5,0),IF(BN60="MS",ROUND(N60/31*3,0),IF(BN60="MM",ROUND(N60/31*2,0),IF(BN60="MF",ROUND(N60/31*1,0),IF(BN60="SSS",ROUND(R60/30*2,0),IF(BN60="SS",ROUND(R60/30,0),IF(BN60="SM",ROUND(R60/30,0),IF(BN60="SF",ROUND(R60/30*0,0),IF(BN60="OSS",ROUND(R60/31*2,0),IF(BN60="OS",ROUND(R60/31,0),IF(BN60="OM",ROUND(R60/31,0),IF(BN60="OF",ROUND(R60/31*0,0),0))))))))))))</f>
        <v>0</v>
      </c>
      <c r="AJ60" s="9">
        <f t="array" ref="AJ60">IF(BN60="MSS",ROUND(S60/31*5,0),IF(BN60="MS",ROUND(S60/31*3,0),IF(BN60="MM",ROUND(S60/31*2,0),IF(BN60="MF",ROUND(S60/31*1,0),IF(BN60="SSS",ROUND(W60/30*2,0),IF(BN60="SS",ROUND(W60/30,0),IF(BN60="SM",ROUND(W60/30,0),IF(BN60="SF",ROUND(W60/30*0,0),IF(BN60="OSS",ROUND(W60/31*2,0),IF(BN60="OS",ROUND(W60/31,0),IF(BN60="OM",ROUND(W60/31,0),IF(BN60="OF",ROUND(W60/31*0,0),0))))))))))))</f>
        <v>0</v>
      </c>
      <c r="AK60" s="10">
        <f t="shared" ref="AK60" si="158">AI60-AJ60</f>
        <v>0</v>
      </c>
      <c r="AL60" s="352">
        <f t="shared" si="18"/>
        <v>0</v>
      </c>
      <c r="AM60" s="353">
        <f t="shared" si="19"/>
        <v>0</v>
      </c>
      <c r="AN60" s="349">
        <f t="array" ref="AN60">AL60-AM60</f>
        <v>0</v>
      </c>
      <c r="AO60" s="133">
        <f t="shared" si="20"/>
        <v>0</v>
      </c>
      <c r="AP60" s="134">
        <f t="array" ref="AP60">AE60+AH60+AK60+AN60+AO60</f>
        <v>0</v>
      </c>
      <c r="AQ60" s="16">
        <f t="array" ref="AQ60">AB60-AP60</f>
        <v>0</v>
      </c>
      <c r="AR60" s="357"/>
      <c r="AS60" s="180"/>
      <c r="AT60" s="116"/>
      <c r="AU60" s="116"/>
      <c r="AV60" s="238"/>
      <c r="AW60" s="180"/>
      <c r="AX60" s="78"/>
      <c r="AY60" s="78"/>
      <c r="AZ60" s="24">
        <f t="shared" si="49"/>
        <v>0</v>
      </c>
      <c r="BA60" s="123">
        <f t="shared" si="23"/>
        <v>0</v>
      </c>
      <c r="BB60" s="123">
        <f t="shared" si="34"/>
        <v>0</v>
      </c>
      <c r="BF60" s="48">
        <f t="shared" si="35"/>
        <v>45317</v>
      </c>
      <c r="BH60" s="44">
        <f t="shared" si="24"/>
        <v>1</v>
      </c>
      <c r="BI60" s="45" t="str">
        <f t="shared" si="50"/>
        <v>11900</v>
      </c>
      <c r="BJ60" s="44">
        <f t="shared" si="51"/>
        <v>11901</v>
      </c>
      <c r="BK60" s="46">
        <f t="shared" si="52"/>
        <v>0</v>
      </c>
      <c r="BL60" s="46">
        <f t="shared" si="53"/>
        <v>0</v>
      </c>
      <c r="BM60" s="49">
        <f t="shared" si="29"/>
        <v>0</v>
      </c>
      <c r="BN60" s="46" t="str">
        <f t="shared" si="54"/>
        <v>00</v>
      </c>
    </row>
    <row r="61" spans="1:66" ht="68.25" customHeight="1" thickBot="1">
      <c r="B61" s="283"/>
      <c r="C61" s="283"/>
      <c r="D61" s="283"/>
      <c r="E61" s="283"/>
      <c r="F61" s="383" t="s">
        <v>19</v>
      </c>
      <c r="G61" s="384"/>
      <c r="H61" s="384"/>
      <c r="I61" s="384"/>
      <c r="J61" s="385"/>
      <c r="K61" s="386"/>
      <c r="L61" s="386"/>
      <c r="M61" s="386"/>
      <c r="N61" s="387">
        <f t="array" ref="N61">SUM(N13:N60)</f>
        <v>1301421</v>
      </c>
      <c r="O61" s="388">
        <f t="array" ref="O61">SUM(O13:O60)</f>
        <v>493845</v>
      </c>
      <c r="P61" s="388">
        <f t="array" ref="P61">SUM(P13:P60)</f>
        <v>0</v>
      </c>
      <c r="Q61" s="388">
        <f t="array" ref="Q61">SUM(Q13:Q60)</f>
        <v>116963</v>
      </c>
      <c r="R61" s="389">
        <f t="array" ref="R61">SUM(R13:R60)</f>
        <v>1912229</v>
      </c>
      <c r="S61" s="390">
        <f t="array" ref="S61">SUM(S13:S60)</f>
        <v>874500</v>
      </c>
      <c r="T61" s="388">
        <f t="array" ref="T61">SUM(T13:T60)</f>
        <v>0</v>
      </c>
      <c r="U61" s="388">
        <f t="array" ref="U61">SUM(U13:U60)</f>
        <v>0</v>
      </c>
      <c r="V61" s="388">
        <f t="array" ref="V61">SUM(V13:V60)</f>
        <v>0</v>
      </c>
      <c r="W61" s="389">
        <f t="array" ref="W61">SUM(W13:W60)</f>
        <v>874500</v>
      </c>
      <c r="X61" s="390">
        <f t="array" ref="X61">SUM(X13:X60)</f>
        <v>426921</v>
      </c>
      <c r="Y61" s="388">
        <f t="array" ref="Y61">SUM(Y13:Y60)</f>
        <v>493845</v>
      </c>
      <c r="Z61" s="388">
        <f t="array" ref="Z61">SUM(Z13:Z60)</f>
        <v>0</v>
      </c>
      <c r="AA61" s="388">
        <f t="array" ref="AA61">SUM(AA13:AA60)</f>
        <v>116963</v>
      </c>
      <c r="AB61" s="389">
        <f t="array" ref="AB61">SUM(AB13:AB60)</f>
        <v>1037729</v>
      </c>
      <c r="AC61" s="390">
        <f t="array" ref="AC61">SUM(AC13:AC60)</f>
        <v>89482</v>
      </c>
      <c r="AD61" s="388">
        <f t="array" ref="AD61">SUM(AD13:AD60)</f>
        <v>36300</v>
      </c>
      <c r="AE61" s="391">
        <f t="array" ref="AE61">SUM(AE13:AE60)</f>
        <v>53182</v>
      </c>
      <c r="AF61" s="390">
        <f t="array" ref="AF61">SUM(AF13:AF60)</f>
        <v>99000</v>
      </c>
      <c r="AG61" s="388">
        <f t="array" ref="AG61">SUM(AG13:AG60)</f>
        <v>99000</v>
      </c>
      <c r="AH61" s="391">
        <f t="array" ref="AH61">SUM(AH13:AH60)</f>
        <v>0</v>
      </c>
      <c r="AI61" s="390">
        <f t="array" ref="AI61">SUM(AI13:AI60)</f>
        <v>13598</v>
      </c>
      <c r="AJ61" s="388">
        <f t="array" ref="AJ61">SUM(AJ13:AJ60)</f>
        <v>7751</v>
      </c>
      <c r="AK61" s="391">
        <f t="array" ref="AK61">SUM(AK13:AK60)</f>
        <v>5847</v>
      </c>
      <c r="AL61" s="392">
        <f t="array" ref="AL61">SUM(AL13:AL60)</f>
        <v>0</v>
      </c>
      <c r="AM61" s="392">
        <f t="array" ref="AM61">SUM(AM13:AM60)</f>
        <v>0</v>
      </c>
      <c r="AN61" s="392">
        <f>SUM(AN13:AN60)</f>
        <v>0</v>
      </c>
      <c r="AO61" s="393">
        <f t="array" ref="AO61">SUM(AO13:AO60)</f>
        <v>103774</v>
      </c>
      <c r="AP61" s="393">
        <f t="array" ref="AP61">SUM(AP13:AP60)</f>
        <v>162803</v>
      </c>
      <c r="AQ61" s="394">
        <f t="array" ref="AQ61">SUM(AQ13:AQ60)</f>
        <v>874926</v>
      </c>
      <c r="AR61" s="395"/>
      <c r="AS61" s="180"/>
      <c r="AT61" s="116"/>
      <c r="AU61" s="116"/>
      <c r="AV61" s="180"/>
      <c r="AW61" s="180"/>
      <c r="AX61" s="78"/>
      <c r="AY61" s="78"/>
      <c r="BF61" s="48"/>
      <c r="BH61" s="44"/>
      <c r="BI61" s="45"/>
      <c r="BJ61" s="44"/>
      <c r="BK61" s="46"/>
      <c r="BL61" s="46"/>
      <c r="BM61" s="44"/>
      <c r="BN61" s="46"/>
    </row>
    <row r="62" spans="1:66" ht="23.25" customHeight="1" thickBot="1">
      <c r="B62" s="238"/>
      <c r="C62" s="238"/>
      <c r="D62" s="238"/>
      <c r="E62" s="238"/>
      <c r="F62" s="155" t="s">
        <v>20</v>
      </c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56"/>
      <c r="Z62" s="156"/>
      <c r="AA62" s="156"/>
      <c r="AB62" s="252" t="s">
        <v>85</v>
      </c>
      <c r="AC62" s="253"/>
      <c r="AD62" s="253"/>
      <c r="AE62" s="253"/>
      <c r="AF62" s="253"/>
      <c r="AG62" s="253"/>
      <c r="AH62" s="253"/>
      <c r="AI62" s="253"/>
      <c r="AJ62" s="253"/>
      <c r="AK62" s="253"/>
      <c r="AL62" s="253"/>
      <c r="AM62" s="253"/>
      <c r="AN62" s="253"/>
      <c r="AO62" s="253"/>
      <c r="AP62" s="253"/>
      <c r="AQ62" s="253"/>
      <c r="AR62" s="254"/>
      <c r="AS62" s="180"/>
      <c r="AT62" s="116"/>
      <c r="AU62" s="116"/>
      <c r="AV62" s="180"/>
      <c r="AW62" s="180"/>
      <c r="AX62" s="78"/>
      <c r="AY62" s="78"/>
      <c r="BF62" s="48"/>
      <c r="BH62" s="44"/>
      <c r="BI62" s="45"/>
      <c r="BJ62" s="44"/>
      <c r="BK62" s="46"/>
      <c r="BL62" s="46"/>
      <c r="BM62" s="44"/>
      <c r="BN62" s="46"/>
    </row>
    <row r="63" spans="1:66" ht="15" customHeight="1">
      <c r="B63" s="238"/>
      <c r="C63" s="238"/>
      <c r="D63" s="238"/>
      <c r="E63" s="238"/>
      <c r="F63" s="25" t="s">
        <v>21</v>
      </c>
      <c r="G63" s="157" t="s">
        <v>22</v>
      </c>
      <c r="H63" s="158"/>
      <c r="I63" s="158"/>
      <c r="J63" s="159"/>
      <c r="K63" s="120"/>
      <c r="L63" s="120"/>
      <c r="M63" s="120"/>
      <c r="N63" s="166" t="s">
        <v>23</v>
      </c>
      <c r="O63" s="166"/>
      <c r="P63" s="166"/>
      <c r="Q63" s="166"/>
      <c r="R63" s="166"/>
      <c r="S63" s="166"/>
      <c r="T63" s="167">
        <f>X61</f>
        <v>426921</v>
      </c>
      <c r="U63" s="167"/>
      <c r="V63" s="168"/>
      <c r="W63" s="168"/>
      <c r="X63" s="168"/>
      <c r="Y63" s="168"/>
      <c r="Z63" s="169"/>
      <c r="AA63" s="170"/>
      <c r="AB63" s="252"/>
      <c r="AC63" s="253"/>
      <c r="AD63" s="253"/>
      <c r="AE63" s="253"/>
      <c r="AF63" s="253"/>
      <c r="AG63" s="253"/>
      <c r="AH63" s="253"/>
      <c r="AI63" s="253"/>
      <c r="AJ63" s="253"/>
      <c r="AK63" s="253"/>
      <c r="AL63" s="253"/>
      <c r="AM63" s="253"/>
      <c r="AN63" s="253"/>
      <c r="AO63" s="253"/>
      <c r="AP63" s="253"/>
      <c r="AQ63" s="253"/>
      <c r="AR63" s="254"/>
      <c r="AS63" s="180"/>
      <c r="AT63" s="116"/>
      <c r="AU63" s="116"/>
      <c r="AV63" s="180"/>
      <c r="AW63" s="180"/>
      <c r="AX63" s="78"/>
      <c r="AY63" s="78"/>
      <c r="BF63" s="48"/>
      <c r="BH63" s="44"/>
      <c r="BI63" s="45"/>
      <c r="BJ63" s="44"/>
      <c r="BK63" s="46"/>
      <c r="BL63" s="46"/>
      <c r="BM63" s="44"/>
      <c r="BN63" s="46"/>
    </row>
    <row r="64" spans="1:66" ht="15" customHeight="1">
      <c r="B64" s="238"/>
      <c r="C64" s="238"/>
      <c r="D64" s="238"/>
      <c r="E64" s="238"/>
      <c r="F64" s="26" t="s">
        <v>29</v>
      </c>
      <c r="G64" s="160"/>
      <c r="H64" s="161"/>
      <c r="I64" s="161"/>
      <c r="J64" s="162"/>
      <c r="K64" s="121"/>
      <c r="L64" s="121"/>
      <c r="M64" s="121"/>
      <c r="N64" s="171" t="s">
        <v>25</v>
      </c>
      <c r="O64" s="171"/>
      <c r="P64" s="171"/>
      <c r="Q64" s="171"/>
      <c r="R64" s="171"/>
      <c r="S64" s="171"/>
      <c r="T64" s="216">
        <f>Y61</f>
        <v>493845</v>
      </c>
      <c r="U64" s="216"/>
      <c r="V64" s="217"/>
      <c r="W64" s="217"/>
      <c r="X64" s="217"/>
      <c r="Y64" s="217"/>
      <c r="Z64" s="218"/>
      <c r="AA64" s="219"/>
      <c r="AB64" s="252"/>
      <c r="AC64" s="253"/>
      <c r="AD64" s="253"/>
      <c r="AE64" s="253"/>
      <c r="AF64" s="253"/>
      <c r="AG64" s="253"/>
      <c r="AH64" s="253"/>
      <c r="AI64" s="253"/>
      <c r="AJ64" s="253"/>
      <c r="AK64" s="253"/>
      <c r="AL64" s="253"/>
      <c r="AM64" s="253"/>
      <c r="AN64" s="253"/>
      <c r="AO64" s="253"/>
      <c r="AP64" s="253"/>
      <c r="AQ64" s="253"/>
      <c r="AR64" s="254"/>
      <c r="AS64" s="180"/>
      <c r="AT64" s="116"/>
      <c r="AU64" s="116"/>
      <c r="AV64" s="180"/>
      <c r="AW64" s="180"/>
      <c r="AX64" s="78"/>
      <c r="AY64" s="78"/>
      <c r="BF64" s="48"/>
      <c r="BH64" s="44"/>
      <c r="BI64" s="45"/>
      <c r="BJ64" s="44"/>
      <c r="BK64" s="46"/>
      <c r="BL64" s="46"/>
      <c r="BM64" s="44"/>
      <c r="BN64" s="46"/>
    </row>
    <row r="65" spans="2:66" ht="14.25" customHeight="1">
      <c r="B65" s="238"/>
      <c r="C65" s="238"/>
      <c r="D65" s="238"/>
      <c r="E65" s="238"/>
      <c r="F65" s="26" t="s">
        <v>24</v>
      </c>
      <c r="G65" s="160"/>
      <c r="H65" s="161"/>
      <c r="I65" s="161"/>
      <c r="J65" s="162"/>
      <c r="K65" s="121"/>
      <c r="L65" s="121"/>
      <c r="M65" s="121"/>
      <c r="N65" s="171" t="s">
        <v>26</v>
      </c>
      <c r="O65" s="171"/>
      <c r="P65" s="171"/>
      <c r="Q65" s="171"/>
      <c r="R65" s="171"/>
      <c r="S65" s="171"/>
      <c r="T65" s="216">
        <f>AA61</f>
        <v>116963</v>
      </c>
      <c r="U65" s="216"/>
      <c r="V65" s="217"/>
      <c r="W65" s="217"/>
      <c r="X65" s="217"/>
      <c r="Y65" s="217"/>
      <c r="Z65" s="218"/>
      <c r="AA65" s="219"/>
      <c r="AB65" s="252"/>
      <c r="AC65" s="253"/>
      <c r="AD65" s="253"/>
      <c r="AE65" s="253"/>
      <c r="AF65" s="253"/>
      <c r="AG65" s="253"/>
      <c r="AH65" s="253"/>
      <c r="AI65" s="253"/>
      <c r="AJ65" s="253"/>
      <c r="AK65" s="253"/>
      <c r="AL65" s="253"/>
      <c r="AM65" s="253"/>
      <c r="AN65" s="253"/>
      <c r="AO65" s="253"/>
      <c r="AP65" s="253"/>
      <c r="AQ65" s="253"/>
      <c r="AR65" s="254"/>
      <c r="AS65" s="180"/>
      <c r="AT65" s="116"/>
      <c r="AU65" s="116"/>
      <c r="AV65" s="180"/>
      <c r="AW65" s="180"/>
      <c r="AX65" s="78"/>
      <c r="AY65" s="78"/>
      <c r="BF65" s="48"/>
      <c r="BH65" s="44"/>
      <c r="BI65" s="45"/>
      <c r="BJ65" s="44"/>
      <c r="BK65" s="46"/>
      <c r="BL65" s="46"/>
      <c r="BM65" s="44"/>
      <c r="BN65" s="46"/>
    </row>
    <row r="66" spans="2:66" ht="15" customHeight="1">
      <c r="B66" s="238"/>
      <c r="C66" s="238"/>
      <c r="D66" s="238"/>
      <c r="E66" s="238"/>
      <c r="F66" s="26" t="s">
        <v>86</v>
      </c>
      <c r="G66" s="160"/>
      <c r="H66" s="161"/>
      <c r="I66" s="161"/>
      <c r="J66" s="162"/>
      <c r="K66" s="121"/>
      <c r="L66" s="121"/>
      <c r="M66" s="121"/>
      <c r="N66" s="242">
        <f>Z10</f>
        <v>0</v>
      </c>
      <c r="O66" s="243"/>
      <c r="P66" s="243"/>
      <c r="Q66" s="243"/>
      <c r="R66" s="243"/>
      <c r="S66" s="244"/>
      <c r="T66" s="245">
        <f>Z61</f>
        <v>0</v>
      </c>
      <c r="U66" s="246"/>
      <c r="V66" s="246"/>
      <c r="W66" s="246"/>
      <c r="X66" s="246"/>
      <c r="Y66" s="246"/>
      <c r="Z66" s="246"/>
      <c r="AA66" s="247"/>
      <c r="AB66" s="255" t="s">
        <v>27</v>
      </c>
      <c r="AC66" s="256"/>
      <c r="AD66" s="256"/>
      <c r="AE66" s="256"/>
      <c r="AF66" s="256"/>
      <c r="AG66" s="256"/>
      <c r="AH66" s="256"/>
      <c r="AI66" s="256"/>
      <c r="AJ66" s="256"/>
      <c r="AK66" s="256"/>
      <c r="AL66" s="256"/>
      <c r="AM66" s="256"/>
      <c r="AN66" s="256"/>
      <c r="AO66" s="256"/>
      <c r="AP66" s="256"/>
      <c r="AQ66" s="256"/>
      <c r="AR66" s="257"/>
      <c r="AS66" s="180"/>
      <c r="AT66" s="116"/>
      <c r="AU66" s="116"/>
      <c r="AV66" s="180"/>
      <c r="AW66" s="180"/>
      <c r="AX66" s="78"/>
      <c r="AY66" s="78"/>
      <c r="BF66" s="48"/>
      <c r="BH66" s="44"/>
      <c r="BI66" s="45"/>
      <c r="BJ66" s="44"/>
      <c r="BK66" s="46"/>
      <c r="BL66" s="46"/>
      <c r="BM66" s="44"/>
      <c r="BN66" s="46"/>
    </row>
    <row r="67" spans="2:66" ht="18.75" customHeight="1" thickBot="1">
      <c r="B67" s="238"/>
      <c r="C67" s="238"/>
      <c r="D67" s="238"/>
      <c r="E67" s="238"/>
      <c r="F67" s="27"/>
      <c r="G67" s="163"/>
      <c r="H67" s="164"/>
      <c r="I67" s="164"/>
      <c r="J67" s="165"/>
      <c r="K67" s="122"/>
      <c r="L67" s="122"/>
      <c r="M67" s="122"/>
      <c r="N67" s="262" t="s">
        <v>19</v>
      </c>
      <c r="O67" s="262"/>
      <c r="P67" s="262"/>
      <c r="Q67" s="262"/>
      <c r="R67" s="262"/>
      <c r="S67" s="262"/>
      <c r="T67" s="263">
        <f>SUM(T63:AA65)</f>
        <v>1037729</v>
      </c>
      <c r="U67" s="263"/>
      <c r="V67" s="263"/>
      <c r="W67" s="263"/>
      <c r="X67" s="263"/>
      <c r="Y67" s="263"/>
      <c r="Z67" s="264"/>
      <c r="AA67" s="265"/>
      <c r="AB67" s="258"/>
      <c r="AC67" s="256"/>
      <c r="AD67" s="256"/>
      <c r="AE67" s="256"/>
      <c r="AF67" s="256"/>
      <c r="AG67" s="256"/>
      <c r="AH67" s="256"/>
      <c r="AI67" s="256"/>
      <c r="AJ67" s="256"/>
      <c r="AK67" s="256"/>
      <c r="AL67" s="256"/>
      <c r="AM67" s="256"/>
      <c r="AN67" s="256"/>
      <c r="AO67" s="256"/>
      <c r="AP67" s="256"/>
      <c r="AQ67" s="256"/>
      <c r="AR67" s="257"/>
      <c r="AS67" s="180"/>
      <c r="AT67" s="116"/>
      <c r="AU67" s="116"/>
      <c r="AV67" s="180"/>
      <c r="AW67" s="180"/>
      <c r="AX67" s="78"/>
      <c r="AY67" s="78"/>
      <c r="BF67" s="48"/>
      <c r="BH67" s="44"/>
      <c r="BI67" s="45"/>
      <c r="BJ67" s="44"/>
      <c r="BK67" s="46"/>
      <c r="BL67" s="46"/>
      <c r="BM67" s="44"/>
      <c r="BN67" s="46"/>
    </row>
    <row r="68" spans="2:66" ht="15" customHeight="1">
      <c r="B68" s="238"/>
      <c r="C68" s="238"/>
      <c r="D68" s="238"/>
      <c r="E68" s="238"/>
      <c r="F68" s="28" t="s">
        <v>21</v>
      </c>
      <c r="G68" s="271" t="s">
        <v>28</v>
      </c>
      <c r="H68" s="272"/>
      <c r="I68" s="272"/>
      <c r="J68" s="273"/>
      <c r="K68" s="118"/>
      <c r="L68" s="118"/>
      <c r="M68" s="118"/>
      <c r="N68" s="277" t="s">
        <v>67</v>
      </c>
      <c r="O68" s="277"/>
      <c r="P68" s="277"/>
      <c r="Q68" s="277"/>
      <c r="R68" s="277"/>
      <c r="S68" s="277"/>
      <c r="T68" s="278">
        <f>AE61</f>
        <v>53182</v>
      </c>
      <c r="U68" s="278"/>
      <c r="V68" s="279"/>
      <c r="W68" s="279"/>
      <c r="X68" s="279"/>
      <c r="Y68" s="279"/>
      <c r="Z68" s="280"/>
      <c r="AA68" s="280"/>
      <c r="AB68" s="258"/>
      <c r="AC68" s="256"/>
      <c r="AD68" s="256"/>
      <c r="AE68" s="256"/>
      <c r="AF68" s="256"/>
      <c r="AG68" s="256"/>
      <c r="AH68" s="256"/>
      <c r="AI68" s="256"/>
      <c r="AJ68" s="256"/>
      <c r="AK68" s="256"/>
      <c r="AL68" s="256"/>
      <c r="AM68" s="256"/>
      <c r="AN68" s="256"/>
      <c r="AO68" s="256"/>
      <c r="AP68" s="256"/>
      <c r="AQ68" s="256"/>
      <c r="AR68" s="257"/>
      <c r="AS68" s="180"/>
      <c r="AT68" s="116"/>
      <c r="AU68" s="116"/>
      <c r="AV68" s="180"/>
      <c r="AW68" s="180"/>
      <c r="AX68" s="78"/>
      <c r="AY68" s="78"/>
      <c r="BF68" s="48"/>
      <c r="BH68" s="44"/>
      <c r="BI68" s="45"/>
      <c r="BJ68" s="44"/>
      <c r="BK68" s="46"/>
      <c r="BL68" s="46"/>
      <c r="BM68" s="44"/>
      <c r="BN68" s="46"/>
    </row>
    <row r="69" spans="2:66" ht="15" customHeight="1">
      <c r="B69" s="238"/>
      <c r="C69" s="238"/>
      <c r="D69" s="238"/>
      <c r="E69" s="238"/>
      <c r="F69" s="29" t="s">
        <v>29</v>
      </c>
      <c r="G69" s="271"/>
      <c r="H69" s="272"/>
      <c r="I69" s="272"/>
      <c r="J69" s="273"/>
      <c r="K69" s="118"/>
      <c r="L69" s="118"/>
      <c r="M69" s="118"/>
      <c r="N69" s="171" t="s">
        <v>7</v>
      </c>
      <c r="O69" s="171"/>
      <c r="P69" s="171"/>
      <c r="Q69" s="171"/>
      <c r="R69" s="171"/>
      <c r="S69" s="171"/>
      <c r="T69" s="216">
        <f>AH61</f>
        <v>0</v>
      </c>
      <c r="U69" s="216"/>
      <c r="V69" s="217"/>
      <c r="W69" s="217"/>
      <c r="X69" s="217"/>
      <c r="Y69" s="217"/>
      <c r="Z69" s="218"/>
      <c r="AA69" s="218"/>
      <c r="AB69" s="258"/>
      <c r="AC69" s="256"/>
      <c r="AD69" s="256"/>
      <c r="AE69" s="256"/>
      <c r="AF69" s="256"/>
      <c r="AG69" s="256"/>
      <c r="AH69" s="256"/>
      <c r="AI69" s="256"/>
      <c r="AJ69" s="256"/>
      <c r="AK69" s="256"/>
      <c r="AL69" s="256"/>
      <c r="AM69" s="256"/>
      <c r="AN69" s="256"/>
      <c r="AO69" s="256"/>
      <c r="AP69" s="256"/>
      <c r="AQ69" s="256"/>
      <c r="AR69" s="257"/>
      <c r="AS69" s="180"/>
      <c r="AT69" s="116"/>
      <c r="AU69" s="116"/>
      <c r="AV69" s="180"/>
      <c r="AW69" s="180"/>
      <c r="AX69" s="78"/>
      <c r="AY69" s="78"/>
      <c r="BF69" s="48"/>
      <c r="BH69" s="44"/>
      <c r="BI69" s="45"/>
      <c r="BJ69" s="44"/>
      <c r="BK69" s="46"/>
      <c r="BL69" s="46"/>
      <c r="BM69" s="44"/>
      <c r="BN69" s="46"/>
    </row>
    <row r="70" spans="2:66" ht="15" customHeight="1">
      <c r="B70" s="238"/>
      <c r="C70" s="238"/>
      <c r="D70" s="238"/>
      <c r="E70" s="238"/>
      <c r="F70" s="26" t="s">
        <v>24</v>
      </c>
      <c r="G70" s="271"/>
      <c r="H70" s="272"/>
      <c r="I70" s="272"/>
      <c r="J70" s="273"/>
      <c r="K70" s="118"/>
      <c r="L70" s="118"/>
      <c r="M70" s="118"/>
      <c r="N70" s="171" t="s">
        <v>30</v>
      </c>
      <c r="O70" s="171"/>
      <c r="P70" s="171"/>
      <c r="Q70" s="171"/>
      <c r="R70" s="171"/>
      <c r="S70" s="171"/>
      <c r="T70" s="216">
        <f>AO61</f>
        <v>103774</v>
      </c>
      <c r="U70" s="216"/>
      <c r="V70" s="217"/>
      <c r="W70" s="217"/>
      <c r="X70" s="217"/>
      <c r="Y70" s="217"/>
      <c r="Z70" s="218"/>
      <c r="AA70" s="218"/>
      <c r="AB70" s="258"/>
      <c r="AC70" s="256"/>
      <c r="AD70" s="256"/>
      <c r="AE70" s="256"/>
      <c r="AF70" s="256"/>
      <c r="AG70" s="256"/>
      <c r="AH70" s="256"/>
      <c r="AI70" s="256"/>
      <c r="AJ70" s="256"/>
      <c r="AK70" s="256"/>
      <c r="AL70" s="256"/>
      <c r="AM70" s="256"/>
      <c r="AN70" s="256"/>
      <c r="AO70" s="256"/>
      <c r="AP70" s="256"/>
      <c r="AQ70" s="256"/>
      <c r="AR70" s="257"/>
      <c r="AS70" s="180"/>
      <c r="AT70" s="116"/>
      <c r="AU70" s="116"/>
      <c r="AV70" s="180"/>
      <c r="AW70" s="180"/>
      <c r="AX70" s="78"/>
      <c r="AY70" s="78"/>
      <c r="BF70" s="48"/>
      <c r="BH70" s="44"/>
      <c r="BI70" s="45"/>
      <c r="BJ70" s="44"/>
      <c r="BK70" s="46"/>
      <c r="BL70" s="46"/>
      <c r="BM70" s="44"/>
      <c r="BN70" s="46"/>
    </row>
    <row r="71" spans="2:66" ht="15" customHeight="1">
      <c r="B71" s="238"/>
      <c r="C71" s="238"/>
      <c r="D71" s="238"/>
      <c r="E71" s="238"/>
      <c r="F71" s="26" t="s">
        <v>86</v>
      </c>
      <c r="G71" s="271"/>
      <c r="H71" s="272"/>
      <c r="I71" s="272"/>
      <c r="J71" s="273"/>
      <c r="K71" s="118"/>
      <c r="L71" s="118"/>
      <c r="M71" s="118"/>
      <c r="N71" s="248" t="str">
        <f>AI9</f>
        <v>CM Corona Relief</v>
      </c>
      <c r="O71" s="249"/>
      <c r="P71" s="249"/>
      <c r="Q71" s="249"/>
      <c r="R71" s="249"/>
      <c r="S71" s="250"/>
      <c r="T71" s="251">
        <f>AK61</f>
        <v>5847</v>
      </c>
      <c r="U71" s="246"/>
      <c r="V71" s="246"/>
      <c r="W71" s="246"/>
      <c r="X71" s="246"/>
      <c r="Y71" s="246"/>
      <c r="Z71" s="246"/>
      <c r="AA71" s="247"/>
      <c r="AB71" s="258"/>
      <c r="AC71" s="256"/>
      <c r="AD71" s="256"/>
      <c r="AE71" s="256"/>
      <c r="AF71" s="256"/>
      <c r="AG71" s="256"/>
      <c r="AH71" s="256"/>
      <c r="AI71" s="256"/>
      <c r="AJ71" s="256"/>
      <c r="AK71" s="256"/>
      <c r="AL71" s="256"/>
      <c r="AM71" s="256"/>
      <c r="AN71" s="256"/>
      <c r="AO71" s="256"/>
      <c r="AP71" s="256"/>
      <c r="AQ71" s="256"/>
      <c r="AR71" s="257"/>
      <c r="AS71" s="180"/>
      <c r="AT71" s="116"/>
      <c r="AU71" s="116"/>
      <c r="AV71" s="180"/>
      <c r="AW71" s="180"/>
      <c r="AX71" s="78"/>
      <c r="AY71" s="78"/>
      <c r="BF71" s="48"/>
      <c r="BH71" s="44"/>
      <c r="BI71" s="45"/>
      <c r="BJ71" s="44"/>
      <c r="BK71" s="46"/>
      <c r="BL71" s="46"/>
      <c r="BM71" s="44"/>
      <c r="BN71" s="46"/>
    </row>
    <row r="72" spans="2:66" ht="15" customHeight="1">
      <c r="B72" s="238"/>
      <c r="C72" s="238"/>
      <c r="D72" s="238"/>
      <c r="E72" s="238"/>
      <c r="F72" s="126" t="s">
        <v>112</v>
      </c>
      <c r="G72" s="271"/>
      <c r="H72" s="272"/>
      <c r="I72" s="272"/>
      <c r="J72" s="273"/>
      <c r="K72" s="118"/>
      <c r="L72" s="118"/>
      <c r="M72" s="118"/>
      <c r="N72" s="248">
        <f>AN9</f>
        <v>0</v>
      </c>
      <c r="O72" s="249"/>
      <c r="P72" s="249"/>
      <c r="Q72" s="249"/>
      <c r="R72" s="249"/>
      <c r="S72" s="249"/>
      <c r="T72" s="281">
        <f>AN61</f>
        <v>0</v>
      </c>
      <c r="U72" s="245"/>
      <c r="V72" s="245"/>
      <c r="W72" s="245"/>
      <c r="X72" s="245"/>
      <c r="Y72" s="245"/>
      <c r="Z72" s="245"/>
      <c r="AA72" s="282"/>
      <c r="AB72" s="258"/>
      <c r="AC72" s="256"/>
      <c r="AD72" s="256"/>
      <c r="AE72" s="256"/>
      <c r="AF72" s="256"/>
      <c r="AG72" s="256"/>
      <c r="AH72" s="256"/>
      <c r="AI72" s="256"/>
      <c r="AJ72" s="256"/>
      <c r="AK72" s="256"/>
      <c r="AL72" s="256"/>
      <c r="AM72" s="256"/>
      <c r="AN72" s="256"/>
      <c r="AO72" s="256"/>
      <c r="AP72" s="256"/>
      <c r="AQ72" s="256"/>
      <c r="AR72" s="257"/>
      <c r="AS72" s="180"/>
      <c r="AT72" s="116"/>
      <c r="AU72" s="116"/>
      <c r="AV72" s="180"/>
      <c r="AW72" s="180"/>
      <c r="AX72" s="78"/>
      <c r="AY72" s="78"/>
      <c r="BF72" s="48"/>
      <c r="BH72" s="44"/>
      <c r="BI72" s="45"/>
      <c r="BJ72" s="44"/>
      <c r="BK72" s="46"/>
      <c r="BL72" s="46"/>
      <c r="BM72" s="44"/>
      <c r="BN72" s="46"/>
    </row>
    <row r="73" spans="2:66" ht="18" customHeight="1">
      <c r="B73" s="238"/>
      <c r="C73" s="238"/>
      <c r="D73" s="238"/>
      <c r="E73" s="238"/>
      <c r="F73" s="30"/>
      <c r="G73" s="274"/>
      <c r="H73" s="275"/>
      <c r="I73" s="275"/>
      <c r="J73" s="276"/>
      <c r="K73" s="119"/>
      <c r="L73" s="119"/>
      <c r="M73" s="119"/>
      <c r="N73" s="213" t="s">
        <v>19</v>
      </c>
      <c r="O73" s="213"/>
      <c r="P73" s="213"/>
      <c r="Q73" s="213"/>
      <c r="R73" s="213"/>
      <c r="S73" s="213"/>
      <c r="T73" s="214">
        <f>SUM(T68:AA72)</f>
        <v>162803</v>
      </c>
      <c r="U73" s="214"/>
      <c r="V73" s="213"/>
      <c r="W73" s="213"/>
      <c r="X73" s="213"/>
      <c r="Y73" s="213"/>
      <c r="Z73" s="215"/>
      <c r="AA73" s="215"/>
      <c r="AB73" s="258"/>
      <c r="AC73" s="256"/>
      <c r="AD73" s="256"/>
      <c r="AE73" s="256"/>
      <c r="AF73" s="256"/>
      <c r="AG73" s="256"/>
      <c r="AH73" s="256"/>
      <c r="AI73" s="256"/>
      <c r="AJ73" s="256"/>
      <c r="AK73" s="256"/>
      <c r="AL73" s="256"/>
      <c r="AM73" s="256"/>
      <c r="AN73" s="256"/>
      <c r="AO73" s="256"/>
      <c r="AP73" s="256"/>
      <c r="AQ73" s="256"/>
      <c r="AR73" s="257"/>
      <c r="AS73" s="180"/>
      <c r="AT73" s="116"/>
      <c r="AU73" s="116"/>
      <c r="AV73" s="180"/>
      <c r="AW73" s="180"/>
      <c r="AX73" s="78"/>
      <c r="AY73" s="78"/>
      <c r="BF73" s="48"/>
      <c r="BH73" s="44"/>
      <c r="BI73" s="45"/>
      <c r="BJ73" s="44"/>
      <c r="BK73" s="46"/>
      <c r="BL73" s="46"/>
      <c r="BM73" s="44"/>
      <c r="BN73" s="46"/>
    </row>
    <row r="74" spans="2:66" ht="18.75" customHeight="1" thickBot="1">
      <c r="B74" s="238"/>
      <c r="C74" s="238"/>
      <c r="D74" s="238"/>
      <c r="E74" s="238"/>
      <c r="F74" s="266" t="s">
        <v>31</v>
      </c>
      <c r="G74" s="267"/>
      <c r="H74" s="267"/>
      <c r="I74" s="267"/>
      <c r="J74" s="268"/>
      <c r="K74" s="268"/>
      <c r="L74" s="268"/>
      <c r="M74" s="268"/>
      <c r="N74" s="268"/>
      <c r="O74" s="268"/>
      <c r="P74" s="268"/>
      <c r="Q74" s="268"/>
      <c r="R74" s="268"/>
      <c r="S74" s="268"/>
      <c r="T74" s="269">
        <f>AQ61</f>
        <v>874926</v>
      </c>
      <c r="U74" s="269"/>
      <c r="V74" s="268"/>
      <c r="W74" s="268"/>
      <c r="X74" s="268"/>
      <c r="Y74" s="268"/>
      <c r="Z74" s="270"/>
      <c r="AA74" s="270"/>
      <c r="AB74" s="259"/>
      <c r="AC74" s="260"/>
      <c r="AD74" s="260"/>
      <c r="AE74" s="260"/>
      <c r="AF74" s="260"/>
      <c r="AG74" s="260"/>
      <c r="AH74" s="260"/>
      <c r="AI74" s="260"/>
      <c r="AJ74" s="260"/>
      <c r="AK74" s="260"/>
      <c r="AL74" s="260"/>
      <c r="AM74" s="260"/>
      <c r="AN74" s="260"/>
      <c r="AO74" s="260"/>
      <c r="AP74" s="260"/>
      <c r="AQ74" s="260"/>
      <c r="AR74" s="261"/>
      <c r="AS74" s="180"/>
      <c r="AT74" s="116"/>
      <c r="AU74" s="116"/>
      <c r="AV74" s="180"/>
      <c r="AW74" s="180"/>
      <c r="AX74" s="78"/>
      <c r="AY74" s="78"/>
      <c r="BF74" s="48"/>
      <c r="BH74" s="44"/>
      <c r="BI74" s="45"/>
      <c r="BJ74" s="44"/>
      <c r="BK74" s="46"/>
      <c r="BL74" s="46"/>
      <c r="BM74" s="44"/>
      <c r="BN74" s="46"/>
    </row>
    <row r="75" spans="2:66" ht="30" customHeight="1">
      <c r="B75" s="238"/>
      <c r="C75" s="238"/>
      <c r="D75" s="238"/>
      <c r="E75" s="238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181"/>
      <c r="AA75" s="181"/>
      <c r="AB75" s="181"/>
      <c r="AC75" s="181"/>
      <c r="AD75" s="181"/>
      <c r="AE75" s="181"/>
      <c r="AF75" s="181"/>
      <c r="AG75" s="181"/>
      <c r="AH75" s="181"/>
      <c r="AI75" s="181"/>
      <c r="AJ75" s="181"/>
      <c r="AK75" s="181"/>
      <c r="AL75" s="181"/>
      <c r="AM75" s="181"/>
      <c r="AN75" s="181"/>
      <c r="AO75" s="181"/>
      <c r="AP75" s="181"/>
      <c r="AQ75" s="181"/>
      <c r="AR75" s="181"/>
      <c r="AS75" s="180"/>
      <c r="AT75" s="116"/>
      <c r="AU75" s="116"/>
      <c r="AV75" s="180"/>
      <c r="AW75" s="180"/>
      <c r="AX75" s="78"/>
      <c r="AY75" s="78"/>
      <c r="BH75" s="44">
        <f t="shared" si="24"/>
        <v>1</v>
      </c>
      <c r="BI75" s="45" t="e">
        <f t="shared" ref="BI75" si="159">#REF!</f>
        <v>#REF!</v>
      </c>
      <c r="BJ75" s="44" t="e">
        <f t="shared" si="26"/>
        <v>#REF!</v>
      </c>
      <c r="BK75" s="46" t="e">
        <f t="shared" si="27"/>
        <v>#REF!</v>
      </c>
      <c r="BL75" s="46" t="e">
        <f t="shared" si="28"/>
        <v>#REF!</v>
      </c>
      <c r="BM75" s="44" t="e">
        <f t="shared" ref="BM75" si="160">IF(BL75=0,0,$BQ$3)</f>
        <v>#REF!</v>
      </c>
      <c r="BN75" s="46" t="e">
        <f t="shared" si="30"/>
        <v>#REF!</v>
      </c>
    </row>
  </sheetData>
  <sheetProtection password="F73A" sheet="1" objects="1" scenarios="1" formatCells="0" formatColumns="0" formatRows="0" selectLockedCells="1"/>
  <mergeCells count="150">
    <mergeCell ref="B61:E75"/>
    <mergeCell ref="B8:C9"/>
    <mergeCell ref="D8:E9"/>
    <mergeCell ref="AU9:AU10"/>
    <mergeCell ref="G59:J59"/>
    <mergeCell ref="G50:J50"/>
    <mergeCell ref="G51:J51"/>
    <mergeCell ref="G52:J52"/>
    <mergeCell ref="G53:J53"/>
    <mergeCell ref="G54:J54"/>
    <mergeCell ref="G55:J55"/>
    <mergeCell ref="G56:J56"/>
    <mergeCell ref="G57:J57"/>
    <mergeCell ref="G58:J58"/>
    <mergeCell ref="G41:J41"/>
    <mergeCell ref="G27:J27"/>
    <mergeCell ref="G28:J28"/>
    <mergeCell ref="G29:J29"/>
    <mergeCell ref="G30:J30"/>
    <mergeCell ref="G17:J17"/>
    <mergeCell ref="G31:J31"/>
    <mergeCell ref="AL9:AN9"/>
    <mergeCell ref="T67:AA67"/>
    <mergeCell ref="F74:S74"/>
    <mergeCell ref="T74:AA74"/>
    <mergeCell ref="G68:J73"/>
    <mergeCell ref="N68:S68"/>
    <mergeCell ref="T68:AA68"/>
    <mergeCell ref="G15:J15"/>
    <mergeCell ref="N72:S72"/>
    <mergeCell ref="T72:AA72"/>
    <mergeCell ref="AE7:AH7"/>
    <mergeCell ref="AC9:AE9"/>
    <mergeCell ref="P7:U7"/>
    <mergeCell ref="AI7:AR7"/>
    <mergeCell ref="AA8:AC8"/>
    <mergeCell ref="AE8:AG8"/>
    <mergeCell ref="G32:J32"/>
    <mergeCell ref="AV60:AV75"/>
    <mergeCell ref="AT7:AV8"/>
    <mergeCell ref="AT9:AT10"/>
    <mergeCell ref="AV9:AV10"/>
    <mergeCell ref="N66:S66"/>
    <mergeCell ref="T66:AA66"/>
    <mergeCell ref="N71:S71"/>
    <mergeCell ref="T71:AA71"/>
    <mergeCell ref="AB62:AR65"/>
    <mergeCell ref="N69:S69"/>
    <mergeCell ref="T69:AA69"/>
    <mergeCell ref="N70:S70"/>
    <mergeCell ref="T70:AA70"/>
    <mergeCell ref="T65:AA65"/>
    <mergeCell ref="AB66:AR74"/>
    <mergeCell ref="N67:S67"/>
    <mergeCell ref="BM11:BM13"/>
    <mergeCell ref="BN11:BN13"/>
    <mergeCell ref="G24:J24"/>
    <mergeCell ref="G25:J25"/>
    <mergeCell ref="G26:J26"/>
    <mergeCell ref="AW2:AW75"/>
    <mergeCell ref="AT2:AV6"/>
    <mergeCell ref="E3:H3"/>
    <mergeCell ref="B4:E4"/>
    <mergeCell ref="B6:E6"/>
    <mergeCell ref="B5:E5"/>
    <mergeCell ref="B7:E7"/>
    <mergeCell ref="BH11:BH13"/>
    <mergeCell ref="B3:D3"/>
    <mergeCell ref="B2:D2"/>
    <mergeCell ref="E2:H2"/>
    <mergeCell ref="AI9:AK9"/>
    <mergeCell ref="N73:S73"/>
    <mergeCell ref="T73:AA73"/>
    <mergeCell ref="T64:AA64"/>
    <mergeCell ref="N65:S65"/>
    <mergeCell ref="G42:J42"/>
    <mergeCell ref="G43:J43"/>
    <mergeCell ref="G44:J44"/>
    <mergeCell ref="BJ11:BJ13"/>
    <mergeCell ref="BK11:BK13"/>
    <mergeCell ref="BL11:BL13"/>
    <mergeCell ref="G45:J45"/>
    <mergeCell ref="G46:J46"/>
    <mergeCell ref="G47:J47"/>
    <mergeCell ref="G48:J48"/>
    <mergeCell ref="G49:J49"/>
    <mergeCell ref="BI11:BI13"/>
    <mergeCell ref="AR11:AR13"/>
    <mergeCell ref="G23:J23"/>
    <mergeCell ref="G33:J33"/>
    <mergeCell ref="G34:J34"/>
    <mergeCell ref="G35:J35"/>
    <mergeCell ref="G36:J36"/>
    <mergeCell ref="G37:J37"/>
    <mergeCell ref="G38:J38"/>
    <mergeCell ref="G39:J39"/>
    <mergeCell ref="G21:J21"/>
    <mergeCell ref="G22:J22"/>
    <mergeCell ref="G18:J18"/>
    <mergeCell ref="G19:J19"/>
    <mergeCell ref="G20:J20"/>
    <mergeCell ref="G14:J14"/>
    <mergeCell ref="BE11:BE13"/>
    <mergeCell ref="AZ11:AZ13"/>
    <mergeCell ref="BA11:BA13"/>
    <mergeCell ref="BB11:BB13"/>
    <mergeCell ref="BC11:BC13"/>
    <mergeCell ref="BD11:BD13"/>
    <mergeCell ref="AS2:AS75"/>
    <mergeCell ref="F75:AR75"/>
    <mergeCell ref="F8:X8"/>
    <mergeCell ref="AO8:AR8"/>
    <mergeCell ref="F11:F13"/>
    <mergeCell ref="F9:F10"/>
    <mergeCell ref="G9:J10"/>
    <mergeCell ref="N9:R9"/>
    <mergeCell ref="S9:W9"/>
    <mergeCell ref="X9:AB9"/>
    <mergeCell ref="U2:V2"/>
    <mergeCell ref="AE2:AH2"/>
    <mergeCell ref="G13:J13"/>
    <mergeCell ref="I2:P2"/>
    <mergeCell ref="Q2:T2"/>
    <mergeCell ref="W2:Z2"/>
    <mergeCell ref="AB2:AD2"/>
    <mergeCell ref="AI2:AJ2"/>
    <mergeCell ref="B1:AW1"/>
    <mergeCell ref="A11:A13"/>
    <mergeCell ref="F61:J61"/>
    <mergeCell ref="F62:AA62"/>
    <mergeCell ref="G63:J67"/>
    <mergeCell ref="N63:S63"/>
    <mergeCell ref="T63:AA63"/>
    <mergeCell ref="N64:S64"/>
    <mergeCell ref="G40:J40"/>
    <mergeCell ref="G60:J60"/>
    <mergeCell ref="G16:J16"/>
    <mergeCell ref="AK2:AQ2"/>
    <mergeCell ref="I3:AR3"/>
    <mergeCell ref="AO9:AO10"/>
    <mergeCell ref="AP9:AP10"/>
    <mergeCell ref="AQ9:AQ10"/>
    <mergeCell ref="AR9:AR10"/>
    <mergeCell ref="AF9:AH9"/>
    <mergeCell ref="F4:AR4"/>
    <mergeCell ref="F5:AR5"/>
    <mergeCell ref="F6:AR6"/>
    <mergeCell ref="F7:O7"/>
    <mergeCell ref="V7:Y7"/>
    <mergeCell ref="AA7:AD7"/>
  </mergeCells>
  <conditionalFormatting sqref="A14:G60 U13:U59 AQ14:AR60 N14:AO60">
    <cfRule type="expression" dxfId="3" priority="7">
      <formula>$G13=0</formula>
    </cfRule>
  </conditionalFormatting>
  <conditionalFormatting sqref="BL14:BN75">
    <cfRule type="cellIs" dxfId="2" priority="6" operator="equal">
      <formula>0</formula>
    </cfRule>
  </conditionalFormatting>
  <conditionalFormatting sqref="K11:N60">
    <cfRule type="expression" dxfId="1" priority="5">
      <formula>$K11=7</formula>
    </cfRule>
  </conditionalFormatting>
  <conditionalFormatting sqref="U10 P10 Z10 N66:AA66">
    <cfRule type="cellIs" dxfId="0" priority="4" operator="equal">
      <formula>0</formula>
    </cfRule>
  </conditionalFormatting>
  <dataValidations count="4">
    <dataValidation type="list" allowBlank="1" showInputMessage="1" showErrorMessage="1" sqref="Q2">
      <formula1>"Subordinate,State,Ministrial"</formula1>
    </dataValidation>
    <dataValidation type="list" allowBlank="1" showInputMessage="1" showErrorMessage="1" sqref="E2">
      <formula1>"Salary,Fixation,ACP"</formula1>
    </dataValidation>
    <dataValidation type="list" allowBlank="1" showInputMessage="1" showErrorMessage="1" sqref="AT13:AT59">
      <formula1>"YES,NO"</formula1>
    </dataValidation>
    <dataValidation type="list" allowBlank="1" showInputMessage="1" showErrorMessage="1" sqref="E3:H3">
      <formula1>"0,.05,.10,.15,.20,.25,.30"</formula1>
    </dataValidation>
  </dataValidations>
  <pageMargins left="0.3" right="0.2" top="0.33" bottom="0.34" header="0.31496062992125984" footer="0.31496062992125984"/>
  <pageSetup paperSize="9" scale="63" orientation="landscape" r:id="rId1"/>
  <colBreaks count="1" manualBreakCount="1">
    <brk id="44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L25"/>
  <sheetViews>
    <sheetView showGridLines="0" showRowColHeaders="0" zoomScale="85" zoomScaleNormal="85" workbookViewId="0">
      <selection activeCell="C5" sqref="C5"/>
    </sheetView>
  </sheetViews>
  <sheetFormatPr defaultColWidth="0" defaultRowHeight="15" zeroHeight="1"/>
  <cols>
    <col min="1" max="1" width="5.5703125" customWidth="1"/>
    <col min="2" max="2" width="22.140625" customWidth="1"/>
    <col min="3" max="3" width="16.7109375" customWidth="1"/>
    <col min="4" max="6" width="20.85546875" customWidth="1"/>
    <col min="7" max="7" width="11.28515625" customWidth="1"/>
    <col min="8" max="8" width="20.85546875" customWidth="1"/>
    <col min="9" max="9" width="2" customWidth="1"/>
    <col min="10" max="10" width="9" style="101" customWidth="1"/>
    <col min="11" max="11" width="7.140625" style="101" customWidth="1"/>
    <col min="12" max="12" width="0" hidden="1" customWidth="1"/>
    <col min="13" max="16384" width="9.140625" hidden="1"/>
  </cols>
  <sheetData>
    <row r="1" spans="1:11" ht="29.25" customHeight="1">
      <c r="A1" s="292" t="str">
        <f>'Arear For 48 Months'!F4</f>
        <v>dk;kZy;% ç/kkukpk;Z] jktdh; mPp ek/;fed fo|ky; jk;eyok³k] ckfi.kh ¼tks/kiqj½</v>
      </c>
      <c r="B1" s="292"/>
      <c r="C1" s="292"/>
      <c r="D1" s="292"/>
      <c r="E1" s="292"/>
      <c r="F1" s="292"/>
      <c r="G1" s="292"/>
      <c r="H1" s="292"/>
      <c r="I1" s="288"/>
      <c r="J1" s="286" t="s">
        <v>106</v>
      </c>
      <c r="K1" s="287" t="s">
        <v>107</v>
      </c>
    </row>
    <row r="2" spans="1:11" ht="21.75">
      <c r="A2" s="291" t="s">
        <v>33</v>
      </c>
      <c r="B2" s="291"/>
      <c r="C2" s="291"/>
      <c r="D2" s="291"/>
      <c r="E2" s="291"/>
      <c r="F2" s="291"/>
      <c r="G2" s="291"/>
      <c r="H2" s="291"/>
      <c r="I2" s="288"/>
      <c r="J2" s="286"/>
      <c r="K2" s="287"/>
    </row>
    <row r="3" spans="1:11" ht="119.25" customHeight="1" thickBot="1">
      <c r="A3" s="293" t="s">
        <v>47</v>
      </c>
      <c r="B3" s="293"/>
      <c r="C3" s="293"/>
      <c r="D3" s="293"/>
      <c r="E3" s="293"/>
      <c r="F3" s="293"/>
      <c r="G3" s="293"/>
      <c r="H3" s="293"/>
      <c r="I3" s="288"/>
      <c r="J3" s="286"/>
      <c r="K3" s="287"/>
    </row>
    <row r="4" spans="1:11" ht="48" thickBot="1">
      <c r="A4" s="3" t="s">
        <v>34</v>
      </c>
      <c r="B4" s="4" t="s">
        <v>35</v>
      </c>
      <c r="C4" s="4" t="s">
        <v>36</v>
      </c>
      <c r="D4" s="4" t="s">
        <v>37</v>
      </c>
      <c r="E4" s="137" t="s">
        <v>113</v>
      </c>
      <c r="F4" s="4" t="s">
        <v>38</v>
      </c>
      <c r="G4" s="4" t="s">
        <v>39</v>
      </c>
      <c r="H4" s="4" t="s">
        <v>46</v>
      </c>
      <c r="I4" s="288"/>
      <c r="J4" s="286"/>
      <c r="K4" s="287"/>
    </row>
    <row r="5" spans="1:11" s="7" customFormat="1" ht="46.5" customHeight="1" thickBot="1">
      <c r="A5" s="100">
        <v>1</v>
      </c>
      <c r="B5" s="95"/>
      <c r="C5" s="95"/>
      <c r="D5" s="96"/>
      <c r="E5" s="96"/>
      <c r="F5" s="97"/>
      <c r="G5" s="98"/>
      <c r="H5" s="98"/>
      <c r="I5" s="288"/>
      <c r="J5" s="286"/>
      <c r="K5" s="287"/>
    </row>
    <row r="6" spans="1:11" ht="18.75">
      <c r="A6" s="290" t="s">
        <v>40</v>
      </c>
      <c r="B6" s="290"/>
      <c r="C6" s="290"/>
      <c r="D6" s="290"/>
      <c r="E6" s="290"/>
      <c r="F6" s="290"/>
      <c r="G6" s="290"/>
      <c r="H6" s="290"/>
      <c r="I6" s="288"/>
      <c r="J6" s="286"/>
      <c r="K6" s="287"/>
    </row>
    <row r="7" spans="1:11" ht="20.25">
      <c r="A7" s="5"/>
      <c r="I7" s="288"/>
      <c r="J7" s="286"/>
      <c r="K7" s="287"/>
    </row>
    <row r="8" spans="1:11">
      <c r="I8" s="288"/>
      <c r="J8" s="286"/>
      <c r="K8" s="287"/>
    </row>
    <row r="9" spans="1:11" ht="18.75">
      <c r="A9" s="2"/>
      <c r="I9" s="288"/>
      <c r="J9" s="286"/>
      <c r="K9" s="287"/>
    </row>
    <row r="10" spans="1:11" ht="18.75">
      <c r="A10" s="139" t="s">
        <v>41</v>
      </c>
      <c r="B10" s="138"/>
      <c r="C10" s="138"/>
      <c r="D10" s="139" t="s">
        <v>42</v>
      </c>
      <c r="E10" s="138"/>
      <c r="G10" s="289" t="s">
        <v>27</v>
      </c>
      <c r="H10" s="289"/>
      <c r="I10" s="288"/>
      <c r="J10" s="102"/>
      <c r="K10" s="288"/>
    </row>
    <row r="11" spans="1:11" ht="18.75">
      <c r="A11" s="2" t="s">
        <v>43</v>
      </c>
      <c r="I11" s="288"/>
      <c r="J11" s="102"/>
      <c r="K11" s="288"/>
    </row>
    <row r="12" spans="1:11" ht="18.75">
      <c r="A12" s="6" t="s">
        <v>110</v>
      </c>
      <c r="I12" s="288"/>
      <c r="J12" s="102"/>
      <c r="K12" s="288"/>
    </row>
    <row r="13" spans="1:11" ht="18.75">
      <c r="A13" s="6" t="s">
        <v>44</v>
      </c>
      <c r="I13" s="288"/>
      <c r="J13" s="102"/>
      <c r="K13" s="288"/>
    </row>
    <row r="14" spans="1:11" ht="18.75">
      <c r="A14" s="6" t="s">
        <v>45</v>
      </c>
      <c r="I14" s="288"/>
      <c r="J14" s="102"/>
      <c r="K14" s="288"/>
    </row>
    <row r="15" spans="1:11" ht="18.75">
      <c r="A15" s="6"/>
      <c r="G15" s="289" t="s">
        <v>27</v>
      </c>
      <c r="H15" s="289"/>
      <c r="I15" s="288"/>
      <c r="J15" s="102"/>
      <c r="K15" s="288"/>
    </row>
    <row r="16" spans="1:11">
      <c r="I16" s="288"/>
      <c r="J16" s="102"/>
      <c r="K16" s="288"/>
    </row>
    <row r="17" spans="10:11" hidden="1">
      <c r="J17" s="102"/>
      <c r="K17" s="288"/>
    </row>
    <row r="18" spans="10:11" hidden="1">
      <c r="J18" s="102"/>
      <c r="K18" s="288"/>
    </row>
    <row r="19" spans="10:11" hidden="1"/>
    <row r="20" spans="10:11" hidden="1"/>
    <row r="21" spans="10:11" hidden="1"/>
    <row r="22" spans="10:11" hidden="1"/>
    <row r="23" spans="10:11" hidden="1"/>
    <row r="24" spans="10:11" hidden="1"/>
    <row r="25" spans="10:11" ht="23.25" hidden="1">
      <c r="K25" s="1"/>
    </row>
  </sheetData>
  <sheetProtection password="E8FA" sheet="1" objects="1" scenarios="1" formatCells="0" formatColumns="0" formatRows="0" insertColumns="0" insertRows="0" selectLockedCells="1"/>
  <mergeCells count="10">
    <mergeCell ref="J1:J9"/>
    <mergeCell ref="K1:K9"/>
    <mergeCell ref="K10:K18"/>
    <mergeCell ref="G10:H10"/>
    <mergeCell ref="G15:H15"/>
    <mergeCell ref="A6:H6"/>
    <mergeCell ref="A2:H2"/>
    <mergeCell ref="A1:H1"/>
    <mergeCell ref="A3:H3"/>
    <mergeCell ref="I1:I16"/>
  </mergeCells>
  <pageMargins left="0.43" right="0.21" top="0.45" bottom="0.22" header="0.31496062992125984" footer="0.19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</sheetPr>
  <dimension ref="A1:AA25"/>
  <sheetViews>
    <sheetView showGridLines="0" showRowColHeaders="0" topLeftCell="A2" workbookViewId="0">
      <selection activeCell="M8" sqref="M8"/>
    </sheetView>
  </sheetViews>
  <sheetFormatPr defaultColWidth="0" defaultRowHeight="0" customHeight="1" zeroHeight="1"/>
  <cols>
    <col min="1" max="1" width="4.7109375" style="101" customWidth="1"/>
    <col min="2" max="2" width="10.42578125" style="101" customWidth="1"/>
    <col min="3" max="6" width="13.7109375" style="101" customWidth="1"/>
    <col min="7" max="7" width="6.85546875" style="101" customWidth="1"/>
    <col min="8" max="9" width="9.140625" style="101" customWidth="1"/>
    <col min="10" max="10" width="7" style="101" customWidth="1"/>
    <col min="11" max="12" width="9.140625" style="101" customWidth="1"/>
    <col min="13" max="13" width="12.5703125" style="101" customWidth="1"/>
    <col min="14" max="14" width="13.7109375" style="101" customWidth="1"/>
    <col min="15" max="15" width="12" style="101" customWidth="1"/>
    <col min="16" max="16" width="10.5703125" style="101" customWidth="1"/>
    <col min="17" max="17" width="2" style="101" customWidth="1"/>
    <col min="18" max="18" width="9" style="101" customWidth="1"/>
    <col min="19" max="19" width="7.140625" style="101" customWidth="1"/>
    <col min="20" max="27" width="0" style="101" hidden="1" customWidth="1"/>
    <col min="28" max="16384" width="9.140625" style="101" hidden="1"/>
  </cols>
  <sheetData>
    <row r="1" spans="1:19" ht="29.25" customHeight="1" thickBot="1">
      <c r="A1" s="311" t="str">
        <f>'Arear For 48 Months'!F4</f>
        <v>dk;kZy;% ç/kkukpk;Z] jktdh; mPp ek/;fed fo|ky; jk;eyok³k] ckfi.kh ¼tks/kiqj½</v>
      </c>
      <c r="B1" s="312"/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3"/>
      <c r="Q1" s="288"/>
      <c r="R1" s="286" t="s">
        <v>106</v>
      </c>
      <c r="S1" s="287" t="s">
        <v>107</v>
      </c>
    </row>
    <row r="2" spans="1:19" ht="18.75">
      <c r="A2" s="314" t="s">
        <v>0</v>
      </c>
      <c r="B2" s="315"/>
      <c r="C2" s="315"/>
      <c r="D2" s="315"/>
      <c r="E2" s="315"/>
      <c r="F2" s="315"/>
      <c r="G2" s="315"/>
      <c r="H2" s="315"/>
      <c r="I2" s="315"/>
      <c r="J2" s="315"/>
      <c r="K2" s="315"/>
      <c r="L2" s="315"/>
      <c r="M2" s="315"/>
      <c r="N2" s="315"/>
      <c r="O2" s="315"/>
      <c r="P2" s="316"/>
      <c r="Q2" s="288"/>
      <c r="R2" s="286"/>
      <c r="S2" s="287"/>
    </row>
    <row r="3" spans="1:19" ht="91.5" customHeight="1">
      <c r="A3" s="317" t="s">
        <v>99</v>
      </c>
      <c r="B3" s="318"/>
      <c r="C3" s="318"/>
      <c r="D3" s="318"/>
      <c r="E3" s="318"/>
      <c r="F3" s="318"/>
      <c r="G3" s="319"/>
      <c r="H3" s="319"/>
      <c r="I3" s="319"/>
      <c r="J3" s="319"/>
      <c r="K3" s="319"/>
      <c r="L3" s="319"/>
      <c r="M3" s="318"/>
      <c r="N3" s="318"/>
      <c r="O3" s="318"/>
      <c r="P3" s="320"/>
      <c r="Q3" s="288"/>
      <c r="R3" s="286"/>
      <c r="S3" s="287"/>
    </row>
    <row r="4" spans="1:19" ht="17.25" customHeight="1">
      <c r="A4" s="321" t="s">
        <v>4</v>
      </c>
      <c r="B4" s="322" t="s">
        <v>35</v>
      </c>
      <c r="C4" s="322" t="s">
        <v>89</v>
      </c>
      <c r="D4" s="322" t="s">
        <v>90</v>
      </c>
      <c r="E4" s="322" t="s">
        <v>91</v>
      </c>
      <c r="F4" s="304">
        <v>9</v>
      </c>
      <c r="G4" s="323" t="str">
        <f>CONCATENATE(F4,F6)</f>
        <v>9o"khZ; ,lhih ns; frfFk</v>
      </c>
      <c r="H4" s="324"/>
      <c r="I4" s="325"/>
      <c r="J4" s="323" t="str">
        <f>CONCATENATE(F4,F6)</f>
        <v>9o"khZ; ,lhih ns; frfFk</v>
      </c>
      <c r="K4" s="324"/>
      <c r="L4" s="325"/>
      <c r="M4" s="326" t="s">
        <v>103</v>
      </c>
      <c r="N4" s="306" t="s">
        <v>104</v>
      </c>
      <c r="O4" s="307" t="s">
        <v>46</v>
      </c>
      <c r="P4" s="308" t="s">
        <v>92</v>
      </c>
      <c r="Q4" s="288"/>
      <c r="R4" s="286"/>
      <c r="S4" s="287"/>
    </row>
    <row r="5" spans="1:19" ht="17.25" customHeight="1">
      <c r="A5" s="321"/>
      <c r="B5" s="322"/>
      <c r="C5" s="322"/>
      <c r="D5" s="322"/>
      <c r="E5" s="322"/>
      <c r="F5" s="305"/>
      <c r="G5" s="296">
        <f>F8</f>
        <v>0</v>
      </c>
      <c r="H5" s="297"/>
      <c r="I5" s="298"/>
      <c r="J5" s="296">
        <f>F8</f>
        <v>0</v>
      </c>
      <c r="K5" s="297"/>
      <c r="L5" s="298"/>
      <c r="M5" s="326"/>
      <c r="N5" s="306"/>
      <c r="O5" s="307"/>
      <c r="P5" s="308"/>
      <c r="Q5" s="288"/>
      <c r="R5" s="286"/>
      <c r="S5" s="287"/>
    </row>
    <row r="6" spans="1:19" ht="17.25" customHeight="1">
      <c r="A6" s="321"/>
      <c r="B6" s="322"/>
      <c r="C6" s="322"/>
      <c r="D6" s="322"/>
      <c r="E6" s="322"/>
      <c r="F6" s="302" t="s">
        <v>101</v>
      </c>
      <c r="G6" s="299" t="s">
        <v>100</v>
      </c>
      <c r="H6" s="300"/>
      <c r="I6" s="301"/>
      <c r="J6" s="299" t="s">
        <v>102</v>
      </c>
      <c r="K6" s="300"/>
      <c r="L6" s="301"/>
      <c r="M6" s="326"/>
      <c r="N6" s="306"/>
      <c r="O6" s="307"/>
      <c r="P6" s="308"/>
      <c r="Q6" s="288"/>
      <c r="R6" s="286"/>
      <c r="S6" s="287"/>
    </row>
    <row r="7" spans="1:19" s="7" customFormat="1" ht="46.5" customHeight="1">
      <c r="A7" s="321"/>
      <c r="B7" s="322"/>
      <c r="C7" s="322"/>
      <c r="D7" s="322"/>
      <c r="E7" s="322"/>
      <c r="F7" s="303"/>
      <c r="G7" s="105" t="s">
        <v>93</v>
      </c>
      <c r="H7" s="106" t="s">
        <v>94</v>
      </c>
      <c r="I7" s="107" t="s">
        <v>95</v>
      </c>
      <c r="J7" s="105" t="s">
        <v>93</v>
      </c>
      <c r="K7" s="106" t="s">
        <v>94</v>
      </c>
      <c r="L7" s="107" t="s">
        <v>95</v>
      </c>
      <c r="M7" s="306"/>
      <c r="N7" s="306"/>
      <c r="O7" s="307"/>
      <c r="P7" s="308"/>
      <c r="Q7" s="288"/>
      <c r="R7" s="286"/>
      <c r="S7" s="287"/>
    </row>
    <row r="8" spans="1:19" ht="74.25" customHeight="1" thickBot="1">
      <c r="A8" s="108">
        <v>1</v>
      </c>
      <c r="B8" s="109"/>
      <c r="C8" s="110"/>
      <c r="D8" s="111"/>
      <c r="E8" s="111"/>
      <c r="F8" s="111"/>
      <c r="G8" s="112"/>
      <c r="H8" s="112"/>
      <c r="I8" s="112"/>
      <c r="J8" s="112"/>
      <c r="K8" s="112"/>
      <c r="L8" s="112"/>
      <c r="M8" s="113"/>
      <c r="N8" s="113"/>
      <c r="O8" s="111"/>
      <c r="P8" s="114"/>
      <c r="Q8" s="288"/>
      <c r="R8" s="286"/>
      <c r="S8" s="287"/>
    </row>
    <row r="9" spans="1:19" ht="36.75" customHeight="1">
      <c r="Q9" s="288"/>
      <c r="R9" s="286"/>
      <c r="S9" s="287"/>
    </row>
    <row r="10" spans="1:19" ht="15">
      <c r="N10" s="309" t="s">
        <v>27</v>
      </c>
      <c r="O10" s="309"/>
      <c r="P10" s="309"/>
      <c r="Q10" s="288"/>
      <c r="R10" s="102"/>
      <c r="S10" s="288"/>
    </row>
    <row r="11" spans="1:19" ht="18.75">
      <c r="A11" s="310" t="s">
        <v>105</v>
      </c>
      <c r="B11" s="310"/>
      <c r="C11" s="310"/>
      <c r="D11" s="310"/>
      <c r="E11" s="310"/>
      <c r="F11" s="310"/>
      <c r="G11" s="310"/>
      <c r="H11" s="310"/>
      <c r="I11" s="310"/>
      <c r="J11" s="310"/>
      <c r="Q11" s="288"/>
      <c r="R11" s="102"/>
      <c r="S11" s="288"/>
    </row>
    <row r="12" spans="1:19" ht="18.75">
      <c r="A12" s="294" t="s">
        <v>96</v>
      </c>
      <c r="B12" s="294"/>
      <c r="C12" s="294"/>
      <c r="D12" s="294"/>
      <c r="E12" s="294"/>
      <c r="F12" s="294"/>
      <c r="G12" s="294"/>
      <c r="H12" s="294"/>
      <c r="I12" s="294"/>
      <c r="J12" s="294"/>
      <c r="Q12" s="288"/>
      <c r="R12" s="102"/>
      <c r="S12" s="288"/>
    </row>
    <row r="13" spans="1:19" ht="18.75">
      <c r="A13" s="103">
        <v>1</v>
      </c>
      <c r="B13" s="295" t="s">
        <v>109</v>
      </c>
      <c r="C13" s="295"/>
      <c r="D13" s="295"/>
      <c r="E13" s="295"/>
      <c r="F13" s="104"/>
      <c r="Q13" s="288"/>
      <c r="R13" s="102"/>
      <c r="S13" s="288"/>
    </row>
    <row r="14" spans="1:19" ht="18.75">
      <c r="A14" s="103">
        <v>2</v>
      </c>
      <c r="B14" s="295" t="s">
        <v>97</v>
      </c>
      <c r="C14" s="295"/>
      <c r="D14" s="295"/>
      <c r="E14" s="295"/>
      <c r="F14" s="104"/>
      <c r="Q14" s="288"/>
      <c r="R14" s="102"/>
      <c r="S14" s="288"/>
    </row>
    <row r="15" spans="1:19" ht="18.75">
      <c r="A15" s="103">
        <v>3</v>
      </c>
      <c r="B15" s="295" t="s">
        <v>98</v>
      </c>
      <c r="C15" s="295"/>
      <c r="D15" s="295"/>
      <c r="E15" s="295"/>
      <c r="F15" s="104"/>
      <c r="Q15" s="288"/>
      <c r="R15" s="102"/>
      <c r="S15" s="288"/>
    </row>
    <row r="16" spans="1:19" ht="15">
      <c r="N16" s="309" t="str">
        <f>N10</f>
        <v>gLrk{kj MhMhvks e; eqgj</v>
      </c>
      <c r="O16" s="309"/>
      <c r="P16" s="309"/>
      <c r="Q16" s="288"/>
      <c r="R16" s="102"/>
      <c r="S16" s="288"/>
    </row>
    <row r="17" spans="17:19" ht="15">
      <c r="Q17" s="288"/>
      <c r="R17" s="102"/>
      <c r="S17" s="288"/>
    </row>
    <row r="18" spans="17:19" ht="15">
      <c r="Q18" s="288"/>
      <c r="R18" s="102"/>
      <c r="S18" s="288"/>
    </row>
    <row r="19" spans="17:19" ht="15" hidden="1"/>
    <row r="20" spans="17:19" ht="15" hidden="1"/>
    <row r="21" spans="17:19" ht="15" hidden="1"/>
    <row r="22" spans="17:19" ht="15" hidden="1"/>
    <row r="23" spans="17:19" ht="15" hidden="1"/>
    <row r="24" spans="17:19" ht="15" hidden="1"/>
    <row r="25" spans="17:19" ht="23.25" hidden="1">
      <c r="S25" s="1"/>
    </row>
  </sheetData>
  <sheetProtection password="E8FA" sheet="1" objects="1" scenarios="1" formatCells="0" formatColumns="0" formatRows="0" insertColumns="0" insertRows="0" selectLockedCells="1"/>
  <mergeCells count="31">
    <mergeCell ref="Q1:Q18"/>
    <mergeCell ref="S1:S9"/>
    <mergeCell ref="S10:S18"/>
    <mergeCell ref="R1:R9"/>
    <mergeCell ref="A1:P1"/>
    <mergeCell ref="A2:P2"/>
    <mergeCell ref="A3:P3"/>
    <mergeCell ref="A4:A7"/>
    <mergeCell ref="B4:B7"/>
    <mergeCell ref="C4:C7"/>
    <mergeCell ref="D4:D7"/>
    <mergeCell ref="E4:E7"/>
    <mergeCell ref="G4:I4"/>
    <mergeCell ref="N16:P16"/>
    <mergeCell ref="J4:L4"/>
    <mergeCell ref="M4:M7"/>
    <mergeCell ref="N4:N7"/>
    <mergeCell ref="O4:O7"/>
    <mergeCell ref="P4:P7"/>
    <mergeCell ref="N10:P10"/>
    <mergeCell ref="A11:J11"/>
    <mergeCell ref="A12:J12"/>
    <mergeCell ref="B13:E13"/>
    <mergeCell ref="B14:E14"/>
    <mergeCell ref="B15:E15"/>
    <mergeCell ref="G5:I5"/>
    <mergeCell ref="G6:I6"/>
    <mergeCell ref="J5:L5"/>
    <mergeCell ref="J6:L6"/>
    <mergeCell ref="F6:F7"/>
    <mergeCell ref="F4:F5"/>
  </mergeCells>
  <conditionalFormatting sqref="G5:L5">
    <cfRule type="cellIs" dxfId="4" priority="1" operator="equal">
      <formula>0</formula>
    </cfRule>
  </conditionalFormatting>
  <dataValidations count="1">
    <dataValidation type="list" allowBlank="1" showInputMessage="1" showErrorMessage="1" sqref="F4">
      <formula1>"9,18,27"</formula1>
    </dataValidation>
  </dataValidations>
  <pageMargins left="0.43" right="0.21" top="0.45" bottom="0.22" header="0.31496062992125984" footer="0.19"/>
  <pageSetup paperSize="9" scale="83" orientation="landscape" r:id="rId1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M26"/>
  <sheetViews>
    <sheetView showGridLines="0" showRowColHeaders="0" workbookViewId="0">
      <selection sqref="A1:I1"/>
    </sheetView>
  </sheetViews>
  <sheetFormatPr defaultColWidth="0" defaultRowHeight="15" customHeight="1" zeroHeight="1"/>
  <cols>
    <col min="1" max="1" width="5.5703125" style="117" customWidth="1"/>
    <col min="2" max="2" width="22.140625" style="117" customWidth="1"/>
    <col min="3" max="7" width="20" style="117" customWidth="1"/>
    <col min="8" max="8" width="22.28515625" style="117" customWidth="1"/>
    <col min="9" max="9" width="20.85546875" style="117" customWidth="1"/>
    <col min="10" max="10" width="2" style="117" customWidth="1"/>
    <col min="11" max="11" width="9" style="117" customWidth="1"/>
    <col min="12" max="12" width="7.140625" style="117" customWidth="1"/>
    <col min="13" max="13" width="0" style="117" hidden="1" customWidth="1"/>
    <col min="14" max="16384" width="9.140625" style="117" hidden="1"/>
  </cols>
  <sheetData>
    <row r="1" spans="1:12" ht="29.25" customHeight="1">
      <c r="A1" s="292" t="str">
        <f>'Arear For 48 Months'!F4</f>
        <v>dk;kZy;% ç/kkukpk;Z] jktdh; mPp ek/;fed fo|ky; jk;eyok³k] ckfi.kh ¼tks/kiqj½</v>
      </c>
      <c r="B1" s="292"/>
      <c r="C1" s="292"/>
      <c r="D1" s="292"/>
      <c r="E1" s="292"/>
      <c r="F1" s="292"/>
      <c r="G1" s="292"/>
      <c r="H1" s="292"/>
      <c r="I1" s="292"/>
      <c r="J1" s="288"/>
      <c r="K1" s="286" t="s">
        <v>106</v>
      </c>
      <c r="L1" s="287" t="s">
        <v>107</v>
      </c>
    </row>
    <row r="2" spans="1:12" ht="21.75">
      <c r="A2" s="291" t="s">
        <v>33</v>
      </c>
      <c r="B2" s="291"/>
      <c r="C2" s="291"/>
      <c r="D2" s="291"/>
      <c r="E2" s="291"/>
      <c r="F2" s="291"/>
      <c r="G2" s="291"/>
      <c r="H2" s="291"/>
      <c r="I2" s="291"/>
      <c r="J2" s="288"/>
      <c r="K2" s="286"/>
      <c r="L2" s="287"/>
    </row>
    <row r="3" spans="1:12" ht="119.25" customHeight="1" thickBot="1">
      <c r="A3" s="331" t="s">
        <v>114</v>
      </c>
      <c r="B3" s="331"/>
      <c r="C3" s="331"/>
      <c r="D3" s="331"/>
      <c r="E3" s="331"/>
      <c r="F3" s="331"/>
      <c r="G3" s="331"/>
      <c r="H3" s="331"/>
      <c r="I3" s="331"/>
      <c r="J3" s="288"/>
      <c r="K3" s="286"/>
      <c r="L3" s="287"/>
    </row>
    <row r="4" spans="1:12" ht="27.75" customHeight="1">
      <c r="A4" s="335" t="s">
        <v>34</v>
      </c>
      <c r="B4" s="337" t="s">
        <v>35</v>
      </c>
      <c r="C4" s="339" t="s">
        <v>36</v>
      </c>
      <c r="D4" s="339"/>
      <c r="E4" s="327" t="s">
        <v>37</v>
      </c>
      <c r="F4" s="329" t="s">
        <v>115</v>
      </c>
      <c r="G4" s="327" t="s">
        <v>118</v>
      </c>
      <c r="H4" s="327" t="s">
        <v>118</v>
      </c>
      <c r="I4" s="333" t="s">
        <v>46</v>
      </c>
      <c r="J4" s="288"/>
      <c r="K4" s="286"/>
      <c r="L4" s="287"/>
    </row>
    <row r="5" spans="1:12" ht="42.75" customHeight="1" thickBot="1">
      <c r="A5" s="336"/>
      <c r="B5" s="338"/>
      <c r="C5" s="140" t="s">
        <v>116</v>
      </c>
      <c r="D5" s="140" t="s">
        <v>117</v>
      </c>
      <c r="E5" s="328"/>
      <c r="F5" s="330"/>
      <c r="G5" s="328"/>
      <c r="H5" s="328"/>
      <c r="I5" s="334"/>
      <c r="J5" s="288"/>
      <c r="K5" s="286"/>
      <c r="L5" s="287"/>
    </row>
    <row r="6" spans="1:12" s="7" customFormat="1" ht="46.5" customHeight="1" thickBot="1">
      <c r="A6" s="141">
        <v>1</v>
      </c>
      <c r="B6" s="142"/>
      <c r="C6" s="142"/>
      <c r="D6" s="142"/>
      <c r="E6" s="143"/>
      <c r="F6" s="143"/>
      <c r="G6" s="144"/>
      <c r="H6" s="145"/>
      <c r="I6" s="146"/>
      <c r="J6" s="288"/>
      <c r="K6" s="286"/>
      <c r="L6" s="287"/>
    </row>
    <row r="7" spans="1:12" ht="18.75">
      <c r="A7" s="332" t="s">
        <v>40</v>
      </c>
      <c r="B7" s="332"/>
      <c r="C7" s="332"/>
      <c r="D7" s="332"/>
      <c r="E7" s="332"/>
      <c r="F7" s="332"/>
      <c r="G7" s="332"/>
      <c r="H7" s="332"/>
      <c r="I7" s="332"/>
      <c r="J7" s="288"/>
      <c r="K7" s="286"/>
      <c r="L7" s="287"/>
    </row>
    <row r="8" spans="1:12" ht="20.25">
      <c r="A8" s="5"/>
      <c r="J8" s="288"/>
      <c r="K8" s="286"/>
      <c r="L8" s="287"/>
    </row>
    <row r="9" spans="1:12">
      <c r="J9" s="288"/>
      <c r="K9" s="286"/>
      <c r="L9" s="287"/>
    </row>
    <row r="10" spans="1:12" ht="18.75">
      <c r="A10" s="2"/>
      <c r="J10" s="288"/>
      <c r="K10" s="286"/>
      <c r="L10" s="287"/>
    </row>
    <row r="11" spans="1:12" ht="18.75">
      <c r="A11" s="139" t="s">
        <v>41</v>
      </c>
      <c r="B11" s="138"/>
      <c r="C11" s="138"/>
      <c r="D11" s="138"/>
      <c r="E11" s="139" t="s">
        <v>42</v>
      </c>
      <c r="F11" s="138"/>
      <c r="H11" s="289" t="s">
        <v>27</v>
      </c>
      <c r="I11" s="289"/>
      <c r="J11" s="288"/>
      <c r="K11" s="124"/>
      <c r="L11" s="288"/>
    </row>
    <row r="12" spans="1:12" ht="18.75">
      <c r="A12" s="2" t="s">
        <v>43</v>
      </c>
      <c r="J12" s="288"/>
      <c r="K12" s="124"/>
      <c r="L12" s="288"/>
    </row>
    <row r="13" spans="1:12" ht="18.75">
      <c r="A13" s="6" t="s">
        <v>110</v>
      </c>
      <c r="J13" s="288"/>
      <c r="K13" s="124"/>
      <c r="L13" s="288"/>
    </row>
    <row r="14" spans="1:12" ht="18.75">
      <c r="A14" s="6" t="s">
        <v>44</v>
      </c>
      <c r="J14" s="288"/>
      <c r="K14" s="124"/>
      <c r="L14" s="288"/>
    </row>
    <row r="15" spans="1:12" ht="18.75">
      <c r="A15" s="6" t="s">
        <v>45</v>
      </c>
      <c r="J15" s="288"/>
      <c r="K15" s="124"/>
      <c r="L15" s="288"/>
    </row>
    <row r="16" spans="1:12" ht="18.75">
      <c r="A16" s="6"/>
      <c r="H16" s="289" t="s">
        <v>27</v>
      </c>
      <c r="I16" s="289"/>
      <c r="J16" s="288"/>
      <c r="K16" s="124"/>
      <c r="L16" s="288"/>
    </row>
    <row r="17" spans="10:12">
      <c r="J17" s="288"/>
      <c r="K17" s="124"/>
      <c r="L17" s="288"/>
    </row>
    <row r="18" spans="10:12" hidden="1">
      <c r="K18" s="124"/>
      <c r="L18" s="288"/>
    </row>
    <row r="19" spans="10:12" hidden="1">
      <c r="K19" s="124"/>
      <c r="L19" s="288"/>
    </row>
    <row r="20" spans="10:12" hidden="1"/>
    <row r="21" spans="10:12" hidden="1"/>
    <row r="22" spans="10:12" hidden="1"/>
    <row r="23" spans="10:12" hidden="1"/>
    <row r="24" spans="10:12" hidden="1"/>
    <row r="25" spans="10:12" hidden="1"/>
    <row r="26" spans="10:12" ht="23.25" hidden="1">
      <c r="L26" s="1"/>
    </row>
  </sheetData>
  <sheetProtection password="E8FA" sheet="1" objects="1" scenarios="1" formatCells="0" formatColumns="0" formatRows="0" insertColumns="0" insertRows="0" selectLockedCells="1"/>
  <mergeCells count="18">
    <mergeCell ref="L11:L19"/>
    <mergeCell ref="H16:I16"/>
    <mergeCell ref="H4:H5"/>
    <mergeCell ref="I4:I5"/>
    <mergeCell ref="A4:A5"/>
    <mergeCell ref="B4:B5"/>
    <mergeCell ref="C4:D4"/>
    <mergeCell ref="K1:K10"/>
    <mergeCell ref="L1:L10"/>
    <mergeCell ref="A2:I2"/>
    <mergeCell ref="A3:I3"/>
    <mergeCell ref="A7:I7"/>
    <mergeCell ref="E4:E5"/>
    <mergeCell ref="F4:F5"/>
    <mergeCell ref="G4:G5"/>
    <mergeCell ref="A1:I1"/>
    <mergeCell ref="J1:J17"/>
    <mergeCell ref="H11:I11"/>
  </mergeCells>
  <pageMargins left="0.43" right="0.21" top="0.45" bottom="0.22" header="0.31496062992125984" footer="0.19"/>
  <pageSetup paperSize="9" scale="8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00"/>
  </sheetPr>
  <dimension ref="A1:J25"/>
  <sheetViews>
    <sheetView showGridLines="0" showRowColHeaders="0" zoomScale="85" zoomScaleNormal="85" workbookViewId="0">
      <selection activeCell="B6" sqref="B6"/>
    </sheetView>
  </sheetViews>
  <sheetFormatPr defaultColWidth="0" defaultRowHeight="15" zeroHeight="1"/>
  <cols>
    <col min="1" max="1" width="5.5703125" style="20" customWidth="1"/>
    <col min="2" max="2" width="28" style="20" customWidth="1"/>
    <col min="3" max="3" width="25.5703125" style="20" customWidth="1"/>
    <col min="4" max="4" width="32" style="20" customWidth="1"/>
    <col min="5" max="5" width="26.140625" style="20" customWidth="1"/>
    <col min="6" max="6" width="21.85546875" style="20" customWidth="1"/>
    <col min="7" max="7" width="3.5703125" style="180" customWidth="1"/>
    <col min="8" max="8" width="9" style="101" customWidth="1"/>
    <col min="9" max="9" width="7.140625" style="101" customWidth="1"/>
    <col min="10" max="10" width="0" style="20" hidden="1" customWidth="1"/>
    <col min="11" max="16384" width="9.140625" style="20" hidden="1"/>
  </cols>
  <sheetData>
    <row r="1" spans="1:9" ht="29.25" customHeight="1">
      <c r="A1" s="345" t="str">
        <f>'Arear For 48 Months'!F4</f>
        <v>dk;kZy;% ç/kkukpk;Z] jktdh; mPp ek/;fed fo|ky; jk;eyok³k] ckfi.kh ¼tks/kiqj½</v>
      </c>
      <c r="B1" s="345"/>
      <c r="C1" s="345"/>
      <c r="D1" s="345"/>
      <c r="E1" s="345"/>
      <c r="F1" s="345"/>
      <c r="H1" s="286" t="s">
        <v>106</v>
      </c>
      <c r="I1" s="287" t="s">
        <v>107</v>
      </c>
    </row>
    <row r="2" spans="1:9" ht="31.5">
      <c r="A2" s="346" t="s">
        <v>48</v>
      </c>
      <c r="B2" s="346"/>
      <c r="C2" s="346"/>
      <c r="D2" s="346"/>
      <c r="E2" s="346"/>
      <c r="F2" s="346"/>
      <c r="H2" s="286"/>
      <c r="I2" s="287"/>
    </row>
    <row r="3" spans="1:9" ht="90.75" customHeight="1" thickBot="1">
      <c r="A3" s="347" t="s">
        <v>53</v>
      </c>
      <c r="B3" s="347"/>
      <c r="C3" s="347"/>
      <c r="D3" s="347"/>
      <c r="E3" s="347"/>
      <c r="F3" s="347"/>
      <c r="H3" s="286"/>
      <c r="I3" s="287"/>
    </row>
    <row r="4" spans="1:9" ht="23.25" customHeight="1">
      <c r="A4" s="340" t="s">
        <v>34</v>
      </c>
      <c r="B4" s="340" t="s">
        <v>49</v>
      </c>
      <c r="C4" s="340" t="s">
        <v>50</v>
      </c>
      <c r="D4" s="340" t="s">
        <v>51</v>
      </c>
      <c r="E4" s="340" t="s">
        <v>52</v>
      </c>
      <c r="F4" s="342" t="s">
        <v>88</v>
      </c>
      <c r="H4" s="286"/>
      <c r="I4" s="287"/>
    </row>
    <row r="5" spans="1:9" ht="31.5" customHeight="1" thickBot="1">
      <c r="A5" s="341"/>
      <c r="B5" s="341"/>
      <c r="C5" s="341"/>
      <c r="D5" s="341"/>
      <c r="E5" s="341"/>
      <c r="F5" s="343"/>
      <c r="H5" s="286"/>
      <c r="I5" s="287"/>
    </row>
    <row r="6" spans="1:9" s="89" customFormat="1" ht="46.5" customHeight="1" thickBot="1">
      <c r="A6" s="99">
        <v>1</v>
      </c>
      <c r="B6" s="93"/>
      <c r="C6" s="93"/>
      <c r="D6" s="93"/>
      <c r="E6" s="94"/>
      <c r="F6" s="94"/>
      <c r="G6" s="180"/>
      <c r="H6" s="286"/>
      <c r="I6" s="287"/>
    </row>
    <row r="7" spans="1:9" ht="21" customHeight="1">
      <c r="A7" s="90"/>
      <c r="H7" s="286"/>
      <c r="I7" s="287"/>
    </row>
    <row r="8" spans="1:9">
      <c r="H8" s="286"/>
      <c r="I8" s="287"/>
    </row>
    <row r="9" spans="1:9" ht="18.75">
      <c r="A9" s="91"/>
      <c r="H9" s="286"/>
      <c r="I9" s="287"/>
    </row>
    <row r="10" spans="1:9" ht="18.75">
      <c r="A10" s="136" t="s">
        <v>41</v>
      </c>
      <c r="B10" s="135"/>
      <c r="C10" s="135"/>
      <c r="D10" s="136" t="s">
        <v>42</v>
      </c>
      <c r="E10" s="344" t="s">
        <v>27</v>
      </c>
      <c r="F10" s="344"/>
      <c r="H10" s="102"/>
      <c r="I10" s="288"/>
    </row>
    <row r="11" spans="1:9" ht="18.75">
      <c r="A11" s="91" t="s">
        <v>43</v>
      </c>
      <c r="H11" s="102"/>
      <c r="I11" s="288"/>
    </row>
    <row r="12" spans="1:9" ht="18.75">
      <c r="A12" s="92" t="s">
        <v>108</v>
      </c>
      <c r="H12" s="102"/>
      <c r="I12" s="288"/>
    </row>
    <row r="13" spans="1:9" ht="18.75">
      <c r="A13" s="92" t="s">
        <v>44</v>
      </c>
      <c r="H13" s="102"/>
      <c r="I13" s="288"/>
    </row>
    <row r="14" spans="1:9" ht="18.75">
      <c r="A14" s="92" t="s">
        <v>45</v>
      </c>
      <c r="H14" s="102"/>
      <c r="I14" s="288"/>
    </row>
    <row r="15" spans="1:9" ht="18.75">
      <c r="A15" s="92"/>
      <c r="E15" s="344" t="s">
        <v>27</v>
      </c>
      <c r="F15" s="344"/>
      <c r="H15" s="102"/>
      <c r="I15" s="288"/>
    </row>
    <row r="16" spans="1:9">
      <c r="H16" s="102"/>
      <c r="I16" s="288"/>
    </row>
    <row r="17" spans="8:9" ht="15" hidden="1" customHeight="1">
      <c r="H17" s="102"/>
      <c r="I17" s="288"/>
    </row>
    <row r="18" spans="8:9" ht="15" hidden="1" customHeight="1">
      <c r="H18" s="102"/>
      <c r="I18" s="288"/>
    </row>
    <row r="19" spans="8:9" ht="15" hidden="1" customHeight="1"/>
    <row r="20" spans="8:9" ht="15" hidden="1" customHeight="1"/>
    <row r="21" spans="8:9" ht="15" hidden="1" customHeight="1"/>
    <row r="22" spans="8:9" ht="15" hidden="1" customHeight="1"/>
    <row r="23" spans="8:9" ht="23.25" hidden="1" customHeight="1"/>
    <row r="24" spans="8:9" hidden="1"/>
    <row r="25" spans="8:9" ht="23.25" hidden="1">
      <c r="I25" s="1"/>
    </row>
  </sheetData>
  <sheetProtection password="E8FA" sheet="1" objects="1" scenarios="1" formatCells="0" formatColumns="0" formatRows="0" insertColumns="0" insertRows="0" selectLockedCells="1"/>
  <mergeCells count="15">
    <mergeCell ref="I10:I18"/>
    <mergeCell ref="E4:E5"/>
    <mergeCell ref="F4:F5"/>
    <mergeCell ref="E10:F10"/>
    <mergeCell ref="E15:F15"/>
    <mergeCell ref="G1:G1048576"/>
    <mergeCell ref="H1:H9"/>
    <mergeCell ref="I1:I9"/>
    <mergeCell ref="A1:F1"/>
    <mergeCell ref="A2:F2"/>
    <mergeCell ref="A3:F3"/>
    <mergeCell ref="A4:A5"/>
    <mergeCell ref="B4:B5"/>
    <mergeCell ref="C4:C5"/>
    <mergeCell ref="D4:D5"/>
  </mergeCells>
  <pageMargins left="0.43" right="0.21" top="0.45" bottom="0.22" header="0.31496062992125984" footer="0.1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Arear For 48 Months</vt:lpstr>
      <vt:lpstr>Fixation Fitting</vt:lpstr>
      <vt:lpstr>ACP Fitting Order</vt:lpstr>
      <vt:lpstr>Pramotion Fitting</vt:lpstr>
      <vt:lpstr>HRA Sanction</vt:lpstr>
      <vt:lpstr>'Arear For 48 Months'!Print_Area</vt:lpstr>
      <vt:lpstr>'Fixation Fitting'!Print_Area</vt:lpstr>
      <vt:lpstr>'HRA Sanction'!Print_Area</vt:lpstr>
      <vt:lpstr>'Pramotion Fitting'!Print_Area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2022-12-14T17:43:56Z</cp:lastPrinted>
  <dcterms:created xsi:type="dcterms:W3CDTF">2022-09-29T01:55:24Z</dcterms:created>
  <dcterms:modified xsi:type="dcterms:W3CDTF">2022-12-14T17:45:07Z</dcterms:modified>
</cp:coreProperties>
</file>